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040" windowHeight="8628" tabRatio="846" activeTab="1"/>
  </bookViews>
  <sheets>
    <sheet name="RESUMO" sheetId="1" r:id="rId1"/>
    <sheet name="PLANILHA ORÇAMENTÁRIA" sheetId="2" r:id="rId2"/>
    <sheet name="Planilha1" sheetId="3" state="hidden" r:id="rId3"/>
    <sheet name="MC" sheetId="4" r:id="rId4"/>
    <sheet name="COMP. PREÇO UNITÁRIO" sheetId="5" state="hidden" r:id="rId5"/>
    <sheet name="CRON." sheetId="6" r:id="rId6"/>
    <sheet name="BDI" sheetId="7" r:id="rId7"/>
    <sheet name="BDI. DIF." sheetId="8" r:id="rId8"/>
    <sheet name="CPU" sheetId="9" r:id="rId9"/>
    <sheet name="LSINAPI" sheetId="10" r:id="rId10"/>
  </sheets>
  <externalReferences>
    <externalReference r:id="rId13"/>
    <externalReference r:id="rId14"/>
    <externalReference r:id="rId15"/>
  </externalReferences>
  <definedNames>
    <definedName name="_adu1">#REF!</definedName>
    <definedName name="_adu2">#REF!</definedName>
    <definedName name="_arg1">#REF!</definedName>
    <definedName name="_arg2">#REF!</definedName>
    <definedName name="_ccb25">#REF!</definedName>
    <definedName name="_con20">#REF!</definedName>
    <definedName name="_con210">#REF!</definedName>
    <definedName name="_coz100">#REF!</definedName>
    <definedName name="_dob8">#REF!</definedName>
    <definedName name="_fai10">#REF!</definedName>
    <definedName name="_mad13">#REF!</definedName>
    <definedName name="_mfi2">#REF!</definedName>
    <definedName name="_plc1">#REF!</definedName>
    <definedName name="_pse2">#REF!</definedName>
    <definedName name="_res5">#REF!</definedName>
    <definedName name="_tpn4050">#REF!</definedName>
    <definedName name="_xlfn.IFERROR" hidden="1">#NAME?</definedName>
    <definedName name="_xlfn.SINGLE" hidden="1">#NAME?</definedName>
    <definedName name="_xlfn.SUMIFS" hidden="1">#NAME?</definedName>
    <definedName name="aga">#REF!</definedName>
    <definedName name="aind">#REF!</definedName>
    <definedName name="_xlnm.Print_Area" localSheetId="6">'BDI'!$A$3:$H$71</definedName>
    <definedName name="_xlnm.Print_Area" localSheetId="7">'BDI. DIF.'!$A$3:$C$28</definedName>
    <definedName name="_xlnm.Print_Area" localSheetId="4">'COMP. PREÇO UNITÁRIO'!$A$3:$J$67</definedName>
    <definedName name="_xlnm.Print_Area" localSheetId="8">'CPU'!$A$1:$L$72</definedName>
    <definedName name="_xlnm.Print_Area" localSheetId="5">'CRON.'!$A$3:$F$24</definedName>
    <definedName name="_xlnm.Print_Area" localSheetId="9">'LSINAPI'!$A$1:$F$46</definedName>
    <definedName name="_xlnm.Print_Area" localSheetId="3">'MC'!$A$3:$G$148</definedName>
    <definedName name="_xlnm.Print_Area" localSheetId="1">'PLANILHA ORÇAMENTÁRIA'!$A$3:$J$40</definedName>
    <definedName name="_xlnm.Print_Area" localSheetId="0">'RESUMO'!$A$3:$K$26</definedName>
    <definedName name="ART">#REF!</definedName>
    <definedName name="ass">#REF!</definedName>
    <definedName name="balan">#REF!</definedName>
    <definedName name="banco1">#REF!</definedName>
    <definedName name="BDI" localSheetId="8">'[3]DADOS'!$B$7</definedName>
    <definedName name="BDI" localSheetId="9">'[3]DADOS'!$B$7</definedName>
    <definedName name="BDI">#REF!</definedName>
    <definedName name="bet400i">#REF!</definedName>
    <definedName name="bet400p">#REF!</definedName>
    <definedName name="beto1">#REF!</definedName>
    <definedName name="beto2">#REF!</definedName>
    <definedName name="betog">#REF!</definedName>
    <definedName name="blo2x8">#REF!</definedName>
    <definedName name="caibro">#REF!</definedName>
    <definedName name="camb4">#REF!</definedName>
    <definedName name="camb4i">#REF!</definedName>
    <definedName name="camb6">#REF!</definedName>
    <definedName name="camca4">#REF!</definedName>
    <definedName name="cap5070">#REF!</definedName>
    <definedName name="carregi">#REF!</definedName>
    <definedName name="carregp">#REF!</definedName>
    <definedName name="carro4">#REF!</definedName>
    <definedName name="carrouni">#REF!</definedName>
    <definedName name="caz15x25">#REF!</definedName>
    <definedName name="cbca5\8">#REF!</definedName>
    <definedName name="ccb16">#REF!</definedName>
    <definedName name="chapa16">#REF!</definedName>
    <definedName name="CIDADE">'[3]DADOS'!$A$1</definedName>
    <definedName name="comp">#REF!</definedName>
    <definedName name="conc1">#REF!</definedName>
    <definedName name="CONCE">#REF!</definedName>
    <definedName name="coneo">#REF!</definedName>
    <definedName name="CONT">#REF!</definedName>
    <definedName name="CPA">#REF!</definedName>
    <definedName name="DIF">#REF!</definedName>
    <definedName name="distri">#REF!</definedName>
    <definedName name="emst">#REF!</definedName>
    <definedName name="emu1c">#REF!</definedName>
    <definedName name="esco">#REF!</definedName>
    <definedName name="ESTADO">#REF!</definedName>
    <definedName name="ETAPA">'CPU'!#REF!</definedName>
    <definedName name="flam">#REF!</definedName>
    <definedName name="FOLHA">'[3]DADOS'!$E$5</definedName>
    <definedName name="FONTE" localSheetId="8">'[3]DADOS'!$B$5</definedName>
    <definedName name="FONTE" localSheetId="9">'[3]DADOS'!$B$5</definedName>
    <definedName name="FONTE">'[2]DADOS'!$B$5</definedName>
    <definedName name="forma">#REF!</definedName>
    <definedName name="fut">#REF!</definedName>
    <definedName name="gango">#REF!</definedName>
    <definedName name="gasta">#REF!</definedName>
    <definedName name="gramae">#REF!</definedName>
    <definedName name="icf">'[3]DADOS'!$F$9</definedName>
    <definedName name="INV">#REF!</definedName>
    <definedName name="ipea">#REF!</definedName>
    <definedName name="kitp">#REF!</definedName>
    <definedName name="lança">#REF!</definedName>
    <definedName name="LEI" localSheetId="8">'[3]DADOS'!$B$9</definedName>
    <definedName name="LEI" localSheetId="9">'[3]DADOS'!$B$9</definedName>
    <definedName name="LEI">'[2]DADOS'!$H$5</definedName>
    <definedName name="lix">#REF!</definedName>
    <definedName name="LSO">#REF!</definedName>
    <definedName name="m">#REF!</definedName>
    <definedName name="maq1">#REF!</definedName>
    <definedName name="maq2">#REF!</definedName>
    <definedName name="maq3">#REF!</definedName>
    <definedName name="maq4">#REF!</definedName>
    <definedName name="maqpin">#REF!</definedName>
    <definedName name="mfgi11\2">#REF!</definedName>
    <definedName name="micro1">#REF!</definedName>
    <definedName name="micro2">#REF!</definedName>
    <definedName name="mud">#REF!</definedName>
    <definedName name="OBRA">'[3]DADOS'!$A$2</definedName>
    <definedName name="OGU">#REF!</definedName>
    <definedName name="ONERA">'[2]DADOS'!$F$5</definedName>
    <definedName name="paraf1">#REF!</definedName>
    <definedName name="paraf2">#REF!</definedName>
    <definedName name="pbo">#REF!</definedName>
    <definedName name="pcf">'[3]DADOS'!$F$8</definedName>
    <definedName name="pdir25">#REF!</definedName>
    <definedName name="pelic">#REF!</definedName>
    <definedName name="per2x1">#REF!</definedName>
    <definedName name="plc">#REF!</definedName>
    <definedName name="plsoe">#REF!</definedName>
    <definedName name="plsse">#REF!</definedName>
    <definedName name="poli">#REF!</definedName>
    <definedName name="ppp">#REF!</definedName>
    <definedName name="PREF">#REF!</definedName>
    <definedName name="prep">#REF!</definedName>
    <definedName name="PROG">#REF!</definedName>
    <definedName name="PROJ">#REF!</definedName>
    <definedName name="pse">#REF!</definedName>
    <definedName name="ptd25">#REF!</definedName>
    <definedName name="rej">#REF!</definedName>
    <definedName name="roloi">#REF!</definedName>
    <definedName name="rolop">#REF!</definedName>
    <definedName name="sext1">#REF!</definedName>
    <definedName name="tampa1">#REF!</definedName>
    <definedName name="tintaag">#REF!</definedName>
    <definedName name="tintaes">#REF!</definedName>
    <definedName name="tintapre">#REF!</definedName>
    <definedName name="_xlnm.Print_Titles" localSheetId="4">'COMP. PREÇO UNITÁRIO'!$3:$7</definedName>
    <definedName name="_xlnm.Print_Titles" localSheetId="8">'CPU'!$1:$5</definedName>
    <definedName name="_xlnm.Print_Titles" localSheetId="5">'CRON.'!$3:$6</definedName>
    <definedName name="_xlnm.Print_Titles" localSheetId="9">'LSINAPI'!$1:$6</definedName>
    <definedName name="_xlnm.Print_Titles" localSheetId="3">'MC'!$3:$7</definedName>
    <definedName name="_xlnm.Print_Titles" localSheetId="1">'PLANILHA ORÇAMENTÁRIA'!$3:$7</definedName>
    <definedName name="_xlnm.Print_Titles" localSheetId="0">'RESUMO'!$3:$6</definedName>
    <definedName name="TOT" localSheetId="4">'COMP. PREÇO UNITÁRIO'!#REF!</definedName>
    <definedName name="TOT" localSheetId="5">'CRON.'!#REF!</definedName>
    <definedName name="TOT" localSheetId="1">'PLANILHA ORÇAMENTÁRIA'!#REF!</definedName>
    <definedName name="TOT">'RESUMO'!#REF!</definedName>
    <definedName name="trai">#REF!</definedName>
    <definedName name="trap">#REF!</definedName>
    <definedName name="un">#REF!</definedName>
    <definedName name="usina">#REF!</definedName>
    <definedName name="vami">#REF!</definedName>
    <definedName name="vamp">#REF!</definedName>
    <definedName name="veic">#REF!</definedName>
    <definedName name="veiculo">#REF!</definedName>
    <definedName name="vepp">#REF!</definedName>
    <definedName name="vibrai">#REF!</definedName>
    <definedName name="vibrap">#REF!</definedName>
    <definedName name="vibroi">#REF!</definedName>
    <definedName name="vibrop">#REF!</definedName>
  </definedNames>
  <calcPr fullCalcOnLoad="1"/>
</workbook>
</file>

<file path=xl/sharedStrings.xml><?xml version="1.0" encoding="utf-8"?>
<sst xmlns="http://schemas.openxmlformats.org/spreadsheetml/2006/main" count="983" uniqueCount="361">
  <si>
    <t>m²</t>
  </si>
  <si>
    <t>m³</t>
  </si>
  <si>
    <t>SINAPI</t>
  </si>
  <si>
    <t>Quant.</t>
  </si>
  <si>
    <t>CÓDIGO</t>
  </si>
  <si>
    <t>DESCRIÇÃO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</si>
  <si>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</si>
  <si>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</si>
  <si>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</si>
  <si>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</si>
  <si>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</si>
  <si>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</si>
  <si>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</si>
  <si>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</si>
  <si>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</si>
  <si>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</si>
  <si>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</si>
  <si>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</si>
  <si>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</si>
  <si>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A8</t>
  </si>
  <si>
    <t>FGTS</t>
  </si>
  <si>
    <t>A9</t>
  </si>
  <si>
    <t>SECONCI</t>
  </si>
  <si>
    <t>A</t>
  </si>
  <si>
    <t>GRUPO B</t>
  </si>
  <si>
    <t>B1</t>
  </si>
  <si>
    <t>REPOUSO SEMANAL REMUNERADO</t>
  </si>
  <si>
    <t>B2</t>
  </si>
  <si>
    <t>FERIADOS</t>
  </si>
  <si>
    <t>B3</t>
  </si>
  <si>
    <t>B4</t>
  </si>
  <si>
    <t>B5</t>
  </si>
  <si>
    <t>13º SALÁRIO</t>
  </si>
  <si>
    <t>B6</t>
  </si>
  <si>
    <t>LICENÇA PATERNIDADE</t>
  </si>
  <si>
    <t>B7</t>
  </si>
  <si>
    <t>B</t>
  </si>
  <si>
    <t>GRUPO C</t>
  </si>
  <si>
    <t>C1</t>
  </si>
  <si>
    <t>DEPÓSITO RESCISÃO SEM JUSTA CAUSA</t>
  </si>
  <si>
    <t>C2</t>
  </si>
  <si>
    <t>C</t>
  </si>
  <si>
    <t>GRUPO D</t>
  </si>
  <si>
    <t>D1</t>
  </si>
  <si>
    <t>D</t>
  </si>
  <si>
    <t>CHP</t>
  </si>
  <si>
    <t>CHI</t>
  </si>
  <si>
    <t>B8</t>
  </si>
  <si>
    <t>B9</t>
  </si>
  <si>
    <t>B10</t>
  </si>
  <si>
    <t>FALTAS JUSTIFICADAS</t>
  </si>
  <si>
    <t>AUXÍLIO ACIDENTE DE TRABALHO</t>
  </si>
  <si>
    <t>FÉRIAS GOZADAS</t>
  </si>
  <si>
    <t>SALÁRIO MATERNIDADE</t>
  </si>
  <si>
    <t>C3</t>
  </si>
  <si>
    <t>C4</t>
  </si>
  <si>
    <t>AVISO PRÉVIO INDENIZADO</t>
  </si>
  <si>
    <t>AVISO PRÉVIO TRABALHADO</t>
  </si>
  <si>
    <t>FÉRIAS INDENIZADAS</t>
  </si>
  <si>
    <t>C5</t>
  </si>
  <si>
    <t>INDENIZAÇÃO ADICIONAL</t>
  </si>
  <si>
    <t>REINCIDÊNCIA DE GRUPO A SOBRE GRUPO B</t>
  </si>
  <si>
    <t>D2</t>
  </si>
  <si>
    <t>REINCIDÊNCIA DE GRUPO A SOBRE AVISO PRÉVIO TRABALHADO E REINCIDÊNCIA DO FGTS SOBRE AVISO PRÉVIO INDENIZADO</t>
  </si>
  <si>
    <t>Código</t>
  </si>
  <si>
    <t>Total</t>
  </si>
  <si>
    <t>Tipo</t>
  </si>
  <si>
    <t>Planilha Orçamentária Resumida</t>
  </si>
  <si>
    <t>Item</t>
  </si>
  <si>
    <t>Descrição</t>
  </si>
  <si>
    <t>Peso (%)</t>
  </si>
  <si>
    <t xml:space="preserve"> 1 </t>
  </si>
  <si>
    <t>Total sem BDI</t>
  </si>
  <si>
    <t>Total do BDI</t>
  </si>
  <si>
    <t>Total Geral</t>
  </si>
  <si>
    <t>Cronograma Físico e Financeiro</t>
  </si>
  <si>
    <t>Total Por Etapa</t>
  </si>
  <si>
    <t>30 DIAS</t>
  </si>
  <si>
    <t>60 DIAS</t>
  </si>
  <si>
    <t>90 DIAS</t>
  </si>
  <si>
    <t>Porcentagem</t>
  </si>
  <si>
    <t>Custo</t>
  </si>
  <si>
    <t>Porcentagem Acumulado</t>
  </si>
  <si>
    <t>Custo Acumulado</t>
  </si>
  <si>
    <t>Banco</t>
  </si>
  <si>
    <t>Und</t>
  </si>
  <si>
    <t>Valor Unit</t>
  </si>
  <si>
    <t>Valor Unit com BDI</t>
  </si>
  <si>
    <t xml:space="preserve"> 1.1 </t>
  </si>
  <si>
    <t>Próprio</t>
  </si>
  <si>
    <t>M</t>
  </si>
  <si>
    <t>Composição</t>
  </si>
  <si>
    <t>Composição Auxiliar</t>
  </si>
  <si>
    <t>FUES - FUNDAÇÕES E ESTRUTURAS</t>
  </si>
  <si>
    <t>Insumo</t>
  </si>
  <si>
    <t>Material</t>
  </si>
  <si>
    <t>MO sem LS =&gt;</t>
  </si>
  <si>
    <t>LS =&gt;</t>
  </si>
  <si>
    <t>MO com LS =&gt;</t>
  </si>
  <si>
    <t>Valor do BDI =&gt;</t>
  </si>
  <si>
    <t>Valor com BDI =&gt;</t>
  </si>
  <si>
    <t xml:space="preserve"> 94962 </t>
  </si>
  <si>
    <t xml:space="preserve"> 88262 </t>
  </si>
  <si>
    <t>CARPINTEIRO DE FORMAS COM ENCARGOS COMPLEMENTARES</t>
  </si>
  <si>
    <t>SEDI - SERVIÇOS DIVERSOS</t>
  </si>
  <si>
    <t>H</t>
  </si>
  <si>
    <t xml:space="preserve"> 88316 </t>
  </si>
  <si>
    <t>SERVENTE COM ENCARGOS COMPLEMENTARES</t>
  </si>
  <si>
    <t>PREGO DE ACO POLIDO COM CABECA 18 X 30 (2 3/4 X 10)</t>
  </si>
  <si>
    <t>KG</t>
  </si>
  <si>
    <t xml:space="preserve"> 88309 </t>
  </si>
  <si>
    <t>PEDREIRO COM ENCARGOS COMPLEMENTARES</t>
  </si>
  <si>
    <t xml:space="preserve"> 00000370 </t>
  </si>
  <si>
    <t>AREIA MEDIA - POSTO JAZIDA/FORNECEDOR (RETIRADO NA JAZIDA, SEM TRANSPORTE)</t>
  </si>
  <si>
    <t xml:space="preserve"> 88629 </t>
  </si>
  <si>
    <t>CHOR - CUSTOS HORÁRIOS DE MÁQUINAS E EQUIPAMENTOS</t>
  </si>
  <si>
    <t xml:space="preserve"> 00000367 </t>
  </si>
  <si>
    <t>AREIA GROSSA - POSTO JAZIDA/FORNECEDOR (RETIRADO NA JAZIDA, SEM TRANSPORTE)</t>
  </si>
  <si>
    <t>ARGAMASSA TRAÇO 1:3 (EM VOLUME DE CIMENTO E AREIA MÉDIA ÚMIDA), PREPARO MANUAL. AF_08/2019</t>
  </si>
  <si>
    <t>ADMINISTRAÇÃO LOCAL</t>
  </si>
  <si>
    <t xml:space="preserve"> 2.1 </t>
  </si>
  <si>
    <t xml:space="preserve"> 2 </t>
  </si>
  <si>
    <t xml:space="preserve"> 3 </t>
  </si>
  <si>
    <t>ADMINISTRAÇÃO LOCAL DA OBRA</t>
  </si>
  <si>
    <t xml:space="preserve"> 100575 </t>
  </si>
  <si>
    <t xml:space="preserve"> 94273 </t>
  </si>
  <si>
    <t>ASSENTAMENTO DE GUIA (MEIO-FIO) EM TRECHO RETO, CONFECCIONADA EM CONCRETO PRÉ-FABRICADO, DIMENSÕES 100X15X13X30 CM (COMPRIMENTO X BASE INFERIOR X BASE SUPERIOR X ALTURA), PARA VIAS URBANAS (USO VIÁRIO). AF_06/2016</t>
  </si>
  <si>
    <t>ORSE</t>
  </si>
  <si>
    <t>REGULARIZAÇÃO DE SUPERFÍCIES COM MOTONIVELADORA. AF_11/2019</t>
  </si>
  <si>
    <t xml:space="preserve"> 90777 </t>
  </si>
  <si>
    <t>ENGENHEIRO CIVIL DE OBRA JUNIOR COM ENCARGOS COMPLEMENTARES</t>
  </si>
  <si>
    <t xml:space="preserve"> 90766 </t>
  </si>
  <si>
    <t>ALMOXARIFE COM ENCARGOS COMPLEMENTARES</t>
  </si>
  <si>
    <t>SERP - SERVIÇOS PRELIMINARES</t>
  </si>
  <si>
    <t xml:space="preserve"> 00004417 </t>
  </si>
  <si>
    <t>SARRAFO NAO APARELHADO *2,5 X 7* CM, EM MACARANDUBA, ANGELIM OU EQUIVALENTE DA REGIAO -  BRUTA</t>
  </si>
  <si>
    <t xml:space="preserve"> 00004491 </t>
  </si>
  <si>
    <t>PONTALETE *7,5 X 7,5* CM EM PINUS, MISTA OU EQUIVALENTE DA REGIAO - BRUTA</t>
  </si>
  <si>
    <t xml:space="preserve"> 00004813 </t>
  </si>
  <si>
    <t xml:space="preserve"> 00005075 </t>
  </si>
  <si>
    <t>PAVI - PAVIMENTAÇÃO</t>
  </si>
  <si>
    <t xml:space="preserve"> 5932 </t>
  </si>
  <si>
    <t>MOTONIVELADORA POTÊNCIA BÁSICA LÍQUIDA (PRIMEIRA MARCHA) 125 HP, PESO BRUTO 13032 KG, LARGURA DA LÂMINA DE 3,7 M - CHP DIURNO. AF_06/2014</t>
  </si>
  <si>
    <t xml:space="preserve"> 5934 </t>
  </si>
  <si>
    <t>MOTONIVELADORA POTÊNCIA BÁSICA LÍQUIDA (PRIMEIRA MARCHA) 125 HP, PESO BRUTO 13032 KG, LARGURA DA LÂMINA DE 3,7 M - CHI DIURNO. AF_06/2014</t>
  </si>
  <si>
    <t xml:space="preserve"> 88260 </t>
  </si>
  <si>
    <t>CALCETEIRO COM ENCARGOS COMPLEMENTARES</t>
  </si>
  <si>
    <t xml:space="preserve"> 11394 </t>
  </si>
  <si>
    <t>mil</t>
  </si>
  <si>
    <t>DROP - DRENAGEM/OBRAS DE CONTENÇÃO / POÇOS DE VISITA E CAIXAS</t>
  </si>
  <si>
    <t xml:space="preserve"> 00004059 </t>
  </si>
  <si>
    <t>MEIO-FIO OU GUIA DE CONCRETO, PRE-MOLDADO, COMP 1 M, *30 X 12/15* CM (H X L1/L2)</t>
  </si>
  <si>
    <t>PLANILHA ORÇAMENTÁRIA</t>
  </si>
  <si>
    <t>COM DESONERAÇÃO</t>
  </si>
  <si>
    <t>SEM DESONERAÇÃO</t>
  </si>
  <si>
    <t>X</t>
  </si>
  <si>
    <t>TIPO DE SERVIÇO</t>
  </si>
  <si>
    <t>CONSTRUÇÃO DE EDIFICAÇÕES</t>
  </si>
  <si>
    <t>CONSTRUÇÃO DE RODOVIAS E FERROVIAS</t>
  </si>
  <si>
    <t>CONSTRUÇÃO DE REDES DE ABASTECIMENTO DE ÁGUA, COLETA DE ESGOTO E CONSTRUÇÕES DE CORRELATAS</t>
  </si>
  <si>
    <t>CONSTRUÇÃO E MANUTENÇÃO DE ESTAÇÕES E REDES DE DISTRIBUIÇÃO DE ENERGIA ELÉTRICA</t>
  </si>
  <si>
    <t>OBRAS PORTUÁRIAS, MARÍTIMAS E FLUVIAIS</t>
  </si>
  <si>
    <t>FORNECIMENTO DE MATERIAIS</t>
  </si>
  <si>
    <t>ÍNDICES PERCENTUAIS</t>
  </si>
  <si>
    <t>%</t>
  </si>
  <si>
    <t>min</t>
  </si>
  <si>
    <t>max</t>
  </si>
  <si>
    <t>ADMINISTRAÇÃO CENTRAL</t>
  </si>
  <si>
    <t>A =</t>
  </si>
  <si>
    <t>DESPESAS FINANCEIRAS</t>
  </si>
  <si>
    <t>DF =</t>
  </si>
  <si>
    <t>SEGURO, GARANTIA E RISCOS</t>
  </si>
  <si>
    <t>SEGURO + GARANTIA  (S + G) =</t>
  </si>
  <si>
    <t>RISCO (R) =</t>
  </si>
  <si>
    <t>LUCRO</t>
  </si>
  <si>
    <t>L =</t>
  </si>
  <si>
    <t>IMPOSTOS</t>
  </si>
  <si>
    <t>PIS =</t>
  </si>
  <si>
    <t>COFINS =</t>
  </si>
  <si>
    <t xml:space="preserve">T = </t>
  </si>
  <si>
    <t>CÁLCULO</t>
  </si>
  <si>
    <t>LISTA DE ERROS</t>
  </si>
  <si>
    <t>AC =</t>
  </si>
  <si>
    <t>TAXA DE RATEIO DA ADMINISTRAÇÃO CENTRAL</t>
  </si>
  <si>
    <t>S + G =</t>
  </si>
  <si>
    <t>SEGURO E GARANTIA DO EMPREENDIMENTO</t>
  </si>
  <si>
    <t>R =</t>
  </si>
  <si>
    <t>TAXA DE RISCO</t>
  </si>
  <si>
    <t>TAXA DE DESPESAS FINANCEIRAS</t>
  </si>
  <si>
    <t>TAXA DE LUCRO</t>
  </si>
  <si>
    <t>T =</t>
  </si>
  <si>
    <t>TAXA DE TRIBUTOS</t>
  </si>
  <si>
    <t>BDI DE REFERÊNCIAS S/ INSS</t>
  </si>
  <si>
    <t>BDI DE REFERÊNCIAS C/ INSS</t>
  </si>
  <si>
    <t>MÍNIMO</t>
  </si>
  <si>
    <t>MÁXIMO</t>
  </si>
  <si>
    <t>BDI CALCULADO  =</t>
  </si>
  <si>
    <t>DE ACORDO COM:</t>
  </si>
  <si>
    <t>LEI Nº 12.546, DE 14 DE DEZEMBRO DE 2011</t>
  </si>
  <si>
    <t>LEI Nº 13.161, DE 31 DE AGOSTO DE 2015</t>
  </si>
  <si>
    <t>ACÓRDÃO Nº 2622/2013 – TCU – Plenário</t>
  </si>
  <si>
    <t>BDI CALCULADO</t>
  </si>
  <si>
    <t>Composição de Preço Unitário</t>
  </si>
  <si>
    <t>TRECHO:</t>
  </si>
  <si>
    <t>MUNICÍPIO:</t>
  </si>
  <si>
    <t>DIMENSÕES:</t>
  </si>
  <si>
    <t>COMPRIMENTO (C)</t>
  </si>
  <si>
    <t>LARGURA (L)</t>
  </si>
  <si>
    <t>ALTURA (H)</t>
  </si>
  <si>
    <t>QUANTIDADE (Q)</t>
  </si>
  <si>
    <t>ÁREA              (A)</t>
  </si>
  <si>
    <t>UNIDADE</t>
  </si>
  <si>
    <t>OBSERVAÇÕES</t>
  </si>
  <si>
    <t>SERVIÇOS PRELIMINARES</t>
  </si>
  <si>
    <t>REGULARIZAÇÃO DE SUPERFÍCIES</t>
  </si>
  <si>
    <t>A = L x C</t>
  </si>
  <si>
    <t>cabeças de rua</t>
  </si>
  <si>
    <t>somatório</t>
  </si>
  <si>
    <t>m</t>
  </si>
  <si>
    <t>geral</t>
  </si>
  <si>
    <t>desconto</t>
  </si>
  <si>
    <t>cruzamentos</t>
  </si>
  <si>
    <t>somatório ( desconto )</t>
  </si>
  <si>
    <t>ÁREA</t>
  </si>
  <si>
    <t>PAVIMENTAÇÃO</t>
  </si>
  <si>
    <t>FORNECIMENTO E ASSENTAMENTO DE MEIO-FIO</t>
  </si>
  <si>
    <t>CT = C x Nº de bordas</t>
  </si>
  <si>
    <t>somatório ( meio fio)</t>
  </si>
  <si>
    <t xml:space="preserve">cruzamentos de rua </t>
  </si>
  <si>
    <t>somatório ( desconto do meio fio)</t>
  </si>
  <si>
    <t>COMPRIMENTO TOTAL</t>
  </si>
  <si>
    <t>FORNECIMENTO E ASSENTAMENTO DE MEIO FIO DE CONTENÇÃO</t>
  </si>
  <si>
    <t>rua</t>
  </si>
  <si>
    <t>CT = C x Nº de canaletas</t>
  </si>
  <si>
    <t>PAVIMENTAÇÃO EM PARALELEPIPEDO</t>
  </si>
  <si>
    <t>Nº cabeças de rua</t>
  </si>
  <si>
    <t>ÁREA TOTAL</t>
  </si>
  <si>
    <t>SARJETA</t>
  </si>
  <si>
    <t>Memória de Cálculo</t>
  </si>
  <si>
    <t xml:space="preserve"> 4 </t>
  </si>
  <si>
    <t>PLACA DE OBRA EM CHAPA DE AÇO GALVANIZADA</t>
  </si>
  <si>
    <t>mês</t>
  </si>
  <si>
    <t>TERRAPLENAGEM</t>
  </si>
  <si>
    <t>REFERÊNCIA SINAPI (101169) - EXECUÇÃO DE PAVIMENTO EM PARALELEPÍPEDOS, REJUNTAMENTO COM ARGAMASSA TRAÇO 1:3 (CIMENTO E AREIA). AF_05/2020</t>
  </si>
  <si>
    <t>SERVIÇOS COMPLEMENTARES</t>
  </si>
  <si>
    <t>CONCRETO MAGRO PARA LASTRO, TRAÇO 1:4,5:4,5 (EM MASSA SECA DE CIMENTO/ AREIA MÉDIA/ BRITA 1) - PREPARO MECÂNICO COM BETONEIRA 400 L. AF_05/2021</t>
  </si>
  <si>
    <t xml:space="preserve"> 90776 </t>
  </si>
  <si>
    <t>ENCARREGADO GERAL COM ENCARGOS COMPLEMENTARES</t>
  </si>
  <si>
    <t xml:space="preserve"> 88628 </t>
  </si>
  <si>
    <t>ARGAMASSA TRAÇO 1:3 (EM VOLUME DE CIMENTO E AREIA MÉDIA ÚMIDA), PREPARO MECÂNICO COM BETONEIRA 400 L. AF_08/2019</t>
  </si>
  <si>
    <t>COMPOSIÇÃO BDI DIFERENCIADO</t>
  </si>
  <si>
    <t>BENEFICIOS</t>
  </si>
  <si>
    <t>Lucro</t>
  </si>
  <si>
    <t>DESPEZAS INDIRETAS</t>
  </si>
  <si>
    <t>CA</t>
  </si>
  <si>
    <t>Administração Central (AC)</t>
  </si>
  <si>
    <t>Risco, Garantia e Seguro (R)</t>
  </si>
  <si>
    <t>Despesas Financeiras (DF)</t>
  </si>
  <si>
    <t>IMPOSTOS E TAXAS  (I)</t>
  </si>
  <si>
    <t>IT</t>
  </si>
  <si>
    <t>PIS</t>
  </si>
  <si>
    <t>ISS</t>
  </si>
  <si>
    <t>COFINS</t>
  </si>
  <si>
    <t>CPRB (CONTRIBUIÇÃO PREVIDENCIÁRIA SOBRE A RENDA BRUTA)</t>
  </si>
  <si>
    <t>OBS.: Acórdão nº 2622/2013 - TCU</t>
  </si>
  <si>
    <t>Detalhamento do BDI Diferenciado</t>
  </si>
  <si>
    <t>PLACA DE OBRA</t>
  </si>
  <si>
    <t>LARGURA:</t>
  </si>
  <si>
    <t>ALTURA:</t>
  </si>
  <si>
    <t>ADMINISTRAÇÃO</t>
  </si>
  <si>
    <t>QUANTIDADE:</t>
  </si>
  <si>
    <t>ÁREA: 6,48m²</t>
  </si>
  <si>
    <t>Total do meio-fio</t>
  </si>
  <si>
    <t>COMPRIMENTO GERAL</t>
  </si>
  <si>
    <t>REFERÊNCIA SINAPI (94287) - EXECUÇÃO DE SARJETA DE CONCRETO USINADO, MOLDADA  IN LOCO  EM TRECHO RETO, 30 CM BASE X 3 CM ALTURA. AF_06/2016</t>
  </si>
  <si>
    <t xml:space="preserve"> 00004517 </t>
  </si>
  <si>
    <t>SARRAFO *2,5 X 7,5* CM EM PINUS, MISTA OU EQUIVALENTE DA REGIAO - BRUTA</t>
  </si>
  <si>
    <t xml:space="preserve"> 00006189 </t>
  </si>
  <si>
    <t>TABUA NAO APARELHADA *2,5 X 30* CM, EM MACARANDUBA, ANGELIM OU EQUIVALENTE DA REGIAO - BRUTA</t>
  </si>
  <si>
    <t xml:space="preserve"> 00034492 </t>
  </si>
  <si>
    <t>CONCRETO USINADO BOMBEAVEL, CLASSE DE RESISTENCIA C20, COM BRITA 0 E 1, SLUMP = 100 +/- 20 MM, EXCLUI SERVICO DE BOMBEAMENTO (NBR 8953)</t>
  </si>
  <si>
    <t xml:space="preserve"> 5 </t>
  </si>
  <si>
    <t>3.2</t>
  </si>
  <si>
    <t>3.3</t>
  </si>
  <si>
    <t>4.1</t>
  </si>
  <si>
    <t>4.2</t>
  </si>
  <si>
    <t>3.1</t>
  </si>
  <si>
    <t>4.3</t>
  </si>
  <si>
    <t>5.1</t>
  </si>
  <si>
    <t>5.2</t>
  </si>
  <si>
    <t>5.3</t>
  </si>
  <si>
    <t>LAGOA DE SÃO FRANCISCO</t>
  </si>
  <si>
    <t xml:space="preserve"> COMPOSIÇÃO 01 </t>
  </si>
  <si>
    <t xml:space="preserve"> COMPOSIÇÃO 02</t>
  </si>
  <si>
    <t xml:space="preserve"> COMPOSIÇÃO 03</t>
  </si>
  <si>
    <t xml:space="preserve"> COMPOSIÇÃO 04</t>
  </si>
  <si>
    <t xml:space="preserve"> COMPOSIÇÃO 01</t>
  </si>
  <si>
    <t>RUA</t>
  </si>
  <si>
    <t>COMP.</t>
  </si>
  <si>
    <t>LARG.</t>
  </si>
  <si>
    <t>TOTAL</t>
  </si>
  <si>
    <t>RUA 01 - ASSENTAMENTO IRAJÁ</t>
  </si>
  <si>
    <t>CURRALINHOS</t>
  </si>
  <si>
    <t>RUA 01 - ASSENTAMENTO IRMÃ DOROTH</t>
  </si>
  <si>
    <t>RUA 02 - ASSENTAMENTO IRMÃ DOROTH</t>
  </si>
  <si>
    <t>PLACA DE OBRA (PARA CONSTRUCAO CIVIL) EM CHAPA GALVANIZADA *N. 22*, ADESIVADA, DE *2,0 X 1,125* M (SEM POSTES PARA FIXACAO)</t>
  </si>
  <si>
    <t xml:space="preserve"> 3.1.1 </t>
  </si>
  <si>
    <t xml:space="preserve"> 3.2.1 </t>
  </si>
  <si>
    <t xml:space="preserve"> 3.3.1 </t>
  </si>
  <si>
    <r>
      <t xml:space="preserve">Paralelepípedo granitico (com frete) - </t>
    </r>
    <r>
      <rPr>
        <b/>
        <i/>
        <sz val="10"/>
        <rFont val="Arial"/>
        <family val="2"/>
      </rPr>
      <t>BDI DIF. (11,10%)</t>
    </r>
  </si>
  <si>
    <t>Valor do BDI DIF=&gt;</t>
  </si>
  <si>
    <t>OBRA: EXECUÇÃO DE PAVIMENTAÇÃO EM PARALELEPÍPEDO NO MUNICÍPIO DE CURRALINHOS - PI. COM ÁREA TOTAL DE 5.204,70 m².</t>
  </si>
  <si>
    <t>FONTES: SINAPI - 09/2023 - Piauí - ORSE - 09/2023 - Sergipe</t>
  </si>
  <si>
    <t>MUNICÍPIO: CURRALINHOS - PI</t>
  </si>
  <si>
    <t>DESCONTO DA RUA ADJACENTE (6 m)</t>
  </si>
  <si>
    <t>Total final</t>
  </si>
  <si>
    <t>mo</t>
  </si>
  <si>
    <t>mat</t>
  </si>
  <si>
    <t>total spl</t>
  </si>
  <si>
    <t>bdi</t>
  </si>
  <si>
    <t>CPRB=</t>
  </si>
  <si>
    <r>
      <t xml:space="preserve">BDI: 28,32% - SEM DESONERAÇÃO - BDI DIFERENCIADO: 11,10% - </t>
    </r>
    <r>
      <rPr>
        <b/>
        <sz val="10"/>
        <color indexed="10"/>
        <rFont val="Arial"/>
        <family val="2"/>
      </rPr>
      <t>ENCARGOS SOCIAIS: 113,05% HORISTA - 70,90% MENSALISTA</t>
    </r>
  </si>
  <si>
    <t>DATA BASE:</t>
  </si>
  <si>
    <t>LEIS SOCIAIS (%):</t>
  </si>
  <si>
    <t>BDI (%):</t>
  </si>
  <si>
    <t>HORISTA</t>
  </si>
  <si>
    <t>MENSALISTA</t>
  </si>
  <si>
    <t>GRUPO A</t>
  </si>
  <si>
    <t>SEGURO CONTRA ACIDENTES DE TRABALHO</t>
  </si>
  <si>
    <t>Não incide</t>
  </si>
  <si>
    <t>AUXÍLIO - ENFERMIDADE</t>
  </si>
  <si>
    <t>DIAS DE CHUVAS</t>
  </si>
  <si>
    <t>FONTE: http://www.caixa.gov.br/site/paginas/downloads.aspx</t>
  </si>
  <si>
    <t>FONTES: SINAPI - 03/2023 - Piauí - ORSE - 03/2023 - Sergipe</t>
  </si>
  <si>
    <t>PLANILHA DE LEIS SOCIAIS - SINAPI</t>
  </si>
  <si>
    <t>GRUPO A + B + C + D</t>
  </si>
  <si>
    <t>PLANILHA DE COMPOSIÇÕES UNITÁRIAS</t>
  </si>
  <si>
    <t>CLASSE/TIPO</t>
  </si>
  <si>
    <t>FONTE</t>
  </si>
  <si>
    <t>UNID.</t>
  </si>
  <si>
    <t>COEF.</t>
  </si>
  <si>
    <t>P. UNIT. (R$)</t>
  </si>
  <si>
    <t>TOTAL (R$)</t>
  </si>
  <si>
    <t>SERP</t>
  </si>
  <si>
    <t>COMPSADA01</t>
  </si>
  <si>
    <t>COMPOSIÇÃO DO USUÁRIO</t>
  </si>
  <si>
    <t>COMPOSICAO</t>
  </si>
  <si>
    <t>INSUMO</t>
  </si>
  <si>
    <t>CANT</t>
  </si>
  <si>
    <t>COMPSADA02</t>
  </si>
  <si>
    <t>PAVI</t>
  </si>
  <si>
    <t>COMPSADA03</t>
  </si>
  <si>
    <t>M.O.</t>
  </si>
  <si>
    <t>MAT.</t>
  </si>
  <si>
    <t>TOT. PARCIAL</t>
  </si>
  <si>
    <t>BDI PARC</t>
  </si>
  <si>
    <t>11394/ORSE</t>
  </si>
  <si>
    <t>BDI PEDRA</t>
  </si>
  <si>
    <t>DROP</t>
  </si>
  <si>
    <t>COMPSADA04</t>
  </si>
  <si>
    <t>BDI: 28,32% - COM DESONERAÇÃO - BDI DIFERENCIADO: 11,10% - ENCARGOS SOCIAIS: 84,59% HORISTA - 47,20% MENSALISTA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</si>
</sst>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.00_);\(&quot;R$ &quot;#,##0.00\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0.000"/>
    <numFmt numFmtId="175" formatCode="_(* #,##0.000_);_(* \(#,##0.000\);_(* &quot;-&quot;??_);_(@_)"/>
    <numFmt numFmtId="176" formatCode="#,##0.000"/>
    <numFmt numFmtId="177" formatCode="#,##0.0000"/>
    <numFmt numFmtId="178" formatCode="_(* #,##0.00000_);_(* \(#,##0.00000\);_(* &quot;-&quot;??_);_(@_)"/>
    <numFmt numFmtId="179" formatCode="#,##0.00000"/>
    <numFmt numFmtId="180" formatCode="_(* #,##0.00_);_(* \(#,##0.00\);_(* \-??_);_(@_)"/>
    <numFmt numFmtId="181" formatCode="dd/mm/yy"/>
    <numFmt numFmtId="182" formatCode="#,##0.0000000"/>
    <numFmt numFmtId="183" formatCode="&quot;Verdadeiro&quot;;&quot;Verdadeiro&quot;;&quot;Falso&quot;"/>
    <numFmt numFmtId="184" formatCode="&quot;R$&quot;\ #,##0.00"/>
    <numFmt numFmtId="185" formatCode="_-* #,##0.0000_-;\-* #,##0.0000_-;_-* &quot;-&quot;??_-;_-@_-"/>
    <numFmt numFmtId="186" formatCode="_-* #,##0.00000_-;\-* #,##0.00000_-;_-* &quot;-&quot;??_-;_-@_-"/>
    <numFmt numFmtId="187" formatCode="0.00000"/>
    <numFmt numFmtId="188" formatCode="#,##0.00;[Black]#,##0.00"/>
    <numFmt numFmtId="189" formatCode="#,##0.00\ %"/>
    <numFmt numFmtId="190" formatCode="\$#,##0\ ;\(\$#,##0\)"/>
    <numFmt numFmtId="191" formatCode="_(&quot;Cr$&quot;* #,##0.00_);_(&quot;Cr$&quot;* \(#,##0.00\);_(&quot;Cr$&quot;* &quot;-&quot;??_);_(@_)"/>
    <numFmt numFmtId="192" formatCode="00"/>
    <numFmt numFmtId="193" formatCode="[$€]#,##0.00_);[Red]\([$€]#,##0.00\)"/>
    <numFmt numFmtId="194" formatCode="_(&quot;R$ &quot;* #,##0.00_);_(&quot;R$ &quot;* \(#,##0.00\);_(&quot;R$ &quot;* \-??_);_(@_)"/>
    <numFmt numFmtId="195" formatCode="#."/>
    <numFmt numFmtId="196" formatCode="#.##000"/>
    <numFmt numFmtId="197" formatCode="0\.00"/>
    <numFmt numFmtId="198" formatCode="#,##0\ &quot;€&quot;;\-#,##0\ &quot;€&quot;"/>
    <numFmt numFmtId="199" formatCode="0#"/>
    <numFmt numFmtId="200" formatCode="_(* #,##0.0000_);_(* \(#,##0.0000\);_(* &quot;-&quot;??_);_(@_)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0.0000"/>
    <numFmt numFmtId="207" formatCode="0.0%"/>
    <numFmt numFmtId="208" formatCode="#,##0.000000"/>
    <numFmt numFmtId="209" formatCode="_(* #,##0.0_);_(* \(#,##0.0\);_(* &quot;-&quot;??_);_(@_)"/>
    <numFmt numFmtId="210" formatCode="_(* #,##0_);_(* \(#,##0\);_(* &quot;-&quot;??_);_(@_)"/>
    <numFmt numFmtId="211" formatCode="#,##0%"/>
    <numFmt numFmtId="212" formatCode="0.0"/>
    <numFmt numFmtId="213" formatCode="0.0000%"/>
    <numFmt numFmtId="214" formatCode="[$-416]dddd\,\ d&quot; de &quot;mmmm&quot; de &quot;yyyy"/>
    <numFmt numFmtId="215" formatCode="#,##0.000\ %"/>
    <numFmt numFmtId="216" formatCode="&quot;Sim&quot;;&quot;Sim&quot;;&quot;Não&quot;"/>
    <numFmt numFmtId="217" formatCode="&quot;Ativado&quot;;&quot;Ativado&quot;;&quot;Desativado&quot;"/>
    <numFmt numFmtId="218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1"/>
      <name val="Arial"/>
      <family val="1"/>
    </font>
    <font>
      <b/>
      <sz val="10"/>
      <color indexed="10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0"/>
      <name val="Courier"/>
      <family val="3"/>
    </font>
    <font>
      <sz val="8.5"/>
      <name val="MS Sans Serif"/>
      <family val="2"/>
    </font>
    <font>
      <sz val="1"/>
      <color indexed="16"/>
      <name val="Courier New"/>
      <family val="3"/>
    </font>
    <font>
      <sz val="1"/>
      <color indexed="18"/>
      <name val="Courier New"/>
      <family val="3"/>
    </font>
    <font>
      <b/>
      <sz val="15"/>
      <color indexed="62"/>
      <name val="Calibri"/>
      <family val="2"/>
    </font>
    <font>
      <b/>
      <sz val="1"/>
      <color indexed="16"/>
      <name val="Courier New"/>
      <family val="3"/>
    </font>
    <font>
      <u val="single"/>
      <sz val="10"/>
      <color indexed="12"/>
      <name val="Arial"/>
      <family val="2"/>
    </font>
    <font>
      <sz val="10"/>
      <name val="Avalon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1"/>
      <name val="Arial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color indexed="8"/>
      <name val="Calibri"/>
      <family val="2"/>
    </font>
    <font>
      <u val="single"/>
      <sz val="8.5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1"/>
      <color indexed="12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1"/>
    </font>
    <font>
      <sz val="11"/>
      <name val="Calibri"/>
      <family val="2"/>
    </font>
    <font>
      <sz val="9"/>
      <color theme="1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1"/>
      <name val="Arial"/>
      <family val="2"/>
    </font>
    <font>
      <u val="single"/>
      <sz val="11"/>
      <color theme="1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420BF"/>
        <bgColor indexed="64"/>
      </patternFill>
    </fill>
    <fill>
      <patternFill patternType="solid">
        <fgColor theme="7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8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32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8" borderId="0" applyNumberFormat="0" applyBorder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7" fillId="39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8" fillId="40" borderId="2" applyNumberFormat="0" applyAlignment="0" applyProtection="0"/>
    <xf numFmtId="0" fontId="8" fillId="41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8" fillId="40" borderId="2" applyNumberFormat="0" applyAlignment="0" applyProtection="0"/>
    <xf numFmtId="3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8" borderId="0" applyNumberFormat="0" applyBorder="0" applyAlignment="0" applyProtection="0"/>
    <xf numFmtId="0" fontId="5" fillId="4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0" fillId="7" borderId="1" applyNumberFormat="0" applyAlignment="0" applyProtection="0"/>
    <xf numFmtId="0" fontId="10" fillId="16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" fillId="0" borderId="0" applyFont="0">
      <alignment/>
      <protection/>
    </xf>
    <xf numFmtId="43" fontId="24" fillId="0" borderId="0" applyFont="0">
      <alignment horizontal="left" vertical="top" wrapText="1"/>
      <protection/>
    </xf>
    <xf numFmtId="193" fontId="29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196" fontId="37" fillId="0" borderId="0">
      <alignment/>
      <protection locked="0"/>
    </xf>
    <xf numFmtId="196" fontId="37" fillId="0" borderId="0">
      <alignment/>
      <protection locked="0"/>
    </xf>
    <xf numFmtId="196" fontId="37" fillId="0" borderId="0">
      <alignment/>
      <protection locked="0"/>
    </xf>
    <xf numFmtId="196" fontId="38" fillId="0" borderId="0">
      <alignment/>
      <protection locked="0"/>
    </xf>
    <xf numFmtId="196" fontId="38" fillId="0" borderId="0">
      <alignment/>
      <protection locked="0"/>
    </xf>
    <xf numFmtId="196" fontId="38" fillId="0" borderId="0">
      <alignment/>
      <protection locked="0"/>
    </xf>
    <xf numFmtId="196" fontId="38" fillId="0" borderId="0">
      <alignment/>
      <protection locked="0"/>
    </xf>
    <xf numFmtId="2" fontId="28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0" borderId="0">
      <alignment/>
      <protection/>
    </xf>
    <xf numFmtId="0" fontId="10" fillId="7" borderId="1" applyNumberFormat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0" fillId="0" borderId="0" applyFill="0" applyBorder="0" applyAlignment="0" applyProtection="0"/>
    <xf numFmtId="180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0" fillId="0" borderId="0" applyFill="0" applyBorder="0" applyAlignment="0" applyProtection="0"/>
    <xf numFmtId="190" fontId="28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4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" fillId="0" borderId="0">
      <alignment vertical="top"/>
      <protection/>
    </xf>
    <xf numFmtId="0" fontId="42" fillId="0" borderId="0">
      <alignment/>
      <protection/>
    </xf>
    <xf numFmtId="0" fontId="42" fillId="0" borderId="0">
      <alignment/>
      <protection/>
    </xf>
    <xf numFmtId="0" fontId="67" fillId="0" borderId="0">
      <alignment/>
      <protection/>
    </xf>
    <xf numFmtId="0" fontId="4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4" fontId="30" fillId="0" borderId="0">
      <alignment vertical="center"/>
      <protection/>
    </xf>
    <xf numFmtId="4" fontId="30" fillId="0" borderId="0">
      <alignment vertical="center"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48" borderId="7" applyNumberForma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48" borderId="7" applyNumberForma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1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1" fillId="13" borderId="7" applyNumberFormat="0" applyFont="0" applyAlignment="0" applyProtection="0"/>
    <xf numFmtId="0" fontId="1" fillId="13" borderId="7" applyNumberFormat="0" applyFont="0" applyAlignment="0" applyProtection="0"/>
    <xf numFmtId="0" fontId="1" fillId="13" borderId="7" applyNumberFormat="0" applyFont="0" applyAlignment="0" applyProtection="0"/>
    <xf numFmtId="0" fontId="1" fillId="13" borderId="7" applyNumberFormat="0" applyFont="0" applyAlignment="0" applyProtection="0"/>
    <xf numFmtId="0" fontId="1" fillId="13" borderId="7" applyNumberFormat="0" applyFont="0" applyAlignment="0" applyProtection="0"/>
    <xf numFmtId="0" fontId="1" fillId="13" borderId="7" applyNumberFormat="0" applyFont="0" applyAlignment="0" applyProtection="0"/>
    <xf numFmtId="0" fontId="1" fillId="13" borderId="7" applyNumberFormat="0" applyFont="0" applyAlignment="0" applyProtection="0"/>
    <xf numFmtId="0" fontId="13" fillId="22" borderId="8" applyNumberFormat="0" applyAlignment="0" applyProtection="0"/>
    <xf numFmtId="195" fontId="31" fillId="0" borderId="0">
      <alignment/>
      <protection locked="0"/>
    </xf>
    <xf numFmtId="195" fontId="31" fillId="0" borderId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22" borderId="8" applyNumberFormat="0" applyAlignment="0" applyProtection="0"/>
    <xf numFmtId="0" fontId="13" fillId="39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195" fontId="32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8" fontId="4" fillId="0" borderId="0" applyFill="0" applyBorder="0" applyAlignment="0" applyProtection="0"/>
    <xf numFmtId="198" fontId="4" fillId="0" borderId="0" applyFill="0" applyBorder="0" applyAlignment="0" applyProtection="0"/>
    <xf numFmtId="176" fontId="0" fillId="0" borderId="0" applyFill="0" applyBorder="0" applyAlignment="0" applyProtection="0"/>
    <xf numFmtId="198" fontId="4" fillId="0" borderId="0" applyFill="0" applyBorder="0" applyAlignment="0" applyProtection="0"/>
    <xf numFmtId="43" fontId="0" fillId="0" borderId="0" applyFont="0" applyFill="0" applyBorder="0" applyAlignment="0" applyProtection="0"/>
    <xf numFmtId="0" fontId="7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33" fillId="0" borderId="9" applyNumberFormat="0" applyFill="0" applyAlignment="0" applyProtection="0"/>
    <xf numFmtId="0" fontId="33" fillId="0" borderId="10" applyNumberFormat="0" applyFill="0" applyAlignment="0" applyProtection="0"/>
    <xf numFmtId="0" fontId="17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5" fontId="34" fillId="0" borderId="0">
      <alignment/>
      <protection locked="0"/>
    </xf>
    <xf numFmtId="195" fontId="34" fillId="0" borderId="0">
      <alignment/>
      <protection locked="0"/>
    </xf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41" fillId="0" borderId="0" xfId="1864" applyNumberFormat="1" applyFont="1" applyAlignment="1" applyProtection="1">
      <alignment horizontal="center" vertical="center"/>
      <protection hidden="1"/>
    </xf>
    <xf numFmtId="10" fontId="41" fillId="0" borderId="0" xfId="1864" applyNumberFormat="1" applyFont="1" applyAlignment="1" applyProtection="1">
      <alignment horizontal="center" vertical="center"/>
      <protection hidden="1"/>
    </xf>
    <xf numFmtId="0" fontId="52" fillId="0" borderId="14" xfId="1864" applyFont="1" applyBorder="1" applyAlignment="1" applyProtection="1">
      <alignment vertical="center"/>
      <protection hidden="1"/>
    </xf>
    <xf numFmtId="0" fontId="52" fillId="0" borderId="15" xfId="1864" applyFont="1" applyBorder="1" applyAlignment="1" applyProtection="1">
      <alignment horizontal="center" vertical="center"/>
      <protection hidden="1"/>
    </xf>
    <xf numFmtId="0" fontId="53" fillId="0" borderId="0" xfId="1864" applyFont="1" applyAlignment="1" applyProtection="1">
      <alignment horizontal="center" vertical="center"/>
      <protection hidden="1"/>
    </xf>
    <xf numFmtId="2" fontId="53" fillId="0" borderId="0" xfId="1864" applyNumberFormat="1" applyFont="1" applyAlignment="1" applyProtection="1">
      <alignment horizontal="center" vertical="center"/>
      <protection hidden="1"/>
    </xf>
    <xf numFmtId="2" fontId="52" fillId="0" borderId="16" xfId="1864" applyNumberFormat="1" applyFont="1" applyBorder="1" applyAlignment="1" applyProtection="1">
      <alignment horizontal="center" vertical="center"/>
      <protection hidden="1"/>
    </xf>
    <xf numFmtId="0" fontId="52" fillId="0" borderId="14" xfId="1864" applyFont="1" applyBorder="1" applyAlignment="1" applyProtection="1">
      <alignment horizontal="left" vertical="center"/>
      <protection hidden="1"/>
    </xf>
    <xf numFmtId="0" fontId="52" fillId="0" borderId="17" xfId="1864" applyFont="1" applyBorder="1" applyAlignment="1" applyProtection="1">
      <alignment horizontal="center" vertical="center"/>
      <protection hidden="1"/>
    </xf>
    <xf numFmtId="0" fontId="52" fillId="0" borderId="17" xfId="1864" applyFont="1" applyBorder="1" applyAlignment="1" applyProtection="1">
      <alignment horizontal="right" vertical="center"/>
      <protection hidden="1"/>
    </xf>
    <xf numFmtId="10" fontId="52" fillId="0" borderId="18" xfId="1864" applyNumberFormat="1" applyFont="1" applyBorder="1" applyAlignment="1" applyProtection="1">
      <alignment horizontal="center" vertical="center"/>
      <protection locked="0"/>
    </xf>
    <xf numFmtId="10" fontId="52" fillId="0" borderId="18" xfId="2452" applyNumberFormat="1" applyFont="1" applyFill="1" applyBorder="1" applyAlignment="1" applyProtection="1">
      <alignment horizontal="center" vertical="center"/>
      <protection locked="0"/>
    </xf>
    <xf numFmtId="10" fontId="52" fillId="0" borderId="0" xfId="2452" applyNumberFormat="1" applyFont="1" applyFill="1" applyBorder="1" applyAlignment="1" applyProtection="1">
      <alignment horizontal="center" vertical="center"/>
      <protection hidden="1"/>
    </xf>
    <xf numFmtId="0" fontId="52" fillId="0" borderId="19" xfId="1864" applyFont="1" applyBorder="1" applyAlignment="1" applyProtection="1">
      <alignment vertical="center"/>
      <protection hidden="1"/>
    </xf>
    <xf numFmtId="0" fontId="52" fillId="0" borderId="20" xfId="1864" applyFont="1" applyBorder="1" applyAlignment="1" applyProtection="1">
      <alignment horizontal="center" vertical="center"/>
      <protection hidden="1"/>
    </xf>
    <xf numFmtId="0" fontId="52" fillId="0" borderId="20" xfId="1864" applyFont="1" applyBorder="1" applyAlignment="1" applyProtection="1">
      <alignment horizontal="right" vertical="center"/>
      <protection hidden="1"/>
    </xf>
    <xf numFmtId="10" fontId="52" fillId="0" borderId="21" xfId="2452" applyNumberFormat="1" applyFont="1" applyFill="1" applyBorder="1" applyAlignment="1" applyProtection="1">
      <alignment horizontal="center" vertical="center"/>
      <protection hidden="1"/>
    </xf>
    <xf numFmtId="10" fontId="52" fillId="0" borderId="22" xfId="2452" applyNumberFormat="1" applyFont="1" applyFill="1" applyBorder="1" applyAlignment="1" applyProtection="1">
      <alignment horizontal="center" vertical="center"/>
      <protection locked="0"/>
    </xf>
    <xf numFmtId="0" fontId="52" fillId="0" borderId="23" xfId="1864" applyFont="1" applyBorder="1" applyAlignment="1" applyProtection="1">
      <alignment horizontal="center" vertical="center"/>
      <protection hidden="1"/>
    </xf>
    <xf numFmtId="0" fontId="52" fillId="0" borderId="24" xfId="1864" applyFont="1" applyBorder="1" applyAlignment="1" applyProtection="1">
      <alignment horizontal="center" vertical="center"/>
      <protection hidden="1"/>
    </xf>
    <xf numFmtId="0" fontId="52" fillId="0" borderId="24" xfId="1864" applyFont="1" applyBorder="1" applyAlignment="1" applyProtection="1">
      <alignment horizontal="right" vertical="center"/>
      <protection hidden="1"/>
    </xf>
    <xf numFmtId="10" fontId="52" fillId="0" borderId="25" xfId="1864" applyNumberFormat="1" applyFont="1" applyBorder="1" applyAlignment="1" applyProtection="1">
      <alignment horizontal="center" vertical="center"/>
      <protection locked="0"/>
    </xf>
    <xf numFmtId="0" fontId="52" fillId="0" borderId="26" xfId="1864" applyFont="1" applyBorder="1" applyAlignment="1" applyProtection="1">
      <alignment vertical="center"/>
      <protection hidden="1"/>
    </xf>
    <xf numFmtId="10" fontId="52" fillId="0" borderId="22" xfId="2452" applyNumberFormat="1" applyFont="1" applyFill="1" applyBorder="1" applyAlignment="1" applyProtection="1">
      <alignment horizontal="center" vertical="center"/>
      <protection/>
    </xf>
    <xf numFmtId="10" fontId="52" fillId="0" borderId="25" xfId="2452" applyNumberFormat="1" applyFont="1" applyFill="1" applyBorder="1" applyAlignment="1" applyProtection="1">
      <alignment horizontal="center" vertical="center"/>
      <protection hidden="1"/>
    </xf>
    <xf numFmtId="173" fontId="52" fillId="0" borderId="15" xfId="2452" applyFont="1" applyFill="1" applyBorder="1" applyAlignment="1" applyProtection="1">
      <alignment horizontal="center" vertical="center"/>
      <protection hidden="1"/>
    </xf>
    <xf numFmtId="2" fontId="52" fillId="0" borderId="15" xfId="2452" applyNumberFormat="1" applyFont="1" applyFill="1" applyBorder="1" applyAlignment="1" applyProtection="1">
      <alignment horizontal="center" vertical="center"/>
      <protection hidden="1"/>
    </xf>
    <xf numFmtId="173" fontId="53" fillId="0" borderId="0" xfId="2452" applyFont="1" applyFill="1" applyBorder="1" applyAlignment="1" applyProtection="1">
      <alignment horizontal="center" vertical="center"/>
      <protection hidden="1"/>
    </xf>
    <xf numFmtId="2" fontId="53" fillId="0" borderId="0" xfId="2452" applyNumberFormat="1" applyFont="1" applyFill="1" applyBorder="1" applyAlignment="1" applyProtection="1">
      <alignment horizontal="center" vertical="center"/>
      <protection hidden="1"/>
    </xf>
    <xf numFmtId="1" fontId="41" fillId="0" borderId="0" xfId="1864" applyNumberFormat="1" applyFont="1" applyAlignment="1" applyProtection="1">
      <alignment horizontal="center" vertical="center"/>
      <protection hidden="1"/>
    </xf>
    <xf numFmtId="0" fontId="52" fillId="0" borderId="15" xfId="1864" applyFont="1" applyBorder="1" applyAlignment="1" applyProtection="1">
      <alignment vertical="center"/>
      <protection hidden="1"/>
    </xf>
    <xf numFmtId="2" fontId="52" fillId="0" borderId="15" xfId="1864" applyNumberFormat="1" applyFont="1" applyBorder="1" applyAlignment="1" applyProtection="1">
      <alignment horizontal="center" vertical="center"/>
      <protection hidden="1"/>
    </xf>
    <xf numFmtId="0" fontId="52" fillId="0" borderId="16" xfId="1864" applyFont="1" applyBorder="1" applyAlignment="1" applyProtection="1">
      <alignment horizontal="center" vertical="center"/>
      <protection hidden="1"/>
    </xf>
    <xf numFmtId="206" fontId="41" fillId="0" borderId="0" xfId="1864" applyNumberFormat="1" applyFont="1" applyAlignment="1" applyProtection="1">
      <alignment horizontal="center" vertical="center"/>
      <protection hidden="1"/>
    </xf>
    <xf numFmtId="0" fontId="52" fillId="0" borderId="27" xfId="1864" applyFont="1" applyBorder="1" applyAlignment="1" applyProtection="1">
      <alignment horizontal="center" vertical="center"/>
      <protection hidden="1"/>
    </xf>
    <xf numFmtId="10" fontId="52" fillId="0" borderId="27" xfId="1864" applyNumberFormat="1" applyFont="1" applyBorder="1" applyAlignment="1" applyProtection="1">
      <alignment horizontal="center" vertical="center"/>
      <protection hidden="1"/>
    </xf>
    <xf numFmtId="10" fontId="52" fillId="0" borderId="15" xfId="1864" applyNumberFormat="1" applyFont="1" applyBorder="1" applyAlignment="1" applyProtection="1">
      <alignment horizontal="center" vertical="center"/>
      <protection hidden="1"/>
    </xf>
    <xf numFmtId="0" fontId="53" fillId="0" borderId="28" xfId="1864" applyFont="1" applyBorder="1" applyAlignment="1" applyProtection="1">
      <alignment horizontal="center" vertical="center"/>
      <protection hidden="1"/>
    </xf>
    <xf numFmtId="10" fontId="54" fillId="0" borderId="29" xfId="2452" applyNumberFormat="1" applyFont="1" applyFill="1" applyBorder="1" applyAlignment="1" applyProtection="1">
      <alignment horizontal="center" vertical="center"/>
      <protection hidden="1"/>
    </xf>
    <xf numFmtId="213" fontId="41" fillId="0" borderId="0" xfId="1864" applyNumberFormat="1" applyFont="1" applyAlignment="1" applyProtection="1">
      <alignment horizontal="center" vertical="center"/>
      <protection hidden="1"/>
    </xf>
    <xf numFmtId="10" fontId="54" fillId="0" borderId="0" xfId="2452" applyNumberFormat="1" applyFont="1" applyFill="1" applyBorder="1" applyAlignment="1" applyProtection="1">
      <alignment horizontal="center" vertical="center"/>
      <protection hidden="1"/>
    </xf>
    <xf numFmtId="0" fontId="41" fillId="0" borderId="0" xfId="1864" applyFont="1" applyAlignment="1" applyProtection="1">
      <alignment horizontal="center" vertical="center"/>
      <protection hidden="1"/>
    </xf>
    <xf numFmtId="0" fontId="52" fillId="0" borderId="14" xfId="1864" applyFont="1" applyBorder="1" applyAlignment="1" applyProtection="1">
      <alignment horizontal="center" vertical="center"/>
      <protection hidden="1"/>
    </xf>
    <xf numFmtId="10" fontId="53" fillId="0" borderId="0" xfId="1864" applyNumberFormat="1" applyFont="1" applyAlignment="1" applyProtection="1">
      <alignment horizontal="center" vertical="center"/>
      <protection hidden="1"/>
    </xf>
    <xf numFmtId="0" fontId="71" fillId="0" borderId="0" xfId="0" applyFont="1" applyAlignment="1">
      <alignment/>
    </xf>
    <xf numFmtId="0" fontId="56" fillId="0" borderId="26" xfId="1864" applyFont="1" applyBorder="1" applyAlignment="1" applyProtection="1">
      <alignment horizontal="left" vertical="center"/>
      <protection hidden="1"/>
    </xf>
    <xf numFmtId="0" fontId="56" fillId="0" borderId="0" xfId="1864" applyFont="1" applyBorder="1" applyAlignment="1" applyProtection="1">
      <alignment horizontal="left" vertical="center"/>
      <protection hidden="1"/>
    </xf>
    <xf numFmtId="0" fontId="52" fillId="0" borderId="0" xfId="1864" applyFont="1" applyBorder="1" applyAlignment="1" applyProtection="1">
      <alignment vertical="center"/>
      <protection hidden="1"/>
    </xf>
    <xf numFmtId="2" fontId="52" fillId="0" borderId="0" xfId="1864" applyNumberFormat="1" applyFont="1" applyBorder="1" applyAlignment="1" applyProtection="1">
      <alignment horizontal="center" vertical="center"/>
      <protection hidden="1"/>
    </xf>
    <xf numFmtId="0" fontId="54" fillId="0" borderId="26" xfId="1864" applyFont="1" applyBorder="1" applyAlignment="1" applyProtection="1">
      <alignment horizontal="center" vertical="center"/>
      <protection hidden="1"/>
    </xf>
    <xf numFmtId="0" fontId="54" fillId="0" borderId="0" xfId="1864" applyFont="1" applyBorder="1" applyAlignment="1" applyProtection="1">
      <alignment horizontal="center" vertical="center"/>
      <protection hidden="1"/>
    </xf>
    <xf numFmtId="0" fontId="52" fillId="0" borderId="0" xfId="1864" applyFont="1" applyBorder="1" applyAlignment="1" applyProtection="1">
      <alignment horizontal="right" vertical="center"/>
      <protection hidden="1"/>
    </xf>
    <xf numFmtId="0" fontId="53" fillId="0" borderId="0" xfId="1864" applyFont="1" applyBorder="1" applyAlignment="1" applyProtection="1">
      <alignment horizontal="center" vertical="center"/>
      <protection hidden="1"/>
    </xf>
    <xf numFmtId="2" fontId="52" fillId="0" borderId="30" xfId="1864" applyNumberFormat="1" applyFont="1" applyBorder="1" applyAlignment="1" applyProtection="1">
      <alignment horizontal="center" vertical="center"/>
      <protection hidden="1"/>
    </xf>
    <xf numFmtId="2" fontId="52" fillId="0" borderId="22" xfId="1864" applyNumberFormat="1" applyFont="1" applyBorder="1" applyAlignment="1" applyProtection="1">
      <alignment horizontal="center" vertical="center"/>
      <protection hidden="1"/>
    </xf>
    <xf numFmtId="0" fontId="52" fillId="0" borderId="0" xfId="1864" applyFont="1" applyBorder="1" applyAlignment="1" applyProtection="1">
      <alignment horizontal="left" vertical="center"/>
      <protection hidden="1"/>
    </xf>
    <xf numFmtId="10" fontId="52" fillId="0" borderId="0" xfId="1864" applyNumberFormat="1" applyFont="1" applyBorder="1" applyAlignment="1" applyProtection="1">
      <alignment horizontal="center" vertical="center"/>
      <protection hidden="1"/>
    </xf>
    <xf numFmtId="206" fontId="52" fillId="0" borderId="22" xfId="2452" applyNumberFormat="1" applyFont="1" applyFill="1" applyBorder="1" applyAlignment="1" applyProtection="1">
      <alignment horizontal="center" vertical="center"/>
      <protection hidden="1"/>
    </xf>
    <xf numFmtId="206" fontId="56" fillId="0" borderId="22" xfId="2452" applyNumberFormat="1" applyFont="1" applyFill="1" applyBorder="1" applyAlignment="1" applyProtection="1">
      <alignment horizontal="center" vertical="center"/>
      <protection hidden="1"/>
    </xf>
    <xf numFmtId="2" fontId="56" fillId="0" borderId="22" xfId="2452" applyNumberFormat="1" applyFont="1" applyFill="1" applyBorder="1" applyAlignment="1" applyProtection="1">
      <alignment horizontal="center" vertical="center"/>
      <protection hidden="1"/>
    </xf>
    <xf numFmtId="2" fontId="52" fillId="0" borderId="22" xfId="2452" applyNumberFormat="1" applyFont="1" applyFill="1" applyBorder="1" applyAlignment="1" applyProtection="1">
      <alignment horizontal="center" vertical="center"/>
      <protection hidden="1"/>
    </xf>
    <xf numFmtId="0" fontId="52" fillId="0" borderId="31" xfId="1864" applyFont="1" applyBorder="1" applyAlignment="1" applyProtection="1">
      <alignment horizontal="center" vertical="center"/>
      <protection hidden="1"/>
    </xf>
    <xf numFmtId="2" fontId="56" fillId="0" borderId="32" xfId="2452" applyNumberFormat="1" applyFont="1" applyFill="1" applyBorder="1" applyAlignment="1" applyProtection="1">
      <alignment horizontal="center" vertical="center"/>
      <protection hidden="1"/>
    </xf>
    <xf numFmtId="0" fontId="53" fillId="0" borderId="26" xfId="1864" applyFont="1" applyBorder="1" applyAlignment="1" applyProtection="1">
      <alignment horizontal="center" vertical="center"/>
      <protection hidden="1"/>
    </xf>
    <xf numFmtId="2" fontId="54" fillId="0" borderId="22" xfId="2452" applyNumberFormat="1" applyFont="1" applyFill="1" applyBorder="1" applyAlignment="1" applyProtection="1">
      <alignment horizontal="center" vertical="center"/>
      <protection hidden="1"/>
    </xf>
    <xf numFmtId="2" fontId="52" fillId="0" borderId="32" xfId="1864" applyNumberFormat="1" applyFont="1" applyBorder="1" applyAlignment="1" applyProtection="1">
      <alignment horizontal="center" vertical="center"/>
      <protection hidden="1"/>
    </xf>
    <xf numFmtId="0" fontId="53" fillId="0" borderId="0" xfId="1864" applyFont="1" applyBorder="1" applyAlignment="1" applyProtection="1">
      <alignment vertical="center"/>
      <protection hidden="1"/>
    </xf>
    <xf numFmtId="10" fontId="54" fillId="0" borderId="33" xfId="2452" applyNumberFormat="1" applyFont="1" applyFill="1" applyBorder="1" applyAlignment="1" applyProtection="1">
      <alignment horizontal="center" vertical="center"/>
      <protection hidden="1"/>
    </xf>
    <xf numFmtId="10" fontId="54" fillId="0" borderId="22" xfId="2452" applyNumberFormat="1" applyFont="1" applyFill="1" applyBorder="1" applyAlignment="1" applyProtection="1">
      <alignment horizontal="center" vertical="center"/>
      <protection hidden="1"/>
    </xf>
    <xf numFmtId="0" fontId="53" fillId="0" borderId="22" xfId="1864" applyFont="1" applyBorder="1" applyAlignment="1" applyProtection="1">
      <alignment horizontal="center" vertical="center"/>
      <protection hidden="1"/>
    </xf>
    <xf numFmtId="0" fontId="53" fillId="0" borderId="26" xfId="1864" applyFont="1" applyBorder="1" applyAlignment="1" applyProtection="1">
      <alignment vertical="center"/>
      <protection hidden="1"/>
    </xf>
    <xf numFmtId="0" fontId="72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213" fontId="53" fillId="0" borderId="0" xfId="1864" applyNumberFormat="1" applyFont="1" applyBorder="1" applyAlignment="1" applyProtection="1">
      <alignment horizontal="center" vertical="center"/>
      <protection hidden="1" locked="0"/>
    </xf>
    <xf numFmtId="0" fontId="53" fillId="0" borderId="23" xfId="1864" applyFont="1" applyBorder="1" applyAlignment="1" applyProtection="1">
      <alignment horizontal="center" vertical="center"/>
      <protection hidden="1"/>
    </xf>
    <xf numFmtId="0" fontId="53" fillId="0" borderId="24" xfId="1864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4" fontId="44" fillId="49" borderId="24" xfId="0" applyNumberFormat="1" applyFont="1" applyFill="1" applyBorder="1" applyAlignment="1">
      <alignment horizontal="center"/>
    </xf>
    <xf numFmtId="0" fontId="44" fillId="49" borderId="24" xfId="0" applyFont="1" applyFill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4" fontId="44" fillId="49" borderId="0" xfId="0" applyNumberFormat="1" applyFont="1" applyFill="1" applyBorder="1" applyAlignment="1">
      <alignment horizontal="center"/>
    </xf>
    <xf numFmtId="176" fontId="43" fillId="0" borderId="26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4" fontId="43" fillId="0" borderId="26" xfId="0" applyNumberFormat="1" applyFont="1" applyBorder="1" applyAlignment="1">
      <alignment horizontal="center"/>
    </xf>
    <xf numFmtId="4" fontId="43" fillId="50" borderId="0" xfId="0" applyNumberFormat="1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2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8" xfId="1863" applyNumberFormat="1" applyFont="1" applyBorder="1" applyAlignment="1">
      <alignment vertical="center" wrapText="1"/>
      <protection/>
    </xf>
    <xf numFmtId="0" fontId="2" fillId="0" borderId="18" xfId="1863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0" fontId="52" fillId="0" borderId="14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10" fontId="52" fillId="0" borderId="18" xfId="2083" applyNumberFormat="1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center" vertical="center"/>
    </xf>
    <xf numFmtId="10" fontId="52" fillId="0" borderId="27" xfId="2083" applyNumberFormat="1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56" fillId="0" borderId="26" xfId="1864" applyFont="1" applyFill="1" applyBorder="1" applyAlignment="1" applyProtection="1">
      <alignment horizontal="left" vertical="center"/>
      <protection hidden="1"/>
    </xf>
    <xf numFmtId="0" fontId="56" fillId="0" borderId="0" xfId="1864" applyFont="1" applyFill="1" applyBorder="1" applyAlignment="1" applyProtection="1">
      <alignment horizontal="left" vertical="center"/>
      <protection hidden="1"/>
    </xf>
    <xf numFmtId="0" fontId="56" fillId="0" borderId="0" xfId="1864" applyFont="1" applyFill="1" applyBorder="1" applyAlignment="1" applyProtection="1">
      <alignment horizontal="center" vertical="center"/>
      <protection hidden="1"/>
    </xf>
    <xf numFmtId="0" fontId="56" fillId="0" borderId="22" xfId="1864" applyFont="1" applyFill="1" applyBorder="1" applyAlignment="1" applyProtection="1">
      <alignment horizontal="center" vertical="center"/>
      <protection hidden="1"/>
    </xf>
    <xf numFmtId="2" fontId="41" fillId="0" borderId="0" xfId="1864" applyNumberFormat="1" applyFont="1" applyFill="1" applyAlignment="1" applyProtection="1">
      <alignment horizontal="center" vertical="center"/>
      <protection hidden="1"/>
    </xf>
    <xf numFmtId="10" fontId="41" fillId="0" borderId="0" xfId="1864" applyNumberFormat="1" applyFont="1" applyFill="1" applyAlignment="1" applyProtection="1">
      <alignment horizontal="center" vertical="center"/>
      <protection hidden="1"/>
    </xf>
    <xf numFmtId="0" fontId="56" fillId="0" borderId="26" xfId="1864" applyFont="1" applyFill="1" applyBorder="1" applyAlignment="1" applyProtection="1">
      <alignment vertical="center"/>
      <protection hidden="1"/>
    </xf>
    <xf numFmtId="0" fontId="52" fillId="0" borderId="14" xfId="1864" applyFont="1" applyFill="1" applyBorder="1" applyAlignment="1" applyProtection="1">
      <alignment vertical="center"/>
      <protection hidden="1"/>
    </xf>
    <xf numFmtId="2" fontId="56" fillId="0" borderId="27" xfId="1864" applyNumberFormat="1" applyFont="1" applyFill="1" applyBorder="1" applyAlignment="1" applyProtection="1">
      <alignment horizontal="center" vertical="center"/>
      <protection hidden="1" locked="0"/>
    </xf>
    <xf numFmtId="2" fontId="73" fillId="0" borderId="0" xfId="1864" applyNumberFormat="1" applyFont="1" applyFill="1" applyBorder="1" applyAlignment="1" applyProtection="1">
      <alignment horizontal="center" vertical="center"/>
      <protection hidden="1"/>
    </xf>
    <xf numFmtId="0" fontId="52" fillId="0" borderId="0" xfId="1864" applyFont="1" applyFill="1" applyBorder="1" applyAlignment="1" applyProtection="1">
      <alignment vertical="center"/>
      <protection hidden="1"/>
    </xf>
    <xf numFmtId="2" fontId="56" fillId="0" borderId="0" xfId="1864" applyNumberFormat="1" applyFont="1" applyFill="1" applyBorder="1" applyAlignment="1" applyProtection="1">
      <alignment horizontal="center" vertical="center"/>
      <protection hidden="1" locked="0"/>
    </xf>
    <xf numFmtId="2" fontId="52" fillId="0" borderId="0" xfId="1864" applyNumberFormat="1" applyFont="1" applyFill="1" applyBorder="1" applyAlignment="1" applyProtection="1">
      <alignment horizontal="center" vertical="center"/>
      <protection hidden="1"/>
    </xf>
    <xf numFmtId="2" fontId="73" fillId="0" borderId="22" xfId="1864" applyNumberFormat="1" applyFont="1" applyFill="1" applyBorder="1" applyAlignment="1" applyProtection="1">
      <alignment horizontal="center" vertical="center"/>
      <protection hidden="1"/>
    </xf>
    <xf numFmtId="0" fontId="52" fillId="0" borderId="0" xfId="1864" applyFont="1" applyFill="1" applyBorder="1" applyAlignment="1" applyProtection="1">
      <alignment vertical="center" wrapText="1"/>
      <protection hidden="1"/>
    </xf>
    <xf numFmtId="0" fontId="56" fillId="0" borderId="31" xfId="1864" applyFont="1" applyFill="1" applyBorder="1" applyAlignment="1" applyProtection="1">
      <alignment horizontal="center" vertical="center"/>
      <protection hidden="1"/>
    </xf>
    <xf numFmtId="2" fontId="73" fillId="0" borderId="15" xfId="1864" applyNumberFormat="1" applyFont="1" applyFill="1" applyBorder="1" applyAlignment="1" applyProtection="1">
      <alignment horizontal="center" vertical="center"/>
      <protection hidden="1"/>
    </xf>
    <xf numFmtId="2" fontId="73" fillId="0" borderId="32" xfId="1864" applyNumberFormat="1" applyFont="1" applyFill="1" applyBorder="1" applyAlignment="1" applyProtection="1">
      <alignment horizontal="center" vertical="center"/>
      <protection hidden="1"/>
    </xf>
    <xf numFmtId="0" fontId="54" fillId="0" borderId="26" xfId="1864" applyFont="1" applyFill="1" applyBorder="1" applyAlignment="1" applyProtection="1">
      <alignment horizontal="center" vertical="center"/>
      <protection hidden="1"/>
    </xf>
    <xf numFmtId="0" fontId="54" fillId="0" borderId="0" xfId="1864" applyFont="1" applyFill="1" applyBorder="1" applyAlignment="1" applyProtection="1">
      <alignment horizontal="center" vertical="center"/>
      <protection hidden="1"/>
    </xf>
    <xf numFmtId="2" fontId="54" fillId="0" borderId="0" xfId="1864" applyNumberFormat="1" applyFont="1" applyFill="1" applyBorder="1" applyAlignment="1" applyProtection="1">
      <alignment horizontal="center" vertical="center"/>
      <protection hidden="1"/>
    </xf>
    <xf numFmtId="2" fontId="54" fillId="0" borderId="22" xfId="1864" applyNumberFormat="1" applyFont="1" applyFill="1" applyBorder="1" applyAlignment="1" applyProtection="1">
      <alignment horizontal="center" vertical="center"/>
      <protection hidden="1"/>
    </xf>
    <xf numFmtId="0" fontId="56" fillId="0" borderId="16" xfId="1864" applyFont="1" applyFill="1" applyBorder="1" applyAlignment="1" applyProtection="1">
      <alignment horizontal="center" vertical="center"/>
      <protection hidden="1"/>
    </xf>
    <xf numFmtId="2" fontId="56" fillId="0" borderId="16" xfId="1864" applyNumberFormat="1" applyFont="1" applyFill="1" applyBorder="1" applyAlignment="1" applyProtection="1">
      <alignment horizontal="center" vertical="center"/>
      <protection hidden="1"/>
    </xf>
    <xf numFmtId="2" fontId="54" fillId="0" borderId="30" xfId="1864" applyNumberFormat="1" applyFont="1" applyFill="1" applyBorder="1" applyAlignment="1" applyProtection="1">
      <alignment horizontal="center" vertical="center"/>
      <protection hidden="1"/>
    </xf>
    <xf numFmtId="2" fontId="56" fillId="0" borderId="0" xfId="1864" applyNumberFormat="1" applyFont="1" applyFill="1" applyBorder="1" applyAlignment="1" applyProtection="1">
      <alignment horizontal="center" vertical="center"/>
      <protection hidden="1"/>
    </xf>
    <xf numFmtId="0" fontId="56" fillId="0" borderId="26" xfId="1864" applyFont="1" applyFill="1" applyBorder="1" applyAlignment="1" applyProtection="1">
      <alignment horizontal="center" vertical="center"/>
      <protection hidden="1"/>
    </xf>
    <xf numFmtId="0" fontId="52" fillId="0" borderId="0" xfId="1864" applyFont="1" applyFill="1" applyBorder="1" applyAlignment="1" applyProtection="1">
      <alignment horizontal="right" vertical="center"/>
      <protection hidden="1"/>
    </xf>
    <xf numFmtId="2" fontId="74" fillId="0" borderId="22" xfId="1864" applyNumberFormat="1" applyFont="1" applyFill="1" applyBorder="1" applyAlignment="1" applyProtection="1">
      <alignment horizontal="center" vertical="center"/>
      <protection hidden="1"/>
    </xf>
    <xf numFmtId="0" fontId="52" fillId="0" borderId="15" xfId="1864" applyFont="1" applyFill="1" applyBorder="1" applyAlignment="1" applyProtection="1">
      <alignment horizontal="center" vertical="center"/>
      <protection hidden="1"/>
    </xf>
    <xf numFmtId="2" fontId="56" fillId="0" borderId="34" xfId="1864" applyNumberFormat="1" applyFont="1" applyFill="1" applyBorder="1" applyAlignment="1" applyProtection="1">
      <alignment horizontal="center" vertical="center"/>
      <protection hidden="1"/>
    </xf>
    <xf numFmtId="2" fontId="74" fillId="0" borderId="32" xfId="1864" applyNumberFormat="1" applyFont="1" applyFill="1" applyBorder="1" applyAlignment="1" applyProtection="1">
      <alignment horizontal="center" vertical="center"/>
      <protection hidden="1"/>
    </xf>
    <xf numFmtId="176" fontId="43" fillId="0" borderId="26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43" fillId="0" borderId="26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right"/>
    </xf>
    <xf numFmtId="10" fontId="60" fillId="0" borderId="35" xfId="2083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44" fillId="0" borderId="26" xfId="0" applyNumberFormat="1" applyFont="1" applyBorder="1" applyAlignment="1">
      <alignment horizontal="right"/>
    </xf>
    <xf numFmtId="0" fontId="2" fillId="0" borderId="27" xfId="0" applyFont="1" applyFill="1" applyBorder="1" applyAlignment="1">
      <alignment horizontal="left" vertical="center"/>
    </xf>
    <xf numFmtId="2" fontId="2" fillId="0" borderId="27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44" fillId="49" borderId="27" xfId="0" applyFont="1" applyFill="1" applyBorder="1" applyAlignment="1">
      <alignment horizontal="center"/>
    </xf>
    <xf numFmtId="0" fontId="44" fillId="49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51" borderId="0" xfId="0" applyFont="1" applyFill="1" applyAlignment="1">
      <alignment horizontal="center" vertical="top" wrapText="1"/>
    </xf>
    <xf numFmtId="0" fontId="0" fillId="51" borderId="0" xfId="0" applyFont="1" applyFill="1" applyAlignment="1">
      <alignment horizontal="left" vertical="top" wrapText="1"/>
    </xf>
    <xf numFmtId="213" fontId="53" fillId="0" borderId="0" xfId="1864" applyNumberFormat="1" applyFont="1" applyBorder="1" applyAlignment="1" applyProtection="1">
      <alignment horizontal="center" vertical="center"/>
      <protection hidden="1"/>
    </xf>
    <xf numFmtId="0" fontId="56" fillId="0" borderId="16" xfId="1864" applyFont="1" applyBorder="1" applyAlignment="1" applyProtection="1">
      <alignment horizontal="center" vertical="center"/>
      <protection hidden="1"/>
    </xf>
    <xf numFmtId="0" fontId="52" fillId="0" borderId="26" xfId="1864" applyFont="1" applyBorder="1" applyAlignment="1" applyProtection="1">
      <alignment horizontal="center" vertical="center"/>
      <protection hidden="1"/>
    </xf>
    <xf numFmtId="0" fontId="52" fillId="0" borderId="0" xfId="1864" applyFont="1" applyBorder="1" applyAlignment="1" applyProtection="1">
      <alignment horizontal="center" vertical="center"/>
      <protection hidden="1"/>
    </xf>
    <xf numFmtId="2" fontId="53" fillId="0" borderId="0" xfId="1864" applyNumberFormat="1" applyFont="1" applyBorder="1" applyAlignment="1" applyProtection="1">
      <alignment horizontal="center" vertical="center"/>
      <protection hidden="1"/>
    </xf>
    <xf numFmtId="2" fontId="53" fillId="0" borderId="22" xfId="1864" applyNumberFormat="1" applyFont="1" applyBorder="1" applyAlignment="1" applyProtection="1">
      <alignment horizontal="center" vertical="center"/>
      <protection hidden="1"/>
    </xf>
    <xf numFmtId="0" fontId="56" fillId="0" borderId="15" xfId="1864" applyFont="1" applyFill="1" applyBorder="1" applyAlignment="1" applyProtection="1">
      <alignment horizontal="center" vertical="center"/>
      <protection hidden="1"/>
    </xf>
    <xf numFmtId="189" fontId="75" fillId="51" borderId="27" xfId="0" applyNumberFormat="1" applyFont="1" applyFill="1" applyBorder="1" applyAlignment="1">
      <alignment horizontal="right" vertical="top" wrapText="1"/>
    </xf>
    <xf numFmtId="189" fontId="76" fillId="51" borderId="27" xfId="0" applyNumberFormat="1" applyFont="1" applyFill="1" applyBorder="1" applyAlignment="1">
      <alignment horizontal="right" vertical="top" wrapText="1"/>
    </xf>
    <xf numFmtId="184" fontId="75" fillId="51" borderId="27" xfId="0" applyNumberFormat="1" applyFont="1" applyFill="1" applyBorder="1" applyAlignment="1">
      <alignment horizontal="right" vertical="top" wrapText="1"/>
    </xf>
    <xf numFmtId="184" fontId="76" fillId="51" borderId="27" xfId="0" applyNumberFormat="1" applyFont="1" applyFill="1" applyBorder="1" applyAlignment="1">
      <alignment horizontal="right" vertical="top" wrapText="1"/>
    </xf>
    <xf numFmtId="0" fontId="44" fillId="49" borderId="27" xfId="0" applyFont="1" applyFill="1" applyBorder="1" applyAlignment="1">
      <alignment horizontal="center"/>
    </xf>
    <xf numFmtId="0" fontId="2" fillId="51" borderId="0" xfId="0" applyFont="1" applyFill="1" applyAlignment="1">
      <alignment horizontal="right" vertical="top" wrapText="1"/>
    </xf>
    <xf numFmtId="0" fontId="42" fillId="0" borderId="0" xfId="0" applyFont="1" applyAlignment="1">
      <alignment/>
    </xf>
    <xf numFmtId="43" fontId="0" fillId="0" borderId="0" xfId="0" applyNumberFormat="1" applyAlignment="1">
      <alignment/>
    </xf>
    <xf numFmtId="0" fontId="75" fillId="51" borderId="27" xfId="0" applyFont="1" applyFill="1" applyBorder="1" applyAlignment="1">
      <alignment horizontal="left" vertical="center" wrapText="1"/>
    </xf>
    <xf numFmtId="173" fontId="75" fillId="51" borderId="27" xfId="3249" applyFont="1" applyFill="1" applyBorder="1" applyAlignment="1">
      <alignment horizontal="right" vertical="center" wrapText="1"/>
    </xf>
    <xf numFmtId="184" fontId="75" fillId="51" borderId="27" xfId="0" applyNumberFormat="1" applyFont="1" applyFill="1" applyBorder="1" applyAlignment="1">
      <alignment horizontal="left" vertical="center" wrapText="1"/>
    </xf>
    <xf numFmtId="184" fontId="75" fillId="51" borderId="27" xfId="0" applyNumberFormat="1" applyFont="1" applyFill="1" applyBorder="1" applyAlignment="1">
      <alignment horizontal="right" vertical="center" wrapText="1"/>
    </xf>
    <xf numFmtId="189" fontId="75" fillId="51" borderId="27" xfId="0" applyNumberFormat="1" applyFont="1" applyFill="1" applyBorder="1" applyAlignment="1">
      <alignment horizontal="right" vertical="center" wrapText="1"/>
    </xf>
    <xf numFmtId="0" fontId="76" fillId="51" borderId="27" xfId="0" applyFont="1" applyFill="1" applyBorder="1" applyAlignment="1">
      <alignment horizontal="left" vertical="center" wrapText="1"/>
    </xf>
    <xf numFmtId="0" fontId="76" fillId="51" borderId="27" xfId="0" applyFont="1" applyFill="1" applyBorder="1" applyAlignment="1">
      <alignment horizontal="right" vertical="center" wrapText="1"/>
    </xf>
    <xf numFmtId="0" fontId="76" fillId="51" borderId="27" xfId="0" applyFont="1" applyFill="1" applyBorder="1" applyAlignment="1">
      <alignment horizontal="center" vertical="center" wrapText="1"/>
    </xf>
    <xf numFmtId="173" fontId="76" fillId="51" borderId="27" xfId="3249" applyFont="1" applyFill="1" applyBorder="1" applyAlignment="1">
      <alignment horizontal="right" vertical="center" wrapText="1"/>
    </xf>
    <xf numFmtId="184" fontId="76" fillId="51" borderId="27" xfId="0" applyNumberFormat="1" applyFont="1" applyFill="1" applyBorder="1" applyAlignment="1">
      <alignment horizontal="right" vertical="center" wrapText="1"/>
    </xf>
    <xf numFmtId="189" fontId="76" fillId="51" borderId="27" xfId="0" applyNumberFormat="1" applyFont="1" applyFill="1" applyBorder="1" applyAlignment="1">
      <alignment horizontal="right" vertical="center" wrapText="1"/>
    </xf>
    <xf numFmtId="0" fontId="0" fillId="51" borderId="0" xfId="0" applyFont="1" applyFill="1" applyAlignment="1">
      <alignment horizontal="center" vertical="center" wrapText="1"/>
    </xf>
    <xf numFmtId="173" fontId="0" fillId="51" borderId="0" xfId="3249" applyFont="1" applyFill="1" applyAlignment="1">
      <alignment horizontal="center" vertical="center" wrapText="1"/>
    </xf>
    <xf numFmtId="184" fontId="0" fillId="51" borderId="0" xfId="0" applyNumberFormat="1" applyFont="1" applyFill="1" applyAlignment="1">
      <alignment horizontal="center" vertical="center" wrapText="1"/>
    </xf>
    <xf numFmtId="0" fontId="0" fillId="51" borderId="0" xfId="0" applyFont="1" applyFill="1" applyAlignment="1">
      <alignment horizontal="left" vertical="center" wrapText="1"/>
    </xf>
    <xf numFmtId="0" fontId="2" fillId="51" borderId="0" xfId="0" applyFont="1" applyFill="1" applyAlignment="1">
      <alignment horizontal="right" vertical="center" wrapText="1"/>
    </xf>
    <xf numFmtId="0" fontId="0" fillId="51" borderId="0" xfId="0" applyFill="1" applyAlignment="1">
      <alignment vertical="center"/>
    </xf>
    <xf numFmtId="173" fontId="0" fillId="51" borderId="0" xfId="3249" applyFont="1" applyFill="1" applyAlignment="1">
      <alignment vertical="center"/>
    </xf>
    <xf numFmtId="184" fontId="0" fillId="51" borderId="0" xfId="0" applyNumberFormat="1" applyFill="1" applyAlignment="1">
      <alignment vertical="center"/>
    </xf>
    <xf numFmtId="10" fontId="75" fillId="51" borderId="27" xfId="2079" applyNumberFormat="1" applyFont="1" applyFill="1" applyBorder="1" applyAlignment="1">
      <alignment horizontal="right" vertical="center" wrapText="1"/>
    </xf>
    <xf numFmtId="173" fontId="0" fillId="0" borderId="0" xfId="3249" applyFont="1" applyAlignment="1">
      <alignment/>
    </xf>
    <xf numFmtId="173" fontId="0" fillId="0" borderId="0" xfId="0" applyNumberFormat="1" applyAlignment="1">
      <alignment/>
    </xf>
    <xf numFmtId="184" fontId="2" fillId="51" borderId="0" xfId="0" applyNumberFormat="1" applyFont="1" applyFill="1" applyBorder="1" applyAlignment="1">
      <alignment horizontal="right" vertical="center" wrapText="1"/>
    </xf>
    <xf numFmtId="184" fontId="2" fillId="51" borderId="22" xfId="0" applyNumberFormat="1" applyFont="1" applyFill="1" applyBorder="1" applyAlignment="1">
      <alignment horizontal="right" vertical="center" wrapText="1"/>
    </xf>
    <xf numFmtId="184" fontId="2" fillId="51" borderId="24" xfId="0" applyNumberFormat="1" applyFont="1" applyFill="1" applyBorder="1" applyAlignment="1">
      <alignment horizontal="right" vertical="center" wrapText="1"/>
    </xf>
    <xf numFmtId="184" fontId="2" fillId="51" borderId="2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84" fontId="2" fillId="51" borderId="0" xfId="0" applyNumberFormat="1" applyFont="1" applyFill="1" applyBorder="1" applyAlignment="1">
      <alignment horizontal="left" vertical="center" wrapText="1"/>
    </xf>
    <xf numFmtId="184" fontId="2" fillId="51" borderId="24" xfId="0" applyNumberFormat="1" applyFont="1" applyFill="1" applyBorder="1" applyAlignment="1">
      <alignment horizontal="left" vertical="center" wrapText="1"/>
    </xf>
    <xf numFmtId="184" fontId="0" fillId="0" borderId="0" xfId="0" applyNumberFormat="1" applyAlignment="1">
      <alignment vertical="center"/>
    </xf>
    <xf numFmtId="184" fontId="75" fillId="51" borderId="27" xfId="0" applyNumberFormat="1" applyFont="1" applyFill="1" applyBorder="1" applyAlignment="1">
      <alignment horizontal="right" vertical="center" wrapText="1"/>
    </xf>
    <xf numFmtId="10" fontId="76" fillId="51" borderId="27" xfId="2079" applyNumberFormat="1" applyFont="1" applyFill="1" applyBorder="1" applyAlignment="1">
      <alignment horizontal="right" vertical="center" wrapText="1"/>
    </xf>
    <xf numFmtId="10" fontId="0" fillId="51" borderId="0" xfId="0" applyNumberFormat="1" applyFont="1" applyFill="1" applyBorder="1" applyAlignment="1">
      <alignment horizontal="right" vertical="center" wrapText="1"/>
    </xf>
    <xf numFmtId="10" fontId="0" fillId="51" borderId="22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/>
    </xf>
    <xf numFmtId="0" fontId="23" fillId="52" borderId="27" xfId="0" applyFont="1" applyFill="1" applyBorder="1" applyAlignment="1">
      <alignment horizontal="center" vertical="center" wrapText="1"/>
    </xf>
    <xf numFmtId="173" fontId="23" fillId="52" borderId="27" xfId="3249" applyFont="1" applyFill="1" applyBorder="1" applyAlignment="1">
      <alignment horizontal="center" vertical="center" wrapText="1"/>
    </xf>
    <xf numFmtId="184" fontId="23" fillId="52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left" vertical="center"/>
    </xf>
    <xf numFmtId="0" fontId="0" fillId="52" borderId="0" xfId="0" applyFill="1" applyAlignment="1">
      <alignment vertical="center"/>
    </xf>
    <xf numFmtId="0" fontId="75" fillId="51" borderId="27" xfId="0" applyFont="1" applyFill="1" applyBorder="1" applyAlignment="1">
      <alignment horizontal="left" vertical="center" wrapText="1"/>
    </xf>
    <xf numFmtId="0" fontId="45" fillId="53" borderId="2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173" fontId="0" fillId="0" borderId="27" xfId="3249" applyFont="1" applyBorder="1" applyAlignment="1">
      <alignment/>
    </xf>
    <xf numFmtId="173" fontId="45" fillId="53" borderId="27" xfId="3249" applyFont="1" applyFill="1" applyBorder="1" applyAlignment="1">
      <alignment vertical="center"/>
    </xf>
    <xf numFmtId="44" fontId="0" fillId="0" borderId="0" xfId="1741" applyFont="1" applyAlignment="1">
      <alignment/>
    </xf>
    <xf numFmtId="43" fontId="0" fillId="0" borderId="0" xfId="0" applyNumberFormat="1" applyAlignment="1">
      <alignment vertical="center"/>
    </xf>
    <xf numFmtId="173" fontId="0" fillId="51" borderId="0" xfId="3249" applyFont="1" applyFill="1" applyAlignment="1">
      <alignment vertical="center"/>
    </xf>
    <xf numFmtId="44" fontId="0" fillId="0" borderId="0" xfId="1741" applyFont="1" applyAlignment="1">
      <alignment vertical="center"/>
    </xf>
    <xf numFmtId="0" fontId="23" fillId="0" borderId="36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right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76" fillId="0" borderId="36" xfId="0" applyFont="1" applyFill="1" applyBorder="1" applyAlignment="1">
      <alignment horizontal="left" vertical="center" wrapText="1"/>
    </xf>
    <xf numFmtId="0" fontId="76" fillId="0" borderId="36" xfId="0" applyFont="1" applyFill="1" applyBorder="1" applyAlignment="1">
      <alignment horizontal="right" vertical="center" wrapText="1"/>
    </xf>
    <xf numFmtId="0" fontId="76" fillId="0" borderId="36" xfId="0" applyFont="1" applyFill="1" applyBorder="1" applyAlignment="1">
      <alignment horizontal="center" vertical="center" wrapText="1"/>
    </xf>
    <xf numFmtId="182" fontId="76" fillId="0" borderId="36" xfId="0" applyNumberFormat="1" applyFont="1" applyFill="1" applyBorder="1" applyAlignment="1">
      <alignment horizontal="right" vertical="center" wrapText="1"/>
    </xf>
    <xf numFmtId="4" fontId="76" fillId="0" borderId="36" xfId="0" applyNumberFormat="1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center" vertical="center" wrapText="1"/>
    </xf>
    <xf numFmtId="182" fontId="0" fillId="0" borderId="36" xfId="0" applyNumberFormat="1" applyFont="1" applyFill="1" applyBorder="1" applyAlignment="1">
      <alignment horizontal="right" vertical="center" wrapText="1"/>
    </xf>
    <xf numFmtId="4" fontId="0" fillId="0" borderId="36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horizontal="right" vertical="center" wrapText="1"/>
    </xf>
    <xf numFmtId="0" fontId="76" fillId="0" borderId="3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9" fontId="75" fillId="54" borderId="27" xfId="0" applyNumberFormat="1" applyFont="1" applyFill="1" applyBorder="1" applyAlignment="1">
      <alignment horizontal="left" vertical="center" wrapText="1"/>
    </xf>
    <xf numFmtId="4" fontId="44" fillId="0" borderId="14" xfId="0" applyNumberFormat="1" applyFont="1" applyBorder="1" applyAlignment="1">
      <alignment wrapText="1"/>
    </xf>
    <xf numFmtId="4" fontId="44" fillId="0" borderId="17" xfId="0" applyNumberFormat="1" applyFont="1" applyBorder="1" applyAlignment="1">
      <alignment wrapText="1"/>
    </xf>
    <xf numFmtId="4" fontId="44" fillId="0" borderId="18" xfId="0" applyNumberFormat="1" applyFont="1" applyBorder="1" applyAlignment="1">
      <alignment wrapText="1"/>
    </xf>
    <xf numFmtId="4" fontId="44" fillId="0" borderId="17" xfId="0" applyNumberFormat="1" applyFont="1" applyBorder="1" applyAlignment="1">
      <alignment horizontal="center" vertical="center" wrapText="1"/>
    </xf>
    <xf numFmtId="4" fontId="44" fillId="54" borderId="17" xfId="0" applyNumberFormat="1" applyFont="1" applyFill="1" applyBorder="1" applyAlignment="1">
      <alignment horizontal="center" vertical="center" wrapText="1"/>
    </xf>
    <xf numFmtId="4" fontId="44" fillId="0" borderId="14" xfId="0" applyNumberFormat="1" applyFont="1" applyBorder="1" applyAlignment="1">
      <alignment/>
    </xf>
    <xf numFmtId="4" fontId="44" fillId="0" borderId="17" xfId="0" applyNumberFormat="1" applyFont="1" applyBorder="1" applyAlignment="1">
      <alignment/>
    </xf>
    <xf numFmtId="4" fontId="44" fillId="54" borderId="17" xfId="0" applyNumberFormat="1" applyFont="1" applyFill="1" applyBorder="1" applyAlignment="1">
      <alignment horizontal="center" vertical="center"/>
    </xf>
    <xf numFmtId="4" fontId="44" fillId="0" borderId="17" xfId="0" applyNumberFormat="1" applyFont="1" applyBorder="1" applyAlignment="1">
      <alignment horizontal="right"/>
    </xf>
    <xf numFmtId="4" fontId="0" fillId="0" borderId="0" xfId="0" applyNumberForma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51" borderId="36" xfId="0" applyNumberFormat="1" applyFont="1" applyFill="1" applyBorder="1" applyAlignment="1">
      <alignment horizontal="right" vertical="center" wrapText="1"/>
    </xf>
    <xf numFmtId="184" fontId="0" fillId="0" borderId="0" xfId="0" applyNumberFormat="1" applyFont="1" applyAlignment="1">
      <alignment/>
    </xf>
    <xf numFmtId="0" fontId="20" fillId="0" borderId="0" xfId="1854" applyFont="1" applyAlignment="1">
      <alignment horizontal="center" vertical="center"/>
      <protection/>
    </xf>
    <xf numFmtId="0" fontId="67" fillId="0" borderId="0" xfId="1854">
      <alignment/>
      <protection/>
    </xf>
    <xf numFmtId="0" fontId="20" fillId="0" borderId="0" xfId="1854" applyFont="1" applyAlignment="1">
      <alignment horizontal="left" vertical="center"/>
      <protection/>
    </xf>
    <xf numFmtId="4" fontId="20" fillId="0" borderId="0" xfId="1854" applyNumberFormat="1" applyFont="1" applyAlignment="1">
      <alignment horizontal="center" vertical="center"/>
      <protection/>
    </xf>
    <xf numFmtId="0" fontId="8" fillId="55" borderId="8" xfId="1854" applyFont="1" applyFill="1" applyBorder="1" applyAlignment="1">
      <alignment horizontal="center" vertical="center"/>
      <protection/>
    </xf>
    <xf numFmtId="0" fontId="67" fillId="0" borderId="8" xfId="1854" applyBorder="1" applyAlignment="1">
      <alignment horizontal="center" vertical="center"/>
      <protection/>
    </xf>
    <xf numFmtId="10" fontId="67" fillId="0" borderId="8" xfId="1854" applyNumberFormat="1" applyBorder="1" applyAlignment="1">
      <alignment horizontal="center" vertical="center"/>
      <protection/>
    </xf>
    <xf numFmtId="0" fontId="67" fillId="0" borderId="8" xfId="1854" applyBorder="1" applyAlignment="1">
      <alignment horizontal="center" vertical="center" wrapText="1"/>
      <protection/>
    </xf>
    <xf numFmtId="10" fontId="8" fillId="55" borderId="8" xfId="1854" applyNumberFormat="1" applyFont="1" applyFill="1" applyBorder="1" applyAlignment="1">
      <alignment horizontal="center" vertical="center"/>
      <protection/>
    </xf>
    <xf numFmtId="0" fontId="14" fillId="0" borderId="0" xfId="1854" applyFont="1" applyAlignment="1">
      <alignment horizontal="left" vertical="center"/>
      <protection/>
    </xf>
    <xf numFmtId="0" fontId="1" fillId="0" borderId="0" xfId="1854" applyFont="1" applyAlignment="1">
      <alignment horizontal="center" vertical="center"/>
      <protection/>
    </xf>
    <xf numFmtId="0" fontId="20" fillId="0" borderId="0" xfId="1854" applyFont="1" applyAlignment="1">
      <alignment horizontal="right" vertical="center"/>
      <protection/>
    </xf>
    <xf numFmtId="0" fontId="20" fillId="0" borderId="8" xfId="1854" applyFont="1" applyBorder="1" applyAlignment="1">
      <alignment horizontal="center" vertical="center"/>
      <protection/>
    </xf>
    <xf numFmtId="0" fontId="20" fillId="0" borderId="8" xfId="1854" applyFont="1" applyBorder="1" applyAlignment="1">
      <alignment horizontal="justify" vertical="center" wrapText="1"/>
      <protection/>
    </xf>
    <xf numFmtId="4" fontId="20" fillId="0" borderId="8" xfId="1854" applyNumberFormat="1" applyFont="1" applyBorder="1" applyAlignment="1">
      <alignment horizontal="center" vertical="center"/>
      <protection/>
    </xf>
    <xf numFmtId="0" fontId="67" fillId="0" borderId="8" xfId="1854" applyBorder="1" applyAlignment="1">
      <alignment horizontal="justify" vertical="center" wrapText="1"/>
      <protection/>
    </xf>
    <xf numFmtId="4" fontId="67" fillId="0" borderId="0" xfId="1854" applyNumberFormat="1">
      <alignment/>
      <protection/>
    </xf>
    <xf numFmtId="0" fontId="67" fillId="56" borderId="8" xfId="1854" applyFill="1" applyBorder="1" applyAlignment="1">
      <alignment horizontal="center" vertical="center"/>
      <protection/>
    </xf>
    <xf numFmtId="0" fontId="67" fillId="56" borderId="8" xfId="1854" applyFill="1" applyBorder="1" applyAlignment="1">
      <alignment horizontal="justify" vertical="center" wrapText="1"/>
      <protection/>
    </xf>
    <xf numFmtId="0" fontId="76" fillId="51" borderId="27" xfId="0" applyFont="1" applyFill="1" applyBorder="1" applyAlignment="1">
      <alignment horizontal="left" vertical="top" wrapText="1"/>
    </xf>
    <xf numFmtId="0" fontId="75" fillId="51" borderId="27" xfId="0" applyNumberFormat="1" applyFont="1" applyFill="1" applyBorder="1" applyAlignment="1">
      <alignment horizontal="left" vertical="top" wrapText="1"/>
    </xf>
    <xf numFmtId="0" fontId="75" fillId="51" borderId="27" xfId="0" applyFont="1" applyFill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52" borderId="35" xfId="0" applyFont="1" applyFill="1" applyBorder="1" applyAlignment="1">
      <alignment horizontal="center" vertical="center"/>
    </xf>
    <xf numFmtId="0" fontId="23" fillId="52" borderId="27" xfId="0" applyFont="1" applyFill="1" applyBorder="1" applyAlignment="1">
      <alignment horizontal="center" vertical="center" wrapText="1"/>
    </xf>
    <xf numFmtId="0" fontId="2" fillId="51" borderId="0" xfId="0" applyFont="1" applyFill="1" applyAlignment="1">
      <alignment horizontal="right" vertical="top" wrapText="1"/>
    </xf>
    <xf numFmtId="0" fontId="2" fillId="51" borderId="27" xfId="0" applyFont="1" applyFill="1" applyBorder="1" applyAlignment="1">
      <alignment horizontal="left" vertical="top" wrapText="1"/>
    </xf>
    <xf numFmtId="0" fontId="2" fillId="51" borderId="27" xfId="0" applyFont="1" applyFill="1" applyBorder="1" applyAlignment="1">
      <alignment horizontal="right" vertical="top" wrapText="1"/>
    </xf>
    <xf numFmtId="184" fontId="2" fillId="51" borderId="27" xfId="0" applyNumberFormat="1" applyFont="1" applyFill="1" applyBorder="1" applyAlignment="1">
      <alignment horizontal="right" vertical="top" wrapText="1"/>
    </xf>
    <xf numFmtId="184" fontId="2" fillId="51" borderId="27" xfId="0" applyNumberFormat="1" applyFont="1" applyFill="1" applyBorder="1" applyAlignment="1">
      <alignment horizontal="right" vertical="center" wrapText="1"/>
    </xf>
    <xf numFmtId="0" fontId="2" fillId="51" borderId="0" xfId="0" applyFont="1" applyFill="1" applyAlignment="1">
      <alignment horizontal="right" vertical="center" wrapText="1"/>
    </xf>
    <xf numFmtId="0" fontId="2" fillId="51" borderId="27" xfId="0" applyFont="1" applyFill="1" applyBorder="1" applyAlignment="1">
      <alignment horizontal="left" vertical="center" wrapText="1"/>
    </xf>
    <xf numFmtId="0" fontId="2" fillId="51" borderId="27" xfId="0" applyFont="1" applyFill="1" applyBorder="1" applyAlignment="1">
      <alignment horizontal="right" vertical="center" wrapText="1"/>
    </xf>
    <xf numFmtId="0" fontId="2" fillId="51" borderId="14" xfId="0" applyNumberFormat="1" applyFont="1" applyFill="1" applyBorder="1" applyAlignment="1">
      <alignment horizontal="left" vertical="center"/>
    </xf>
    <xf numFmtId="0" fontId="2" fillId="51" borderId="17" xfId="0" applyNumberFormat="1" applyFont="1" applyFill="1" applyBorder="1" applyAlignment="1">
      <alignment horizontal="left" vertical="center"/>
    </xf>
    <xf numFmtId="0" fontId="2" fillId="51" borderId="18" xfId="0" applyNumberFormat="1" applyFont="1" applyFill="1" applyBorder="1" applyAlignment="1">
      <alignment horizontal="left" vertical="center"/>
    </xf>
    <xf numFmtId="0" fontId="2" fillId="51" borderId="14" xfId="0" applyFont="1" applyFill="1" applyBorder="1" applyAlignment="1">
      <alignment horizontal="left" vertical="center"/>
    </xf>
    <xf numFmtId="0" fontId="2" fillId="51" borderId="17" xfId="0" applyFont="1" applyFill="1" applyBorder="1" applyAlignment="1">
      <alignment horizontal="left" vertical="center"/>
    </xf>
    <xf numFmtId="0" fontId="2" fillId="51" borderId="18" xfId="0" applyFont="1" applyFill="1" applyBorder="1" applyAlignment="1">
      <alignment horizontal="left" vertical="center"/>
    </xf>
    <xf numFmtId="0" fontId="2" fillId="51" borderId="14" xfId="0" applyFont="1" applyFill="1" applyBorder="1" applyAlignment="1">
      <alignment horizontal="left" vertical="center" wrapText="1"/>
    </xf>
    <xf numFmtId="0" fontId="2" fillId="51" borderId="17" xfId="0" applyFont="1" applyFill="1" applyBorder="1" applyAlignment="1">
      <alignment horizontal="left" vertical="center" wrapText="1"/>
    </xf>
    <xf numFmtId="0" fontId="2" fillId="51" borderId="18" xfId="0" applyFont="1" applyFill="1" applyBorder="1" applyAlignment="1">
      <alignment horizontal="left" vertical="center" wrapText="1"/>
    </xf>
    <xf numFmtId="0" fontId="2" fillId="52" borderId="27" xfId="0" applyFont="1" applyFill="1" applyBorder="1" applyAlignment="1">
      <alignment horizontal="center" vertical="center"/>
    </xf>
    <xf numFmtId="0" fontId="2" fillId="51" borderId="19" xfId="0" applyFont="1" applyFill="1" applyBorder="1" applyAlignment="1">
      <alignment horizontal="left" vertical="center"/>
    </xf>
    <xf numFmtId="0" fontId="2" fillId="51" borderId="20" xfId="0" applyFont="1" applyFill="1" applyBorder="1" applyAlignment="1">
      <alignment horizontal="left" vertical="center"/>
    </xf>
    <xf numFmtId="0" fontId="2" fillId="51" borderId="21" xfId="0" applyFont="1" applyFill="1" applyBorder="1" applyAlignment="1">
      <alignment horizontal="left" vertical="center"/>
    </xf>
    <xf numFmtId="0" fontId="2" fillId="53" borderId="27" xfId="0" applyFont="1" applyFill="1" applyBorder="1" applyAlignment="1">
      <alignment horizontal="center" vertical="center"/>
    </xf>
    <xf numFmtId="0" fontId="45" fillId="53" borderId="14" xfId="0" applyFont="1" applyFill="1" applyBorder="1" applyAlignment="1">
      <alignment horizontal="center" vertical="center"/>
    </xf>
    <xf numFmtId="0" fontId="45" fillId="53" borderId="17" xfId="0" applyFont="1" applyFill="1" applyBorder="1" applyAlignment="1">
      <alignment horizontal="center" vertical="center"/>
    </xf>
    <xf numFmtId="0" fontId="45" fillId="53" borderId="18" xfId="0" applyFont="1" applyFill="1" applyBorder="1" applyAlignment="1">
      <alignment horizontal="center" vertical="center"/>
    </xf>
    <xf numFmtId="4" fontId="44" fillId="0" borderId="27" xfId="0" applyNumberFormat="1" applyFont="1" applyBorder="1" applyAlignment="1">
      <alignment horizontal="center"/>
    </xf>
    <xf numFmtId="4" fontId="43" fillId="0" borderId="26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4" fontId="44" fillId="0" borderId="26" xfId="0" applyNumberFormat="1" applyFont="1" applyBorder="1" applyAlignment="1">
      <alignment horizontal="right"/>
    </xf>
    <xf numFmtId="4" fontId="44" fillId="0" borderId="0" xfId="0" applyNumberFormat="1" applyFont="1" applyBorder="1" applyAlignment="1">
      <alignment horizontal="right"/>
    </xf>
    <xf numFmtId="4" fontId="44" fillId="0" borderId="23" xfId="0" applyNumberFormat="1" applyFont="1" applyBorder="1" applyAlignment="1">
      <alignment horizontal="right"/>
    </xf>
    <xf numFmtId="4" fontId="44" fillId="0" borderId="24" xfId="0" applyNumberFormat="1" applyFont="1" applyBorder="1" applyAlignment="1">
      <alignment horizontal="right"/>
    </xf>
    <xf numFmtId="4" fontId="44" fillId="49" borderId="27" xfId="0" applyNumberFormat="1" applyFont="1" applyFill="1" applyBorder="1" applyAlignment="1">
      <alignment horizontal="center"/>
    </xf>
    <xf numFmtId="4" fontId="44" fillId="0" borderId="27" xfId="0" applyNumberFormat="1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4" fontId="43" fillId="0" borderId="26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0" fontId="44" fillId="49" borderId="27" xfId="0" applyFont="1" applyFill="1" applyBorder="1" applyAlignment="1">
      <alignment horizontal="center"/>
    </xf>
    <xf numFmtId="0" fontId="43" fillId="49" borderId="27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9" fontId="44" fillId="49" borderId="27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76" fillId="0" borderId="36" xfId="0" applyFont="1" applyFill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3" fillId="52" borderId="14" xfId="0" applyFont="1" applyFill="1" applyBorder="1" applyAlignment="1">
      <alignment horizontal="center" vertical="center" wrapText="1"/>
    </xf>
    <xf numFmtId="0" fontId="23" fillId="52" borderId="17" xfId="0" applyFont="1" applyFill="1" applyBorder="1" applyAlignment="1">
      <alignment horizontal="center" vertical="center" wrapText="1"/>
    </xf>
    <xf numFmtId="0" fontId="23" fillId="52" borderId="1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left" vertical="center" wrapText="1"/>
    </xf>
    <xf numFmtId="184" fontId="75" fillId="51" borderId="19" xfId="0" applyNumberFormat="1" applyFont="1" applyFill="1" applyBorder="1" applyAlignment="1">
      <alignment horizontal="center" vertical="center" wrapText="1"/>
    </xf>
    <xf numFmtId="184" fontId="75" fillId="51" borderId="20" xfId="0" applyNumberFormat="1" applyFont="1" applyFill="1" applyBorder="1" applyAlignment="1">
      <alignment horizontal="center" vertical="center" wrapText="1"/>
    </xf>
    <xf numFmtId="184" fontId="75" fillId="51" borderId="21" xfId="0" applyNumberFormat="1" applyFont="1" applyFill="1" applyBorder="1" applyAlignment="1">
      <alignment horizontal="center" vertical="center" wrapText="1"/>
    </xf>
    <xf numFmtId="184" fontId="75" fillId="51" borderId="23" xfId="0" applyNumberFormat="1" applyFont="1" applyFill="1" applyBorder="1" applyAlignment="1">
      <alignment horizontal="center" vertical="center" wrapText="1"/>
    </xf>
    <xf numFmtId="184" fontId="75" fillId="51" borderId="24" xfId="0" applyNumberFormat="1" applyFont="1" applyFill="1" applyBorder="1" applyAlignment="1">
      <alignment horizontal="center" vertical="center" wrapText="1"/>
    </xf>
    <xf numFmtId="184" fontId="75" fillId="51" borderId="25" xfId="0" applyNumberFormat="1" applyFont="1" applyFill="1" applyBorder="1" applyAlignment="1">
      <alignment horizontal="center" vertical="center" wrapText="1"/>
    </xf>
    <xf numFmtId="184" fontId="2" fillId="51" borderId="35" xfId="0" applyNumberFormat="1" applyFont="1" applyFill="1" applyBorder="1" applyAlignment="1">
      <alignment horizontal="right" vertical="center" wrapText="1"/>
    </xf>
    <xf numFmtId="184" fontId="2" fillId="51" borderId="38" xfId="0" applyNumberFormat="1" applyFont="1" applyFill="1" applyBorder="1" applyAlignment="1">
      <alignment horizontal="right" vertical="center" wrapText="1"/>
    </xf>
    <xf numFmtId="184" fontId="75" fillId="51" borderId="35" xfId="0" applyNumberFormat="1" applyFont="1" applyFill="1" applyBorder="1" applyAlignment="1">
      <alignment horizontal="right" vertical="center" wrapText="1"/>
    </xf>
    <xf numFmtId="184" fontId="0" fillId="0" borderId="38" xfId="0" applyNumberFormat="1" applyBorder="1" applyAlignment="1">
      <alignment horizontal="right" vertical="center" wrapText="1"/>
    </xf>
    <xf numFmtId="0" fontId="76" fillId="51" borderId="27" xfId="0" applyFont="1" applyFill="1" applyBorder="1" applyAlignment="1">
      <alignment horizontal="center" vertical="center" wrapText="1"/>
    </xf>
    <xf numFmtId="0" fontId="75" fillId="51" borderId="27" xfId="0" applyFont="1" applyFill="1" applyBorder="1" applyAlignment="1">
      <alignment horizontal="center" vertical="center" wrapText="1"/>
    </xf>
    <xf numFmtId="0" fontId="3" fillId="52" borderId="27" xfId="0" applyFont="1" applyFill="1" applyBorder="1" applyAlignment="1">
      <alignment horizontal="center" vertical="center" wrapText="1"/>
    </xf>
    <xf numFmtId="0" fontId="75" fillId="51" borderId="27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84" fontId="75" fillId="51" borderId="38" xfId="0" applyNumberFormat="1" applyFont="1" applyFill="1" applyBorder="1" applyAlignment="1">
      <alignment horizontal="right" vertical="center" wrapText="1"/>
    </xf>
    <xf numFmtId="0" fontId="2" fillId="51" borderId="23" xfId="0" applyFont="1" applyFill="1" applyBorder="1" applyAlignment="1">
      <alignment horizontal="left" vertical="center" wrapText="1"/>
    </xf>
    <xf numFmtId="0" fontId="2" fillId="51" borderId="24" xfId="0" applyFont="1" applyFill="1" applyBorder="1" applyAlignment="1">
      <alignment horizontal="left" vertical="center" wrapText="1"/>
    </xf>
    <xf numFmtId="0" fontId="2" fillId="51" borderId="26" xfId="0" applyFont="1" applyFill="1" applyBorder="1" applyAlignment="1">
      <alignment horizontal="left" vertical="center" wrapText="1"/>
    </xf>
    <xf numFmtId="0" fontId="2" fillId="51" borderId="0" xfId="0" applyFont="1" applyFill="1" applyBorder="1" applyAlignment="1">
      <alignment horizontal="left" vertical="center" wrapText="1"/>
    </xf>
    <xf numFmtId="0" fontId="76" fillId="51" borderId="27" xfId="0" applyFont="1" applyFill="1" applyBorder="1" applyAlignment="1">
      <alignment horizontal="left" vertical="center" wrapText="1"/>
    </xf>
    <xf numFmtId="213" fontId="52" fillId="0" borderId="17" xfId="1864" applyNumberFormat="1" applyFont="1" applyBorder="1" applyAlignment="1" applyProtection="1">
      <alignment horizontal="center" vertical="center"/>
      <protection hidden="1"/>
    </xf>
    <xf numFmtId="213" fontId="52" fillId="0" borderId="18" xfId="1864" applyNumberFormat="1" applyFont="1" applyBorder="1" applyAlignment="1" applyProtection="1">
      <alignment horizontal="center" vertical="center"/>
      <protection hidden="1"/>
    </xf>
    <xf numFmtId="0" fontId="2" fillId="0" borderId="27" xfId="1863" applyNumberFormat="1" applyFont="1" applyBorder="1" applyAlignment="1">
      <alignment horizontal="left" vertical="center"/>
      <protection/>
    </xf>
    <xf numFmtId="0" fontId="2" fillId="0" borderId="27" xfId="1863" applyNumberFormat="1" applyFont="1" applyBorder="1" applyAlignment="1">
      <alignment horizontal="left" vertical="center" wrapText="1"/>
      <protection/>
    </xf>
    <xf numFmtId="0" fontId="2" fillId="0" borderId="27" xfId="1863" applyFont="1" applyBorder="1" applyAlignment="1">
      <alignment vertical="center"/>
      <protection/>
    </xf>
    <xf numFmtId="0" fontId="0" fillId="0" borderId="35" xfId="1863" applyBorder="1" applyAlignment="1">
      <alignment horizontal="left"/>
      <protection/>
    </xf>
    <xf numFmtId="0" fontId="56" fillId="0" borderId="34" xfId="1864" applyFont="1" applyFill="1" applyBorder="1" applyAlignment="1" applyProtection="1">
      <alignment horizontal="left" vertical="center"/>
      <protection hidden="1"/>
    </xf>
    <xf numFmtId="0" fontId="56" fillId="0" borderId="15" xfId="1864" applyFont="1" applyFill="1" applyBorder="1" applyAlignment="1" applyProtection="1">
      <alignment horizontal="left" vertical="center"/>
      <protection hidden="1"/>
    </xf>
    <xf numFmtId="0" fontId="56" fillId="0" borderId="16" xfId="1864" applyFont="1" applyBorder="1" applyAlignment="1" applyProtection="1">
      <alignment horizontal="left" vertical="center"/>
      <protection hidden="1"/>
    </xf>
    <xf numFmtId="0" fontId="54" fillId="0" borderId="39" xfId="1864" applyFont="1" applyBorder="1" applyAlignment="1" applyProtection="1">
      <alignment horizontal="right" vertical="center"/>
      <protection hidden="1"/>
    </xf>
    <xf numFmtId="0" fontId="54" fillId="0" borderId="29" xfId="1864" applyFont="1" applyBorder="1" applyAlignment="1" applyProtection="1">
      <alignment horizontal="right" vertical="center"/>
      <protection hidden="1"/>
    </xf>
    <xf numFmtId="213" fontId="53" fillId="0" borderId="0" xfId="1864" applyNumberFormat="1" applyFont="1" applyBorder="1" applyAlignment="1" applyProtection="1">
      <alignment horizontal="center" vertical="center"/>
      <protection hidden="1"/>
    </xf>
    <xf numFmtId="213" fontId="53" fillId="0" borderId="22" xfId="1864" applyNumberFormat="1" applyFont="1" applyBorder="1" applyAlignment="1" applyProtection="1">
      <alignment horizontal="center" vertical="center"/>
      <protection hidden="1"/>
    </xf>
    <xf numFmtId="0" fontId="56" fillId="0" borderId="40" xfId="1864" applyFont="1" applyBorder="1" applyAlignment="1" applyProtection="1">
      <alignment horizontal="left" vertical="center"/>
      <protection hidden="1"/>
    </xf>
    <xf numFmtId="0" fontId="56" fillId="0" borderId="16" xfId="1864" applyFont="1" applyBorder="1" applyAlignment="1" applyProtection="1">
      <alignment horizontal="center" vertical="center"/>
      <protection hidden="1"/>
    </xf>
    <xf numFmtId="0" fontId="52" fillId="0" borderId="26" xfId="1864" applyFont="1" applyBorder="1" applyAlignment="1" applyProtection="1">
      <alignment horizontal="center" vertical="center"/>
      <protection hidden="1"/>
    </xf>
    <xf numFmtId="0" fontId="52" fillId="0" borderId="0" xfId="1864" applyFont="1" applyBorder="1" applyAlignment="1" applyProtection="1">
      <alignment horizontal="center" vertical="center"/>
      <protection hidden="1"/>
    </xf>
    <xf numFmtId="2" fontId="53" fillId="0" borderId="0" xfId="1864" applyNumberFormat="1" applyFont="1" applyBorder="1" applyAlignment="1" applyProtection="1">
      <alignment horizontal="center" vertical="center"/>
      <protection hidden="1"/>
    </xf>
    <xf numFmtId="2" fontId="53" fillId="0" borderId="22" xfId="1864" applyNumberFormat="1" applyFont="1" applyBorder="1" applyAlignment="1" applyProtection="1">
      <alignment horizontal="center" vertical="center"/>
      <protection hidden="1"/>
    </xf>
    <xf numFmtId="0" fontId="56" fillId="0" borderId="40" xfId="1864" applyFont="1" applyFill="1" applyBorder="1" applyAlignment="1" applyProtection="1">
      <alignment horizontal="left" vertical="center"/>
      <protection hidden="1"/>
    </xf>
    <xf numFmtId="0" fontId="56" fillId="0" borderId="16" xfId="1864" applyFont="1" applyFill="1" applyBorder="1" applyAlignment="1" applyProtection="1">
      <alignment horizontal="left" vertical="center"/>
      <protection hidden="1"/>
    </xf>
    <xf numFmtId="0" fontId="52" fillId="0" borderId="0" xfId="1864" applyFont="1" applyFill="1" applyBorder="1" applyAlignment="1" applyProtection="1">
      <alignment horizontal="center" vertical="center"/>
      <protection hidden="1"/>
    </xf>
    <xf numFmtId="0" fontId="56" fillId="0" borderId="15" xfId="1864" applyFont="1" applyFill="1" applyBorder="1" applyAlignment="1" applyProtection="1">
      <alignment horizontal="center" vertical="center"/>
      <protection hidden="1"/>
    </xf>
    <xf numFmtId="0" fontId="56" fillId="0" borderId="14" xfId="1955" applyFont="1" applyFill="1" applyBorder="1" applyAlignment="1">
      <alignment horizontal="center" vertical="center"/>
      <protection/>
    </xf>
    <xf numFmtId="0" fontId="56" fillId="0" borderId="17" xfId="1955" applyFont="1" applyFill="1" applyBorder="1" applyAlignment="1">
      <alignment horizontal="center" vertical="center"/>
      <protection/>
    </xf>
    <xf numFmtId="0" fontId="56" fillId="0" borderId="18" xfId="1955" applyFont="1" applyFill="1" applyBorder="1" applyAlignment="1">
      <alignment horizontal="center" vertical="center"/>
      <protection/>
    </xf>
    <xf numFmtId="0" fontId="62" fillId="0" borderId="14" xfId="0" applyFont="1" applyFill="1" applyBorder="1" applyAlignment="1">
      <alignment horizontal="center" vertical="distributed" wrapText="1"/>
    </xf>
    <xf numFmtId="0" fontId="62" fillId="0" borderId="17" xfId="0" applyFont="1" applyFill="1" applyBorder="1" applyAlignment="1">
      <alignment horizontal="center" vertical="distributed" wrapText="1"/>
    </xf>
    <xf numFmtId="0" fontId="62" fillId="0" borderId="18" xfId="0" applyFont="1" applyFill="1" applyBorder="1" applyAlignment="1">
      <alignment horizontal="center" vertical="distributed" wrapText="1"/>
    </xf>
    <xf numFmtId="0" fontId="56" fillId="0" borderId="14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67" fillId="0" borderId="41" xfId="1854" applyBorder="1" applyAlignment="1">
      <alignment horizontal="left" vertical="center"/>
      <protection/>
    </xf>
    <xf numFmtId="0" fontId="67" fillId="0" borderId="42" xfId="1854" applyBorder="1" applyAlignment="1">
      <alignment horizontal="left" vertical="center"/>
      <protection/>
    </xf>
    <xf numFmtId="0" fontId="67" fillId="0" borderId="43" xfId="1854" applyBorder="1" applyAlignment="1">
      <alignment horizontal="left" vertical="center"/>
      <protection/>
    </xf>
    <xf numFmtId="4" fontId="67" fillId="0" borderId="41" xfId="1854" applyNumberFormat="1" applyBorder="1" applyAlignment="1">
      <alignment horizontal="center" vertical="center"/>
      <protection/>
    </xf>
    <xf numFmtId="4" fontId="67" fillId="0" borderId="43" xfId="1854" applyNumberFormat="1" applyBorder="1" applyAlignment="1">
      <alignment horizontal="center" vertical="center"/>
      <protection/>
    </xf>
    <xf numFmtId="0" fontId="8" fillId="55" borderId="41" xfId="1854" applyFont="1" applyFill="1" applyBorder="1" applyAlignment="1">
      <alignment horizontal="center" vertical="center"/>
      <protection/>
    </xf>
    <xf numFmtId="0" fontId="8" fillId="55" borderId="43" xfId="1854" applyFont="1" applyFill="1" applyBorder="1" applyAlignment="1">
      <alignment horizontal="center" vertical="center"/>
      <protection/>
    </xf>
    <xf numFmtId="4" fontId="20" fillId="0" borderId="41" xfId="1854" applyNumberFormat="1" applyFont="1" applyBorder="1" applyAlignment="1">
      <alignment horizontal="center" vertical="center"/>
      <protection/>
    </xf>
    <xf numFmtId="4" fontId="20" fillId="0" borderId="43" xfId="1854" applyNumberFormat="1" applyFont="1" applyBorder="1" applyAlignment="1">
      <alignment horizontal="center" vertical="center"/>
      <protection/>
    </xf>
    <xf numFmtId="4" fontId="67" fillId="56" borderId="41" xfId="1854" applyNumberFormat="1" applyFill="1" applyBorder="1" applyAlignment="1">
      <alignment horizontal="center" vertical="center"/>
      <protection/>
    </xf>
    <xf numFmtId="4" fontId="67" fillId="56" borderId="43" xfId="1854" applyNumberFormat="1" applyFill="1" applyBorder="1" applyAlignment="1">
      <alignment horizontal="center" vertical="center"/>
      <protection/>
    </xf>
    <xf numFmtId="0" fontId="20" fillId="0" borderId="0" xfId="1854" applyFont="1" applyAlignment="1">
      <alignment horizontal="center" vertical="center"/>
      <protection/>
    </xf>
    <xf numFmtId="0" fontId="8" fillId="55" borderId="42" xfId="1854" applyFont="1" applyFill="1" applyBorder="1" applyAlignment="1">
      <alignment horizontal="center" vertical="center"/>
      <protection/>
    </xf>
    <xf numFmtId="0" fontId="8" fillId="55" borderId="44" xfId="1854" applyFont="1" applyFill="1" applyBorder="1" applyAlignment="1">
      <alignment horizontal="center" vertical="center"/>
      <protection/>
    </xf>
    <xf numFmtId="0" fontId="8" fillId="55" borderId="45" xfId="1854" applyFont="1" applyFill="1" applyBorder="1" applyAlignment="1">
      <alignment horizontal="center" vertical="center"/>
      <protection/>
    </xf>
  </cellXfs>
  <cellStyles count="32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10" xfId="22"/>
    <cellStyle name="20% - Ênfase1 11" xfId="23"/>
    <cellStyle name="20% - Ênfase1 12" xfId="24"/>
    <cellStyle name="20% - Ênfase1 13" xfId="25"/>
    <cellStyle name="20% - Ênfase1 14" xfId="26"/>
    <cellStyle name="20% - Ênfase1 15" xfId="27"/>
    <cellStyle name="20% - Ênfase1 16" xfId="28"/>
    <cellStyle name="20% - Ênfase1 17" xfId="29"/>
    <cellStyle name="20% - Ênfase1 18" xfId="30"/>
    <cellStyle name="20% - Ênfase1 19" xfId="31"/>
    <cellStyle name="20% - Ênfase1 2" xfId="32"/>
    <cellStyle name="20% - Ênfase1 2 10" xfId="33"/>
    <cellStyle name="20% - Ênfase1 2 11" xfId="34"/>
    <cellStyle name="20% - Ênfase1 2 12" xfId="35"/>
    <cellStyle name="20% - Ênfase1 2 13" xfId="36"/>
    <cellStyle name="20% - Ênfase1 2 14" xfId="37"/>
    <cellStyle name="20% - Ênfase1 2 15" xfId="38"/>
    <cellStyle name="20% - Ênfase1 2 16" xfId="39"/>
    <cellStyle name="20% - Ênfase1 2 17" xfId="40"/>
    <cellStyle name="20% - Ênfase1 2 18" xfId="41"/>
    <cellStyle name="20% - Ênfase1 2 19" xfId="42"/>
    <cellStyle name="20% - Ênfase1 2 2" xfId="43"/>
    <cellStyle name="20% - Ênfase1 2 20" xfId="44"/>
    <cellStyle name="20% - Ênfase1 2 21" xfId="45"/>
    <cellStyle name="20% - Ênfase1 2 22" xfId="46"/>
    <cellStyle name="20% - Ênfase1 2 23" xfId="47"/>
    <cellStyle name="20% - Ênfase1 2 24" xfId="48"/>
    <cellStyle name="20% - Ênfase1 2 25" xfId="49"/>
    <cellStyle name="20% - Ênfase1 2 26" xfId="50"/>
    <cellStyle name="20% - Ênfase1 2 27" xfId="51"/>
    <cellStyle name="20% - Ênfase1 2 28" xfId="52"/>
    <cellStyle name="20% - Ênfase1 2 29" xfId="53"/>
    <cellStyle name="20% - Ênfase1 2 3" xfId="54"/>
    <cellStyle name="20% - Ênfase1 2 30" xfId="55"/>
    <cellStyle name="20% - Ênfase1 2 31" xfId="56"/>
    <cellStyle name="20% - Ênfase1 2 32" xfId="57"/>
    <cellStyle name="20% - Ênfase1 2 33" xfId="58"/>
    <cellStyle name="20% - Ênfase1 2 34" xfId="59"/>
    <cellStyle name="20% - Ênfase1 2 35" xfId="60"/>
    <cellStyle name="20% - Ênfase1 2 36" xfId="61"/>
    <cellStyle name="20% - Ênfase1 2 37" xfId="62"/>
    <cellStyle name="20% - Ênfase1 2 38" xfId="63"/>
    <cellStyle name="20% - Ênfase1 2 39" xfId="64"/>
    <cellStyle name="20% - Ênfase1 2 4" xfId="65"/>
    <cellStyle name="20% - Ênfase1 2 40" xfId="66"/>
    <cellStyle name="20% - Ênfase1 2 41" xfId="67"/>
    <cellStyle name="20% - Ênfase1 2 42" xfId="68"/>
    <cellStyle name="20% - Ênfase1 2 43" xfId="69"/>
    <cellStyle name="20% - Ênfase1 2 44" xfId="70"/>
    <cellStyle name="20% - Ênfase1 2 45" xfId="71"/>
    <cellStyle name="20% - Ênfase1 2 46" xfId="72"/>
    <cellStyle name="20% - Ênfase1 2 47" xfId="73"/>
    <cellStyle name="20% - Ênfase1 2 48" xfId="74"/>
    <cellStyle name="20% - Ênfase1 2 49" xfId="75"/>
    <cellStyle name="20% - Ênfase1 2 5" xfId="76"/>
    <cellStyle name="20% - Ênfase1 2 50" xfId="77"/>
    <cellStyle name="20% - Ênfase1 2 51" xfId="78"/>
    <cellStyle name="20% - Ênfase1 2 52" xfId="79"/>
    <cellStyle name="20% - Ênfase1 2 53" xfId="80"/>
    <cellStyle name="20% - Ênfase1 2 54" xfId="81"/>
    <cellStyle name="20% - Ênfase1 2 55" xfId="82"/>
    <cellStyle name="20% - Ênfase1 2 56" xfId="83"/>
    <cellStyle name="20% - Ênfase1 2 57" xfId="84"/>
    <cellStyle name="20% - Ênfase1 2 58" xfId="85"/>
    <cellStyle name="20% - Ênfase1 2 6" xfId="86"/>
    <cellStyle name="20% - Ênfase1 2 7" xfId="87"/>
    <cellStyle name="20% - Ênfase1 2 8" xfId="88"/>
    <cellStyle name="20% - Ênfase1 2 9" xfId="89"/>
    <cellStyle name="20% - Ênfase1 20" xfId="90"/>
    <cellStyle name="20% - Ênfase1 21" xfId="91"/>
    <cellStyle name="20% - Ênfase1 22" xfId="92"/>
    <cellStyle name="20% - Ênfase1 23" xfId="93"/>
    <cellStyle name="20% - Ênfase1 24" xfId="94"/>
    <cellStyle name="20% - Ênfase1 25" xfId="95"/>
    <cellStyle name="20% - Ênfase1 26" xfId="96"/>
    <cellStyle name="20% - Ênfase1 27" xfId="97"/>
    <cellStyle name="20% - Ênfase1 28" xfId="98"/>
    <cellStyle name="20% - Ênfase1 29" xfId="99"/>
    <cellStyle name="20% - Ênfase1 3" xfId="100"/>
    <cellStyle name="20% - Ênfase1 3 2" xfId="101"/>
    <cellStyle name="20% - Ênfase1 3 3" xfId="102"/>
    <cellStyle name="20% - Ênfase1 3 4" xfId="103"/>
    <cellStyle name="20% - Ênfase1 3 5" xfId="104"/>
    <cellStyle name="20% - Ênfase1 3 6" xfId="105"/>
    <cellStyle name="20% - Ênfase1 3 7" xfId="106"/>
    <cellStyle name="20% - Ênfase1 30" xfId="107"/>
    <cellStyle name="20% - Ênfase1 31" xfId="108"/>
    <cellStyle name="20% - Ênfase1 32" xfId="109"/>
    <cellStyle name="20% - Ênfase1 33" xfId="110"/>
    <cellStyle name="20% - Ênfase1 34" xfId="111"/>
    <cellStyle name="20% - Ênfase1 35" xfId="112"/>
    <cellStyle name="20% - Ênfase1 36" xfId="113"/>
    <cellStyle name="20% - Ênfase1 37" xfId="114"/>
    <cellStyle name="20% - Ênfase1 38" xfId="115"/>
    <cellStyle name="20% - Ênfase1 39" xfId="116"/>
    <cellStyle name="20% - Ênfase1 4" xfId="117"/>
    <cellStyle name="20% - Ênfase1 4 2" xfId="118"/>
    <cellStyle name="20% - Ênfase1 40" xfId="119"/>
    <cellStyle name="20% - Ênfase1 41" xfId="120"/>
    <cellStyle name="20% - Ênfase1 42" xfId="121"/>
    <cellStyle name="20% - Ênfase1 43" xfId="122"/>
    <cellStyle name="20% - Ênfase1 44" xfId="123"/>
    <cellStyle name="20% - Ênfase1 45" xfId="124"/>
    <cellStyle name="20% - Ênfase1 46" xfId="125"/>
    <cellStyle name="20% - Ênfase1 47" xfId="126"/>
    <cellStyle name="20% - Ênfase1 48" xfId="127"/>
    <cellStyle name="20% - Ênfase1 49" xfId="128"/>
    <cellStyle name="20% - Ênfase1 5" xfId="129"/>
    <cellStyle name="20% - Ênfase1 5 2" xfId="130"/>
    <cellStyle name="20% - Ênfase1 50" xfId="131"/>
    <cellStyle name="20% - Ênfase1 51" xfId="132"/>
    <cellStyle name="20% - Ênfase1 52" xfId="133"/>
    <cellStyle name="20% - Ênfase1 53" xfId="134"/>
    <cellStyle name="20% - Ênfase1 54" xfId="135"/>
    <cellStyle name="20% - Ênfase1 55" xfId="136"/>
    <cellStyle name="20% - Ênfase1 56" xfId="137"/>
    <cellStyle name="20% - Ênfase1 57" xfId="138"/>
    <cellStyle name="20% - Ênfase1 58" xfId="139"/>
    <cellStyle name="20% - Ênfase1 59" xfId="140"/>
    <cellStyle name="20% - Ênfase1 6" xfId="141"/>
    <cellStyle name="20% - Ênfase1 6 2" xfId="142"/>
    <cellStyle name="20% - Ênfase1 7" xfId="143"/>
    <cellStyle name="20% - Ênfase1 7 2" xfId="144"/>
    <cellStyle name="20% - Ênfase1 8" xfId="145"/>
    <cellStyle name="20% - Ênfase1 8 2" xfId="146"/>
    <cellStyle name="20% - Ênfase1 9" xfId="147"/>
    <cellStyle name="20% - Ênfase1 9 2" xfId="148"/>
    <cellStyle name="20% - Ênfase2" xfId="149"/>
    <cellStyle name="20% - Ênfase2 10" xfId="150"/>
    <cellStyle name="20% - Ênfase2 11" xfId="151"/>
    <cellStyle name="20% - Ênfase2 12" xfId="152"/>
    <cellStyle name="20% - Ênfase2 13" xfId="153"/>
    <cellStyle name="20% - Ênfase2 14" xfId="154"/>
    <cellStyle name="20% - Ênfase2 15" xfId="155"/>
    <cellStyle name="20% - Ênfase2 16" xfId="156"/>
    <cellStyle name="20% - Ênfase2 17" xfId="157"/>
    <cellStyle name="20% - Ênfase2 18" xfId="158"/>
    <cellStyle name="20% - Ênfase2 19" xfId="159"/>
    <cellStyle name="20% - Ênfase2 2" xfId="160"/>
    <cellStyle name="20% - Ênfase2 2 10" xfId="161"/>
    <cellStyle name="20% - Ênfase2 2 11" xfId="162"/>
    <cellStyle name="20% - Ênfase2 2 12" xfId="163"/>
    <cellStyle name="20% - Ênfase2 2 13" xfId="164"/>
    <cellStyle name="20% - Ênfase2 2 14" xfId="165"/>
    <cellStyle name="20% - Ênfase2 2 15" xfId="166"/>
    <cellStyle name="20% - Ênfase2 2 16" xfId="167"/>
    <cellStyle name="20% - Ênfase2 2 17" xfId="168"/>
    <cellStyle name="20% - Ênfase2 2 18" xfId="169"/>
    <cellStyle name="20% - Ênfase2 2 19" xfId="170"/>
    <cellStyle name="20% - Ênfase2 2 2" xfId="171"/>
    <cellStyle name="20% - Ênfase2 2 20" xfId="172"/>
    <cellStyle name="20% - Ênfase2 2 21" xfId="173"/>
    <cellStyle name="20% - Ênfase2 2 22" xfId="174"/>
    <cellStyle name="20% - Ênfase2 2 23" xfId="175"/>
    <cellStyle name="20% - Ênfase2 2 24" xfId="176"/>
    <cellStyle name="20% - Ênfase2 2 25" xfId="177"/>
    <cellStyle name="20% - Ênfase2 2 26" xfId="178"/>
    <cellStyle name="20% - Ênfase2 2 27" xfId="179"/>
    <cellStyle name="20% - Ênfase2 2 28" xfId="180"/>
    <cellStyle name="20% - Ênfase2 2 29" xfId="181"/>
    <cellStyle name="20% - Ênfase2 2 3" xfId="182"/>
    <cellStyle name="20% - Ênfase2 2 30" xfId="183"/>
    <cellStyle name="20% - Ênfase2 2 31" xfId="184"/>
    <cellStyle name="20% - Ênfase2 2 32" xfId="185"/>
    <cellStyle name="20% - Ênfase2 2 33" xfId="186"/>
    <cellStyle name="20% - Ênfase2 2 34" xfId="187"/>
    <cellStyle name="20% - Ênfase2 2 35" xfId="188"/>
    <cellStyle name="20% - Ênfase2 2 36" xfId="189"/>
    <cellStyle name="20% - Ênfase2 2 37" xfId="190"/>
    <cellStyle name="20% - Ênfase2 2 38" xfId="191"/>
    <cellStyle name="20% - Ênfase2 2 39" xfId="192"/>
    <cellStyle name="20% - Ênfase2 2 4" xfId="193"/>
    <cellStyle name="20% - Ênfase2 2 40" xfId="194"/>
    <cellStyle name="20% - Ênfase2 2 41" xfId="195"/>
    <cellStyle name="20% - Ênfase2 2 42" xfId="196"/>
    <cellStyle name="20% - Ênfase2 2 43" xfId="197"/>
    <cellStyle name="20% - Ênfase2 2 44" xfId="198"/>
    <cellStyle name="20% - Ênfase2 2 45" xfId="199"/>
    <cellStyle name="20% - Ênfase2 2 46" xfId="200"/>
    <cellStyle name="20% - Ênfase2 2 47" xfId="201"/>
    <cellStyle name="20% - Ênfase2 2 48" xfId="202"/>
    <cellStyle name="20% - Ênfase2 2 49" xfId="203"/>
    <cellStyle name="20% - Ênfase2 2 5" xfId="204"/>
    <cellStyle name="20% - Ênfase2 2 50" xfId="205"/>
    <cellStyle name="20% - Ênfase2 2 51" xfId="206"/>
    <cellStyle name="20% - Ênfase2 2 52" xfId="207"/>
    <cellStyle name="20% - Ênfase2 2 53" xfId="208"/>
    <cellStyle name="20% - Ênfase2 2 54" xfId="209"/>
    <cellStyle name="20% - Ênfase2 2 55" xfId="210"/>
    <cellStyle name="20% - Ênfase2 2 56" xfId="211"/>
    <cellStyle name="20% - Ênfase2 2 57" xfId="212"/>
    <cellStyle name="20% - Ênfase2 2 58" xfId="213"/>
    <cellStyle name="20% - Ênfase2 2 6" xfId="214"/>
    <cellStyle name="20% - Ênfase2 2 7" xfId="215"/>
    <cellStyle name="20% - Ênfase2 2 8" xfId="216"/>
    <cellStyle name="20% - Ênfase2 2 9" xfId="217"/>
    <cellStyle name="20% - Ênfase2 20" xfId="218"/>
    <cellStyle name="20% - Ênfase2 21" xfId="219"/>
    <cellStyle name="20% - Ênfase2 22" xfId="220"/>
    <cellStyle name="20% - Ênfase2 23" xfId="221"/>
    <cellStyle name="20% - Ênfase2 24" xfId="222"/>
    <cellStyle name="20% - Ênfase2 25" xfId="223"/>
    <cellStyle name="20% - Ênfase2 26" xfId="224"/>
    <cellStyle name="20% - Ênfase2 27" xfId="225"/>
    <cellStyle name="20% - Ênfase2 28" xfId="226"/>
    <cellStyle name="20% - Ênfase2 29" xfId="227"/>
    <cellStyle name="20% - Ênfase2 3" xfId="228"/>
    <cellStyle name="20% - Ênfase2 3 2" xfId="229"/>
    <cellStyle name="20% - Ênfase2 3 3" xfId="230"/>
    <cellStyle name="20% - Ênfase2 3 4" xfId="231"/>
    <cellStyle name="20% - Ênfase2 3 5" xfId="232"/>
    <cellStyle name="20% - Ênfase2 3 6" xfId="233"/>
    <cellStyle name="20% - Ênfase2 3 7" xfId="234"/>
    <cellStyle name="20% - Ênfase2 30" xfId="235"/>
    <cellStyle name="20% - Ênfase2 31" xfId="236"/>
    <cellStyle name="20% - Ênfase2 32" xfId="237"/>
    <cellStyle name="20% - Ênfase2 33" xfId="238"/>
    <cellStyle name="20% - Ênfase2 34" xfId="239"/>
    <cellStyle name="20% - Ênfase2 35" xfId="240"/>
    <cellStyle name="20% - Ênfase2 36" xfId="241"/>
    <cellStyle name="20% - Ênfase2 37" xfId="242"/>
    <cellStyle name="20% - Ênfase2 38" xfId="243"/>
    <cellStyle name="20% - Ênfase2 39" xfId="244"/>
    <cellStyle name="20% - Ênfase2 4" xfId="245"/>
    <cellStyle name="20% - Ênfase2 4 2" xfId="246"/>
    <cellStyle name="20% - Ênfase2 40" xfId="247"/>
    <cellStyle name="20% - Ênfase2 41" xfId="248"/>
    <cellStyle name="20% - Ênfase2 42" xfId="249"/>
    <cellStyle name="20% - Ênfase2 43" xfId="250"/>
    <cellStyle name="20% - Ênfase2 44" xfId="251"/>
    <cellStyle name="20% - Ênfase2 45" xfId="252"/>
    <cellStyle name="20% - Ênfase2 46" xfId="253"/>
    <cellStyle name="20% - Ênfase2 47" xfId="254"/>
    <cellStyle name="20% - Ênfase2 48" xfId="255"/>
    <cellStyle name="20% - Ênfase2 49" xfId="256"/>
    <cellStyle name="20% - Ênfase2 5" xfId="257"/>
    <cellStyle name="20% - Ênfase2 5 2" xfId="258"/>
    <cellStyle name="20% - Ênfase2 50" xfId="259"/>
    <cellStyle name="20% - Ênfase2 51" xfId="260"/>
    <cellStyle name="20% - Ênfase2 52" xfId="261"/>
    <cellStyle name="20% - Ênfase2 53" xfId="262"/>
    <cellStyle name="20% - Ênfase2 54" xfId="263"/>
    <cellStyle name="20% - Ênfase2 55" xfId="264"/>
    <cellStyle name="20% - Ênfase2 56" xfId="265"/>
    <cellStyle name="20% - Ênfase2 57" xfId="266"/>
    <cellStyle name="20% - Ênfase2 58" xfId="267"/>
    <cellStyle name="20% - Ênfase2 59" xfId="268"/>
    <cellStyle name="20% - Ênfase2 6" xfId="269"/>
    <cellStyle name="20% - Ênfase2 6 2" xfId="270"/>
    <cellStyle name="20% - Ênfase2 7" xfId="271"/>
    <cellStyle name="20% - Ênfase2 7 2" xfId="272"/>
    <cellStyle name="20% - Ênfase2 8" xfId="273"/>
    <cellStyle name="20% - Ênfase2 8 2" xfId="274"/>
    <cellStyle name="20% - Ênfase2 9" xfId="275"/>
    <cellStyle name="20% - Ênfase2 9 2" xfId="276"/>
    <cellStyle name="20% - Ênfase3" xfId="277"/>
    <cellStyle name="20% - Ênfase3 10" xfId="278"/>
    <cellStyle name="20% - Ênfase3 11" xfId="279"/>
    <cellStyle name="20% - Ênfase3 12" xfId="280"/>
    <cellStyle name="20% - Ênfase3 13" xfId="281"/>
    <cellStyle name="20% - Ênfase3 14" xfId="282"/>
    <cellStyle name="20% - Ênfase3 15" xfId="283"/>
    <cellStyle name="20% - Ênfase3 16" xfId="284"/>
    <cellStyle name="20% - Ênfase3 17" xfId="285"/>
    <cellStyle name="20% - Ênfase3 18" xfId="286"/>
    <cellStyle name="20% - Ênfase3 19" xfId="287"/>
    <cellStyle name="20% - Ênfase3 2" xfId="288"/>
    <cellStyle name="20% - Ênfase3 2 10" xfId="289"/>
    <cellStyle name="20% - Ênfase3 2 11" xfId="290"/>
    <cellStyle name="20% - Ênfase3 2 12" xfId="291"/>
    <cellStyle name="20% - Ênfase3 2 13" xfId="292"/>
    <cellStyle name="20% - Ênfase3 2 14" xfId="293"/>
    <cellStyle name="20% - Ênfase3 2 15" xfId="294"/>
    <cellStyle name="20% - Ênfase3 2 16" xfId="295"/>
    <cellStyle name="20% - Ênfase3 2 17" xfId="296"/>
    <cellStyle name="20% - Ênfase3 2 18" xfId="297"/>
    <cellStyle name="20% - Ênfase3 2 19" xfId="298"/>
    <cellStyle name="20% - Ênfase3 2 2" xfId="299"/>
    <cellStyle name="20% - Ênfase3 2 20" xfId="300"/>
    <cellStyle name="20% - Ênfase3 2 21" xfId="301"/>
    <cellStyle name="20% - Ênfase3 2 22" xfId="302"/>
    <cellStyle name="20% - Ênfase3 2 23" xfId="303"/>
    <cellStyle name="20% - Ênfase3 2 24" xfId="304"/>
    <cellStyle name="20% - Ênfase3 2 25" xfId="305"/>
    <cellStyle name="20% - Ênfase3 2 26" xfId="306"/>
    <cellStyle name="20% - Ênfase3 2 27" xfId="307"/>
    <cellStyle name="20% - Ênfase3 2 28" xfId="308"/>
    <cellStyle name="20% - Ênfase3 2 29" xfId="309"/>
    <cellStyle name="20% - Ênfase3 2 3" xfId="310"/>
    <cellStyle name="20% - Ênfase3 2 30" xfId="311"/>
    <cellStyle name="20% - Ênfase3 2 31" xfId="312"/>
    <cellStyle name="20% - Ênfase3 2 32" xfId="313"/>
    <cellStyle name="20% - Ênfase3 2 33" xfId="314"/>
    <cellStyle name="20% - Ênfase3 2 34" xfId="315"/>
    <cellStyle name="20% - Ênfase3 2 35" xfId="316"/>
    <cellStyle name="20% - Ênfase3 2 36" xfId="317"/>
    <cellStyle name="20% - Ênfase3 2 37" xfId="318"/>
    <cellStyle name="20% - Ênfase3 2 38" xfId="319"/>
    <cellStyle name="20% - Ênfase3 2 39" xfId="320"/>
    <cellStyle name="20% - Ênfase3 2 4" xfId="321"/>
    <cellStyle name="20% - Ênfase3 2 40" xfId="322"/>
    <cellStyle name="20% - Ênfase3 2 41" xfId="323"/>
    <cellStyle name="20% - Ênfase3 2 42" xfId="324"/>
    <cellStyle name="20% - Ênfase3 2 43" xfId="325"/>
    <cellStyle name="20% - Ênfase3 2 44" xfId="326"/>
    <cellStyle name="20% - Ênfase3 2 45" xfId="327"/>
    <cellStyle name="20% - Ênfase3 2 46" xfId="328"/>
    <cellStyle name="20% - Ênfase3 2 47" xfId="329"/>
    <cellStyle name="20% - Ênfase3 2 48" xfId="330"/>
    <cellStyle name="20% - Ênfase3 2 49" xfId="331"/>
    <cellStyle name="20% - Ênfase3 2 5" xfId="332"/>
    <cellStyle name="20% - Ênfase3 2 50" xfId="333"/>
    <cellStyle name="20% - Ênfase3 2 51" xfId="334"/>
    <cellStyle name="20% - Ênfase3 2 52" xfId="335"/>
    <cellStyle name="20% - Ênfase3 2 53" xfId="336"/>
    <cellStyle name="20% - Ênfase3 2 54" xfId="337"/>
    <cellStyle name="20% - Ênfase3 2 55" xfId="338"/>
    <cellStyle name="20% - Ênfase3 2 56" xfId="339"/>
    <cellStyle name="20% - Ênfase3 2 57" xfId="340"/>
    <cellStyle name="20% - Ênfase3 2 58" xfId="341"/>
    <cellStyle name="20% - Ênfase3 2 6" xfId="342"/>
    <cellStyle name="20% - Ênfase3 2 7" xfId="343"/>
    <cellStyle name="20% - Ênfase3 2 8" xfId="344"/>
    <cellStyle name="20% - Ênfase3 2 9" xfId="345"/>
    <cellStyle name="20% - Ênfase3 20" xfId="346"/>
    <cellStyle name="20% - Ênfase3 21" xfId="347"/>
    <cellStyle name="20% - Ênfase3 22" xfId="348"/>
    <cellStyle name="20% - Ênfase3 23" xfId="349"/>
    <cellStyle name="20% - Ênfase3 24" xfId="350"/>
    <cellStyle name="20% - Ênfase3 25" xfId="351"/>
    <cellStyle name="20% - Ênfase3 26" xfId="352"/>
    <cellStyle name="20% - Ênfase3 27" xfId="353"/>
    <cellStyle name="20% - Ênfase3 28" xfId="354"/>
    <cellStyle name="20% - Ênfase3 29" xfId="355"/>
    <cellStyle name="20% - Ênfase3 3" xfId="356"/>
    <cellStyle name="20% - Ênfase3 3 2" xfId="357"/>
    <cellStyle name="20% - Ênfase3 3 3" xfId="358"/>
    <cellStyle name="20% - Ênfase3 3 4" xfId="359"/>
    <cellStyle name="20% - Ênfase3 3 5" xfId="360"/>
    <cellStyle name="20% - Ênfase3 3 6" xfId="361"/>
    <cellStyle name="20% - Ênfase3 3 7" xfId="362"/>
    <cellStyle name="20% - Ênfase3 30" xfId="363"/>
    <cellStyle name="20% - Ênfase3 31" xfId="364"/>
    <cellStyle name="20% - Ênfase3 32" xfId="365"/>
    <cellStyle name="20% - Ênfase3 33" xfId="366"/>
    <cellStyle name="20% - Ênfase3 34" xfId="367"/>
    <cellStyle name="20% - Ênfase3 35" xfId="368"/>
    <cellStyle name="20% - Ênfase3 36" xfId="369"/>
    <cellStyle name="20% - Ênfase3 37" xfId="370"/>
    <cellStyle name="20% - Ênfase3 38" xfId="371"/>
    <cellStyle name="20% - Ênfase3 39" xfId="372"/>
    <cellStyle name="20% - Ênfase3 4" xfId="373"/>
    <cellStyle name="20% - Ênfase3 4 2" xfId="374"/>
    <cellStyle name="20% - Ênfase3 40" xfId="375"/>
    <cellStyle name="20% - Ênfase3 41" xfId="376"/>
    <cellStyle name="20% - Ênfase3 42" xfId="377"/>
    <cellStyle name="20% - Ênfase3 43" xfId="378"/>
    <cellStyle name="20% - Ênfase3 44" xfId="379"/>
    <cellStyle name="20% - Ênfase3 45" xfId="380"/>
    <cellStyle name="20% - Ênfase3 46" xfId="381"/>
    <cellStyle name="20% - Ênfase3 47" xfId="382"/>
    <cellStyle name="20% - Ênfase3 48" xfId="383"/>
    <cellStyle name="20% - Ênfase3 49" xfId="384"/>
    <cellStyle name="20% - Ênfase3 5" xfId="385"/>
    <cellStyle name="20% - Ênfase3 5 2" xfId="386"/>
    <cellStyle name="20% - Ênfase3 50" xfId="387"/>
    <cellStyle name="20% - Ênfase3 51" xfId="388"/>
    <cellStyle name="20% - Ênfase3 52" xfId="389"/>
    <cellStyle name="20% - Ênfase3 53" xfId="390"/>
    <cellStyle name="20% - Ênfase3 54" xfId="391"/>
    <cellStyle name="20% - Ênfase3 55" xfId="392"/>
    <cellStyle name="20% - Ênfase3 56" xfId="393"/>
    <cellStyle name="20% - Ênfase3 57" xfId="394"/>
    <cellStyle name="20% - Ênfase3 58" xfId="395"/>
    <cellStyle name="20% - Ênfase3 59" xfId="396"/>
    <cellStyle name="20% - Ênfase3 6" xfId="397"/>
    <cellStyle name="20% - Ênfase3 6 2" xfId="398"/>
    <cellStyle name="20% - Ênfase3 7" xfId="399"/>
    <cellStyle name="20% - Ênfase3 7 2" xfId="400"/>
    <cellStyle name="20% - Ênfase3 8" xfId="401"/>
    <cellStyle name="20% - Ênfase3 8 2" xfId="402"/>
    <cellStyle name="20% - Ênfase3 9" xfId="403"/>
    <cellStyle name="20% - Ênfase3 9 2" xfId="404"/>
    <cellStyle name="20% - Ênfase4" xfId="405"/>
    <cellStyle name="20% - Ênfase4 10" xfId="406"/>
    <cellStyle name="20% - Ênfase4 11" xfId="407"/>
    <cellStyle name="20% - Ênfase4 12" xfId="408"/>
    <cellStyle name="20% - Ênfase4 13" xfId="409"/>
    <cellStyle name="20% - Ênfase4 14" xfId="410"/>
    <cellStyle name="20% - Ênfase4 15" xfId="411"/>
    <cellStyle name="20% - Ênfase4 16" xfId="412"/>
    <cellStyle name="20% - Ênfase4 17" xfId="413"/>
    <cellStyle name="20% - Ênfase4 18" xfId="414"/>
    <cellStyle name="20% - Ênfase4 19" xfId="415"/>
    <cellStyle name="20% - Ênfase4 2" xfId="416"/>
    <cellStyle name="20% - Ênfase4 2 10" xfId="417"/>
    <cellStyle name="20% - Ênfase4 2 11" xfId="418"/>
    <cellStyle name="20% - Ênfase4 2 12" xfId="419"/>
    <cellStyle name="20% - Ênfase4 2 13" xfId="420"/>
    <cellStyle name="20% - Ênfase4 2 14" xfId="421"/>
    <cellStyle name="20% - Ênfase4 2 15" xfId="422"/>
    <cellStyle name="20% - Ênfase4 2 16" xfId="423"/>
    <cellStyle name="20% - Ênfase4 2 17" xfId="424"/>
    <cellStyle name="20% - Ênfase4 2 18" xfId="425"/>
    <cellStyle name="20% - Ênfase4 2 19" xfId="426"/>
    <cellStyle name="20% - Ênfase4 2 2" xfId="427"/>
    <cellStyle name="20% - Ênfase4 2 20" xfId="428"/>
    <cellStyle name="20% - Ênfase4 2 21" xfId="429"/>
    <cellStyle name="20% - Ênfase4 2 22" xfId="430"/>
    <cellStyle name="20% - Ênfase4 2 23" xfId="431"/>
    <cellStyle name="20% - Ênfase4 2 24" xfId="432"/>
    <cellStyle name="20% - Ênfase4 2 25" xfId="433"/>
    <cellStyle name="20% - Ênfase4 2 26" xfId="434"/>
    <cellStyle name="20% - Ênfase4 2 27" xfId="435"/>
    <cellStyle name="20% - Ênfase4 2 28" xfId="436"/>
    <cellStyle name="20% - Ênfase4 2 29" xfId="437"/>
    <cellStyle name="20% - Ênfase4 2 3" xfId="438"/>
    <cellStyle name="20% - Ênfase4 2 30" xfId="439"/>
    <cellStyle name="20% - Ênfase4 2 31" xfId="440"/>
    <cellStyle name="20% - Ênfase4 2 32" xfId="441"/>
    <cellStyle name="20% - Ênfase4 2 33" xfId="442"/>
    <cellStyle name="20% - Ênfase4 2 34" xfId="443"/>
    <cellStyle name="20% - Ênfase4 2 35" xfId="444"/>
    <cellStyle name="20% - Ênfase4 2 36" xfId="445"/>
    <cellStyle name="20% - Ênfase4 2 37" xfId="446"/>
    <cellStyle name="20% - Ênfase4 2 38" xfId="447"/>
    <cellStyle name="20% - Ênfase4 2 39" xfId="448"/>
    <cellStyle name="20% - Ênfase4 2 4" xfId="449"/>
    <cellStyle name="20% - Ênfase4 2 40" xfId="450"/>
    <cellStyle name="20% - Ênfase4 2 41" xfId="451"/>
    <cellStyle name="20% - Ênfase4 2 42" xfId="452"/>
    <cellStyle name="20% - Ênfase4 2 43" xfId="453"/>
    <cellStyle name="20% - Ênfase4 2 44" xfId="454"/>
    <cellStyle name="20% - Ênfase4 2 45" xfId="455"/>
    <cellStyle name="20% - Ênfase4 2 46" xfId="456"/>
    <cellStyle name="20% - Ênfase4 2 47" xfId="457"/>
    <cellStyle name="20% - Ênfase4 2 48" xfId="458"/>
    <cellStyle name="20% - Ênfase4 2 49" xfId="459"/>
    <cellStyle name="20% - Ênfase4 2 5" xfId="460"/>
    <cellStyle name="20% - Ênfase4 2 50" xfId="461"/>
    <cellStyle name="20% - Ênfase4 2 51" xfId="462"/>
    <cellStyle name="20% - Ênfase4 2 52" xfId="463"/>
    <cellStyle name="20% - Ênfase4 2 53" xfId="464"/>
    <cellStyle name="20% - Ênfase4 2 54" xfId="465"/>
    <cellStyle name="20% - Ênfase4 2 55" xfId="466"/>
    <cellStyle name="20% - Ênfase4 2 56" xfId="467"/>
    <cellStyle name="20% - Ênfase4 2 57" xfId="468"/>
    <cellStyle name="20% - Ênfase4 2 58" xfId="469"/>
    <cellStyle name="20% - Ênfase4 2 6" xfId="470"/>
    <cellStyle name="20% - Ênfase4 2 7" xfId="471"/>
    <cellStyle name="20% - Ênfase4 2 8" xfId="472"/>
    <cellStyle name="20% - Ênfase4 2 9" xfId="473"/>
    <cellStyle name="20% - Ênfase4 20" xfId="474"/>
    <cellStyle name="20% - Ênfase4 21" xfId="475"/>
    <cellStyle name="20% - Ênfase4 22" xfId="476"/>
    <cellStyle name="20% - Ênfase4 23" xfId="477"/>
    <cellStyle name="20% - Ênfase4 24" xfId="478"/>
    <cellStyle name="20% - Ênfase4 25" xfId="479"/>
    <cellStyle name="20% - Ênfase4 26" xfId="480"/>
    <cellStyle name="20% - Ênfase4 27" xfId="481"/>
    <cellStyle name="20% - Ênfase4 28" xfId="482"/>
    <cellStyle name="20% - Ênfase4 29" xfId="483"/>
    <cellStyle name="20% - Ênfase4 3" xfId="484"/>
    <cellStyle name="20% - Ênfase4 3 2" xfId="485"/>
    <cellStyle name="20% - Ênfase4 3 3" xfId="486"/>
    <cellStyle name="20% - Ênfase4 3 4" xfId="487"/>
    <cellStyle name="20% - Ênfase4 3 5" xfId="488"/>
    <cellStyle name="20% - Ênfase4 3 6" xfId="489"/>
    <cellStyle name="20% - Ênfase4 3 7" xfId="490"/>
    <cellStyle name="20% - Ênfase4 30" xfId="491"/>
    <cellStyle name="20% - Ênfase4 31" xfId="492"/>
    <cellStyle name="20% - Ênfase4 32" xfId="493"/>
    <cellStyle name="20% - Ênfase4 33" xfId="494"/>
    <cellStyle name="20% - Ênfase4 34" xfId="495"/>
    <cellStyle name="20% - Ênfase4 35" xfId="496"/>
    <cellStyle name="20% - Ênfase4 36" xfId="497"/>
    <cellStyle name="20% - Ênfase4 37" xfId="498"/>
    <cellStyle name="20% - Ênfase4 38" xfId="499"/>
    <cellStyle name="20% - Ênfase4 39" xfId="500"/>
    <cellStyle name="20% - Ênfase4 4" xfId="501"/>
    <cellStyle name="20% - Ênfase4 4 2" xfId="502"/>
    <cellStyle name="20% - Ênfase4 40" xfId="503"/>
    <cellStyle name="20% - Ênfase4 41" xfId="504"/>
    <cellStyle name="20% - Ênfase4 42" xfId="505"/>
    <cellStyle name="20% - Ênfase4 43" xfId="506"/>
    <cellStyle name="20% - Ênfase4 44" xfId="507"/>
    <cellStyle name="20% - Ênfase4 45" xfId="508"/>
    <cellStyle name="20% - Ênfase4 46" xfId="509"/>
    <cellStyle name="20% - Ênfase4 47" xfId="510"/>
    <cellStyle name="20% - Ênfase4 48" xfId="511"/>
    <cellStyle name="20% - Ênfase4 49" xfId="512"/>
    <cellStyle name="20% - Ênfase4 5" xfId="513"/>
    <cellStyle name="20% - Ênfase4 5 2" xfId="514"/>
    <cellStyle name="20% - Ênfase4 50" xfId="515"/>
    <cellStyle name="20% - Ênfase4 51" xfId="516"/>
    <cellStyle name="20% - Ênfase4 52" xfId="517"/>
    <cellStyle name="20% - Ênfase4 53" xfId="518"/>
    <cellStyle name="20% - Ênfase4 54" xfId="519"/>
    <cellStyle name="20% - Ênfase4 55" xfId="520"/>
    <cellStyle name="20% - Ênfase4 56" xfId="521"/>
    <cellStyle name="20% - Ênfase4 57" xfId="522"/>
    <cellStyle name="20% - Ênfase4 58" xfId="523"/>
    <cellStyle name="20% - Ênfase4 59" xfId="524"/>
    <cellStyle name="20% - Ênfase4 6" xfId="525"/>
    <cellStyle name="20% - Ênfase4 6 2" xfId="526"/>
    <cellStyle name="20% - Ênfase4 7" xfId="527"/>
    <cellStyle name="20% - Ênfase4 7 2" xfId="528"/>
    <cellStyle name="20% - Ênfase4 8" xfId="529"/>
    <cellStyle name="20% - Ênfase4 8 2" xfId="530"/>
    <cellStyle name="20% - Ênfase4 9" xfId="531"/>
    <cellStyle name="20% - Ênfase4 9 2" xfId="532"/>
    <cellStyle name="20% - Ênfase5" xfId="533"/>
    <cellStyle name="20% - Ênfase5 10" xfId="534"/>
    <cellStyle name="20% - Ênfase5 11" xfId="535"/>
    <cellStyle name="20% - Ênfase5 12" xfId="536"/>
    <cellStyle name="20% - Ênfase5 13" xfId="537"/>
    <cellStyle name="20% - Ênfase5 14" xfId="538"/>
    <cellStyle name="20% - Ênfase5 15" xfId="539"/>
    <cellStyle name="20% - Ênfase5 16" xfId="540"/>
    <cellStyle name="20% - Ênfase5 17" xfId="541"/>
    <cellStyle name="20% - Ênfase5 18" xfId="542"/>
    <cellStyle name="20% - Ênfase5 19" xfId="543"/>
    <cellStyle name="20% - Ênfase5 2" xfId="544"/>
    <cellStyle name="20% - Ênfase5 2 10" xfId="545"/>
    <cellStyle name="20% - Ênfase5 2 11" xfId="546"/>
    <cellStyle name="20% - Ênfase5 2 12" xfId="547"/>
    <cellStyle name="20% - Ênfase5 2 13" xfId="548"/>
    <cellStyle name="20% - Ênfase5 2 14" xfId="549"/>
    <cellStyle name="20% - Ênfase5 2 15" xfId="550"/>
    <cellStyle name="20% - Ênfase5 2 16" xfId="551"/>
    <cellStyle name="20% - Ênfase5 2 17" xfId="552"/>
    <cellStyle name="20% - Ênfase5 2 18" xfId="553"/>
    <cellStyle name="20% - Ênfase5 2 19" xfId="554"/>
    <cellStyle name="20% - Ênfase5 2 2" xfId="555"/>
    <cellStyle name="20% - Ênfase5 2 20" xfId="556"/>
    <cellStyle name="20% - Ênfase5 2 21" xfId="557"/>
    <cellStyle name="20% - Ênfase5 2 22" xfId="558"/>
    <cellStyle name="20% - Ênfase5 2 23" xfId="559"/>
    <cellStyle name="20% - Ênfase5 2 24" xfId="560"/>
    <cellStyle name="20% - Ênfase5 2 25" xfId="561"/>
    <cellStyle name="20% - Ênfase5 2 26" xfId="562"/>
    <cellStyle name="20% - Ênfase5 2 27" xfId="563"/>
    <cellStyle name="20% - Ênfase5 2 28" xfId="564"/>
    <cellStyle name="20% - Ênfase5 2 29" xfId="565"/>
    <cellStyle name="20% - Ênfase5 2 3" xfId="566"/>
    <cellStyle name="20% - Ênfase5 2 30" xfId="567"/>
    <cellStyle name="20% - Ênfase5 2 31" xfId="568"/>
    <cellStyle name="20% - Ênfase5 2 32" xfId="569"/>
    <cellStyle name="20% - Ênfase5 2 33" xfId="570"/>
    <cellStyle name="20% - Ênfase5 2 34" xfId="571"/>
    <cellStyle name="20% - Ênfase5 2 35" xfId="572"/>
    <cellStyle name="20% - Ênfase5 2 36" xfId="573"/>
    <cellStyle name="20% - Ênfase5 2 37" xfId="574"/>
    <cellStyle name="20% - Ênfase5 2 38" xfId="575"/>
    <cellStyle name="20% - Ênfase5 2 39" xfId="576"/>
    <cellStyle name="20% - Ênfase5 2 4" xfId="577"/>
    <cellStyle name="20% - Ênfase5 2 40" xfId="578"/>
    <cellStyle name="20% - Ênfase5 2 41" xfId="579"/>
    <cellStyle name="20% - Ênfase5 2 42" xfId="580"/>
    <cellStyle name="20% - Ênfase5 2 43" xfId="581"/>
    <cellStyle name="20% - Ênfase5 2 44" xfId="582"/>
    <cellStyle name="20% - Ênfase5 2 45" xfId="583"/>
    <cellStyle name="20% - Ênfase5 2 46" xfId="584"/>
    <cellStyle name="20% - Ênfase5 2 47" xfId="585"/>
    <cellStyle name="20% - Ênfase5 2 48" xfId="586"/>
    <cellStyle name="20% - Ênfase5 2 49" xfId="587"/>
    <cellStyle name="20% - Ênfase5 2 5" xfId="588"/>
    <cellStyle name="20% - Ênfase5 2 50" xfId="589"/>
    <cellStyle name="20% - Ênfase5 2 51" xfId="590"/>
    <cellStyle name="20% - Ênfase5 2 52" xfId="591"/>
    <cellStyle name="20% - Ênfase5 2 53" xfId="592"/>
    <cellStyle name="20% - Ênfase5 2 54" xfId="593"/>
    <cellStyle name="20% - Ênfase5 2 55" xfId="594"/>
    <cellStyle name="20% - Ênfase5 2 56" xfId="595"/>
    <cellStyle name="20% - Ênfase5 2 57" xfId="596"/>
    <cellStyle name="20% - Ênfase5 2 58" xfId="597"/>
    <cellStyle name="20% - Ênfase5 2 6" xfId="598"/>
    <cellStyle name="20% - Ênfase5 2 7" xfId="599"/>
    <cellStyle name="20% - Ênfase5 2 8" xfId="600"/>
    <cellStyle name="20% - Ênfase5 2 9" xfId="601"/>
    <cellStyle name="20% - Ênfase5 20" xfId="602"/>
    <cellStyle name="20% - Ênfase5 21" xfId="603"/>
    <cellStyle name="20% - Ênfase5 22" xfId="604"/>
    <cellStyle name="20% - Ênfase5 23" xfId="605"/>
    <cellStyle name="20% - Ênfase5 24" xfId="606"/>
    <cellStyle name="20% - Ênfase5 25" xfId="607"/>
    <cellStyle name="20% - Ênfase5 26" xfId="608"/>
    <cellStyle name="20% - Ênfase5 27" xfId="609"/>
    <cellStyle name="20% - Ênfase5 28" xfId="610"/>
    <cellStyle name="20% - Ênfase5 29" xfId="611"/>
    <cellStyle name="20% - Ênfase5 3" xfId="612"/>
    <cellStyle name="20% - Ênfase5 3 2" xfId="613"/>
    <cellStyle name="20% - Ênfase5 3 3" xfId="614"/>
    <cellStyle name="20% - Ênfase5 3 4" xfId="615"/>
    <cellStyle name="20% - Ênfase5 3 5" xfId="616"/>
    <cellStyle name="20% - Ênfase5 3 6" xfId="617"/>
    <cellStyle name="20% - Ênfase5 30" xfId="618"/>
    <cellStyle name="20% - Ênfase5 31" xfId="619"/>
    <cellStyle name="20% - Ênfase5 32" xfId="620"/>
    <cellStyle name="20% - Ênfase5 33" xfId="621"/>
    <cellStyle name="20% - Ênfase5 34" xfId="622"/>
    <cellStyle name="20% - Ênfase5 35" xfId="623"/>
    <cellStyle name="20% - Ênfase5 36" xfId="624"/>
    <cellStyle name="20% - Ênfase5 37" xfId="625"/>
    <cellStyle name="20% - Ênfase5 38" xfId="626"/>
    <cellStyle name="20% - Ênfase5 39" xfId="627"/>
    <cellStyle name="20% - Ênfase5 4" xfId="628"/>
    <cellStyle name="20% - Ênfase5 40" xfId="629"/>
    <cellStyle name="20% - Ênfase5 41" xfId="630"/>
    <cellStyle name="20% - Ênfase5 42" xfId="631"/>
    <cellStyle name="20% - Ênfase5 43" xfId="632"/>
    <cellStyle name="20% - Ênfase5 44" xfId="633"/>
    <cellStyle name="20% - Ênfase5 45" xfId="634"/>
    <cellStyle name="20% - Ênfase5 46" xfId="635"/>
    <cellStyle name="20% - Ênfase5 47" xfId="636"/>
    <cellStyle name="20% - Ênfase5 48" xfId="637"/>
    <cellStyle name="20% - Ênfase5 49" xfId="638"/>
    <cellStyle name="20% - Ênfase5 5" xfId="639"/>
    <cellStyle name="20% - Ênfase5 50" xfId="640"/>
    <cellStyle name="20% - Ênfase5 51" xfId="641"/>
    <cellStyle name="20% - Ênfase5 52" xfId="642"/>
    <cellStyle name="20% - Ênfase5 53" xfId="643"/>
    <cellStyle name="20% - Ênfase5 54" xfId="644"/>
    <cellStyle name="20% - Ênfase5 55" xfId="645"/>
    <cellStyle name="20% - Ênfase5 56" xfId="646"/>
    <cellStyle name="20% - Ênfase5 57" xfId="647"/>
    <cellStyle name="20% - Ênfase5 58" xfId="648"/>
    <cellStyle name="20% - Ênfase5 59" xfId="649"/>
    <cellStyle name="20% - Ênfase5 6" xfId="650"/>
    <cellStyle name="20% - Ênfase5 7" xfId="651"/>
    <cellStyle name="20% - Ênfase5 8" xfId="652"/>
    <cellStyle name="20% - Ênfase5 9" xfId="653"/>
    <cellStyle name="20% - Ênfase6" xfId="654"/>
    <cellStyle name="20% - Ênfase6 10" xfId="655"/>
    <cellStyle name="20% - Ênfase6 11" xfId="656"/>
    <cellStyle name="20% - Ênfase6 12" xfId="657"/>
    <cellStyle name="20% - Ênfase6 13" xfId="658"/>
    <cellStyle name="20% - Ênfase6 14" xfId="659"/>
    <cellStyle name="20% - Ênfase6 15" xfId="660"/>
    <cellStyle name="20% - Ênfase6 16" xfId="661"/>
    <cellStyle name="20% - Ênfase6 17" xfId="662"/>
    <cellStyle name="20% - Ênfase6 18" xfId="663"/>
    <cellStyle name="20% - Ênfase6 19" xfId="664"/>
    <cellStyle name="20% - Ênfase6 2" xfId="665"/>
    <cellStyle name="20% - Ênfase6 2 10" xfId="666"/>
    <cellStyle name="20% - Ênfase6 2 11" xfId="667"/>
    <cellStyle name="20% - Ênfase6 2 12" xfId="668"/>
    <cellStyle name="20% - Ênfase6 2 13" xfId="669"/>
    <cellStyle name="20% - Ênfase6 2 14" xfId="670"/>
    <cellStyle name="20% - Ênfase6 2 15" xfId="671"/>
    <cellStyle name="20% - Ênfase6 2 16" xfId="672"/>
    <cellStyle name="20% - Ênfase6 2 17" xfId="673"/>
    <cellStyle name="20% - Ênfase6 2 18" xfId="674"/>
    <cellStyle name="20% - Ênfase6 2 19" xfId="675"/>
    <cellStyle name="20% - Ênfase6 2 2" xfId="676"/>
    <cellStyle name="20% - Ênfase6 2 20" xfId="677"/>
    <cellStyle name="20% - Ênfase6 2 21" xfId="678"/>
    <cellStyle name="20% - Ênfase6 2 22" xfId="679"/>
    <cellStyle name="20% - Ênfase6 2 23" xfId="680"/>
    <cellStyle name="20% - Ênfase6 2 24" xfId="681"/>
    <cellStyle name="20% - Ênfase6 2 25" xfId="682"/>
    <cellStyle name="20% - Ênfase6 2 26" xfId="683"/>
    <cellStyle name="20% - Ênfase6 2 27" xfId="684"/>
    <cellStyle name="20% - Ênfase6 2 28" xfId="685"/>
    <cellStyle name="20% - Ênfase6 2 29" xfId="686"/>
    <cellStyle name="20% - Ênfase6 2 3" xfId="687"/>
    <cellStyle name="20% - Ênfase6 2 30" xfId="688"/>
    <cellStyle name="20% - Ênfase6 2 31" xfId="689"/>
    <cellStyle name="20% - Ênfase6 2 32" xfId="690"/>
    <cellStyle name="20% - Ênfase6 2 33" xfId="691"/>
    <cellStyle name="20% - Ênfase6 2 34" xfId="692"/>
    <cellStyle name="20% - Ênfase6 2 35" xfId="693"/>
    <cellStyle name="20% - Ênfase6 2 36" xfId="694"/>
    <cellStyle name="20% - Ênfase6 2 37" xfId="695"/>
    <cellStyle name="20% - Ênfase6 2 38" xfId="696"/>
    <cellStyle name="20% - Ênfase6 2 39" xfId="697"/>
    <cellStyle name="20% - Ênfase6 2 4" xfId="698"/>
    <cellStyle name="20% - Ênfase6 2 40" xfId="699"/>
    <cellStyle name="20% - Ênfase6 2 41" xfId="700"/>
    <cellStyle name="20% - Ênfase6 2 42" xfId="701"/>
    <cellStyle name="20% - Ênfase6 2 43" xfId="702"/>
    <cellStyle name="20% - Ênfase6 2 44" xfId="703"/>
    <cellStyle name="20% - Ênfase6 2 45" xfId="704"/>
    <cellStyle name="20% - Ênfase6 2 46" xfId="705"/>
    <cellStyle name="20% - Ênfase6 2 47" xfId="706"/>
    <cellStyle name="20% - Ênfase6 2 48" xfId="707"/>
    <cellStyle name="20% - Ênfase6 2 49" xfId="708"/>
    <cellStyle name="20% - Ênfase6 2 5" xfId="709"/>
    <cellStyle name="20% - Ênfase6 2 50" xfId="710"/>
    <cellStyle name="20% - Ênfase6 2 51" xfId="711"/>
    <cellStyle name="20% - Ênfase6 2 52" xfId="712"/>
    <cellStyle name="20% - Ênfase6 2 53" xfId="713"/>
    <cellStyle name="20% - Ênfase6 2 54" xfId="714"/>
    <cellStyle name="20% - Ênfase6 2 55" xfId="715"/>
    <cellStyle name="20% - Ênfase6 2 56" xfId="716"/>
    <cellStyle name="20% - Ênfase6 2 57" xfId="717"/>
    <cellStyle name="20% - Ênfase6 2 58" xfId="718"/>
    <cellStyle name="20% - Ênfase6 2 6" xfId="719"/>
    <cellStyle name="20% - Ênfase6 2 7" xfId="720"/>
    <cellStyle name="20% - Ênfase6 2 8" xfId="721"/>
    <cellStyle name="20% - Ênfase6 2 9" xfId="722"/>
    <cellStyle name="20% - Ênfase6 20" xfId="723"/>
    <cellStyle name="20% - Ênfase6 21" xfId="724"/>
    <cellStyle name="20% - Ênfase6 22" xfId="725"/>
    <cellStyle name="20% - Ênfase6 23" xfId="726"/>
    <cellStyle name="20% - Ênfase6 24" xfId="727"/>
    <cellStyle name="20% - Ênfase6 25" xfId="728"/>
    <cellStyle name="20% - Ênfase6 26" xfId="729"/>
    <cellStyle name="20% - Ênfase6 27" xfId="730"/>
    <cellStyle name="20% - Ênfase6 28" xfId="731"/>
    <cellStyle name="20% - Ênfase6 29" xfId="732"/>
    <cellStyle name="20% - Ênfase6 3" xfId="733"/>
    <cellStyle name="20% - Ênfase6 3 2" xfId="734"/>
    <cellStyle name="20% - Ênfase6 3 3" xfId="735"/>
    <cellStyle name="20% - Ênfase6 3 4" xfId="736"/>
    <cellStyle name="20% - Ênfase6 3 5" xfId="737"/>
    <cellStyle name="20% - Ênfase6 3 6" xfId="738"/>
    <cellStyle name="20% - Ênfase6 30" xfId="739"/>
    <cellStyle name="20% - Ênfase6 31" xfId="740"/>
    <cellStyle name="20% - Ênfase6 32" xfId="741"/>
    <cellStyle name="20% - Ênfase6 33" xfId="742"/>
    <cellStyle name="20% - Ênfase6 34" xfId="743"/>
    <cellStyle name="20% - Ênfase6 35" xfId="744"/>
    <cellStyle name="20% - Ênfase6 36" xfId="745"/>
    <cellStyle name="20% - Ênfase6 37" xfId="746"/>
    <cellStyle name="20% - Ênfase6 38" xfId="747"/>
    <cellStyle name="20% - Ênfase6 39" xfId="748"/>
    <cellStyle name="20% - Ênfase6 4" xfId="749"/>
    <cellStyle name="20% - Ênfase6 40" xfId="750"/>
    <cellStyle name="20% - Ênfase6 41" xfId="751"/>
    <cellStyle name="20% - Ênfase6 42" xfId="752"/>
    <cellStyle name="20% - Ênfase6 43" xfId="753"/>
    <cellStyle name="20% - Ênfase6 44" xfId="754"/>
    <cellStyle name="20% - Ênfase6 45" xfId="755"/>
    <cellStyle name="20% - Ênfase6 46" xfId="756"/>
    <cellStyle name="20% - Ênfase6 47" xfId="757"/>
    <cellStyle name="20% - Ênfase6 48" xfId="758"/>
    <cellStyle name="20% - Ênfase6 49" xfId="759"/>
    <cellStyle name="20% - Ênfase6 5" xfId="760"/>
    <cellStyle name="20% - Ênfase6 50" xfId="761"/>
    <cellStyle name="20% - Ênfase6 51" xfId="762"/>
    <cellStyle name="20% - Ênfase6 52" xfId="763"/>
    <cellStyle name="20% - Ênfase6 53" xfId="764"/>
    <cellStyle name="20% - Ênfase6 54" xfId="765"/>
    <cellStyle name="20% - Ênfase6 55" xfId="766"/>
    <cellStyle name="20% - Ênfase6 56" xfId="767"/>
    <cellStyle name="20% - Ênfase6 57" xfId="768"/>
    <cellStyle name="20% - Ênfase6 58" xfId="769"/>
    <cellStyle name="20% - Ênfase6 59" xfId="770"/>
    <cellStyle name="20% - Ênfase6 6" xfId="771"/>
    <cellStyle name="20% - Ênfase6 7" xfId="772"/>
    <cellStyle name="20% - Ênfase6 8" xfId="773"/>
    <cellStyle name="20% - Ênfase6 9" xfId="774"/>
    <cellStyle name="40% - Accent1" xfId="775"/>
    <cellStyle name="40% - Accent2" xfId="776"/>
    <cellStyle name="40% - Accent3" xfId="777"/>
    <cellStyle name="40% - Accent4" xfId="778"/>
    <cellStyle name="40% - Accent5" xfId="779"/>
    <cellStyle name="40% - Accent6" xfId="780"/>
    <cellStyle name="40% - Ênfase1" xfId="781"/>
    <cellStyle name="40% - Ênfase1 10" xfId="782"/>
    <cellStyle name="40% - Ênfase1 11" xfId="783"/>
    <cellStyle name="40% - Ênfase1 12" xfId="784"/>
    <cellStyle name="40% - Ênfase1 13" xfId="785"/>
    <cellStyle name="40% - Ênfase1 14" xfId="786"/>
    <cellStyle name="40% - Ênfase1 15" xfId="787"/>
    <cellStyle name="40% - Ênfase1 16" xfId="788"/>
    <cellStyle name="40% - Ênfase1 17" xfId="789"/>
    <cellStyle name="40% - Ênfase1 18" xfId="790"/>
    <cellStyle name="40% - Ênfase1 19" xfId="791"/>
    <cellStyle name="40% - Ênfase1 2" xfId="792"/>
    <cellStyle name="40% - Ênfase1 2 10" xfId="793"/>
    <cellStyle name="40% - Ênfase1 2 11" xfId="794"/>
    <cellStyle name="40% - Ênfase1 2 12" xfId="795"/>
    <cellStyle name="40% - Ênfase1 2 13" xfId="796"/>
    <cellStyle name="40% - Ênfase1 2 14" xfId="797"/>
    <cellStyle name="40% - Ênfase1 2 15" xfId="798"/>
    <cellStyle name="40% - Ênfase1 2 16" xfId="799"/>
    <cellStyle name="40% - Ênfase1 2 17" xfId="800"/>
    <cellStyle name="40% - Ênfase1 2 18" xfId="801"/>
    <cellStyle name="40% - Ênfase1 2 19" xfId="802"/>
    <cellStyle name="40% - Ênfase1 2 2" xfId="803"/>
    <cellStyle name="40% - Ênfase1 2 20" xfId="804"/>
    <cellStyle name="40% - Ênfase1 2 21" xfId="805"/>
    <cellStyle name="40% - Ênfase1 2 22" xfId="806"/>
    <cellStyle name="40% - Ênfase1 2 23" xfId="807"/>
    <cellStyle name="40% - Ênfase1 2 24" xfId="808"/>
    <cellStyle name="40% - Ênfase1 2 25" xfId="809"/>
    <cellStyle name="40% - Ênfase1 2 26" xfId="810"/>
    <cellStyle name="40% - Ênfase1 2 27" xfId="811"/>
    <cellStyle name="40% - Ênfase1 2 28" xfId="812"/>
    <cellStyle name="40% - Ênfase1 2 29" xfId="813"/>
    <cellStyle name="40% - Ênfase1 2 3" xfId="814"/>
    <cellStyle name="40% - Ênfase1 2 30" xfId="815"/>
    <cellStyle name="40% - Ênfase1 2 31" xfId="816"/>
    <cellStyle name="40% - Ênfase1 2 32" xfId="817"/>
    <cellStyle name="40% - Ênfase1 2 33" xfId="818"/>
    <cellStyle name="40% - Ênfase1 2 34" xfId="819"/>
    <cellStyle name="40% - Ênfase1 2 35" xfId="820"/>
    <cellStyle name="40% - Ênfase1 2 36" xfId="821"/>
    <cellStyle name="40% - Ênfase1 2 37" xfId="822"/>
    <cellStyle name="40% - Ênfase1 2 38" xfId="823"/>
    <cellStyle name="40% - Ênfase1 2 39" xfId="824"/>
    <cellStyle name="40% - Ênfase1 2 4" xfId="825"/>
    <cellStyle name="40% - Ênfase1 2 40" xfId="826"/>
    <cellStyle name="40% - Ênfase1 2 41" xfId="827"/>
    <cellStyle name="40% - Ênfase1 2 42" xfId="828"/>
    <cellStyle name="40% - Ênfase1 2 43" xfId="829"/>
    <cellStyle name="40% - Ênfase1 2 44" xfId="830"/>
    <cellStyle name="40% - Ênfase1 2 45" xfId="831"/>
    <cellStyle name="40% - Ênfase1 2 46" xfId="832"/>
    <cellStyle name="40% - Ênfase1 2 47" xfId="833"/>
    <cellStyle name="40% - Ênfase1 2 48" xfId="834"/>
    <cellStyle name="40% - Ênfase1 2 49" xfId="835"/>
    <cellStyle name="40% - Ênfase1 2 5" xfId="836"/>
    <cellStyle name="40% - Ênfase1 2 50" xfId="837"/>
    <cellStyle name="40% - Ênfase1 2 51" xfId="838"/>
    <cellStyle name="40% - Ênfase1 2 52" xfId="839"/>
    <cellStyle name="40% - Ênfase1 2 53" xfId="840"/>
    <cellStyle name="40% - Ênfase1 2 54" xfId="841"/>
    <cellStyle name="40% - Ênfase1 2 55" xfId="842"/>
    <cellStyle name="40% - Ênfase1 2 56" xfId="843"/>
    <cellStyle name="40% - Ênfase1 2 57" xfId="844"/>
    <cellStyle name="40% - Ênfase1 2 58" xfId="845"/>
    <cellStyle name="40% - Ênfase1 2 6" xfId="846"/>
    <cellStyle name="40% - Ênfase1 2 7" xfId="847"/>
    <cellStyle name="40% - Ênfase1 2 8" xfId="848"/>
    <cellStyle name="40% - Ênfase1 2 9" xfId="849"/>
    <cellStyle name="40% - Ênfase1 20" xfId="850"/>
    <cellStyle name="40% - Ênfase1 21" xfId="851"/>
    <cellStyle name="40% - Ênfase1 22" xfId="852"/>
    <cellStyle name="40% - Ênfase1 23" xfId="853"/>
    <cellStyle name="40% - Ênfase1 24" xfId="854"/>
    <cellStyle name="40% - Ênfase1 25" xfId="855"/>
    <cellStyle name="40% - Ênfase1 26" xfId="856"/>
    <cellStyle name="40% - Ênfase1 27" xfId="857"/>
    <cellStyle name="40% - Ênfase1 28" xfId="858"/>
    <cellStyle name="40% - Ênfase1 29" xfId="859"/>
    <cellStyle name="40% - Ênfase1 3" xfId="860"/>
    <cellStyle name="40% - Ênfase1 3 2" xfId="861"/>
    <cellStyle name="40% - Ênfase1 3 3" xfId="862"/>
    <cellStyle name="40% - Ênfase1 3 4" xfId="863"/>
    <cellStyle name="40% - Ênfase1 3 5" xfId="864"/>
    <cellStyle name="40% - Ênfase1 3 6" xfId="865"/>
    <cellStyle name="40% - Ênfase1 3 7" xfId="866"/>
    <cellStyle name="40% - Ênfase1 30" xfId="867"/>
    <cellStyle name="40% - Ênfase1 31" xfId="868"/>
    <cellStyle name="40% - Ênfase1 32" xfId="869"/>
    <cellStyle name="40% - Ênfase1 33" xfId="870"/>
    <cellStyle name="40% - Ênfase1 34" xfId="871"/>
    <cellStyle name="40% - Ênfase1 35" xfId="872"/>
    <cellStyle name="40% - Ênfase1 36" xfId="873"/>
    <cellStyle name="40% - Ênfase1 37" xfId="874"/>
    <cellStyle name="40% - Ênfase1 38" xfId="875"/>
    <cellStyle name="40% - Ênfase1 39" xfId="876"/>
    <cellStyle name="40% - Ênfase1 4" xfId="877"/>
    <cellStyle name="40% - Ênfase1 4 2" xfId="878"/>
    <cellStyle name="40% - Ênfase1 40" xfId="879"/>
    <cellStyle name="40% - Ênfase1 41" xfId="880"/>
    <cellStyle name="40% - Ênfase1 42" xfId="881"/>
    <cellStyle name="40% - Ênfase1 43" xfId="882"/>
    <cellStyle name="40% - Ênfase1 44" xfId="883"/>
    <cellStyle name="40% - Ênfase1 45" xfId="884"/>
    <cellStyle name="40% - Ênfase1 46" xfId="885"/>
    <cellStyle name="40% - Ênfase1 47" xfId="886"/>
    <cellStyle name="40% - Ênfase1 48" xfId="887"/>
    <cellStyle name="40% - Ênfase1 49" xfId="888"/>
    <cellStyle name="40% - Ênfase1 5" xfId="889"/>
    <cellStyle name="40% - Ênfase1 5 2" xfId="890"/>
    <cellStyle name="40% - Ênfase1 50" xfId="891"/>
    <cellStyle name="40% - Ênfase1 51" xfId="892"/>
    <cellStyle name="40% - Ênfase1 52" xfId="893"/>
    <cellStyle name="40% - Ênfase1 53" xfId="894"/>
    <cellStyle name="40% - Ênfase1 54" xfId="895"/>
    <cellStyle name="40% - Ênfase1 55" xfId="896"/>
    <cellStyle name="40% - Ênfase1 56" xfId="897"/>
    <cellStyle name="40% - Ênfase1 57" xfId="898"/>
    <cellStyle name="40% - Ênfase1 58" xfId="899"/>
    <cellStyle name="40% - Ênfase1 59" xfId="900"/>
    <cellStyle name="40% - Ênfase1 6" xfId="901"/>
    <cellStyle name="40% - Ênfase1 6 2" xfId="902"/>
    <cellStyle name="40% - Ênfase1 7" xfId="903"/>
    <cellStyle name="40% - Ênfase1 7 2" xfId="904"/>
    <cellStyle name="40% - Ênfase1 8" xfId="905"/>
    <cellStyle name="40% - Ênfase1 8 2" xfId="906"/>
    <cellStyle name="40% - Ênfase1 9" xfId="907"/>
    <cellStyle name="40% - Ênfase1 9 2" xfId="908"/>
    <cellStyle name="40% - Ênfase2" xfId="909"/>
    <cellStyle name="40% - Ênfase2 10" xfId="910"/>
    <cellStyle name="40% - Ênfase2 11" xfId="911"/>
    <cellStyle name="40% - Ênfase2 12" xfId="912"/>
    <cellStyle name="40% - Ênfase2 13" xfId="913"/>
    <cellStyle name="40% - Ênfase2 14" xfId="914"/>
    <cellStyle name="40% - Ênfase2 15" xfId="915"/>
    <cellStyle name="40% - Ênfase2 16" xfId="916"/>
    <cellStyle name="40% - Ênfase2 17" xfId="917"/>
    <cellStyle name="40% - Ênfase2 18" xfId="918"/>
    <cellStyle name="40% - Ênfase2 19" xfId="919"/>
    <cellStyle name="40% - Ênfase2 2" xfId="920"/>
    <cellStyle name="40% - Ênfase2 2 10" xfId="921"/>
    <cellStyle name="40% - Ênfase2 2 11" xfId="922"/>
    <cellStyle name="40% - Ênfase2 2 12" xfId="923"/>
    <cellStyle name="40% - Ênfase2 2 13" xfId="924"/>
    <cellStyle name="40% - Ênfase2 2 14" xfId="925"/>
    <cellStyle name="40% - Ênfase2 2 15" xfId="926"/>
    <cellStyle name="40% - Ênfase2 2 16" xfId="927"/>
    <cellStyle name="40% - Ênfase2 2 17" xfId="928"/>
    <cellStyle name="40% - Ênfase2 2 18" xfId="929"/>
    <cellStyle name="40% - Ênfase2 2 19" xfId="930"/>
    <cellStyle name="40% - Ênfase2 2 2" xfId="931"/>
    <cellStyle name="40% - Ênfase2 2 20" xfId="932"/>
    <cellStyle name="40% - Ênfase2 2 21" xfId="933"/>
    <cellStyle name="40% - Ênfase2 2 22" xfId="934"/>
    <cellStyle name="40% - Ênfase2 2 23" xfId="935"/>
    <cellStyle name="40% - Ênfase2 2 24" xfId="936"/>
    <cellStyle name="40% - Ênfase2 2 25" xfId="937"/>
    <cellStyle name="40% - Ênfase2 2 26" xfId="938"/>
    <cellStyle name="40% - Ênfase2 2 27" xfId="939"/>
    <cellStyle name="40% - Ênfase2 2 28" xfId="940"/>
    <cellStyle name="40% - Ênfase2 2 29" xfId="941"/>
    <cellStyle name="40% - Ênfase2 2 3" xfId="942"/>
    <cellStyle name="40% - Ênfase2 2 30" xfId="943"/>
    <cellStyle name="40% - Ênfase2 2 31" xfId="944"/>
    <cellStyle name="40% - Ênfase2 2 32" xfId="945"/>
    <cellStyle name="40% - Ênfase2 2 33" xfId="946"/>
    <cellStyle name="40% - Ênfase2 2 34" xfId="947"/>
    <cellStyle name="40% - Ênfase2 2 35" xfId="948"/>
    <cellStyle name="40% - Ênfase2 2 36" xfId="949"/>
    <cellStyle name="40% - Ênfase2 2 37" xfId="950"/>
    <cellStyle name="40% - Ênfase2 2 38" xfId="951"/>
    <cellStyle name="40% - Ênfase2 2 39" xfId="952"/>
    <cellStyle name="40% - Ênfase2 2 4" xfId="953"/>
    <cellStyle name="40% - Ênfase2 2 40" xfId="954"/>
    <cellStyle name="40% - Ênfase2 2 41" xfId="955"/>
    <cellStyle name="40% - Ênfase2 2 42" xfId="956"/>
    <cellStyle name="40% - Ênfase2 2 43" xfId="957"/>
    <cellStyle name="40% - Ênfase2 2 44" xfId="958"/>
    <cellStyle name="40% - Ênfase2 2 45" xfId="959"/>
    <cellStyle name="40% - Ênfase2 2 46" xfId="960"/>
    <cellStyle name="40% - Ênfase2 2 47" xfId="961"/>
    <cellStyle name="40% - Ênfase2 2 48" xfId="962"/>
    <cellStyle name="40% - Ênfase2 2 49" xfId="963"/>
    <cellStyle name="40% - Ênfase2 2 5" xfId="964"/>
    <cellStyle name="40% - Ênfase2 2 50" xfId="965"/>
    <cellStyle name="40% - Ênfase2 2 51" xfId="966"/>
    <cellStyle name="40% - Ênfase2 2 52" xfId="967"/>
    <cellStyle name="40% - Ênfase2 2 53" xfId="968"/>
    <cellStyle name="40% - Ênfase2 2 54" xfId="969"/>
    <cellStyle name="40% - Ênfase2 2 55" xfId="970"/>
    <cellStyle name="40% - Ênfase2 2 56" xfId="971"/>
    <cellStyle name="40% - Ênfase2 2 57" xfId="972"/>
    <cellStyle name="40% - Ênfase2 2 58" xfId="973"/>
    <cellStyle name="40% - Ênfase2 2 6" xfId="974"/>
    <cellStyle name="40% - Ênfase2 2 7" xfId="975"/>
    <cellStyle name="40% - Ênfase2 2 8" xfId="976"/>
    <cellStyle name="40% - Ênfase2 2 9" xfId="977"/>
    <cellStyle name="40% - Ênfase2 20" xfId="978"/>
    <cellStyle name="40% - Ênfase2 21" xfId="979"/>
    <cellStyle name="40% - Ênfase2 22" xfId="980"/>
    <cellStyle name="40% - Ênfase2 23" xfId="981"/>
    <cellStyle name="40% - Ênfase2 24" xfId="982"/>
    <cellStyle name="40% - Ênfase2 25" xfId="983"/>
    <cellStyle name="40% - Ênfase2 26" xfId="984"/>
    <cellStyle name="40% - Ênfase2 27" xfId="985"/>
    <cellStyle name="40% - Ênfase2 28" xfId="986"/>
    <cellStyle name="40% - Ênfase2 29" xfId="987"/>
    <cellStyle name="40% - Ênfase2 3" xfId="988"/>
    <cellStyle name="40% - Ênfase2 3 2" xfId="989"/>
    <cellStyle name="40% - Ênfase2 3 3" xfId="990"/>
    <cellStyle name="40% - Ênfase2 3 4" xfId="991"/>
    <cellStyle name="40% - Ênfase2 3 5" xfId="992"/>
    <cellStyle name="40% - Ênfase2 3 6" xfId="993"/>
    <cellStyle name="40% - Ênfase2 30" xfId="994"/>
    <cellStyle name="40% - Ênfase2 31" xfId="995"/>
    <cellStyle name="40% - Ênfase2 32" xfId="996"/>
    <cellStyle name="40% - Ênfase2 33" xfId="997"/>
    <cellStyle name="40% - Ênfase2 34" xfId="998"/>
    <cellStyle name="40% - Ênfase2 35" xfId="999"/>
    <cellStyle name="40% - Ênfase2 36" xfId="1000"/>
    <cellStyle name="40% - Ênfase2 37" xfId="1001"/>
    <cellStyle name="40% - Ênfase2 38" xfId="1002"/>
    <cellStyle name="40% - Ênfase2 39" xfId="1003"/>
    <cellStyle name="40% - Ênfase2 4" xfId="1004"/>
    <cellStyle name="40% - Ênfase2 40" xfId="1005"/>
    <cellStyle name="40% - Ênfase2 41" xfId="1006"/>
    <cellStyle name="40% - Ênfase2 42" xfId="1007"/>
    <cellStyle name="40% - Ênfase2 43" xfId="1008"/>
    <cellStyle name="40% - Ênfase2 44" xfId="1009"/>
    <cellStyle name="40% - Ênfase2 45" xfId="1010"/>
    <cellStyle name="40% - Ênfase2 46" xfId="1011"/>
    <cellStyle name="40% - Ênfase2 47" xfId="1012"/>
    <cellStyle name="40% - Ênfase2 48" xfId="1013"/>
    <cellStyle name="40% - Ênfase2 49" xfId="1014"/>
    <cellStyle name="40% - Ênfase2 5" xfId="1015"/>
    <cellStyle name="40% - Ênfase2 50" xfId="1016"/>
    <cellStyle name="40% - Ênfase2 51" xfId="1017"/>
    <cellStyle name="40% - Ênfase2 52" xfId="1018"/>
    <cellStyle name="40% - Ênfase2 53" xfId="1019"/>
    <cellStyle name="40% - Ênfase2 54" xfId="1020"/>
    <cellStyle name="40% - Ênfase2 55" xfId="1021"/>
    <cellStyle name="40% - Ênfase2 56" xfId="1022"/>
    <cellStyle name="40% - Ênfase2 57" xfId="1023"/>
    <cellStyle name="40% - Ênfase2 58" xfId="1024"/>
    <cellStyle name="40% - Ênfase2 59" xfId="1025"/>
    <cellStyle name="40% - Ênfase2 6" xfId="1026"/>
    <cellStyle name="40% - Ênfase2 7" xfId="1027"/>
    <cellStyle name="40% - Ênfase2 8" xfId="1028"/>
    <cellStyle name="40% - Ênfase2 9" xfId="1029"/>
    <cellStyle name="40% - Ênfase3" xfId="1030"/>
    <cellStyle name="40% - Ênfase3 10" xfId="1031"/>
    <cellStyle name="40% - Ênfase3 11" xfId="1032"/>
    <cellStyle name="40% - Ênfase3 12" xfId="1033"/>
    <cellStyle name="40% - Ênfase3 13" xfId="1034"/>
    <cellStyle name="40% - Ênfase3 14" xfId="1035"/>
    <cellStyle name="40% - Ênfase3 15" xfId="1036"/>
    <cellStyle name="40% - Ênfase3 16" xfId="1037"/>
    <cellStyle name="40% - Ênfase3 17" xfId="1038"/>
    <cellStyle name="40% - Ênfase3 18" xfId="1039"/>
    <cellStyle name="40% - Ênfase3 19" xfId="1040"/>
    <cellStyle name="40% - Ênfase3 2" xfId="1041"/>
    <cellStyle name="40% - Ênfase3 2 10" xfId="1042"/>
    <cellStyle name="40% - Ênfase3 2 11" xfId="1043"/>
    <cellStyle name="40% - Ênfase3 2 12" xfId="1044"/>
    <cellStyle name="40% - Ênfase3 2 13" xfId="1045"/>
    <cellStyle name="40% - Ênfase3 2 14" xfId="1046"/>
    <cellStyle name="40% - Ênfase3 2 15" xfId="1047"/>
    <cellStyle name="40% - Ênfase3 2 16" xfId="1048"/>
    <cellStyle name="40% - Ênfase3 2 17" xfId="1049"/>
    <cellStyle name="40% - Ênfase3 2 18" xfId="1050"/>
    <cellStyle name="40% - Ênfase3 2 19" xfId="1051"/>
    <cellStyle name="40% - Ênfase3 2 2" xfId="1052"/>
    <cellStyle name="40% - Ênfase3 2 20" xfId="1053"/>
    <cellStyle name="40% - Ênfase3 2 21" xfId="1054"/>
    <cellStyle name="40% - Ênfase3 2 22" xfId="1055"/>
    <cellStyle name="40% - Ênfase3 2 23" xfId="1056"/>
    <cellStyle name="40% - Ênfase3 2 24" xfId="1057"/>
    <cellStyle name="40% - Ênfase3 2 25" xfId="1058"/>
    <cellStyle name="40% - Ênfase3 2 26" xfId="1059"/>
    <cellStyle name="40% - Ênfase3 2 27" xfId="1060"/>
    <cellStyle name="40% - Ênfase3 2 28" xfId="1061"/>
    <cellStyle name="40% - Ênfase3 2 29" xfId="1062"/>
    <cellStyle name="40% - Ênfase3 2 3" xfId="1063"/>
    <cellStyle name="40% - Ênfase3 2 30" xfId="1064"/>
    <cellStyle name="40% - Ênfase3 2 31" xfId="1065"/>
    <cellStyle name="40% - Ênfase3 2 32" xfId="1066"/>
    <cellStyle name="40% - Ênfase3 2 33" xfId="1067"/>
    <cellStyle name="40% - Ênfase3 2 34" xfId="1068"/>
    <cellStyle name="40% - Ênfase3 2 35" xfId="1069"/>
    <cellStyle name="40% - Ênfase3 2 36" xfId="1070"/>
    <cellStyle name="40% - Ênfase3 2 37" xfId="1071"/>
    <cellStyle name="40% - Ênfase3 2 38" xfId="1072"/>
    <cellStyle name="40% - Ênfase3 2 39" xfId="1073"/>
    <cellStyle name="40% - Ênfase3 2 4" xfId="1074"/>
    <cellStyle name="40% - Ênfase3 2 40" xfId="1075"/>
    <cellStyle name="40% - Ênfase3 2 41" xfId="1076"/>
    <cellStyle name="40% - Ênfase3 2 42" xfId="1077"/>
    <cellStyle name="40% - Ênfase3 2 43" xfId="1078"/>
    <cellStyle name="40% - Ênfase3 2 44" xfId="1079"/>
    <cellStyle name="40% - Ênfase3 2 45" xfId="1080"/>
    <cellStyle name="40% - Ênfase3 2 46" xfId="1081"/>
    <cellStyle name="40% - Ênfase3 2 47" xfId="1082"/>
    <cellStyle name="40% - Ênfase3 2 48" xfId="1083"/>
    <cellStyle name="40% - Ênfase3 2 49" xfId="1084"/>
    <cellStyle name="40% - Ênfase3 2 5" xfId="1085"/>
    <cellStyle name="40% - Ênfase3 2 50" xfId="1086"/>
    <cellStyle name="40% - Ênfase3 2 51" xfId="1087"/>
    <cellStyle name="40% - Ênfase3 2 52" xfId="1088"/>
    <cellStyle name="40% - Ênfase3 2 53" xfId="1089"/>
    <cellStyle name="40% - Ênfase3 2 54" xfId="1090"/>
    <cellStyle name="40% - Ênfase3 2 55" xfId="1091"/>
    <cellStyle name="40% - Ênfase3 2 56" xfId="1092"/>
    <cellStyle name="40% - Ênfase3 2 57" xfId="1093"/>
    <cellStyle name="40% - Ênfase3 2 58" xfId="1094"/>
    <cellStyle name="40% - Ênfase3 2 6" xfId="1095"/>
    <cellStyle name="40% - Ênfase3 2 7" xfId="1096"/>
    <cellStyle name="40% - Ênfase3 2 8" xfId="1097"/>
    <cellStyle name="40% - Ênfase3 2 9" xfId="1098"/>
    <cellStyle name="40% - Ênfase3 20" xfId="1099"/>
    <cellStyle name="40% - Ênfase3 21" xfId="1100"/>
    <cellStyle name="40% - Ênfase3 22" xfId="1101"/>
    <cellStyle name="40% - Ênfase3 23" xfId="1102"/>
    <cellStyle name="40% - Ênfase3 24" xfId="1103"/>
    <cellStyle name="40% - Ênfase3 25" xfId="1104"/>
    <cellStyle name="40% - Ênfase3 26" xfId="1105"/>
    <cellStyle name="40% - Ênfase3 27" xfId="1106"/>
    <cellStyle name="40% - Ênfase3 28" xfId="1107"/>
    <cellStyle name="40% - Ênfase3 29" xfId="1108"/>
    <cellStyle name="40% - Ênfase3 3" xfId="1109"/>
    <cellStyle name="40% - Ênfase3 3 2" xfId="1110"/>
    <cellStyle name="40% - Ênfase3 3 3" xfId="1111"/>
    <cellStyle name="40% - Ênfase3 3 4" xfId="1112"/>
    <cellStyle name="40% - Ênfase3 3 5" xfId="1113"/>
    <cellStyle name="40% - Ênfase3 3 6" xfId="1114"/>
    <cellStyle name="40% - Ênfase3 3 7" xfId="1115"/>
    <cellStyle name="40% - Ênfase3 30" xfId="1116"/>
    <cellStyle name="40% - Ênfase3 31" xfId="1117"/>
    <cellStyle name="40% - Ênfase3 32" xfId="1118"/>
    <cellStyle name="40% - Ênfase3 33" xfId="1119"/>
    <cellStyle name="40% - Ênfase3 34" xfId="1120"/>
    <cellStyle name="40% - Ênfase3 35" xfId="1121"/>
    <cellStyle name="40% - Ênfase3 36" xfId="1122"/>
    <cellStyle name="40% - Ênfase3 37" xfId="1123"/>
    <cellStyle name="40% - Ênfase3 38" xfId="1124"/>
    <cellStyle name="40% - Ênfase3 39" xfId="1125"/>
    <cellStyle name="40% - Ênfase3 4" xfId="1126"/>
    <cellStyle name="40% - Ênfase3 4 2" xfId="1127"/>
    <cellStyle name="40% - Ênfase3 40" xfId="1128"/>
    <cellStyle name="40% - Ênfase3 41" xfId="1129"/>
    <cellStyle name="40% - Ênfase3 42" xfId="1130"/>
    <cellStyle name="40% - Ênfase3 43" xfId="1131"/>
    <cellStyle name="40% - Ênfase3 44" xfId="1132"/>
    <cellStyle name="40% - Ênfase3 45" xfId="1133"/>
    <cellStyle name="40% - Ênfase3 46" xfId="1134"/>
    <cellStyle name="40% - Ênfase3 47" xfId="1135"/>
    <cellStyle name="40% - Ênfase3 48" xfId="1136"/>
    <cellStyle name="40% - Ênfase3 49" xfId="1137"/>
    <cellStyle name="40% - Ênfase3 5" xfId="1138"/>
    <cellStyle name="40% - Ênfase3 5 2" xfId="1139"/>
    <cellStyle name="40% - Ênfase3 50" xfId="1140"/>
    <cellStyle name="40% - Ênfase3 51" xfId="1141"/>
    <cellStyle name="40% - Ênfase3 52" xfId="1142"/>
    <cellStyle name="40% - Ênfase3 53" xfId="1143"/>
    <cellStyle name="40% - Ênfase3 54" xfId="1144"/>
    <cellStyle name="40% - Ênfase3 55" xfId="1145"/>
    <cellStyle name="40% - Ênfase3 56" xfId="1146"/>
    <cellStyle name="40% - Ênfase3 57" xfId="1147"/>
    <cellStyle name="40% - Ênfase3 58" xfId="1148"/>
    <cellStyle name="40% - Ênfase3 59" xfId="1149"/>
    <cellStyle name="40% - Ênfase3 6" xfId="1150"/>
    <cellStyle name="40% - Ênfase3 6 2" xfId="1151"/>
    <cellStyle name="40% - Ênfase3 7" xfId="1152"/>
    <cellStyle name="40% - Ênfase3 7 2" xfId="1153"/>
    <cellStyle name="40% - Ênfase3 8" xfId="1154"/>
    <cellStyle name="40% - Ênfase3 8 2" xfId="1155"/>
    <cellStyle name="40% - Ênfase3 9" xfId="1156"/>
    <cellStyle name="40% - Ênfase3 9 2" xfId="1157"/>
    <cellStyle name="40% - Ênfase4" xfId="1158"/>
    <cellStyle name="40% - Ênfase4 10" xfId="1159"/>
    <cellStyle name="40% - Ênfase4 11" xfId="1160"/>
    <cellStyle name="40% - Ênfase4 12" xfId="1161"/>
    <cellStyle name="40% - Ênfase4 13" xfId="1162"/>
    <cellStyle name="40% - Ênfase4 14" xfId="1163"/>
    <cellStyle name="40% - Ênfase4 15" xfId="1164"/>
    <cellStyle name="40% - Ênfase4 16" xfId="1165"/>
    <cellStyle name="40% - Ênfase4 17" xfId="1166"/>
    <cellStyle name="40% - Ênfase4 18" xfId="1167"/>
    <cellStyle name="40% - Ênfase4 19" xfId="1168"/>
    <cellStyle name="40% - Ênfase4 2" xfId="1169"/>
    <cellStyle name="40% - Ênfase4 2 10" xfId="1170"/>
    <cellStyle name="40% - Ênfase4 2 11" xfId="1171"/>
    <cellStyle name="40% - Ênfase4 2 12" xfId="1172"/>
    <cellStyle name="40% - Ênfase4 2 13" xfId="1173"/>
    <cellStyle name="40% - Ênfase4 2 14" xfId="1174"/>
    <cellStyle name="40% - Ênfase4 2 15" xfId="1175"/>
    <cellStyle name="40% - Ênfase4 2 16" xfId="1176"/>
    <cellStyle name="40% - Ênfase4 2 17" xfId="1177"/>
    <cellStyle name="40% - Ênfase4 2 18" xfId="1178"/>
    <cellStyle name="40% - Ênfase4 2 19" xfId="1179"/>
    <cellStyle name="40% - Ênfase4 2 2" xfId="1180"/>
    <cellStyle name="40% - Ênfase4 2 20" xfId="1181"/>
    <cellStyle name="40% - Ênfase4 2 21" xfId="1182"/>
    <cellStyle name="40% - Ênfase4 2 22" xfId="1183"/>
    <cellStyle name="40% - Ênfase4 2 23" xfId="1184"/>
    <cellStyle name="40% - Ênfase4 2 24" xfId="1185"/>
    <cellStyle name="40% - Ênfase4 2 25" xfId="1186"/>
    <cellStyle name="40% - Ênfase4 2 26" xfId="1187"/>
    <cellStyle name="40% - Ênfase4 2 27" xfId="1188"/>
    <cellStyle name="40% - Ênfase4 2 28" xfId="1189"/>
    <cellStyle name="40% - Ênfase4 2 29" xfId="1190"/>
    <cellStyle name="40% - Ênfase4 2 3" xfId="1191"/>
    <cellStyle name="40% - Ênfase4 2 30" xfId="1192"/>
    <cellStyle name="40% - Ênfase4 2 31" xfId="1193"/>
    <cellStyle name="40% - Ênfase4 2 32" xfId="1194"/>
    <cellStyle name="40% - Ênfase4 2 33" xfId="1195"/>
    <cellStyle name="40% - Ênfase4 2 34" xfId="1196"/>
    <cellStyle name="40% - Ênfase4 2 35" xfId="1197"/>
    <cellStyle name="40% - Ênfase4 2 36" xfId="1198"/>
    <cellStyle name="40% - Ênfase4 2 37" xfId="1199"/>
    <cellStyle name="40% - Ênfase4 2 38" xfId="1200"/>
    <cellStyle name="40% - Ênfase4 2 39" xfId="1201"/>
    <cellStyle name="40% - Ênfase4 2 4" xfId="1202"/>
    <cellStyle name="40% - Ênfase4 2 40" xfId="1203"/>
    <cellStyle name="40% - Ênfase4 2 41" xfId="1204"/>
    <cellStyle name="40% - Ênfase4 2 42" xfId="1205"/>
    <cellStyle name="40% - Ênfase4 2 43" xfId="1206"/>
    <cellStyle name="40% - Ênfase4 2 44" xfId="1207"/>
    <cellStyle name="40% - Ênfase4 2 45" xfId="1208"/>
    <cellStyle name="40% - Ênfase4 2 46" xfId="1209"/>
    <cellStyle name="40% - Ênfase4 2 47" xfId="1210"/>
    <cellStyle name="40% - Ênfase4 2 48" xfId="1211"/>
    <cellStyle name="40% - Ênfase4 2 49" xfId="1212"/>
    <cellStyle name="40% - Ênfase4 2 5" xfId="1213"/>
    <cellStyle name="40% - Ênfase4 2 50" xfId="1214"/>
    <cellStyle name="40% - Ênfase4 2 51" xfId="1215"/>
    <cellStyle name="40% - Ênfase4 2 52" xfId="1216"/>
    <cellStyle name="40% - Ênfase4 2 53" xfId="1217"/>
    <cellStyle name="40% - Ênfase4 2 54" xfId="1218"/>
    <cellStyle name="40% - Ênfase4 2 55" xfId="1219"/>
    <cellStyle name="40% - Ênfase4 2 56" xfId="1220"/>
    <cellStyle name="40% - Ênfase4 2 57" xfId="1221"/>
    <cellStyle name="40% - Ênfase4 2 58" xfId="1222"/>
    <cellStyle name="40% - Ênfase4 2 6" xfId="1223"/>
    <cellStyle name="40% - Ênfase4 2 7" xfId="1224"/>
    <cellStyle name="40% - Ênfase4 2 8" xfId="1225"/>
    <cellStyle name="40% - Ênfase4 2 9" xfId="1226"/>
    <cellStyle name="40% - Ênfase4 20" xfId="1227"/>
    <cellStyle name="40% - Ênfase4 21" xfId="1228"/>
    <cellStyle name="40% - Ênfase4 22" xfId="1229"/>
    <cellStyle name="40% - Ênfase4 23" xfId="1230"/>
    <cellStyle name="40% - Ênfase4 24" xfId="1231"/>
    <cellStyle name="40% - Ênfase4 25" xfId="1232"/>
    <cellStyle name="40% - Ênfase4 26" xfId="1233"/>
    <cellStyle name="40% - Ênfase4 27" xfId="1234"/>
    <cellStyle name="40% - Ênfase4 28" xfId="1235"/>
    <cellStyle name="40% - Ênfase4 29" xfId="1236"/>
    <cellStyle name="40% - Ênfase4 3" xfId="1237"/>
    <cellStyle name="40% - Ênfase4 3 2" xfId="1238"/>
    <cellStyle name="40% - Ênfase4 3 3" xfId="1239"/>
    <cellStyle name="40% - Ênfase4 3 4" xfId="1240"/>
    <cellStyle name="40% - Ênfase4 3 5" xfId="1241"/>
    <cellStyle name="40% - Ênfase4 3 6" xfId="1242"/>
    <cellStyle name="40% - Ênfase4 3 7" xfId="1243"/>
    <cellStyle name="40% - Ênfase4 30" xfId="1244"/>
    <cellStyle name="40% - Ênfase4 31" xfId="1245"/>
    <cellStyle name="40% - Ênfase4 32" xfId="1246"/>
    <cellStyle name="40% - Ênfase4 33" xfId="1247"/>
    <cellStyle name="40% - Ênfase4 34" xfId="1248"/>
    <cellStyle name="40% - Ênfase4 35" xfId="1249"/>
    <cellStyle name="40% - Ênfase4 36" xfId="1250"/>
    <cellStyle name="40% - Ênfase4 37" xfId="1251"/>
    <cellStyle name="40% - Ênfase4 38" xfId="1252"/>
    <cellStyle name="40% - Ênfase4 39" xfId="1253"/>
    <cellStyle name="40% - Ênfase4 4" xfId="1254"/>
    <cellStyle name="40% - Ênfase4 4 2" xfId="1255"/>
    <cellStyle name="40% - Ênfase4 40" xfId="1256"/>
    <cellStyle name="40% - Ênfase4 41" xfId="1257"/>
    <cellStyle name="40% - Ênfase4 42" xfId="1258"/>
    <cellStyle name="40% - Ênfase4 43" xfId="1259"/>
    <cellStyle name="40% - Ênfase4 44" xfId="1260"/>
    <cellStyle name="40% - Ênfase4 45" xfId="1261"/>
    <cellStyle name="40% - Ênfase4 46" xfId="1262"/>
    <cellStyle name="40% - Ênfase4 47" xfId="1263"/>
    <cellStyle name="40% - Ênfase4 48" xfId="1264"/>
    <cellStyle name="40% - Ênfase4 49" xfId="1265"/>
    <cellStyle name="40% - Ênfase4 5" xfId="1266"/>
    <cellStyle name="40% - Ênfase4 5 2" xfId="1267"/>
    <cellStyle name="40% - Ênfase4 50" xfId="1268"/>
    <cellStyle name="40% - Ênfase4 51" xfId="1269"/>
    <cellStyle name="40% - Ênfase4 52" xfId="1270"/>
    <cellStyle name="40% - Ênfase4 53" xfId="1271"/>
    <cellStyle name="40% - Ênfase4 54" xfId="1272"/>
    <cellStyle name="40% - Ênfase4 55" xfId="1273"/>
    <cellStyle name="40% - Ênfase4 56" xfId="1274"/>
    <cellStyle name="40% - Ênfase4 57" xfId="1275"/>
    <cellStyle name="40% - Ênfase4 58" xfId="1276"/>
    <cellStyle name="40% - Ênfase4 59" xfId="1277"/>
    <cellStyle name="40% - Ênfase4 6" xfId="1278"/>
    <cellStyle name="40% - Ênfase4 6 2" xfId="1279"/>
    <cellStyle name="40% - Ênfase4 7" xfId="1280"/>
    <cellStyle name="40% - Ênfase4 7 2" xfId="1281"/>
    <cellStyle name="40% - Ênfase4 8" xfId="1282"/>
    <cellStyle name="40% - Ênfase4 8 2" xfId="1283"/>
    <cellStyle name="40% - Ênfase4 9" xfId="1284"/>
    <cellStyle name="40% - Ênfase4 9 2" xfId="1285"/>
    <cellStyle name="40% - Ênfase5" xfId="1286"/>
    <cellStyle name="40% - Ênfase5 10" xfId="1287"/>
    <cellStyle name="40% - Ênfase5 11" xfId="1288"/>
    <cellStyle name="40% - Ênfase5 12" xfId="1289"/>
    <cellStyle name="40% - Ênfase5 13" xfId="1290"/>
    <cellStyle name="40% - Ênfase5 14" xfId="1291"/>
    <cellStyle name="40% - Ênfase5 15" xfId="1292"/>
    <cellStyle name="40% - Ênfase5 16" xfId="1293"/>
    <cellStyle name="40% - Ênfase5 17" xfId="1294"/>
    <cellStyle name="40% - Ênfase5 18" xfId="1295"/>
    <cellStyle name="40% - Ênfase5 19" xfId="1296"/>
    <cellStyle name="40% - Ênfase5 2" xfId="1297"/>
    <cellStyle name="40% - Ênfase5 2 10" xfId="1298"/>
    <cellStyle name="40% - Ênfase5 2 11" xfId="1299"/>
    <cellStyle name="40% - Ênfase5 2 12" xfId="1300"/>
    <cellStyle name="40% - Ênfase5 2 13" xfId="1301"/>
    <cellStyle name="40% - Ênfase5 2 14" xfId="1302"/>
    <cellStyle name="40% - Ênfase5 2 15" xfId="1303"/>
    <cellStyle name="40% - Ênfase5 2 16" xfId="1304"/>
    <cellStyle name="40% - Ênfase5 2 17" xfId="1305"/>
    <cellStyle name="40% - Ênfase5 2 18" xfId="1306"/>
    <cellStyle name="40% - Ênfase5 2 19" xfId="1307"/>
    <cellStyle name="40% - Ênfase5 2 2" xfId="1308"/>
    <cellStyle name="40% - Ênfase5 2 20" xfId="1309"/>
    <cellStyle name="40% - Ênfase5 2 21" xfId="1310"/>
    <cellStyle name="40% - Ênfase5 2 22" xfId="1311"/>
    <cellStyle name="40% - Ênfase5 2 23" xfId="1312"/>
    <cellStyle name="40% - Ênfase5 2 24" xfId="1313"/>
    <cellStyle name="40% - Ênfase5 2 25" xfId="1314"/>
    <cellStyle name="40% - Ênfase5 2 26" xfId="1315"/>
    <cellStyle name="40% - Ênfase5 2 27" xfId="1316"/>
    <cellStyle name="40% - Ênfase5 2 28" xfId="1317"/>
    <cellStyle name="40% - Ênfase5 2 29" xfId="1318"/>
    <cellStyle name="40% - Ênfase5 2 3" xfId="1319"/>
    <cellStyle name="40% - Ênfase5 2 30" xfId="1320"/>
    <cellStyle name="40% - Ênfase5 2 31" xfId="1321"/>
    <cellStyle name="40% - Ênfase5 2 32" xfId="1322"/>
    <cellStyle name="40% - Ênfase5 2 33" xfId="1323"/>
    <cellStyle name="40% - Ênfase5 2 34" xfId="1324"/>
    <cellStyle name="40% - Ênfase5 2 35" xfId="1325"/>
    <cellStyle name="40% - Ênfase5 2 36" xfId="1326"/>
    <cellStyle name="40% - Ênfase5 2 37" xfId="1327"/>
    <cellStyle name="40% - Ênfase5 2 38" xfId="1328"/>
    <cellStyle name="40% - Ênfase5 2 39" xfId="1329"/>
    <cellStyle name="40% - Ênfase5 2 4" xfId="1330"/>
    <cellStyle name="40% - Ênfase5 2 40" xfId="1331"/>
    <cellStyle name="40% - Ênfase5 2 41" xfId="1332"/>
    <cellStyle name="40% - Ênfase5 2 42" xfId="1333"/>
    <cellStyle name="40% - Ênfase5 2 43" xfId="1334"/>
    <cellStyle name="40% - Ênfase5 2 44" xfId="1335"/>
    <cellStyle name="40% - Ênfase5 2 45" xfId="1336"/>
    <cellStyle name="40% - Ênfase5 2 46" xfId="1337"/>
    <cellStyle name="40% - Ênfase5 2 47" xfId="1338"/>
    <cellStyle name="40% - Ênfase5 2 48" xfId="1339"/>
    <cellStyle name="40% - Ênfase5 2 49" xfId="1340"/>
    <cellStyle name="40% - Ênfase5 2 5" xfId="1341"/>
    <cellStyle name="40% - Ênfase5 2 50" xfId="1342"/>
    <cellStyle name="40% - Ênfase5 2 51" xfId="1343"/>
    <cellStyle name="40% - Ênfase5 2 52" xfId="1344"/>
    <cellStyle name="40% - Ênfase5 2 53" xfId="1345"/>
    <cellStyle name="40% - Ênfase5 2 54" xfId="1346"/>
    <cellStyle name="40% - Ênfase5 2 55" xfId="1347"/>
    <cellStyle name="40% - Ênfase5 2 56" xfId="1348"/>
    <cellStyle name="40% - Ênfase5 2 57" xfId="1349"/>
    <cellStyle name="40% - Ênfase5 2 58" xfId="1350"/>
    <cellStyle name="40% - Ênfase5 2 6" xfId="1351"/>
    <cellStyle name="40% - Ênfase5 2 7" xfId="1352"/>
    <cellStyle name="40% - Ênfase5 2 8" xfId="1353"/>
    <cellStyle name="40% - Ênfase5 2 9" xfId="1354"/>
    <cellStyle name="40% - Ênfase5 20" xfId="1355"/>
    <cellStyle name="40% - Ênfase5 21" xfId="1356"/>
    <cellStyle name="40% - Ênfase5 22" xfId="1357"/>
    <cellStyle name="40% - Ênfase5 23" xfId="1358"/>
    <cellStyle name="40% - Ênfase5 24" xfId="1359"/>
    <cellStyle name="40% - Ênfase5 25" xfId="1360"/>
    <cellStyle name="40% - Ênfase5 26" xfId="1361"/>
    <cellStyle name="40% - Ênfase5 27" xfId="1362"/>
    <cellStyle name="40% - Ênfase5 28" xfId="1363"/>
    <cellStyle name="40% - Ênfase5 29" xfId="1364"/>
    <cellStyle name="40% - Ênfase5 3" xfId="1365"/>
    <cellStyle name="40% - Ênfase5 3 2" xfId="1366"/>
    <cellStyle name="40% - Ênfase5 3 3" xfId="1367"/>
    <cellStyle name="40% - Ênfase5 3 4" xfId="1368"/>
    <cellStyle name="40% - Ênfase5 3 5" xfId="1369"/>
    <cellStyle name="40% - Ênfase5 3 6" xfId="1370"/>
    <cellStyle name="40% - Ênfase5 30" xfId="1371"/>
    <cellStyle name="40% - Ênfase5 31" xfId="1372"/>
    <cellStyle name="40% - Ênfase5 32" xfId="1373"/>
    <cellStyle name="40% - Ênfase5 33" xfId="1374"/>
    <cellStyle name="40% - Ênfase5 34" xfId="1375"/>
    <cellStyle name="40% - Ênfase5 35" xfId="1376"/>
    <cellStyle name="40% - Ênfase5 36" xfId="1377"/>
    <cellStyle name="40% - Ênfase5 37" xfId="1378"/>
    <cellStyle name="40% - Ênfase5 38" xfId="1379"/>
    <cellStyle name="40% - Ênfase5 39" xfId="1380"/>
    <cellStyle name="40% - Ênfase5 4" xfId="1381"/>
    <cellStyle name="40% - Ênfase5 40" xfId="1382"/>
    <cellStyle name="40% - Ênfase5 41" xfId="1383"/>
    <cellStyle name="40% - Ênfase5 42" xfId="1384"/>
    <cellStyle name="40% - Ênfase5 43" xfId="1385"/>
    <cellStyle name="40% - Ênfase5 44" xfId="1386"/>
    <cellStyle name="40% - Ênfase5 45" xfId="1387"/>
    <cellStyle name="40% - Ênfase5 46" xfId="1388"/>
    <cellStyle name="40% - Ênfase5 47" xfId="1389"/>
    <cellStyle name="40% - Ênfase5 48" xfId="1390"/>
    <cellStyle name="40% - Ênfase5 49" xfId="1391"/>
    <cellStyle name="40% - Ênfase5 5" xfId="1392"/>
    <cellStyle name="40% - Ênfase5 50" xfId="1393"/>
    <cellStyle name="40% - Ênfase5 51" xfId="1394"/>
    <cellStyle name="40% - Ênfase5 52" xfId="1395"/>
    <cellStyle name="40% - Ênfase5 53" xfId="1396"/>
    <cellStyle name="40% - Ênfase5 54" xfId="1397"/>
    <cellStyle name="40% - Ênfase5 55" xfId="1398"/>
    <cellStyle name="40% - Ênfase5 56" xfId="1399"/>
    <cellStyle name="40% - Ênfase5 57" xfId="1400"/>
    <cellStyle name="40% - Ênfase5 58" xfId="1401"/>
    <cellStyle name="40% - Ênfase5 59" xfId="1402"/>
    <cellStyle name="40% - Ênfase5 6" xfId="1403"/>
    <cellStyle name="40% - Ênfase5 7" xfId="1404"/>
    <cellStyle name="40% - Ênfase5 8" xfId="1405"/>
    <cellStyle name="40% - Ênfase5 9" xfId="1406"/>
    <cellStyle name="40% - Ênfase6" xfId="1407"/>
    <cellStyle name="40% - Ênfase6 10" xfId="1408"/>
    <cellStyle name="40% - Ênfase6 11" xfId="1409"/>
    <cellStyle name="40% - Ênfase6 12" xfId="1410"/>
    <cellStyle name="40% - Ênfase6 13" xfId="1411"/>
    <cellStyle name="40% - Ênfase6 14" xfId="1412"/>
    <cellStyle name="40% - Ênfase6 15" xfId="1413"/>
    <cellStyle name="40% - Ênfase6 16" xfId="1414"/>
    <cellStyle name="40% - Ênfase6 17" xfId="1415"/>
    <cellStyle name="40% - Ênfase6 18" xfId="1416"/>
    <cellStyle name="40% - Ênfase6 19" xfId="1417"/>
    <cellStyle name="40% - Ênfase6 2" xfId="1418"/>
    <cellStyle name="40% - Ênfase6 2 10" xfId="1419"/>
    <cellStyle name="40% - Ênfase6 2 11" xfId="1420"/>
    <cellStyle name="40% - Ênfase6 2 12" xfId="1421"/>
    <cellStyle name="40% - Ênfase6 2 13" xfId="1422"/>
    <cellStyle name="40% - Ênfase6 2 14" xfId="1423"/>
    <cellStyle name="40% - Ênfase6 2 15" xfId="1424"/>
    <cellStyle name="40% - Ênfase6 2 16" xfId="1425"/>
    <cellStyle name="40% - Ênfase6 2 17" xfId="1426"/>
    <cellStyle name="40% - Ênfase6 2 18" xfId="1427"/>
    <cellStyle name="40% - Ênfase6 2 19" xfId="1428"/>
    <cellStyle name="40% - Ênfase6 2 2" xfId="1429"/>
    <cellStyle name="40% - Ênfase6 2 20" xfId="1430"/>
    <cellStyle name="40% - Ênfase6 2 21" xfId="1431"/>
    <cellStyle name="40% - Ênfase6 2 22" xfId="1432"/>
    <cellStyle name="40% - Ênfase6 2 23" xfId="1433"/>
    <cellStyle name="40% - Ênfase6 2 24" xfId="1434"/>
    <cellStyle name="40% - Ênfase6 2 25" xfId="1435"/>
    <cellStyle name="40% - Ênfase6 2 26" xfId="1436"/>
    <cellStyle name="40% - Ênfase6 2 27" xfId="1437"/>
    <cellStyle name="40% - Ênfase6 2 28" xfId="1438"/>
    <cellStyle name="40% - Ênfase6 2 29" xfId="1439"/>
    <cellStyle name="40% - Ênfase6 2 3" xfId="1440"/>
    <cellStyle name="40% - Ênfase6 2 30" xfId="1441"/>
    <cellStyle name="40% - Ênfase6 2 31" xfId="1442"/>
    <cellStyle name="40% - Ênfase6 2 32" xfId="1443"/>
    <cellStyle name="40% - Ênfase6 2 33" xfId="1444"/>
    <cellStyle name="40% - Ênfase6 2 34" xfId="1445"/>
    <cellStyle name="40% - Ênfase6 2 35" xfId="1446"/>
    <cellStyle name="40% - Ênfase6 2 36" xfId="1447"/>
    <cellStyle name="40% - Ênfase6 2 37" xfId="1448"/>
    <cellStyle name="40% - Ênfase6 2 38" xfId="1449"/>
    <cellStyle name="40% - Ênfase6 2 39" xfId="1450"/>
    <cellStyle name="40% - Ênfase6 2 4" xfId="1451"/>
    <cellStyle name="40% - Ênfase6 2 40" xfId="1452"/>
    <cellStyle name="40% - Ênfase6 2 41" xfId="1453"/>
    <cellStyle name="40% - Ênfase6 2 42" xfId="1454"/>
    <cellStyle name="40% - Ênfase6 2 43" xfId="1455"/>
    <cellStyle name="40% - Ênfase6 2 44" xfId="1456"/>
    <cellStyle name="40% - Ênfase6 2 45" xfId="1457"/>
    <cellStyle name="40% - Ênfase6 2 46" xfId="1458"/>
    <cellStyle name="40% - Ênfase6 2 47" xfId="1459"/>
    <cellStyle name="40% - Ênfase6 2 48" xfId="1460"/>
    <cellStyle name="40% - Ênfase6 2 49" xfId="1461"/>
    <cellStyle name="40% - Ênfase6 2 5" xfId="1462"/>
    <cellStyle name="40% - Ênfase6 2 50" xfId="1463"/>
    <cellStyle name="40% - Ênfase6 2 51" xfId="1464"/>
    <cellStyle name="40% - Ênfase6 2 52" xfId="1465"/>
    <cellStyle name="40% - Ênfase6 2 53" xfId="1466"/>
    <cellStyle name="40% - Ênfase6 2 54" xfId="1467"/>
    <cellStyle name="40% - Ênfase6 2 55" xfId="1468"/>
    <cellStyle name="40% - Ênfase6 2 56" xfId="1469"/>
    <cellStyle name="40% - Ênfase6 2 57" xfId="1470"/>
    <cellStyle name="40% - Ênfase6 2 58" xfId="1471"/>
    <cellStyle name="40% - Ênfase6 2 6" xfId="1472"/>
    <cellStyle name="40% - Ênfase6 2 7" xfId="1473"/>
    <cellStyle name="40% - Ênfase6 2 8" xfId="1474"/>
    <cellStyle name="40% - Ênfase6 2 9" xfId="1475"/>
    <cellStyle name="40% - Ênfase6 20" xfId="1476"/>
    <cellStyle name="40% - Ênfase6 21" xfId="1477"/>
    <cellStyle name="40% - Ênfase6 22" xfId="1478"/>
    <cellStyle name="40% - Ênfase6 23" xfId="1479"/>
    <cellStyle name="40% - Ênfase6 24" xfId="1480"/>
    <cellStyle name="40% - Ênfase6 25" xfId="1481"/>
    <cellStyle name="40% - Ênfase6 26" xfId="1482"/>
    <cellStyle name="40% - Ênfase6 27" xfId="1483"/>
    <cellStyle name="40% - Ênfase6 28" xfId="1484"/>
    <cellStyle name="40% - Ênfase6 29" xfId="1485"/>
    <cellStyle name="40% - Ênfase6 3" xfId="1486"/>
    <cellStyle name="40% - Ênfase6 3 2" xfId="1487"/>
    <cellStyle name="40% - Ênfase6 3 3" xfId="1488"/>
    <cellStyle name="40% - Ênfase6 3 4" xfId="1489"/>
    <cellStyle name="40% - Ênfase6 3 5" xfId="1490"/>
    <cellStyle name="40% - Ênfase6 3 6" xfId="1491"/>
    <cellStyle name="40% - Ênfase6 3 7" xfId="1492"/>
    <cellStyle name="40% - Ênfase6 30" xfId="1493"/>
    <cellStyle name="40% - Ênfase6 31" xfId="1494"/>
    <cellStyle name="40% - Ênfase6 32" xfId="1495"/>
    <cellStyle name="40% - Ênfase6 33" xfId="1496"/>
    <cellStyle name="40% - Ênfase6 34" xfId="1497"/>
    <cellStyle name="40% - Ênfase6 35" xfId="1498"/>
    <cellStyle name="40% - Ênfase6 36" xfId="1499"/>
    <cellStyle name="40% - Ênfase6 37" xfId="1500"/>
    <cellStyle name="40% - Ênfase6 38" xfId="1501"/>
    <cellStyle name="40% - Ênfase6 39" xfId="1502"/>
    <cellStyle name="40% - Ênfase6 4" xfId="1503"/>
    <cellStyle name="40% - Ênfase6 4 2" xfId="1504"/>
    <cellStyle name="40% - Ênfase6 40" xfId="1505"/>
    <cellStyle name="40% - Ênfase6 41" xfId="1506"/>
    <cellStyle name="40% - Ênfase6 42" xfId="1507"/>
    <cellStyle name="40% - Ênfase6 43" xfId="1508"/>
    <cellStyle name="40% - Ênfase6 44" xfId="1509"/>
    <cellStyle name="40% - Ênfase6 45" xfId="1510"/>
    <cellStyle name="40% - Ênfase6 46" xfId="1511"/>
    <cellStyle name="40% - Ênfase6 47" xfId="1512"/>
    <cellStyle name="40% - Ênfase6 48" xfId="1513"/>
    <cellStyle name="40% - Ênfase6 49" xfId="1514"/>
    <cellStyle name="40% - Ênfase6 5" xfId="1515"/>
    <cellStyle name="40% - Ênfase6 5 2" xfId="1516"/>
    <cellStyle name="40% - Ênfase6 50" xfId="1517"/>
    <cellStyle name="40% - Ênfase6 51" xfId="1518"/>
    <cellStyle name="40% - Ênfase6 52" xfId="1519"/>
    <cellStyle name="40% - Ênfase6 53" xfId="1520"/>
    <cellStyle name="40% - Ênfase6 54" xfId="1521"/>
    <cellStyle name="40% - Ênfase6 55" xfId="1522"/>
    <cellStyle name="40% - Ênfase6 56" xfId="1523"/>
    <cellStyle name="40% - Ênfase6 57" xfId="1524"/>
    <cellStyle name="40% - Ênfase6 58" xfId="1525"/>
    <cellStyle name="40% - Ênfase6 59" xfId="1526"/>
    <cellStyle name="40% - Ênfase6 6" xfId="1527"/>
    <cellStyle name="40% - Ênfase6 6 2" xfId="1528"/>
    <cellStyle name="40% - Ênfase6 7" xfId="1529"/>
    <cellStyle name="40% - Ênfase6 7 2" xfId="1530"/>
    <cellStyle name="40% - Ênfase6 8" xfId="1531"/>
    <cellStyle name="40% - Ênfase6 8 2" xfId="1532"/>
    <cellStyle name="40% - Ênfase6 9" xfId="1533"/>
    <cellStyle name="40% - Ênfase6 9 2" xfId="1534"/>
    <cellStyle name="60% - Accent1" xfId="1535"/>
    <cellStyle name="60% - Accent2" xfId="1536"/>
    <cellStyle name="60% - Accent3" xfId="1537"/>
    <cellStyle name="60% - Accent4" xfId="1538"/>
    <cellStyle name="60% - Accent5" xfId="1539"/>
    <cellStyle name="60% - Accent6" xfId="1540"/>
    <cellStyle name="60% - Ênfase1" xfId="1541"/>
    <cellStyle name="60% - Ênfase1 2" xfId="1542"/>
    <cellStyle name="60% - Ênfase1 3" xfId="1543"/>
    <cellStyle name="60% - Ênfase1 4" xfId="1544"/>
    <cellStyle name="60% - Ênfase1 5" xfId="1545"/>
    <cellStyle name="60% - Ênfase1 6" xfId="1546"/>
    <cellStyle name="60% - Ênfase1 7" xfId="1547"/>
    <cellStyle name="60% - Ênfase1 8" xfId="1548"/>
    <cellStyle name="60% - Ênfase1 9" xfId="1549"/>
    <cellStyle name="60% - Ênfase2" xfId="1550"/>
    <cellStyle name="60% - Ênfase2 2" xfId="1551"/>
    <cellStyle name="60% - Ênfase2 3" xfId="1552"/>
    <cellStyle name="60% - Ênfase2 4" xfId="1553"/>
    <cellStyle name="60% - Ênfase2 5" xfId="1554"/>
    <cellStyle name="60% - Ênfase2 6" xfId="1555"/>
    <cellStyle name="60% - Ênfase2 7" xfId="1556"/>
    <cellStyle name="60% - Ênfase2 8" xfId="1557"/>
    <cellStyle name="60% - Ênfase2 9" xfId="1558"/>
    <cellStyle name="60% - Ênfase3" xfId="1559"/>
    <cellStyle name="60% - Ênfase3 2" xfId="1560"/>
    <cellStyle name="60% - Ênfase3 3" xfId="1561"/>
    <cellStyle name="60% - Ênfase3 4" xfId="1562"/>
    <cellStyle name="60% - Ênfase3 5" xfId="1563"/>
    <cellStyle name="60% - Ênfase3 6" xfId="1564"/>
    <cellStyle name="60% - Ênfase3 7" xfId="1565"/>
    <cellStyle name="60% - Ênfase3 8" xfId="1566"/>
    <cellStyle name="60% - Ênfase3 9" xfId="1567"/>
    <cellStyle name="60% - Ênfase4" xfId="1568"/>
    <cellStyle name="60% - Ênfase4 2" xfId="1569"/>
    <cellStyle name="60% - Ênfase4 3" xfId="1570"/>
    <cellStyle name="60% - Ênfase4 4" xfId="1571"/>
    <cellStyle name="60% - Ênfase4 5" xfId="1572"/>
    <cellStyle name="60% - Ênfase4 6" xfId="1573"/>
    <cellStyle name="60% - Ênfase4 7" xfId="1574"/>
    <cellStyle name="60% - Ênfase4 8" xfId="1575"/>
    <cellStyle name="60% - Ênfase4 9" xfId="1576"/>
    <cellStyle name="60% - Ênfase5" xfId="1577"/>
    <cellStyle name="60% - Ênfase5 2" xfId="1578"/>
    <cellStyle name="60% - Ênfase5 3" xfId="1579"/>
    <cellStyle name="60% - Ênfase5 4" xfId="1580"/>
    <cellStyle name="60% - Ênfase5 5" xfId="1581"/>
    <cellStyle name="60% - Ênfase5 6" xfId="1582"/>
    <cellStyle name="60% - Ênfase5 7" xfId="1583"/>
    <cellStyle name="60% - Ênfase5 8" xfId="1584"/>
    <cellStyle name="60% - Ênfase5 9" xfId="1585"/>
    <cellStyle name="60% - Ênfase6" xfId="1586"/>
    <cellStyle name="60% - Ênfase6 2" xfId="1587"/>
    <cellStyle name="60% - Ênfase6 3" xfId="1588"/>
    <cellStyle name="60% - Ênfase6 4" xfId="1589"/>
    <cellStyle name="60% - Ênfase6 5" xfId="1590"/>
    <cellStyle name="60% - Ênfase6 6" xfId="1591"/>
    <cellStyle name="60% - Ênfase6 7" xfId="1592"/>
    <cellStyle name="60% - Ênfase6 8" xfId="1593"/>
    <cellStyle name="60% - Ênfase6 9" xfId="1594"/>
    <cellStyle name="Accent1" xfId="1595"/>
    <cellStyle name="Accent2" xfId="1596"/>
    <cellStyle name="Accent3" xfId="1597"/>
    <cellStyle name="Accent4" xfId="1598"/>
    <cellStyle name="Accent5" xfId="1599"/>
    <cellStyle name="Accent6" xfId="1600"/>
    <cellStyle name="Bad" xfId="1601"/>
    <cellStyle name="Bom" xfId="1602"/>
    <cellStyle name="Bom 2" xfId="1603"/>
    <cellStyle name="Bom 3" xfId="1604"/>
    <cellStyle name="Bom 4" xfId="1605"/>
    <cellStyle name="Bom 5" xfId="1606"/>
    <cellStyle name="Bom 6" xfId="1607"/>
    <cellStyle name="Bom 7" xfId="1608"/>
    <cellStyle name="Bom 8" xfId="1609"/>
    <cellStyle name="Bom 9" xfId="1610"/>
    <cellStyle name="Cabeçalho 1" xfId="1611"/>
    <cellStyle name="Cabeçalho 2" xfId="1612"/>
    <cellStyle name="Calculation" xfId="1613"/>
    <cellStyle name="Cálculo" xfId="1614"/>
    <cellStyle name="Cálculo 2" xfId="1615"/>
    <cellStyle name="Cálculo 3" xfId="1616"/>
    <cellStyle name="Cálculo 4" xfId="1617"/>
    <cellStyle name="Cálculo 5" xfId="1618"/>
    <cellStyle name="Cálculo 6" xfId="1619"/>
    <cellStyle name="Cálculo 7" xfId="1620"/>
    <cellStyle name="Cálculo 8" xfId="1621"/>
    <cellStyle name="Cálculo 9" xfId="1622"/>
    <cellStyle name="Célula de Verificação" xfId="1623"/>
    <cellStyle name="Célula de Verificação 2" xfId="1624"/>
    <cellStyle name="Célula de Verificação 3" xfId="1625"/>
    <cellStyle name="Célula de Verificação 4" xfId="1626"/>
    <cellStyle name="Célula de Verificação 5" xfId="1627"/>
    <cellStyle name="Célula de Verificação 6" xfId="1628"/>
    <cellStyle name="Célula de Verificação 7" xfId="1629"/>
    <cellStyle name="Célula de Verificação 8" xfId="1630"/>
    <cellStyle name="Célula de Verificação 9" xfId="1631"/>
    <cellStyle name="Célula Vinculada" xfId="1632"/>
    <cellStyle name="Célula Vinculada 2" xfId="1633"/>
    <cellStyle name="Célula Vinculada 3" xfId="1634"/>
    <cellStyle name="Célula Vinculada 4" xfId="1635"/>
    <cellStyle name="Célula Vinculada 5" xfId="1636"/>
    <cellStyle name="Célula Vinculada 6" xfId="1637"/>
    <cellStyle name="Célula Vinculada 7" xfId="1638"/>
    <cellStyle name="Célula Vinculada 8" xfId="1639"/>
    <cellStyle name="Célula Vinculada 9" xfId="1640"/>
    <cellStyle name="Check Cell" xfId="1641"/>
    <cellStyle name="Comma0" xfId="1642"/>
    <cellStyle name="Data" xfId="1643"/>
    <cellStyle name="Ênfase1" xfId="1644"/>
    <cellStyle name="Ênfase1 2" xfId="1645"/>
    <cellStyle name="Ênfase1 3" xfId="1646"/>
    <cellStyle name="Ênfase1 4" xfId="1647"/>
    <cellStyle name="Ênfase1 5" xfId="1648"/>
    <cellStyle name="Ênfase1 6" xfId="1649"/>
    <cellStyle name="Ênfase1 7" xfId="1650"/>
    <cellStyle name="Ênfase1 8" xfId="1651"/>
    <cellStyle name="Ênfase1 9" xfId="1652"/>
    <cellStyle name="Ênfase2" xfId="1653"/>
    <cellStyle name="Ênfase2 2" xfId="1654"/>
    <cellStyle name="Ênfase2 3" xfId="1655"/>
    <cellStyle name="Ênfase2 4" xfId="1656"/>
    <cellStyle name="Ênfase2 5" xfId="1657"/>
    <cellStyle name="Ênfase2 6" xfId="1658"/>
    <cellStyle name="Ênfase2 7" xfId="1659"/>
    <cellStyle name="Ênfase2 8" xfId="1660"/>
    <cellStyle name="Ênfase2 9" xfId="1661"/>
    <cellStyle name="Ênfase3" xfId="1662"/>
    <cellStyle name="Ênfase3 2" xfId="1663"/>
    <cellStyle name="Ênfase3 3" xfId="1664"/>
    <cellStyle name="Ênfase3 4" xfId="1665"/>
    <cellStyle name="Ênfase3 5" xfId="1666"/>
    <cellStyle name="Ênfase3 6" xfId="1667"/>
    <cellStyle name="Ênfase3 7" xfId="1668"/>
    <cellStyle name="Ênfase3 8" xfId="1669"/>
    <cellStyle name="Ênfase3 9" xfId="1670"/>
    <cellStyle name="Ênfase4" xfId="1671"/>
    <cellStyle name="Ênfase4 2" xfId="1672"/>
    <cellStyle name="Ênfase4 3" xfId="1673"/>
    <cellStyle name="Ênfase4 4" xfId="1674"/>
    <cellStyle name="Ênfase4 5" xfId="1675"/>
    <cellStyle name="Ênfase4 6" xfId="1676"/>
    <cellStyle name="Ênfase4 7" xfId="1677"/>
    <cellStyle name="Ênfase4 8" xfId="1678"/>
    <cellStyle name="Ênfase4 9" xfId="1679"/>
    <cellStyle name="Ênfase5" xfId="1680"/>
    <cellStyle name="Ênfase5 2" xfId="1681"/>
    <cellStyle name="Ênfase5 3" xfId="1682"/>
    <cellStyle name="Ênfase5 4" xfId="1683"/>
    <cellStyle name="Ênfase5 5" xfId="1684"/>
    <cellStyle name="Ênfase5 6" xfId="1685"/>
    <cellStyle name="Ênfase5 7" xfId="1686"/>
    <cellStyle name="Ênfase5 8" xfId="1687"/>
    <cellStyle name="Ênfase5 9" xfId="1688"/>
    <cellStyle name="Ênfase6" xfId="1689"/>
    <cellStyle name="Ênfase6 2" xfId="1690"/>
    <cellStyle name="Ênfase6 3" xfId="1691"/>
    <cellStyle name="Ênfase6 4" xfId="1692"/>
    <cellStyle name="Ênfase6 5" xfId="1693"/>
    <cellStyle name="Ênfase6 6" xfId="1694"/>
    <cellStyle name="Ênfase6 7" xfId="1695"/>
    <cellStyle name="Ênfase6 8" xfId="1696"/>
    <cellStyle name="Ênfase6 9" xfId="1697"/>
    <cellStyle name="Entrada" xfId="1698"/>
    <cellStyle name="Entrada 2" xfId="1699"/>
    <cellStyle name="Entrada 3" xfId="1700"/>
    <cellStyle name="Entrada 4" xfId="1701"/>
    <cellStyle name="Entrada 5" xfId="1702"/>
    <cellStyle name="Entrada 6" xfId="1703"/>
    <cellStyle name="Entrada 7" xfId="1704"/>
    <cellStyle name="Entrada 8" xfId="1705"/>
    <cellStyle name="Entrada 9" xfId="1706"/>
    <cellStyle name="Estilo 1" xfId="1707"/>
    <cellStyle name="Estilo 2" xfId="1708"/>
    <cellStyle name="Euro" xfId="1709"/>
    <cellStyle name="Excel Built-in Normal" xfId="1710"/>
    <cellStyle name="Explanatory Text" xfId="1711"/>
    <cellStyle name="F2" xfId="1712"/>
    <cellStyle name="F3" xfId="1713"/>
    <cellStyle name="F4" xfId="1714"/>
    <cellStyle name="F5" xfId="1715"/>
    <cellStyle name="F6" xfId="1716"/>
    <cellStyle name="F7" xfId="1717"/>
    <cellStyle name="F8" xfId="1718"/>
    <cellStyle name="Fixo" xfId="1719"/>
    <cellStyle name="Good" xfId="1720"/>
    <cellStyle name="Heading 1" xfId="1721"/>
    <cellStyle name="Heading 2" xfId="1722"/>
    <cellStyle name="Heading 3" xfId="1723"/>
    <cellStyle name="Heading 4" xfId="1724"/>
    <cellStyle name="Hyperlink" xfId="1725"/>
    <cellStyle name="Hiperlink 2" xfId="1726"/>
    <cellStyle name="Followed Hyperlink" xfId="1727"/>
    <cellStyle name="Hyperlink 2" xfId="1728"/>
    <cellStyle name="Hyperlink 3" xfId="1729"/>
    <cellStyle name="Incorreto 2" xfId="1730"/>
    <cellStyle name="Incorreto 3" xfId="1731"/>
    <cellStyle name="Incorreto 4" xfId="1732"/>
    <cellStyle name="Incorreto 5" xfId="1733"/>
    <cellStyle name="Incorreto 6" xfId="1734"/>
    <cellStyle name="Incorreto 7" xfId="1735"/>
    <cellStyle name="Incorreto 8" xfId="1736"/>
    <cellStyle name="Incorreto 9" xfId="1737"/>
    <cellStyle name="Indefinido" xfId="1738"/>
    <cellStyle name="Input" xfId="1739"/>
    <cellStyle name="Linked Cell" xfId="1740"/>
    <cellStyle name="Currency" xfId="1741"/>
    <cellStyle name="Currency [0]" xfId="1742"/>
    <cellStyle name="Moeda 10" xfId="1743"/>
    <cellStyle name="Moeda 10 2" xfId="1744"/>
    <cellStyle name="Moeda 11" xfId="1745"/>
    <cellStyle name="Moeda 11 2" xfId="1746"/>
    <cellStyle name="Moeda 12" xfId="1747"/>
    <cellStyle name="Moeda 13" xfId="1748"/>
    <cellStyle name="Moeda 2" xfId="1749"/>
    <cellStyle name="Moeda 2 10" xfId="1750"/>
    <cellStyle name="Moeda 2 11" xfId="1751"/>
    <cellStyle name="Moeda 2 12" xfId="1752"/>
    <cellStyle name="Moeda 2 13" xfId="1753"/>
    <cellStyle name="Moeda 2 14" xfId="1754"/>
    <cellStyle name="Moeda 2 15" xfId="1755"/>
    <cellStyle name="Moeda 2 16" xfId="1756"/>
    <cellStyle name="Moeda 2 17" xfId="1757"/>
    <cellStyle name="Moeda 2 18" xfId="1758"/>
    <cellStyle name="Moeda 2 19" xfId="1759"/>
    <cellStyle name="Moeda 2 2" xfId="1760"/>
    <cellStyle name="Moeda 2 2 2" xfId="1761"/>
    <cellStyle name="Moeda 2 2 3" xfId="1762"/>
    <cellStyle name="Moeda 2 20" xfId="1763"/>
    <cellStyle name="Moeda 2 21" xfId="1764"/>
    <cellStyle name="Moeda 2 22" xfId="1765"/>
    <cellStyle name="Moeda 2 23" xfId="1766"/>
    <cellStyle name="Moeda 2 24" xfId="1767"/>
    <cellStyle name="Moeda 2 25" xfId="1768"/>
    <cellStyle name="Moeda 2 26" xfId="1769"/>
    <cellStyle name="Moeda 2 27" xfId="1770"/>
    <cellStyle name="Moeda 2 28" xfId="1771"/>
    <cellStyle name="Moeda 2 29" xfId="1772"/>
    <cellStyle name="Moeda 2 3" xfId="1773"/>
    <cellStyle name="Moeda 2 3 2" xfId="1774"/>
    <cellStyle name="Moeda 2 3 3" xfId="1775"/>
    <cellStyle name="Moeda 2 30" xfId="1776"/>
    <cellStyle name="Moeda 2 31" xfId="1777"/>
    <cellStyle name="Moeda 2 32" xfId="1778"/>
    <cellStyle name="Moeda 2 33" xfId="1779"/>
    <cellStyle name="Moeda 2 34" xfId="1780"/>
    <cellStyle name="Moeda 2 35" xfId="1781"/>
    <cellStyle name="Moeda 2 36" xfId="1782"/>
    <cellStyle name="Moeda 2 37" xfId="1783"/>
    <cellStyle name="Moeda 2 38" xfId="1784"/>
    <cellStyle name="Moeda 2 39" xfId="1785"/>
    <cellStyle name="Moeda 2 4" xfId="1786"/>
    <cellStyle name="Moeda 2 4 2" xfId="1787"/>
    <cellStyle name="Moeda 2 4 3" xfId="1788"/>
    <cellStyle name="Moeda 2 40" xfId="1789"/>
    <cellStyle name="Moeda 2 41" xfId="1790"/>
    <cellStyle name="Moeda 2 42" xfId="1791"/>
    <cellStyle name="Moeda 2 43" xfId="1792"/>
    <cellStyle name="Moeda 2 44" xfId="1793"/>
    <cellStyle name="Moeda 2 45" xfId="1794"/>
    <cellStyle name="Moeda 2 46" xfId="1795"/>
    <cellStyle name="Moeda 2 47" xfId="1796"/>
    <cellStyle name="Moeda 2 48" xfId="1797"/>
    <cellStyle name="Moeda 2 49" xfId="1798"/>
    <cellStyle name="Moeda 2 5" xfId="1799"/>
    <cellStyle name="Moeda 2 5 2" xfId="1800"/>
    <cellStyle name="Moeda 2 50" xfId="1801"/>
    <cellStyle name="Moeda 2 51" xfId="1802"/>
    <cellStyle name="Moeda 2 52" xfId="1803"/>
    <cellStyle name="Moeda 2 53" xfId="1804"/>
    <cellStyle name="Moeda 2 54" xfId="1805"/>
    <cellStyle name="Moeda 2 55" xfId="1806"/>
    <cellStyle name="Moeda 2 56" xfId="1807"/>
    <cellStyle name="Moeda 2 57" xfId="1808"/>
    <cellStyle name="Moeda 2 6" xfId="1809"/>
    <cellStyle name="Moeda 2 7" xfId="1810"/>
    <cellStyle name="Moeda 2 8" xfId="1811"/>
    <cellStyle name="Moeda 2 9" xfId="1812"/>
    <cellStyle name="Moeda 2_818889 Palmeirais Orc. Rec. Estrada Vicinal CM" xfId="1813"/>
    <cellStyle name="Moeda 3" xfId="1814"/>
    <cellStyle name="Moeda 3 2" xfId="1815"/>
    <cellStyle name="Moeda 3 2 2" xfId="1816"/>
    <cellStyle name="Moeda 3 3" xfId="1817"/>
    <cellStyle name="Moeda 4" xfId="1818"/>
    <cellStyle name="Moeda 4 2" xfId="1819"/>
    <cellStyle name="Moeda 5" xfId="1820"/>
    <cellStyle name="Moeda 5 2" xfId="1821"/>
    <cellStyle name="Moeda 6" xfId="1822"/>
    <cellStyle name="Moeda 6 2" xfId="1823"/>
    <cellStyle name="Moeda 7" xfId="1824"/>
    <cellStyle name="Moeda 7 2" xfId="1825"/>
    <cellStyle name="Moeda 8" xfId="1826"/>
    <cellStyle name="Moeda 8 2" xfId="1827"/>
    <cellStyle name="Moeda 9" xfId="1828"/>
    <cellStyle name="Moeda0" xfId="1829"/>
    <cellStyle name="mpenho" xfId="1830"/>
    <cellStyle name="mpenho 2" xfId="1831"/>
    <cellStyle name="Neutra 2" xfId="1832"/>
    <cellStyle name="Neutra 3" xfId="1833"/>
    <cellStyle name="Neutra 4" xfId="1834"/>
    <cellStyle name="Neutra 5" xfId="1835"/>
    <cellStyle name="Neutra 6" xfId="1836"/>
    <cellStyle name="Neutra 7" xfId="1837"/>
    <cellStyle name="Neutra 8" xfId="1838"/>
    <cellStyle name="Neutra 9" xfId="1839"/>
    <cellStyle name="Neutral" xfId="1840"/>
    <cellStyle name="Neutro" xfId="1841"/>
    <cellStyle name="Normal 10" xfId="1842"/>
    <cellStyle name="Normal 10 2" xfId="1843"/>
    <cellStyle name="Normal 11" xfId="1844"/>
    <cellStyle name="Normal 117" xfId="1845"/>
    <cellStyle name="Normal 12" xfId="1846"/>
    <cellStyle name="Normal 12 2" xfId="1847"/>
    <cellStyle name="Normal 13" xfId="1848"/>
    <cellStyle name="Normal 13 2" xfId="1849"/>
    <cellStyle name="Normal 14" xfId="1850"/>
    <cellStyle name="Normal 14 2" xfId="1851"/>
    <cellStyle name="Normal 15" xfId="1852"/>
    <cellStyle name="Normal 15 2" xfId="1853"/>
    <cellStyle name="Normal 15 5" xfId="1854"/>
    <cellStyle name="Normal 16" xfId="1855"/>
    <cellStyle name="Normal 16 2" xfId="1856"/>
    <cellStyle name="Normal 17" xfId="1857"/>
    <cellStyle name="Normal 17 2" xfId="1858"/>
    <cellStyle name="Normal 18" xfId="1859"/>
    <cellStyle name="Normal 18 2" xfId="1860"/>
    <cellStyle name="Normal 19" xfId="1861"/>
    <cellStyle name="Normal 19 2" xfId="1862"/>
    <cellStyle name="Normal 2" xfId="1863"/>
    <cellStyle name="Normal 2 10" xfId="1864"/>
    <cellStyle name="Normal 2 11" xfId="1865"/>
    <cellStyle name="Normal 2 12" xfId="1866"/>
    <cellStyle name="Normal 2 13" xfId="1867"/>
    <cellStyle name="Normal 2 14" xfId="1868"/>
    <cellStyle name="Normal 2 15" xfId="1869"/>
    <cellStyle name="Normal 2 16" xfId="1870"/>
    <cellStyle name="Normal 2 17" xfId="1871"/>
    <cellStyle name="Normal 2 18" xfId="1872"/>
    <cellStyle name="Normal 2 19" xfId="1873"/>
    <cellStyle name="Normal 2 2" xfId="1874"/>
    <cellStyle name="Normal 2 2 10" xfId="1875"/>
    <cellStyle name="Normal 2 2 2" xfId="1876"/>
    <cellStyle name="Normal 2 2 3" xfId="1877"/>
    <cellStyle name="Normal 2 2 3 2" xfId="1878"/>
    <cellStyle name="Normal 2 2 4" xfId="1879"/>
    <cellStyle name="Normal 2 2 4 2" xfId="1880"/>
    <cellStyle name="Normal 2 2 5" xfId="1881"/>
    <cellStyle name="Normal 2 2 5 2" xfId="1882"/>
    <cellStyle name="Normal 2 2 6" xfId="1883"/>
    <cellStyle name="Normal 2 2 6 2" xfId="1884"/>
    <cellStyle name="Normal 2 2 7" xfId="1885"/>
    <cellStyle name="Normal 2 20" xfId="1886"/>
    <cellStyle name="Normal 2 21" xfId="1887"/>
    <cellStyle name="Normal 2 22" xfId="1888"/>
    <cellStyle name="Normal 2 23" xfId="1889"/>
    <cellStyle name="Normal 2 24" xfId="1890"/>
    <cellStyle name="Normal 2 25" xfId="1891"/>
    <cellStyle name="Normal 2 26" xfId="1892"/>
    <cellStyle name="Normal 2 27" xfId="1893"/>
    <cellStyle name="Normal 2 28" xfId="1894"/>
    <cellStyle name="Normal 2 29" xfId="1895"/>
    <cellStyle name="Normal 2 3" xfId="1896"/>
    <cellStyle name="Normal 2 3 2" xfId="1897"/>
    <cellStyle name="Normal 2 30" xfId="1898"/>
    <cellStyle name="Normal 2 31" xfId="1899"/>
    <cellStyle name="Normal 2 32" xfId="1900"/>
    <cellStyle name="Normal 2 33" xfId="1901"/>
    <cellStyle name="Normal 2 34" xfId="1902"/>
    <cellStyle name="Normal 2 35" xfId="1903"/>
    <cellStyle name="Normal 2 36" xfId="1904"/>
    <cellStyle name="Normal 2 37" xfId="1905"/>
    <cellStyle name="Normal 2 38" xfId="1906"/>
    <cellStyle name="Normal 2 39" xfId="1907"/>
    <cellStyle name="Normal 2 4" xfId="1908"/>
    <cellStyle name="Normal 2 4 2" xfId="1909"/>
    <cellStyle name="Normal 2 4 3" xfId="1910"/>
    <cellStyle name="Normal 2 4 4" xfId="1911"/>
    <cellStyle name="Normal 2 40" xfId="1912"/>
    <cellStyle name="Normal 2 41" xfId="1913"/>
    <cellStyle name="Normal 2 42" xfId="1914"/>
    <cellStyle name="Normal 2 43" xfId="1915"/>
    <cellStyle name="Normal 2 44" xfId="1916"/>
    <cellStyle name="Normal 2 45" xfId="1917"/>
    <cellStyle name="Normal 2 46" xfId="1918"/>
    <cellStyle name="Normal 2 47" xfId="1919"/>
    <cellStyle name="Normal 2 48" xfId="1920"/>
    <cellStyle name="Normal 2 49" xfId="1921"/>
    <cellStyle name="Normal 2 5" xfId="1922"/>
    <cellStyle name="Normal 2 5 2" xfId="1923"/>
    <cellStyle name="Normal 2 50" xfId="1924"/>
    <cellStyle name="Normal 2 51" xfId="1925"/>
    <cellStyle name="Normal 2 52" xfId="1926"/>
    <cellStyle name="Normal 2 53" xfId="1927"/>
    <cellStyle name="Normal 2 54" xfId="1928"/>
    <cellStyle name="Normal 2 55" xfId="1929"/>
    <cellStyle name="Normal 2 56" xfId="1930"/>
    <cellStyle name="Normal 2 57" xfId="1931"/>
    <cellStyle name="Normal 2 58" xfId="1932"/>
    <cellStyle name="Normal 2 59" xfId="1933"/>
    <cellStyle name="Normal 2 6" xfId="1934"/>
    <cellStyle name="Normal 2 60" xfId="1935"/>
    <cellStyle name="Normal 2 7" xfId="1936"/>
    <cellStyle name="Normal 2 8" xfId="1937"/>
    <cellStyle name="Normal 2 9" xfId="1938"/>
    <cellStyle name="Normal 2_Orç. Renata Curralinhos" xfId="1939"/>
    <cellStyle name="Normal 20" xfId="1940"/>
    <cellStyle name="Normal 21" xfId="1941"/>
    <cellStyle name="Normal 22" xfId="1942"/>
    <cellStyle name="Normal 23" xfId="1943"/>
    <cellStyle name="Normal 24" xfId="1944"/>
    <cellStyle name="Normal 25" xfId="1945"/>
    <cellStyle name="Normal 3" xfId="1946"/>
    <cellStyle name="Normal 3 10" xfId="1947"/>
    <cellStyle name="Normal 3 10 2" xfId="1948"/>
    <cellStyle name="Normal 3 11" xfId="1949"/>
    <cellStyle name="Normal 3 11 2" xfId="1950"/>
    <cellStyle name="Normal 3 11 3" xfId="1951"/>
    <cellStyle name="Normal 3 12" xfId="1952"/>
    <cellStyle name="Normal 3 12 2" xfId="1953"/>
    <cellStyle name="Normal 3 12 3" xfId="1954"/>
    <cellStyle name="Normal 3 13" xfId="1955"/>
    <cellStyle name="Normal 3 14" xfId="1956"/>
    <cellStyle name="Normal 3 14 2" xfId="1957"/>
    <cellStyle name="Normal 3 14 3" xfId="1958"/>
    <cellStyle name="Normal 3 15" xfId="1959"/>
    <cellStyle name="Normal 3 17 2" xfId="1960"/>
    <cellStyle name="Normal 3 2" xfId="1961"/>
    <cellStyle name="Normal 3 2 2" xfId="1962"/>
    <cellStyle name="Normal 3 2 2 2" xfId="1963"/>
    <cellStyle name="Normal 3 3" xfId="1964"/>
    <cellStyle name="Normal 3 4" xfId="1965"/>
    <cellStyle name="Normal 3 5" xfId="1966"/>
    <cellStyle name="Normal 3 6" xfId="1967"/>
    <cellStyle name="Normal 3 7" xfId="1968"/>
    <cellStyle name="Normal 3 7 2" xfId="1969"/>
    <cellStyle name="Normal 3 8" xfId="1970"/>
    <cellStyle name="Normal 3 8 2" xfId="1971"/>
    <cellStyle name="Normal 3 9" xfId="1972"/>
    <cellStyle name="Normal 3_Orç Lorim Batalha" xfId="1973"/>
    <cellStyle name="Normal 36" xfId="1974"/>
    <cellStyle name="Normal 37" xfId="1975"/>
    <cellStyle name="Normal 4" xfId="1976"/>
    <cellStyle name="Normal 4 10" xfId="1977"/>
    <cellStyle name="Normal 4 11" xfId="1978"/>
    <cellStyle name="Normal 4 12" xfId="1979"/>
    <cellStyle name="Normal 4 13" xfId="1980"/>
    <cellStyle name="Normal 4 14" xfId="1981"/>
    <cellStyle name="Normal 4 15" xfId="1982"/>
    <cellStyle name="Normal 4 16" xfId="1983"/>
    <cellStyle name="Normal 4 17" xfId="1984"/>
    <cellStyle name="Normal 4 18" xfId="1985"/>
    <cellStyle name="Normal 4 19" xfId="1986"/>
    <cellStyle name="Normal 4 2" xfId="1987"/>
    <cellStyle name="Normal 4 2 2" xfId="1988"/>
    <cellStyle name="Normal 4 2 3" xfId="1989"/>
    <cellStyle name="Normal 4 2 3 2" xfId="1990"/>
    <cellStyle name="Normal 4 2 4" xfId="1991"/>
    <cellStyle name="Normal 4 2 5" xfId="1992"/>
    <cellStyle name="Normal 4 20" xfId="1993"/>
    <cellStyle name="Normal 4 21" xfId="1994"/>
    <cellStyle name="Normal 4 22" xfId="1995"/>
    <cellStyle name="Normal 4 23" xfId="1996"/>
    <cellStyle name="Normal 4 24" xfId="1997"/>
    <cellStyle name="Normal 4 25" xfId="1998"/>
    <cellStyle name="Normal 4 26" xfId="1999"/>
    <cellStyle name="Normal 4 27" xfId="2000"/>
    <cellStyle name="Normal 4 28" xfId="2001"/>
    <cellStyle name="Normal 4 29" xfId="2002"/>
    <cellStyle name="Normal 4 3" xfId="2003"/>
    <cellStyle name="Normal 4 3 2" xfId="2004"/>
    <cellStyle name="Normal 4 30" xfId="2005"/>
    <cellStyle name="Normal 4 31" xfId="2006"/>
    <cellStyle name="Normal 4 32" xfId="2007"/>
    <cellStyle name="Normal 4 33" xfId="2008"/>
    <cellStyle name="Normal 4 34" xfId="2009"/>
    <cellStyle name="Normal 4 35" xfId="2010"/>
    <cellStyle name="Normal 4 36" xfId="2011"/>
    <cellStyle name="Normal 4 37" xfId="2012"/>
    <cellStyle name="Normal 4 38" xfId="2013"/>
    <cellStyle name="Normal 4 39" xfId="2014"/>
    <cellStyle name="Normal 4 4" xfId="2015"/>
    <cellStyle name="Normal 4 40" xfId="2016"/>
    <cellStyle name="Normal 4 41" xfId="2017"/>
    <cellStyle name="Normal 4 42" xfId="2018"/>
    <cellStyle name="Normal 4 43" xfId="2019"/>
    <cellStyle name="Normal 4 44" xfId="2020"/>
    <cellStyle name="Normal 4 45" xfId="2021"/>
    <cellStyle name="Normal 4 46" xfId="2022"/>
    <cellStyle name="Normal 4 5" xfId="2023"/>
    <cellStyle name="Normal 4 6" xfId="2024"/>
    <cellStyle name="Normal 4 7" xfId="2025"/>
    <cellStyle name="Normal 4 8" xfId="2026"/>
    <cellStyle name="Normal 4 9" xfId="2027"/>
    <cellStyle name="Normal 5" xfId="2028"/>
    <cellStyle name="Normal 5 2" xfId="2029"/>
    <cellStyle name="Normal 5 2 2" xfId="2030"/>
    <cellStyle name="Normal 5 2 2 2" xfId="2031"/>
    <cellStyle name="Normal 5 3" xfId="2032"/>
    <cellStyle name="Normal 5 3 2" xfId="2033"/>
    <cellStyle name="Normal 5 4" xfId="2034"/>
    <cellStyle name="Normal 6" xfId="2035"/>
    <cellStyle name="Normal 6 2" xfId="2036"/>
    <cellStyle name="Normal 6 3" xfId="2037"/>
    <cellStyle name="Normal 6 4" xfId="2038"/>
    <cellStyle name="Normal 6 5" xfId="2039"/>
    <cellStyle name="Normal 6 6" xfId="2040"/>
    <cellStyle name="Normal 7" xfId="2041"/>
    <cellStyle name="Normal 7 2" xfId="2042"/>
    <cellStyle name="Normal 7 3" xfId="2043"/>
    <cellStyle name="Normal 8" xfId="2044"/>
    <cellStyle name="Normal 8 2" xfId="2045"/>
    <cellStyle name="Normal 8 3" xfId="2046"/>
    <cellStyle name="Normal 9" xfId="2047"/>
    <cellStyle name="Normal 9 2" xfId="2048"/>
    <cellStyle name="Normal 9 3" xfId="2049"/>
    <cellStyle name="Nota" xfId="2050"/>
    <cellStyle name="Nota 2" xfId="2051"/>
    <cellStyle name="Nota 2 2" xfId="2052"/>
    <cellStyle name="Nota 2 2 2" xfId="2053"/>
    <cellStyle name="Nota 2 3" xfId="2054"/>
    <cellStyle name="Nota 2 4" xfId="2055"/>
    <cellStyle name="Nota 2 5" xfId="2056"/>
    <cellStyle name="Nota 2 6" xfId="2057"/>
    <cellStyle name="Nota 2 7" xfId="2058"/>
    <cellStyle name="Nota 2_Orcamento Caracol CM SICRO 2" xfId="2059"/>
    <cellStyle name="Nota 3" xfId="2060"/>
    <cellStyle name="Nota 3 2" xfId="2061"/>
    <cellStyle name="Nota 3 3" xfId="2062"/>
    <cellStyle name="Nota 3 4" xfId="2063"/>
    <cellStyle name="Nota 3 5" xfId="2064"/>
    <cellStyle name="Nota 3 6" xfId="2065"/>
    <cellStyle name="Nota 3 7" xfId="2066"/>
    <cellStyle name="Nota 3_Orcamento Caracol CM SICRO 2" xfId="2067"/>
    <cellStyle name="Nota 4" xfId="2068"/>
    <cellStyle name="Nota 4 2" xfId="2069"/>
    <cellStyle name="Nota 5" xfId="2070"/>
    <cellStyle name="Nota 6" xfId="2071"/>
    <cellStyle name="Nota 7" xfId="2072"/>
    <cellStyle name="Nota 8" xfId="2073"/>
    <cellStyle name="Nota 9" xfId="2074"/>
    <cellStyle name="Note" xfId="2075"/>
    <cellStyle name="Output" xfId="2076"/>
    <cellStyle name="Percentual" xfId="2077"/>
    <cellStyle name="Ponto" xfId="2078"/>
    <cellStyle name="Percent" xfId="2079"/>
    <cellStyle name="Porcentagem 10" xfId="2080"/>
    <cellStyle name="Porcentagem 12" xfId="2081"/>
    <cellStyle name="Porcentagem 2" xfId="2082"/>
    <cellStyle name="Porcentagem 2 10" xfId="2083"/>
    <cellStyle name="Porcentagem 2 11" xfId="2084"/>
    <cellStyle name="Porcentagem 2 12" xfId="2085"/>
    <cellStyle name="Porcentagem 2 13" xfId="2086"/>
    <cellStyle name="Porcentagem 2 14" xfId="2087"/>
    <cellStyle name="Porcentagem 2 15" xfId="2088"/>
    <cellStyle name="Porcentagem 2 16" xfId="2089"/>
    <cellStyle name="Porcentagem 2 17" xfId="2090"/>
    <cellStyle name="Porcentagem 2 18" xfId="2091"/>
    <cellStyle name="Porcentagem 2 19" xfId="2092"/>
    <cellStyle name="Porcentagem 2 2" xfId="2093"/>
    <cellStyle name="Porcentagem 2 2 10" xfId="2094"/>
    <cellStyle name="Porcentagem 2 2 11" xfId="2095"/>
    <cellStyle name="Porcentagem 2 2 12" xfId="2096"/>
    <cellStyle name="Porcentagem 2 2 13" xfId="2097"/>
    <cellStyle name="Porcentagem 2 2 14" xfId="2098"/>
    <cellStyle name="Porcentagem 2 2 15" xfId="2099"/>
    <cellStyle name="Porcentagem 2 2 16" xfId="2100"/>
    <cellStyle name="Porcentagem 2 2 17" xfId="2101"/>
    <cellStyle name="Porcentagem 2 2 18" xfId="2102"/>
    <cellStyle name="Porcentagem 2 2 19" xfId="2103"/>
    <cellStyle name="Porcentagem 2 2 2" xfId="2104"/>
    <cellStyle name="Porcentagem 2 2 20" xfId="2105"/>
    <cellStyle name="Porcentagem 2 2 21" xfId="2106"/>
    <cellStyle name="Porcentagem 2 2 22" xfId="2107"/>
    <cellStyle name="Porcentagem 2 2 23" xfId="2108"/>
    <cellStyle name="Porcentagem 2 2 24" xfId="2109"/>
    <cellStyle name="Porcentagem 2 2 25" xfId="2110"/>
    <cellStyle name="Porcentagem 2 2 26" xfId="2111"/>
    <cellStyle name="Porcentagem 2 2 27" xfId="2112"/>
    <cellStyle name="Porcentagem 2 2 28" xfId="2113"/>
    <cellStyle name="Porcentagem 2 2 29" xfId="2114"/>
    <cellStyle name="Porcentagem 2 2 3" xfId="2115"/>
    <cellStyle name="Porcentagem 2 2 30" xfId="2116"/>
    <cellStyle name="Porcentagem 2 2 31" xfId="2117"/>
    <cellStyle name="Porcentagem 2 2 32" xfId="2118"/>
    <cellStyle name="Porcentagem 2 2 33" xfId="2119"/>
    <cellStyle name="Porcentagem 2 2 34" xfId="2120"/>
    <cellStyle name="Porcentagem 2 2 35" xfId="2121"/>
    <cellStyle name="Porcentagem 2 2 36" xfId="2122"/>
    <cellStyle name="Porcentagem 2 2 37" xfId="2123"/>
    <cellStyle name="Porcentagem 2 2 38" xfId="2124"/>
    <cellStyle name="Porcentagem 2 2 39" xfId="2125"/>
    <cellStyle name="Porcentagem 2 2 4" xfId="2126"/>
    <cellStyle name="Porcentagem 2 2 40" xfId="2127"/>
    <cellStyle name="Porcentagem 2 2 41" xfId="2128"/>
    <cellStyle name="Porcentagem 2 2 42" xfId="2129"/>
    <cellStyle name="Porcentagem 2 2 43" xfId="2130"/>
    <cellStyle name="Porcentagem 2 2 44" xfId="2131"/>
    <cellStyle name="Porcentagem 2 2 45" xfId="2132"/>
    <cellStyle name="Porcentagem 2 2 46" xfId="2133"/>
    <cellStyle name="Porcentagem 2 2 47" xfId="2134"/>
    <cellStyle name="Porcentagem 2 2 48" xfId="2135"/>
    <cellStyle name="Porcentagem 2 2 49" xfId="2136"/>
    <cellStyle name="Porcentagem 2 2 5" xfId="2137"/>
    <cellStyle name="Porcentagem 2 2 50" xfId="2138"/>
    <cellStyle name="Porcentagem 2 2 51" xfId="2139"/>
    <cellStyle name="Porcentagem 2 2 52" xfId="2140"/>
    <cellStyle name="Porcentagem 2 2 53" xfId="2141"/>
    <cellStyle name="Porcentagem 2 2 54" xfId="2142"/>
    <cellStyle name="Porcentagem 2 2 55" xfId="2143"/>
    <cellStyle name="Porcentagem 2 2 56" xfId="2144"/>
    <cellStyle name="Porcentagem 2 2 57" xfId="2145"/>
    <cellStyle name="Porcentagem 2 2 6" xfId="2146"/>
    <cellStyle name="Porcentagem 2 2 7" xfId="2147"/>
    <cellStyle name="Porcentagem 2 2 8" xfId="2148"/>
    <cellStyle name="Porcentagem 2 2 9" xfId="2149"/>
    <cellStyle name="Porcentagem 2 20" xfId="2150"/>
    <cellStyle name="Porcentagem 2 21" xfId="2151"/>
    <cellStyle name="Porcentagem 2 22" xfId="2152"/>
    <cellStyle name="Porcentagem 2 23" xfId="2153"/>
    <cellStyle name="Porcentagem 2 24" xfId="2154"/>
    <cellStyle name="Porcentagem 2 25" xfId="2155"/>
    <cellStyle name="Porcentagem 2 26" xfId="2156"/>
    <cellStyle name="Porcentagem 2 27" xfId="2157"/>
    <cellStyle name="Porcentagem 2 28" xfId="2158"/>
    <cellStyle name="Porcentagem 2 29" xfId="2159"/>
    <cellStyle name="Porcentagem 2 3" xfId="2160"/>
    <cellStyle name="Porcentagem 2 3 2" xfId="2161"/>
    <cellStyle name="Porcentagem 2 3 3" xfId="2162"/>
    <cellStyle name="Porcentagem 2 30" xfId="2163"/>
    <cellStyle name="Porcentagem 2 31" xfId="2164"/>
    <cellStyle name="Porcentagem 2 32" xfId="2165"/>
    <cellStyle name="Porcentagem 2 33" xfId="2166"/>
    <cellStyle name="Porcentagem 2 34" xfId="2167"/>
    <cellStyle name="Porcentagem 2 35" xfId="2168"/>
    <cellStyle name="Porcentagem 2 36" xfId="2169"/>
    <cellStyle name="Porcentagem 2 37" xfId="2170"/>
    <cellStyle name="Porcentagem 2 38" xfId="2171"/>
    <cellStyle name="Porcentagem 2 39" xfId="2172"/>
    <cellStyle name="Porcentagem 2 4" xfId="2173"/>
    <cellStyle name="Porcentagem 2 40" xfId="2174"/>
    <cellStyle name="Porcentagem 2 41" xfId="2175"/>
    <cellStyle name="Porcentagem 2 42" xfId="2176"/>
    <cellStyle name="Porcentagem 2 43" xfId="2177"/>
    <cellStyle name="Porcentagem 2 44" xfId="2178"/>
    <cellStyle name="Porcentagem 2 45" xfId="2179"/>
    <cellStyle name="Porcentagem 2 46" xfId="2180"/>
    <cellStyle name="Porcentagem 2 47" xfId="2181"/>
    <cellStyle name="Porcentagem 2 48" xfId="2182"/>
    <cellStyle name="Porcentagem 2 49" xfId="2183"/>
    <cellStyle name="Porcentagem 2 5" xfId="2184"/>
    <cellStyle name="Porcentagem 2 50" xfId="2185"/>
    <cellStyle name="Porcentagem 2 51" xfId="2186"/>
    <cellStyle name="Porcentagem 2 52" xfId="2187"/>
    <cellStyle name="Porcentagem 2 53" xfId="2188"/>
    <cellStyle name="Porcentagem 2 54" xfId="2189"/>
    <cellStyle name="Porcentagem 2 55" xfId="2190"/>
    <cellStyle name="Porcentagem 2 56" xfId="2191"/>
    <cellStyle name="Porcentagem 2 57" xfId="2192"/>
    <cellStyle name="Porcentagem 2 58" xfId="2193"/>
    <cellStyle name="Porcentagem 2 6" xfId="2194"/>
    <cellStyle name="Porcentagem 2 7" xfId="2195"/>
    <cellStyle name="Porcentagem 2 8" xfId="2196"/>
    <cellStyle name="Porcentagem 2 9" xfId="2197"/>
    <cellStyle name="Porcentagem 2_818889 Palmeirais Orc. Rec. Estrada Vicinal CM" xfId="2198"/>
    <cellStyle name="Porcentagem 3" xfId="2199"/>
    <cellStyle name="Porcentagem 3 10" xfId="2200"/>
    <cellStyle name="Porcentagem 3 11" xfId="2201"/>
    <cellStyle name="Porcentagem 3 12" xfId="2202"/>
    <cellStyle name="Porcentagem 3 13" xfId="2203"/>
    <cellStyle name="Porcentagem 3 14" xfId="2204"/>
    <cellStyle name="Porcentagem 3 15" xfId="2205"/>
    <cellStyle name="Porcentagem 3 16" xfId="2206"/>
    <cellStyle name="Porcentagem 3 17" xfId="2207"/>
    <cellStyle name="Porcentagem 3 18" xfId="2208"/>
    <cellStyle name="Porcentagem 3 19" xfId="2209"/>
    <cellStyle name="Porcentagem 3 2" xfId="2210"/>
    <cellStyle name="Porcentagem 3 2 10" xfId="2211"/>
    <cellStyle name="Porcentagem 3 2 11" xfId="2212"/>
    <cellStyle name="Porcentagem 3 2 12" xfId="2213"/>
    <cellStyle name="Porcentagem 3 2 13" xfId="2214"/>
    <cellStyle name="Porcentagem 3 2 14" xfId="2215"/>
    <cellStyle name="Porcentagem 3 2 15" xfId="2216"/>
    <cellStyle name="Porcentagem 3 2 16" xfId="2217"/>
    <cellStyle name="Porcentagem 3 2 17" xfId="2218"/>
    <cellStyle name="Porcentagem 3 2 18" xfId="2219"/>
    <cellStyle name="Porcentagem 3 2 19" xfId="2220"/>
    <cellStyle name="Porcentagem 3 2 2" xfId="2221"/>
    <cellStyle name="Porcentagem 3 2 20" xfId="2222"/>
    <cellStyle name="Porcentagem 3 2 21" xfId="2223"/>
    <cellStyle name="Porcentagem 3 2 22" xfId="2224"/>
    <cellStyle name="Porcentagem 3 2 23" xfId="2225"/>
    <cellStyle name="Porcentagem 3 2 24" xfId="2226"/>
    <cellStyle name="Porcentagem 3 2 25" xfId="2227"/>
    <cellStyle name="Porcentagem 3 2 26" xfId="2228"/>
    <cellStyle name="Porcentagem 3 2 27" xfId="2229"/>
    <cellStyle name="Porcentagem 3 2 28" xfId="2230"/>
    <cellStyle name="Porcentagem 3 2 29" xfId="2231"/>
    <cellStyle name="Porcentagem 3 2 3" xfId="2232"/>
    <cellStyle name="Porcentagem 3 2 30" xfId="2233"/>
    <cellStyle name="Porcentagem 3 2 31" xfId="2234"/>
    <cellStyle name="Porcentagem 3 2 32" xfId="2235"/>
    <cellStyle name="Porcentagem 3 2 33" xfId="2236"/>
    <cellStyle name="Porcentagem 3 2 34" xfId="2237"/>
    <cellStyle name="Porcentagem 3 2 35" xfId="2238"/>
    <cellStyle name="Porcentagem 3 2 36" xfId="2239"/>
    <cellStyle name="Porcentagem 3 2 37" xfId="2240"/>
    <cellStyle name="Porcentagem 3 2 38" xfId="2241"/>
    <cellStyle name="Porcentagem 3 2 39" xfId="2242"/>
    <cellStyle name="Porcentagem 3 2 4" xfId="2243"/>
    <cellStyle name="Porcentagem 3 2 40" xfId="2244"/>
    <cellStyle name="Porcentagem 3 2 41" xfId="2245"/>
    <cellStyle name="Porcentagem 3 2 42" xfId="2246"/>
    <cellStyle name="Porcentagem 3 2 43" xfId="2247"/>
    <cellStyle name="Porcentagem 3 2 44" xfId="2248"/>
    <cellStyle name="Porcentagem 3 2 45" xfId="2249"/>
    <cellStyle name="Porcentagem 3 2 46" xfId="2250"/>
    <cellStyle name="Porcentagem 3 2 47" xfId="2251"/>
    <cellStyle name="Porcentagem 3 2 48" xfId="2252"/>
    <cellStyle name="Porcentagem 3 2 49" xfId="2253"/>
    <cellStyle name="Porcentagem 3 2 5" xfId="2254"/>
    <cellStyle name="Porcentagem 3 2 50" xfId="2255"/>
    <cellStyle name="Porcentagem 3 2 51" xfId="2256"/>
    <cellStyle name="Porcentagem 3 2 52" xfId="2257"/>
    <cellStyle name="Porcentagem 3 2 53" xfId="2258"/>
    <cellStyle name="Porcentagem 3 2 54" xfId="2259"/>
    <cellStyle name="Porcentagem 3 2 55" xfId="2260"/>
    <cellStyle name="Porcentagem 3 2 56" xfId="2261"/>
    <cellStyle name="Porcentagem 3 2 57" xfId="2262"/>
    <cellStyle name="Porcentagem 3 2 6" xfId="2263"/>
    <cellStyle name="Porcentagem 3 2 7" xfId="2264"/>
    <cellStyle name="Porcentagem 3 2 8" xfId="2265"/>
    <cellStyle name="Porcentagem 3 2 9" xfId="2266"/>
    <cellStyle name="Porcentagem 3 20" xfId="2267"/>
    <cellStyle name="Porcentagem 3 21" xfId="2268"/>
    <cellStyle name="Porcentagem 3 22" xfId="2269"/>
    <cellStyle name="Porcentagem 3 23" xfId="2270"/>
    <cellStyle name="Porcentagem 3 24" xfId="2271"/>
    <cellStyle name="Porcentagem 3 25" xfId="2272"/>
    <cellStyle name="Porcentagem 3 26" xfId="2273"/>
    <cellStyle name="Porcentagem 3 27" xfId="2274"/>
    <cellStyle name="Porcentagem 3 28" xfId="2275"/>
    <cellStyle name="Porcentagem 3 29" xfId="2276"/>
    <cellStyle name="Porcentagem 3 3" xfId="2277"/>
    <cellStyle name="Porcentagem 3 3 2" xfId="2278"/>
    <cellStyle name="Porcentagem 3 3 3" xfId="2279"/>
    <cellStyle name="Porcentagem 3 3 4" xfId="2280"/>
    <cellStyle name="Porcentagem 3 3 5" xfId="2281"/>
    <cellStyle name="Porcentagem 3 3 6" xfId="2282"/>
    <cellStyle name="Porcentagem 3 30" xfId="2283"/>
    <cellStyle name="Porcentagem 3 31" xfId="2284"/>
    <cellStyle name="Porcentagem 3 32" xfId="2285"/>
    <cellStyle name="Porcentagem 3 33" xfId="2286"/>
    <cellStyle name="Porcentagem 3 34" xfId="2287"/>
    <cellStyle name="Porcentagem 3 35" xfId="2288"/>
    <cellStyle name="Porcentagem 3 36" xfId="2289"/>
    <cellStyle name="Porcentagem 3 37" xfId="2290"/>
    <cellStyle name="Porcentagem 3 38" xfId="2291"/>
    <cellStyle name="Porcentagem 3 39" xfId="2292"/>
    <cellStyle name="Porcentagem 3 4" xfId="2293"/>
    <cellStyle name="Porcentagem 3 4 2" xfId="2294"/>
    <cellStyle name="Porcentagem 3 4 3" xfId="2295"/>
    <cellStyle name="Porcentagem 3 4 4" xfId="2296"/>
    <cellStyle name="Porcentagem 3 4 5" xfId="2297"/>
    <cellStyle name="Porcentagem 3 4 6" xfId="2298"/>
    <cellStyle name="Porcentagem 3 40" xfId="2299"/>
    <cellStyle name="Porcentagem 3 41" xfId="2300"/>
    <cellStyle name="Porcentagem 3 42" xfId="2301"/>
    <cellStyle name="Porcentagem 3 43" xfId="2302"/>
    <cellStyle name="Porcentagem 3 44" xfId="2303"/>
    <cellStyle name="Porcentagem 3 45" xfId="2304"/>
    <cellStyle name="Porcentagem 3 46" xfId="2305"/>
    <cellStyle name="Porcentagem 3 47" xfId="2306"/>
    <cellStyle name="Porcentagem 3 48" xfId="2307"/>
    <cellStyle name="Porcentagem 3 49" xfId="2308"/>
    <cellStyle name="Porcentagem 3 5" xfId="2309"/>
    <cellStyle name="Porcentagem 3 5 2" xfId="2310"/>
    <cellStyle name="Porcentagem 3 5 3" xfId="2311"/>
    <cellStyle name="Porcentagem 3 5 4" xfId="2312"/>
    <cellStyle name="Porcentagem 3 5 5" xfId="2313"/>
    <cellStyle name="Porcentagem 3 5 6" xfId="2314"/>
    <cellStyle name="Porcentagem 3 50" xfId="2315"/>
    <cellStyle name="Porcentagem 3 51" xfId="2316"/>
    <cellStyle name="Porcentagem 3 52" xfId="2317"/>
    <cellStyle name="Porcentagem 3 53" xfId="2318"/>
    <cellStyle name="Porcentagem 3 54" xfId="2319"/>
    <cellStyle name="Porcentagem 3 55" xfId="2320"/>
    <cellStyle name="Porcentagem 3 56" xfId="2321"/>
    <cellStyle name="Porcentagem 3 57" xfId="2322"/>
    <cellStyle name="Porcentagem 3 58" xfId="2323"/>
    <cellStyle name="Porcentagem 3 59" xfId="2324"/>
    <cellStyle name="Porcentagem 3 6" xfId="2325"/>
    <cellStyle name="Porcentagem 3 60" xfId="2326"/>
    <cellStyle name="Porcentagem 3 61" xfId="2327"/>
    <cellStyle name="Porcentagem 3 62" xfId="2328"/>
    <cellStyle name="Porcentagem 3 7" xfId="2329"/>
    <cellStyle name="Porcentagem 3 8" xfId="2330"/>
    <cellStyle name="Porcentagem 3 9" xfId="2331"/>
    <cellStyle name="Porcentagem 3_818889 Palmeirais Orc. Rec. Estrada Vicinal CM" xfId="2332"/>
    <cellStyle name="Porcentagem 4" xfId="2333"/>
    <cellStyle name="Porcentagem 4 10" xfId="2334"/>
    <cellStyle name="Porcentagem 4 11" xfId="2335"/>
    <cellStyle name="Porcentagem 4 12" xfId="2336"/>
    <cellStyle name="Porcentagem 4 13" xfId="2337"/>
    <cellStyle name="Porcentagem 4 14" xfId="2338"/>
    <cellStyle name="Porcentagem 4 15" xfId="2339"/>
    <cellStyle name="Porcentagem 4 16" xfId="2340"/>
    <cellStyle name="Porcentagem 4 17" xfId="2341"/>
    <cellStyle name="Porcentagem 4 18" xfId="2342"/>
    <cellStyle name="Porcentagem 4 19" xfId="2343"/>
    <cellStyle name="Porcentagem 4 2" xfId="2344"/>
    <cellStyle name="Porcentagem 4 2 2" xfId="2345"/>
    <cellStyle name="Porcentagem 4 2 3" xfId="2346"/>
    <cellStyle name="Porcentagem 4 2 4" xfId="2347"/>
    <cellStyle name="Porcentagem 4 2 5" xfId="2348"/>
    <cellStyle name="Porcentagem 4 2 6" xfId="2349"/>
    <cellStyle name="Porcentagem 4 20" xfId="2350"/>
    <cellStyle name="Porcentagem 4 21" xfId="2351"/>
    <cellStyle name="Porcentagem 4 22" xfId="2352"/>
    <cellStyle name="Porcentagem 4 23" xfId="2353"/>
    <cellStyle name="Porcentagem 4 24" xfId="2354"/>
    <cellStyle name="Porcentagem 4 25" xfId="2355"/>
    <cellStyle name="Porcentagem 4 26" xfId="2356"/>
    <cellStyle name="Porcentagem 4 27" xfId="2357"/>
    <cellStyle name="Porcentagem 4 28" xfId="2358"/>
    <cellStyle name="Porcentagem 4 29" xfId="2359"/>
    <cellStyle name="Porcentagem 4 3" xfId="2360"/>
    <cellStyle name="Porcentagem 4 3 2" xfId="2361"/>
    <cellStyle name="Porcentagem 4 3 3" xfId="2362"/>
    <cellStyle name="Porcentagem 4 3 4" xfId="2363"/>
    <cellStyle name="Porcentagem 4 3 5" xfId="2364"/>
    <cellStyle name="Porcentagem 4 3 6" xfId="2365"/>
    <cellStyle name="Porcentagem 4 30" xfId="2366"/>
    <cellStyle name="Porcentagem 4 31" xfId="2367"/>
    <cellStyle name="Porcentagem 4 32" xfId="2368"/>
    <cellStyle name="Porcentagem 4 33" xfId="2369"/>
    <cellStyle name="Porcentagem 4 34" xfId="2370"/>
    <cellStyle name="Porcentagem 4 35" xfId="2371"/>
    <cellStyle name="Porcentagem 4 36" xfId="2372"/>
    <cellStyle name="Porcentagem 4 37" xfId="2373"/>
    <cellStyle name="Porcentagem 4 38" xfId="2374"/>
    <cellStyle name="Porcentagem 4 39" xfId="2375"/>
    <cellStyle name="Porcentagem 4 4" xfId="2376"/>
    <cellStyle name="Porcentagem 4 4 2" xfId="2377"/>
    <cellStyle name="Porcentagem 4 4 3" xfId="2378"/>
    <cellStyle name="Porcentagem 4 4 4" xfId="2379"/>
    <cellStyle name="Porcentagem 4 4 5" xfId="2380"/>
    <cellStyle name="Porcentagem 4 4 6" xfId="2381"/>
    <cellStyle name="Porcentagem 4 40" xfId="2382"/>
    <cellStyle name="Porcentagem 4 41" xfId="2383"/>
    <cellStyle name="Porcentagem 4 42" xfId="2384"/>
    <cellStyle name="Porcentagem 4 43" xfId="2385"/>
    <cellStyle name="Porcentagem 4 44" xfId="2386"/>
    <cellStyle name="Porcentagem 4 45" xfId="2387"/>
    <cellStyle name="Porcentagem 4 46" xfId="2388"/>
    <cellStyle name="Porcentagem 4 47" xfId="2389"/>
    <cellStyle name="Porcentagem 4 48" xfId="2390"/>
    <cellStyle name="Porcentagem 4 49" xfId="2391"/>
    <cellStyle name="Porcentagem 4 5" xfId="2392"/>
    <cellStyle name="Porcentagem 4 50" xfId="2393"/>
    <cellStyle name="Porcentagem 4 51" xfId="2394"/>
    <cellStyle name="Porcentagem 4 52" xfId="2395"/>
    <cellStyle name="Porcentagem 4 53" xfId="2396"/>
    <cellStyle name="Porcentagem 4 54" xfId="2397"/>
    <cellStyle name="Porcentagem 4 55" xfId="2398"/>
    <cellStyle name="Porcentagem 4 56" xfId="2399"/>
    <cellStyle name="Porcentagem 4 57" xfId="2400"/>
    <cellStyle name="Porcentagem 4 58" xfId="2401"/>
    <cellStyle name="Porcentagem 4 59" xfId="2402"/>
    <cellStyle name="Porcentagem 4 6" xfId="2403"/>
    <cellStyle name="Porcentagem 4 60" xfId="2404"/>
    <cellStyle name="Porcentagem 4 61" xfId="2405"/>
    <cellStyle name="Porcentagem 4 7" xfId="2406"/>
    <cellStyle name="Porcentagem 4 8" xfId="2407"/>
    <cellStyle name="Porcentagem 4 9" xfId="2408"/>
    <cellStyle name="Porcentagem 5" xfId="2409"/>
    <cellStyle name="Porcentagem 5 2" xfId="2410"/>
    <cellStyle name="Porcentagem 6" xfId="2411"/>
    <cellStyle name="Porcentagem 6 2" xfId="2412"/>
    <cellStyle name="Porcentagem 7" xfId="2413"/>
    <cellStyle name="Porcentagem 7 2" xfId="2414"/>
    <cellStyle name="Porcentagem 8" xfId="2415"/>
    <cellStyle name="Porcentagem 8 2" xfId="2416"/>
    <cellStyle name="Porcentagem 9" xfId="2417"/>
    <cellStyle name="Ruim" xfId="2418"/>
    <cellStyle name="Saída" xfId="2419"/>
    <cellStyle name="Saída 2" xfId="2420"/>
    <cellStyle name="Saída 3" xfId="2421"/>
    <cellStyle name="Saída 4" xfId="2422"/>
    <cellStyle name="Saída 5" xfId="2423"/>
    <cellStyle name="Saída 6" xfId="2424"/>
    <cellStyle name="Saída 7" xfId="2425"/>
    <cellStyle name="Saída 8" xfId="2426"/>
    <cellStyle name="Saída 9" xfId="2427"/>
    <cellStyle name="Separador de m" xfId="2428"/>
    <cellStyle name="Comma [0]" xfId="2429"/>
    <cellStyle name="Separador de milhares 10" xfId="2430"/>
    <cellStyle name="Separador de milhares 10 2" xfId="2431"/>
    <cellStyle name="Separador de milhares 10 2 2" xfId="2432"/>
    <cellStyle name="Separador de milhares 10 3" xfId="2433"/>
    <cellStyle name="Separador de milhares 10 4" xfId="2434"/>
    <cellStyle name="Separador de milhares 11" xfId="2435"/>
    <cellStyle name="Separador de milhares 11 2" xfId="2436"/>
    <cellStyle name="Separador de milhares 11 3" xfId="2437"/>
    <cellStyle name="Separador de milhares 12" xfId="2438"/>
    <cellStyle name="Separador de milhares 12 2" xfId="2439"/>
    <cellStyle name="Separador de milhares 13" xfId="2440"/>
    <cellStyle name="Separador de milhares 13 2" xfId="2441"/>
    <cellStyle name="Separador de milhares 13 3" xfId="2442"/>
    <cellStyle name="Separador de milhares 13 4" xfId="2443"/>
    <cellStyle name="Separador de milhares 14" xfId="2444"/>
    <cellStyle name="Separador de milhares 14 2" xfId="2445"/>
    <cellStyle name="Separador de milhares 15" xfId="2446"/>
    <cellStyle name="Separador de milhares 16" xfId="2447"/>
    <cellStyle name="Separador de milhares 17" xfId="2448"/>
    <cellStyle name="Separador de milhares 18" xfId="2449"/>
    <cellStyle name="Separador de milhares 19" xfId="2450"/>
    <cellStyle name="Separador de milhares 2" xfId="2451"/>
    <cellStyle name="Separador de milhares 2 10" xfId="2452"/>
    <cellStyle name="Separador de milhares 2 10 2" xfId="2453"/>
    <cellStyle name="Separador de milhares 2 11" xfId="2454"/>
    <cellStyle name="Separador de milhares 2 12" xfId="2455"/>
    <cellStyle name="Separador de milhares 2 13" xfId="2456"/>
    <cellStyle name="Separador de milhares 2 14" xfId="2457"/>
    <cellStyle name="Separador de milhares 2 15" xfId="2458"/>
    <cellStyle name="Separador de milhares 2 16" xfId="2459"/>
    <cellStyle name="Separador de milhares 2 17" xfId="2460"/>
    <cellStyle name="Separador de milhares 2 18" xfId="2461"/>
    <cellStyle name="Separador de milhares 2 19" xfId="2462"/>
    <cellStyle name="Separador de milhares 2 2" xfId="2463"/>
    <cellStyle name="Separador de milhares 2 2 10" xfId="2464"/>
    <cellStyle name="Separador de milhares 2 2 11" xfId="2465"/>
    <cellStyle name="Separador de milhares 2 2 12" xfId="2466"/>
    <cellStyle name="Separador de milhares 2 2 13" xfId="2467"/>
    <cellStyle name="Separador de milhares 2 2 14" xfId="2468"/>
    <cellStyle name="Separador de milhares 2 2 15" xfId="2469"/>
    <cellStyle name="Separador de milhares 2 2 16" xfId="2470"/>
    <cellStyle name="Separador de milhares 2 2 17" xfId="2471"/>
    <cellStyle name="Separador de milhares 2 2 18" xfId="2472"/>
    <cellStyle name="Separador de milhares 2 2 19" xfId="2473"/>
    <cellStyle name="Separador de milhares 2 2 2" xfId="2474"/>
    <cellStyle name="Separador de milhares 2 2 2 10" xfId="2475"/>
    <cellStyle name="Separador de milhares 2 2 2 11" xfId="2476"/>
    <cellStyle name="Separador de milhares 2 2 2 12" xfId="2477"/>
    <cellStyle name="Separador de milhares 2 2 2 13" xfId="2478"/>
    <cellStyle name="Separador de milhares 2 2 2 14" xfId="2479"/>
    <cellStyle name="Separador de milhares 2 2 2 15" xfId="2480"/>
    <cellStyle name="Separador de milhares 2 2 2 16" xfId="2481"/>
    <cellStyle name="Separador de milhares 2 2 2 17" xfId="2482"/>
    <cellStyle name="Separador de milhares 2 2 2 18" xfId="2483"/>
    <cellStyle name="Separador de milhares 2 2 2 19" xfId="2484"/>
    <cellStyle name="Separador de milhares 2 2 2 2" xfId="2485"/>
    <cellStyle name="Separador de milhares 2 2 2 20" xfId="2486"/>
    <cellStyle name="Separador de milhares 2 2 2 21" xfId="2487"/>
    <cellStyle name="Separador de milhares 2 2 2 22" xfId="2488"/>
    <cellStyle name="Separador de milhares 2 2 2 23" xfId="2489"/>
    <cellStyle name="Separador de milhares 2 2 2 24" xfId="2490"/>
    <cellStyle name="Separador de milhares 2 2 2 25" xfId="2491"/>
    <cellStyle name="Separador de milhares 2 2 2 26" xfId="2492"/>
    <cellStyle name="Separador de milhares 2 2 2 27" xfId="2493"/>
    <cellStyle name="Separador de milhares 2 2 2 28" xfId="2494"/>
    <cellStyle name="Separador de milhares 2 2 2 29" xfId="2495"/>
    <cellStyle name="Separador de milhares 2 2 2 3" xfId="2496"/>
    <cellStyle name="Separador de milhares 2 2 2 30" xfId="2497"/>
    <cellStyle name="Separador de milhares 2 2 2 31" xfId="2498"/>
    <cellStyle name="Separador de milhares 2 2 2 32" xfId="2499"/>
    <cellStyle name="Separador de milhares 2 2 2 33" xfId="2500"/>
    <cellStyle name="Separador de milhares 2 2 2 34" xfId="2501"/>
    <cellStyle name="Separador de milhares 2 2 2 35" xfId="2502"/>
    <cellStyle name="Separador de milhares 2 2 2 36" xfId="2503"/>
    <cellStyle name="Separador de milhares 2 2 2 37" xfId="2504"/>
    <cellStyle name="Separador de milhares 2 2 2 38" xfId="2505"/>
    <cellStyle name="Separador de milhares 2 2 2 39" xfId="2506"/>
    <cellStyle name="Separador de milhares 2 2 2 4" xfId="2507"/>
    <cellStyle name="Separador de milhares 2 2 2 40" xfId="2508"/>
    <cellStyle name="Separador de milhares 2 2 2 41" xfId="2509"/>
    <cellStyle name="Separador de milhares 2 2 2 42" xfId="2510"/>
    <cellStyle name="Separador de milhares 2 2 2 43" xfId="2511"/>
    <cellStyle name="Separador de milhares 2 2 2 44" xfId="2512"/>
    <cellStyle name="Separador de milhares 2 2 2 45" xfId="2513"/>
    <cellStyle name="Separador de milhares 2 2 2 46" xfId="2514"/>
    <cellStyle name="Separador de milhares 2 2 2 47" xfId="2515"/>
    <cellStyle name="Separador de milhares 2 2 2 48" xfId="2516"/>
    <cellStyle name="Separador de milhares 2 2 2 49" xfId="2517"/>
    <cellStyle name="Separador de milhares 2 2 2 5" xfId="2518"/>
    <cellStyle name="Separador de milhares 2 2 2 50" xfId="2519"/>
    <cellStyle name="Separador de milhares 2 2 2 51" xfId="2520"/>
    <cellStyle name="Separador de milhares 2 2 2 52" xfId="2521"/>
    <cellStyle name="Separador de milhares 2 2 2 53" xfId="2522"/>
    <cellStyle name="Separador de milhares 2 2 2 54" xfId="2523"/>
    <cellStyle name="Separador de milhares 2 2 2 55" xfId="2524"/>
    <cellStyle name="Separador de milhares 2 2 2 56" xfId="2525"/>
    <cellStyle name="Separador de milhares 2 2 2 57" xfId="2526"/>
    <cellStyle name="Separador de milhares 2 2 2 58" xfId="2527"/>
    <cellStyle name="Separador de milhares 2 2 2 6" xfId="2528"/>
    <cellStyle name="Separador de milhares 2 2 2 7" xfId="2529"/>
    <cellStyle name="Separador de milhares 2 2 2 8" xfId="2530"/>
    <cellStyle name="Separador de milhares 2 2 2 9" xfId="2531"/>
    <cellStyle name="Separador de milhares 2 2 20" xfId="2532"/>
    <cellStyle name="Separador de milhares 2 2 21" xfId="2533"/>
    <cellStyle name="Separador de milhares 2 2 22" xfId="2534"/>
    <cellStyle name="Separador de milhares 2 2 23" xfId="2535"/>
    <cellStyle name="Separador de milhares 2 2 24" xfId="2536"/>
    <cellStyle name="Separador de milhares 2 2 25" xfId="2537"/>
    <cellStyle name="Separador de milhares 2 2 26" xfId="2538"/>
    <cellStyle name="Separador de milhares 2 2 27" xfId="2539"/>
    <cellStyle name="Separador de milhares 2 2 28" xfId="2540"/>
    <cellStyle name="Separador de milhares 2 2 29" xfId="2541"/>
    <cellStyle name="Separador de milhares 2 2 3" xfId="2542"/>
    <cellStyle name="Separador de milhares 2 2 3 2" xfId="2543"/>
    <cellStyle name="Separador de milhares 2 2 3 2 2" xfId="2544"/>
    <cellStyle name="Separador de milhares 2 2 3 2 3" xfId="2545"/>
    <cellStyle name="Separador de milhares 2 2 3 2 4" xfId="2546"/>
    <cellStyle name="Separador de milhares 2 2 3 2 5" xfId="2547"/>
    <cellStyle name="Separador de milhares 2 2 3 2 6" xfId="2548"/>
    <cellStyle name="Separador de milhares 2 2 3 3" xfId="2549"/>
    <cellStyle name="Separador de milhares 2 2 3 4" xfId="2550"/>
    <cellStyle name="Separador de milhares 2 2 3 5" xfId="2551"/>
    <cellStyle name="Separador de milhares 2 2 3 6" xfId="2552"/>
    <cellStyle name="Separador de milhares 2 2 3 7" xfId="2553"/>
    <cellStyle name="Separador de milhares 2 2 3 8" xfId="2554"/>
    <cellStyle name="Separador de milhares 2 2 30" xfId="2555"/>
    <cellStyle name="Separador de milhares 2 2 31" xfId="2556"/>
    <cellStyle name="Separador de milhares 2 2 32" xfId="2557"/>
    <cellStyle name="Separador de milhares 2 2 33" xfId="2558"/>
    <cellStyle name="Separador de milhares 2 2 34" xfId="2559"/>
    <cellStyle name="Separador de milhares 2 2 35" xfId="2560"/>
    <cellStyle name="Separador de milhares 2 2 36" xfId="2561"/>
    <cellStyle name="Separador de milhares 2 2 37" xfId="2562"/>
    <cellStyle name="Separador de milhares 2 2 38" xfId="2563"/>
    <cellStyle name="Separador de milhares 2 2 39" xfId="2564"/>
    <cellStyle name="Separador de milhares 2 2 4" xfId="2565"/>
    <cellStyle name="Separador de milhares 2 2 4 10" xfId="2566"/>
    <cellStyle name="Separador de milhares 2 2 4 11" xfId="2567"/>
    <cellStyle name="Separador de milhares 2 2 4 12" xfId="2568"/>
    <cellStyle name="Separador de milhares 2 2 4 13" xfId="2569"/>
    <cellStyle name="Separador de milhares 2 2 4 14" xfId="2570"/>
    <cellStyle name="Separador de milhares 2 2 4 15" xfId="2571"/>
    <cellStyle name="Separador de milhares 2 2 4 16" xfId="2572"/>
    <cellStyle name="Separador de milhares 2 2 4 17" xfId="2573"/>
    <cellStyle name="Separador de milhares 2 2 4 18" xfId="2574"/>
    <cellStyle name="Separador de milhares 2 2 4 19" xfId="2575"/>
    <cellStyle name="Separador de milhares 2 2 4 2" xfId="2576"/>
    <cellStyle name="Separador de milhares 2 2 4 20" xfId="2577"/>
    <cellStyle name="Separador de milhares 2 2 4 21" xfId="2578"/>
    <cellStyle name="Separador de milhares 2 2 4 22" xfId="2579"/>
    <cellStyle name="Separador de milhares 2 2 4 23" xfId="2580"/>
    <cellStyle name="Separador de milhares 2 2 4 24" xfId="2581"/>
    <cellStyle name="Separador de milhares 2 2 4 25" xfId="2582"/>
    <cellStyle name="Separador de milhares 2 2 4 26" xfId="2583"/>
    <cellStyle name="Separador de milhares 2 2 4 27" xfId="2584"/>
    <cellStyle name="Separador de milhares 2 2 4 28" xfId="2585"/>
    <cellStyle name="Separador de milhares 2 2 4 29" xfId="2586"/>
    <cellStyle name="Separador de milhares 2 2 4 3" xfId="2587"/>
    <cellStyle name="Separador de milhares 2 2 4 30" xfId="2588"/>
    <cellStyle name="Separador de milhares 2 2 4 31" xfId="2589"/>
    <cellStyle name="Separador de milhares 2 2 4 32" xfId="2590"/>
    <cellStyle name="Separador de milhares 2 2 4 33" xfId="2591"/>
    <cellStyle name="Separador de milhares 2 2 4 34" xfId="2592"/>
    <cellStyle name="Separador de milhares 2 2 4 35" xfId="2593"/>
    <cellStyle name="Separador de milhares 2 2 4 36" xfId="2594"/>
    <cellStyle name="Separador de milhares 2 2 4 37" xfId="2595"/>
    <cellStyle name="Separador de milhares 2 2 4 38" xfId="2596"/>
    <cellStyle name="Separador de milhares 2 2 4 39" xfId="2597"/>
    <cellStyle name="Separador de milhares 2 2 4 4" xfId="2598"/>
    <cellStyle name="Separador de milhares 2 2 4 40" xfId="2599"/>
    <cellStyle name="Separador de milhares 2 2 4 41" xfId="2600"/>
    <cellStyle name="Separador de milhares 2 2 4 42" xfId="2601"/>
    <cellStyle name="Separador de milhares 2 2 4 43" xfId="2602"/>
    <cellStyle name="Separador de milhares 2 2 4 44" xfId="2603"/>
    <cellStyle name="Separador de milhares 2 2 4 45" xfId="2604"/>
    <cellStyle name="Separador de milhares 2 2 4 46" xfId="2605"/>
    <cellStyle name="Separador de milhares 2 2 4 47" xfId="2606"/>
    <cellStyle name="Separador de milhares 2 2 4 48" xfId="2607"/>
    <cellStyle name="Separador de milhares 2 2 4 49" xfId="2608"/>
    <cellStyle name="Separador de milhares 2 2 4 5" xfId="2609"/>
    <cellStyle name="Separador de milhares 2 2 4 50" xfId="2610"/>
    <cellStyle name="Separador de milhares 2 2 4 6" xfId="2611"/>
    <cellStyle name="Separador de milhares 2 2 4 7" xfId="2612"/>
    <cellStyle name="Separador de milhares 2 2 4 8" xfId="2613"/>
    <cellStyle name="Separador de milhares 2 2 4 9" xfId="2614"/>
    <cellStyle name="Separador de milhares 2 2 40" xfId="2615"/>
    <cellStyle name="Separador de milhares 2 2 41" xfId="2616"/>
    <cellStyle name="Separador de milhares 2 2 42" xfId="2617"/>
    <cellStyle name="Separador de milhares 2 2 43" xfId="2618"/>
    <cellStyle name="Separador de milhares 2 2 44" xfId="2619"/>
    <cellStyle name="Separador de milhares 2 2 45" xfId="2620"/>
    <cellStyle name="Separador de milhares 2 2 46" xfId="2621"/>
    <cellStyle name="Separador de milhares 2 2 47" xfId="2622"/>
    <cellStyle name="Separador de milhares 2 2 48" xfId="2623"/>
    <cellStyle name="Separador de milhares 2 2 49" xfId="2624"/>
    <cellStyle name="Separador de milhares 2 2 5" xfId="2625"/>
    <cellStyle name="Separador de milhares 2 2 5 2" xfId="2626"/>
    <cellStyle name="Separador de milhares 2 2 50" xfId="2627"/>
    <cellStyle name="Separador de milhares 2 2 51" xfId="2628"/>
    <cellStyle name="Separador de milhares 2 2 52" xfId="2629"/>
    <cellStyle name="Separador de milhares 2 2 53" xfId="2630"/>
    <cellStyle name="Separador de milhares 2 2 54" xfId="2631"/>
    <cellStyle name="Separador de milhares 2 2 55" xfId="2632"/>
    <cellStyle name="Separador de milhares 2 2 56" xfId="2633"/>
    <cellStyle name="Separador de milhares 2 2 57" xfId="2634"/>
    <cellStyle name="Separador de milhares 2 2 58" xfId="2635"/>
    <cellStyle name="Separador de milhares 2 2 59" xfId="2636"/>
    <cellStyle name="Separador de milhares 2 2 6" xfId="2637"/>
    <cellStyle name="Separador de milhares 2 2 60" xfId="2638"/>
    <cellStyle name="Separador de milhares 2 2 61" xfId="2639"/>
    <cellStyle name="Separador de milhares 2 2 7" xfId="2640"/>
    <cellStyle name="Separador de milhares 2 2 8" xfId="2641"/>
    <cellStyle name="Separador de milhares 2 2 9" xfId="2642"/>
    <cellStyle name="Separador de milhares 2 2_818889 Palmeirais Orc. Rec. Estrada Vicinal CM" xfId="2643"/>
    <cellStyle name="Separador de milhares 2 20" xfId="2644"/>
    <cellStyle name="Separador de milhares 2 21" xfId="2645"/>
    <cellStyle name="Separador de milhares 2 22" xfId="2646"/>
    <cellStyle name="Separador de milhares 2 23" xfId="2647"/>
    <cellStyle name="Separador de milhares 2 24" xfId="2648"/>
    <cellStyle name="Separador de milhares 2 25" xfId="2649"/>
    <cellStyle name="Separador de milhares 2 26" xfId="2650"/>
    <cellStyle name="Separador de milhares 2 27" xfId="2651"/>
    <cellStyle name="Separador de milhares 2 28" xfId="2652"/>
    <cellStyle name="Separador de milhares 2 29" xfId="2653"/>
    <cellStyle name="Separador de milhares 2 3" xfId="2654"/>
    <cellStyle name="Separador de milhares 2 3 2" xfId="2655"/>
    <cellStyle name="Separador de milhares 2 3 2 2" xfId="2656"/>
    <cellStyle name="Separador de milhares 2 3 3" xfId="2657"/>
    <cellStyle name="Separador de milhares 2 3 4" xfId="2658"/>
    <cellStyle name="Separador de milhares 2 3 5" xfId="2659"/>
    <cellStyle name="Separador de milhares 2 3 6" xfId="2660"/>
    <cellStyle name="Separador de milhares 2 3 7" xfId="2661"/>
    <cellStyle name="Separador de milhares 2 3_Orcamento Caracol CM SICRO 2" xfId="2662"/>
    <cellStyle name="Separador de milhares 2 30" xfId="2663"/>
    <cellStyle name="Separador de milhares 2 31" xfId="2664"/>
    <cellStyle name="Separador de milhares 2 32" xfId="2665"/>
    <cellStyle name="Separador de milhares 2 33" xfId="2666"/>
    <cellStyle name="Separador de milhares 2 34" xfId="2667"/>
    <cellStyle name="Separador de milhares 2 35" xfId="2668"/>
    <cellStyle name="Separador de milhares 2 36" xfId="2669"/>
    <cellStyle name="Separador de milhares 2 37" xfId="2670"/>
    <cellStyle name="Separador de milhares 2 38" xfId="2671"/>
    <cellStyle name="Separador de milhares 2 39" xfId="2672"/>
    <cellStyle name="Separador de milhares 2 4" xfId="2673"/>
    <cellStyle name="Separador de milhares 2 4 2" xfId="2674"/>
    <cellStyle name="Separador de milhares 2 40" xfId="2675"/>
    <cellStyle name="Separador de milhares 2 41" xfId="2676"/>
    <cellStyle name="Separador de milhares 2 42" xfId="2677"/>
    <cellStyle name="Separador de milhares 2 43" xfId="2678"/>
    <cellStyle name="Separador de milhares 2 44" xfId="2679"/>
    <cellStyle name="Separador de milhares 2 45" xfId="2680"/>
    <cellStyle name="Separador de milhares 2 46" xfId="2681"/>
    <cellStyle name="Separador de milhares 2 47" xfId="2682"/>
    <cellStyle name="Separador de milhares 2 48" xfId="2683"/>
    <cellStyle name="Separador de milhares 2 49" xfId="2684"/>
    <cellStyle name="Separador de milhares 2 5" xfId="2685"/>
    <cellStyle name="Separador de milhares 2 5 2" xfId="2686"/>
    <cellStyle name="Separador de milhares 2 50" xfId="2687"/>
    <cellStyle name="Separador de milhares 2 51" xfId="2688"/>
    <cellStyle name="Separador de milhares 2 52" xfId="2689"/>
    <cellStyle name="Separador de milhares 2 53" xfId="2690"/>
    <cellStyle name="Separador de milhares 2 54" xfId="2691"/>
    <cellStyle name="Separador de milhares 2 55" xfId="2692"/>
    <cellStyle name="Separador de milhares 2 56" xfId="2693"/>
    <cellStyle name="Separador de milhares 2 57" xfId="2694"/>
    <cellStyle name="Separador de milhares 2 58" xfId="2695"/>
    <cellStyle name="Separador de milhares 2 59" xfId="2696"/>
    <cellStyle name="Separador de milhares 2 6" xfId="2697"/>
    <cellStyle name="Separador de milhares 2 6 10" xfId="2698"/>
    <cellStyle name="Separador de milhares 2 6 11" xfId="2699"/>
    <cellStyle name="Separador de milhares 2 6 12" xfId="2700"/>
    <cellStyle name="Separador de milhares 2 6 13" xfId="2701"/>
    <cellStyle name="Separador de milhares 2 6 14" xfId="2702"/>
    <cellStyle name="Separador de milhares 2 6 15" xfId="2703"/>
    <cellStyle name="Separador de milhares 2 6 16" xfId="2704"/>
    <cellStyle name="Separador de milhares 2 6 17" xfId="2705"/>
    <cellStyle name="Separador de milhares 2 6 18" xfId="2706"/>
    <cellStyle name="Separador de milhares 2 6 19" xfId="2707"/>
    <cellStyle name="Separador de milhares 2 6 2" xfId="2708"/>
    <cellStyle name="Separador de milhares 2 6 20" xfId="2709"/>
    <cellStyle name="Separador de milhares 2 6 21" xfId="2710"/>
    <cellStyle name="Separador de milhares 2 6 22" xfId="2711"/>
    <cellStyle name="Separador de milhares 2 6 23" xfId="2712"/>
    <cellStyle name="Separador de milhares 2 6 24" xfId="2713"/>
    <cellStyle name="Separador de milhares 2 6 25" xfId="2714"/>
    <cellStyle name="Separador de milhares 2 6 26" xfId="2715"/>
    <cellStyle name="Separador de milhares 2 6 27" xfId="2716"/>
    <cellStyle name="Separador de milhares 2 6 28" xfId="2717"/>
    <cellStyle name="Separador de milhares 2 6 29" xfId="2718"/>
    <cellStyle name="Separador de milhares 2 6 3" xfId="2719"/>
    <cellStyle name="Separador de milhares 2 6 30" xfId="2720"/>
    <cellStyle name="Separador de milhares 2 6 31" xfId="2721"/>
    <cellStyle name="Separador de milhares 2 6 32" xfId="2722"/>
    <cellStyle name="Separador de milhares 2 6 33" xfId="2723"/>
    <cellStyle name="Separador de milhares 2 6 34" xfId="2724"/>
    <cellStyle name="Separador de milhares 2 6 35" xfId="2725"/>
    <cellStyle name="Separador de milhares 2 6 36" xfId="2726"/>
    <cellStyle name="Separador de milhares 2 6 37" xfId="2727"/>
    <cellStyle name="Separador de milhares 2 6 38" xfId="2728"/>
    <cellStyle name="Separador de milhares 2 6 39" xfId="2729"/>
    <cellStyle name="Separador de milhares 2 6 4" xfId="2730"/>
    <cellStyle name="Separador de milhares 2 6 40" xfId="2731"/>
    <cellStyle name="Separador de milhares 2 6 41" xfId="2732"/>
    <cellStyle name="Separador de milhares 2 6 42" xfId="2733"/>
    <cellStyle name="Separador de milhares 2 6 43" xfId="2734"/>
    <cellStyle name="Separador de milhares 2 6 44" xfId="2735"/>
    <cellStyle name="Separador de milhares 2 6 45" xfId="2736"/>
    <cellStyle name="Separador de milhares 2 6 46" xfId="2737"/>
    <cellStyle name="Separador de milhares 2 6 5" xfId="2738"/>
    <cellStyle name="Separador de milhares 2 6 6" xfId="2739"/>
    <cellStyle name="Separador de milhares 2 6 7" xfId="2740"/>
    <cellStyle name="Separador de milhares 2 6 8" xfId="2741"/>
    <cellStyle name="Separador de milhares 2 6 9" xfId="2742"/>
    <cellStyle name="Separador de milhares 2 60" xfId="2743"/>
    <cellStyle name="Separador de milhares 2 61" xfId="2744"/>
    <cellStyle name="Separador de milhares 2 7" xfId="2745"/>
    <cellStyle name="Separador de milhares 2 7 2" xfId="2746"/>
    <cellStyle name="Separador de milhares 2 8" xfId="2747"/>
    <cellStyle name="Separador de milhares 2 8 2" xfId="2748"/>
    <cellStyle name="Separador de milhares 2 9" xfId="2749"/>
    <cellStyle name="Separador de milhares 2_818889 Palmeirais Orc. Rec. Estrada Vicinal CM" xfId="2750"/>
    <cellStyle name="Separador de milhares 20" xfId="2751"/>
    <cellStyle name="Separador de milhares 21" xfId="2752"/>
    <cellStyle name="Separador de milhares 22" xfId="2753"/>
    <cellStyle name="Separador de milhares 23" xfId="2754"/>
    <cellStyle name="Separador de milhares 3" xfId="2755"/>
    <cellStyle name="Separador de milhares 3 10" xfId="2756"/>
    <cellStyle name="Separador de milhares 3 11" xfId="2757"/>
    <cellStyle name="Separador de milhares 3 12" xfId="2758"/>
    <cellStyle name="Separador de milhares 3 13" xfId="2759"/>
    <cellStyle name="Separador de milhares 3 14" xfId="2760"/>
    <cellStyle name="Separador de milhares 3 15" xfId="2761"/>
    <cellStyle name="Separador de milhares 3 16" xfId="2762"/>
    <cellStyle name="Separador de milhares 3 17" xfId="2763"/>
    <cellStyle name="Separador de milhares 3 18" xfId="2764"/>
    <cellStyle name="Separador de milhares 3 19" xfId="2765"/>
    <cellStyle name="Separador de milhares 3 2" xfId="2766"/>
    <cellStyle name="Separador de milhares 3 2 10" xfId="2767"/>
    <cellStyle name="Separador de milhares 3 2 11" xfId="2768"/>
    <cellStyle name="Separador de milhares 3 2 12" xfId="2769"/>
    <cellStyle name="Separador de milhares 3 2 13" xfId="2770"/>
    <cellStyle name="Separador de milhares 3 2 14" xfId="2771"/>
    <cellStyle name="Separador de milhares 3 2 15" xfId="2772"/>
    <cellStyle name="Separador de milhares 3 2 16" xfId="2773"/>
    <cellStyle name="Separador de milhares 3 2 17" xfId="2774"/>
    <cellStyle name="Separador de milhares 3 2 18" xfId="2775"/>
    <cellStyle name="Separador de milhares 3 2 19" xfId="2776"/>
    <cellStyle name="Separador de milhares 3 2 2" xfId="2777"/>
    <cellStyle name="Separador de milhares 3 2 2 2" xfId="2778"/>
    <cellStyle name="Separador de milhares 3 2 20" xfId="2779"/>
    <cellStyle name="Separador de milhares 3 2 21" xfId="2780"/>
    <cellStyle name="Separador de milhares 3 2 22" xfId="2781"/>
    <cellStyle name="Separador de milhares 3 2 23" xfId="2782"/>
    <cellStyle name="Separador de milhares 3 2 24" xfId="2783"/>
    <cellStyle name="Separador de milhares 3 2 25" xfId="2784"/>
    <cellStyle name="Separador de milhares 3 2 26" xfId="2785"/>
    <cellStyle name="Separador de milhares 3 2 27" xfId="2786"/>
    <cellStyle name="Separador de milhares 3 2 28" xfId="2787"/>
    <cellStyle name="Separador de milhares 3 2 29" xfId="2788"/>
    <cellStyle name="Separador de milhares 3 2 3" xfId="2789"/>
    <cellStyle name="Separador de milhares 3 2 30" xfId="2790"/>
    <cellStyle name="Separador de milhares 3 2 31" xfId="2791"/>
    <cellStyle name="Separador de milhares 3 2 32" xfId="2792"/>
    <cellStyle name="Separador de milhares 3 2 33" xfId="2793"/>
    <cellStyle name="Separador de milhares 3 2 34" xfId="2794"/>
    <cellStyle name="Separador de milhares 3 2 35" xfId="2795"/>
    <cellStyle name="Separador de milhares 3 2 36" xfId="2796"/>
    <cellStyle name="Separador de milhares 3 2 37" xfId="2797"/>
    <cellStyle name="Separador de milhares 3 2 38" xfId="2798"/>
    <cellStyle name="Separador de milhares 3 2 39" xfId="2799"/>
    <cellStyle name="Separador de milhares 3 2 4" xfId="2800"/>
    <cellStyle name="Separador de milhares 3 2 40" xfId="2801"/>
    <cellStyle name="Separador de milhares 3 2 41" xfId="2802"/>
    <cellStyle name="Separador de milhares 3 2 42" xfId="2803"/>
    <cellStyle name="Separador de milhares 3 2 43" xfId="2804"/>
    <cellStyle name="Separador de milhares 3 2 44" xfId="2805"/>
    <cellStyle name="Separador de milhares 3 2 45" xfId="2806"/>
    <cellStyle name="Separador de milhares 3 2 46" xfId="2807"/>
    <cellStyle name="Separador de milhares 3 2 47" xfId="2808"/>
    <cellStyle name="Separador de milhares 3 2 48" xfId="2809"/>
    <cellStyle name="Separador de milhares 3 2 49" xfId="2810"/>
    <cellStyle name="Separador de milhares 3 2 5" xfId="2811"/>
    <cellStyle name="Separador de milhares 3 2 50" xfId="2812"/>
    <cellStyle name="Separador de milhares 3 2 51" xfId="2813"/>
    <cellStyle name="Separador de milhares 3 2 52" xfId="2814"/>
    <cellStyle name="Separador de milhares 3 2 53" xfId="2815"/>
    <cellStyle name="Separador de milhares 3 2 54" xfId="2816"/>
    <cellStyle name="Separador de milhares 3 2 55" xfId="2817"/>
    <cellStyle name="Separador de milhares 3 2 56" xfId="2818"/>
    <cellStyle name="Separador de milhares 3 2 57" xfId="2819"/>
    <cellStyle name="Separador de milhares 3 2 58" xfId="2820"/>
    <cellStyle name="Separador de milhares 3 2 6" xfId="2821"/>
    <cellStyle name="Separador de milhares 3 2 7" xfId="2822"/>
    <cellStyle name="Separador de milhares 3 2 8" xfId="2823"/>
    <cellStyle name="Separador de milhares 3 2 9" xfId="2824"/>
    <cellStyle name="Separador de milhares 3 20" xfId="2825"/>
    <cellStyle name="Separador de milhares 3 21" xfId="2826"/>
    <cellStyle name="Separador de milhares 3 22" xfId="2827"/>
    <cellStyle name="Separador de milhares 3 23" xfId="2828"/>
    <cellStyle name="Separador de milhares 3 24" xfId="2829"/>
    <cellStyle name="Separador de milhares 3 25" xfId="2830"/>
    <cellStyle name="Separador de milhares 3 26" xfId="2831"/>
    <cellStyle name="Separador de milhares 3 27" xfId="2832"/>
    <cellStyle name="Separador de milhares 3 28" xfId="2833"/>
    <cellStyle name="Separador de milhares 3 29" xfId="2834"/>
    <cellStyle name="Separador de milhares 3 3" xfId="2835"/>
    <cellStyle name="Separador de milhares 3 3 10" xfId="2836"/>
    <cellStyle name="Separador de milhares 3 3 11" xfId="2837"/>
    <cellStyle name="Separador de milhares 3 3 12" xfId="2838"/>
    <cellStyle name="Separador de milhares 3 3 13" xfId="2839"/>
    <cellStyle name="Separador de milhares 3 3 14" xfId="2840"/>
    <cellStyle name="Separador de milhares 3 3 15" xfId="2841"/>
    <cellStyle name="Separador de milhares 3 3 16" xfId="2842"/>
    <cellStyle name="Separador de milhares 3 3 17" xfId="2843"/>
    <cellStyle name="Separador de milhares 3 3 18" xfId="2844"/>
    <cellStyle name="Separador de milhares 3 3 19" xfId="2845"/>
    <cellStyle name="Separador de milhares 3 3 2" xfId="2846"/>
    <cellStyle name="Separador de milhares 3 3 2 2" xfId="2847"/>
    <cellStyle name="Separador de milhares 3 3 2 3" xfId="2848"/>
    <cellStyle name="Separador de milhares 3 3 2 4" xfId="2849"/>
    <cellStyle name="Separador de milhares 3 3 2 5" xfId="2850"/>
    <cellStyle name="Separador de milhares 3 3 2 6" xfId="2851"/>
    <cellStyle name="Separador de milhares 3 3 20" xfId="2852"/>
    <cellStyle name="Separador de milhares 3 3 21" xfId="2853"/>
    <cellStyle name="Separador de milhares 3 3 22" xfId="2854"/>
    <cellStyle name="Separador de milhares 3 3 23" xfId="2855"/>
    <cellStyle name="Separador de milhares 3 3 24" xfId="2856"/>
    <cellStyle name="Separador de milhares 3 3 25" xfId="2857"/>
    <cellStyle name="Separador de milhares 3 3 26" xfId="2858"/>
    <cellStyle name="Separador de milhares 3 3 27" xfId="2859"/>
    <cellStyle name="Separador de milhares 3 3 28" xfId="2860"/>
    <cellStyle name="Separador de milhares 3 3 29" xfId="2861"/>
    <cellStyle name="Separador de milhares 3 3 3" xfId="2862"/>
    <cellStyle name="Separador de milhares 3 3 3 2" xfId="2863"/>
    <cellStyle name="Separador de milhares 3 3 3 3" xfId="2864"/>
    <cellStyle name="Separador de milhares 3 3 3 4" xfId="2865"/>
    <cellStyle name="Separador de milhares 3 3 3 5" xfId="2866"/>
    <cellStyle name="Separador de milhares 3 3 3 6" xfId="2867"/>
    <cellStyle name="Separador de milhares 3 3 30" xfId="2868"/>
    <cellStyle name="Separador de milhares 3 3 31" xfId="2869"/>
    <cellStyle name="Separador de milhares 3 3 32" xfId="2870"/>
    <cellStyle name="Separador de milhares 3 3 33" xfId="2871"/>
    <cellStyle name="Separador de milhares 3 3 34" xfId="2872"/>
    <cellStyle name="Separador de milhares 3 3 35" xfId="2873"/>
    <cellStyle name="Separador de milhares 3 3 36" xfId="2874"/>
    <cellStyle name="Separador de milhares 3 3 37" xfId="2875"/>
    <cellStyle name="Separador de milhares 3 3 38" xfId="2876"/>
    <cellStyle name="Separador de milhares 3 3 39" xfId="2877"/>
    <cellStyle name="Separador de milhares 3 3 4" xfId="2878"/>
    <cellStyle name="Separador de milhares 3 3 4 2" xfId="2879"/>
    <cellStyle name="Separador de milhares 3 3 4 3" xfId="2880"/>
    <cellStyle name="Separador de milhares 3 3 4 4" xfId="2881"/>
    <cellStyle name="Separador de milhares 3 3 4 5" xfId="2882"/>
    <cellStyle name="Separador de milhares 3 3 4 6" xfId="2883"/>
    <cellStyle name="Separador de milhares 3 3 40" xfId="2884"/>
    <cellStyle name="Separador de milhares 3 3 41" xfId="2885"/>
    <cellStyle name="Separador de milhares 3 3 42" xfId="2886"/>
    <cellStyle name="Separador de milhares 3 3 43" xfId="2887"/>
    <cellStyle name="Separador de milhares 3 3 44" xfId="2888"/>
    <cellStyle name="Separador de milhares 3 3 45" xfId="2889"/>
    <cellStyle name="Separador de milhares 3 3 46" xfId="2890"/>
    <cellStyle name="Separador de milhares 3 3 47" xfId="2891"/>
    <cellStyle name="Separador de milhares 3 3 48" xfId="2892"/>
    <cellStyle name="Separador de milhares 3 3 49" xfId="2893"/>
    <cellStyle name="Separador de milhares 3 3 5" xfId="2894"/>
    <cellStyle name="Separador de milhares 3 3 50" xfId="2895"/>
    <cellStyle name="Separador de milhares 3 3 51" xfId="2896"/>
    <cellStyle name="Separador de milhares 3 3 52" xfId="2897"/>
    <cellStyle name="Separador de milhares 3 3 53" xfId="2898"/>
    <cellStyle name="Separador de milhares 3 3 54" xfId="2899"/>
    <cellStyle name="Separador de milhares 3 3 55" xfId="2900"/>
    <cellStyle name="Separador de milhares 3 3 56" xfId="2901"/>
    <cellStyle name="Separador de milhares 3 3 57" xfId="2902"/>
    <cellStyle name="Separador de milhares 3 3 58" xfId="2903"/>
    <cellStyle name="Separador de milhares 3 3 59" xfId="2904"/>
    <cellStyle name="Separador de milhares 3 3 6" xfId="2905"/>
    <cellStyle name="Separador de milhares 3 3 60" xfId="2906"/>
    <cellStyle name="Separador de milhares 3 3 61" xfId="2907"/>
    <cellStyle name="Separador de milhares 3 3 7" xfId="2908"/>
    <cellStyle name="Separador de milhares 3 3 8" xfId="2909"/>
    <cellStyle name="Separador de milhares 3 3 9" xfId="2910"/>
    <cellStyle name="Separador de milhares 3 3_ORÇ." xfId="2911"/>
    <cellStyle name="Separador de milhares 3 30" xfId="2912"/>
    <cellStyle name="Separador de milhares 3 31" xfId="2913"/>
    <cellStyle name="Separador de milhares 3 32" xfId="2914"/>
    <cellStyle name="Separador de milhares 3 33" xfId="2915"/>
    <cellStyle name="Separador de milhares 3 34" xfId="2916"/>
    <cellStyle name="Separador de milhares 3 35" xfId="2917"/>
    <cellStyle name="Separador de milhares 3 36" xfId="2918"/>
    <cellStyle name="Separador de milhares 3 37" xfId="2919"/>
    <cellStyle name="Separador de milhares 3 38" xfId="2920"/>
    <cellStyle name="Separador de milhares 3 39" xfId="2921"/>
    <cellStyle name="Separador de milhares 3 4" xfId="2922"/>
    <cellStyle name="Separador de milhares 3 4 2" xfId="2923"/>
    <cellStyle name="Separador de milhares 3 4 3" xfId="2924"/>
    <cellStyle name="Separador de milhares 3 4 4" xfId="2925"/>
    <cellStyle name="Separador de milhares 3 4 5" xfId="2926"/>
    <cellStyle name="Separador de milhares 3 4 6" xfId="2927"/>
    <cellStyle name="Separador de milhares 3 4 7" xfId="2928"/>
    <cellStyle name="Separador de milhares 3 4_Orcamento Caracol CM SICRO 2" xfId="2929"/>
    <cellStyle name="Separador de milhares 3 40" xfId="2930"/>
    <cellStyle name="Separador de milhares 3 41" xfId="2931"/>
    <cellStyle name="Separador de milhares 3 42" xfId="2932"/>
    <cellStyle name="Separador de milhares 3 43" xfId="2933"/>
    <cellStyle name="Separador de milhares 3 44" xfId="2934"/>
    <cellStyle name="Separador de milhares 3 45" xfId="2935"/>
    <cellStyle name="Separador de milhares 3 46" xfId="2936"/>
    <cellStyle name="Separador de milhares 3 47" xfId="2937"/>
    <cellStyle name="Separador de milhares 3 48" xfId="2938"/>
    <cellStyle name="Separador de milhares 3 49" xfId="2939"/>
    <cellStyle name="Separador de milhares 3 5" xfId="2940"/>
    <cellStyle name="Separador de milhares 3 5 2" xfId="2941"/>
    <cellStyle name="Separador de milhares 3 5 3" xfId="2942"/>
    <cellStyle name="Separador de milhares 3 5 4" xfId="2943"/>
    <cellStyle name="Separador de milhares 3 5 5" xfId="2944"/>
    <cellStyle name="Separador de milhares 3 5 6" xfId="2945"/>
    <cellStyle name="Separador de milhares 3 50" xfId="2946"/>
    <cellStyle name="Separador de milhares 3 51" xfId="2947"/>
    <cellStyle name="Separador de milhares 3 52" xfId="2948"/>
    <cellStyle name="Separador de milhares 3 53" xfId="2949"/>
    <cellStyle name="Separador de milhares 3 54" xfId="2950"/>
    <cellStyle name="Separador de milhares 3 55" xfId="2951"/>
    <cellStyle name="Separador de milhares 3 56" xfId="2952"/>
    <cellStyle name="Separador de milhares 3 57" xfId="2953"/>
    <cellStyle name="Separador de milhares 3 58" xfId="2954"/>
    <cellStyle name="Separador de milhares 3 59" xfId="2955"/>
    <cellStyle name="Separador de milhares 3 6" xfId="2956"/>
    <cellStyle name="Separador de milhares 3 6 2" xfId="2957"/>
    <cellStyle name="Separador de milhares 3 6 3" xfId="2958"/>
    <cellStyle name="Separador de milhares 3 6 4" xfId="2959"/>
    <cellStyle name="Separador de milhares 3 6 5" xfId="2960"/>
    <cellStyle name="Separador de milhares 3 6 6" xfId="2961"/>
    <cellStyle name="Separador de milhares 3 60" xfId="2962"/>
    <cellStyle name="Separador de milhares 3 61" xfId="2963"/>
    <cellStyle name="Separador de milhares 3 62" xfId="2964"/>
    <cellStyle name="Separador de milhares 3 63" xfId="2965"/>
    <cellStyle name="Separador de milhares 3 7" xfId="2966"/>
    <cellStyle name="Separador de milhares 3 8" xfId="2967"/>
    <cellStyle name="Separador de milhares 3 9" xfId="2968"/>
    <cellStyle name="Separador de milhares 3_818889 Palmeirais Orc. Rec. Estrada Vicinal CM" xfId="2969"/>
    <cellStyle name="Separador de milhares 4" xfId="2970"/>
    <cellStyle name="Separador de milhares 4 10" xfId="2971"/>
    <cellStyle name="Separador de milhares 4 11" xfId="2972"/>
    <cellStyle name="Separador de milhares 4 12" xfId="2973"/>
    <cellStyle name="Separador de milhares 4 13" xfId="2974"/>
    <cellStyle name="Separador de milhares 4 14" xfId="2975"/>
    <cellStyle name="Separador de milhares 4 15" xfId="2976"/>
    <cellStyle name="Separador de milhares 4 16" xfId="2977"/>
    <cellStyle name="Separador de milhares 4 17" xfId="2978"/>
    <cellStyle name="Separador de milhares 4 18" xfId="2979"/>
    <cellStyle name="Separador de milhares 4 19" xfId="2980"/>
    <cellStyle name="Separador de milhares 4 2" xfId="2981"/>
    <cellStyle name="Separador de milhares 4 2 2" xfId="2982"/>
    <cellStyle name="Separador de milhares 4 2 2 2" xfId="2983"/>
    <cellStyle name="Separador de milhares 4 2 3" xfId="2984"/>
    <cellStyle name="Separador de milhares 4 2 4" xfId="2985"/>
    <cellStyle name="Separador de milhares 4 2 5" xfId="2986"/>
    <cellStyle name="Separador de milhares 4 2 6" xfId="2987"/>
    <cellStyle name="Separador de milhares 4 2 7" xfId="2988"/>
    <cellStyle name="Separador de milhares 4 20" xfId="2989"/>
    <cellStyle name="Separador de milhares 4 21" xfId="2990"/>
    <cellStyle name="Separador de milhares 4 22" xfId="2991"/>
    <cellStyle name="Separador de milhares 4 23" xfId="2992"/>
    <cellStyle name="Separador de milhares 4 24" xfId="2993"/>
    <cellStyle name="Separador de milhares 4 25" xfId="2994"/>
    <cellStyle name="Separador de milhares 4 26" xfId="2995"/>
    <cellStyle name="Separador de milhares 4 27" xfId="2996"/>
    <cellStyle name="Separador de milhares 4 28" xfId="2997"/>
    <cellStyle name="Separador de milhares 4 29" xfId="2998"/>
    <cellStyle name="Separador de milhares 4 3" xfId="2999"/>
    <cellStyle name="Separador de milhares 4 3 2" xfId="3000"/>
    <cellStyle name="Separador de milhares 4 3 2 2" xfId="3001"/>
    <cellStyle name="Separador de milhares 4 3 3" xfId="3002"/>
    <cellStyle name="Separador de milhares 4 3 4" xfId="3003"/>
    <cellStyle name="Separador de milhares 4 3 5" xfId="3004"/>
    <cellStyle name="Separador de milhares 4 3 6" xfId="3005"/>
    <cellStyle name="Separador de milhares 4 3 7" xfId="3006"/>
    <cellStyle name="Separador de milhares 4 30" xfId="3007"/>
    <cellStyle name="Separador de milhares 4 31" xfId="3008"/>
    <cellStyle name="Separador de milhares 4 32" xfId="3009"/>
    <cellStyle name="Separador de milhares 4 33" xfId="3010"/>
    <cellStyle name="Separador de milhares 4 34" xfId="3011"/>
    <cellStyle name="Separador de milhares 4 35" xfId="3012"/>
    <cellStyle name="Separador de milhares 4 36" xfId="3013"/>
    <cellStyle name="Separador de milhares 4 37" xfId="3014"/>
    <cellStyle name="Separador de milhares 4 38" xfId="3015"/>
    <cellStyle name="Separador de milhares 4 39" xfId="3016"/>
    <cellStyle name="Separador de milhares 4 4" xfId="3017"/>
    <cellStyle name="Separador de milhares 4 4 2" xfId="3018"/>
    <cellStyle name="Separador de milhares 4 4 3" xfId="3019"/>
    <cellStyle name="Separador de milhares 4 4 4" xfId="3020"/>
    <cellStyle name="Separador de milhares 4 4 5" xfId="3021"/>
    <cellStyle name="Separador de milhares 4 4 6" xfId="3022"/>
    <cellStyle name="Separador de milhares 4 4 7" xfId="3023"/>
    <cellStyle name="Separador de milhares 4 40" xfId="3024"/>
    <cellStyle name="Separador de milhares 4 41" xfId="3025"/>
    <cellStyle name="Separador de milhares 4 42" xfId="3026"/>
    <cellStyle name="Separador de milhares 4 43" xfId="3027"/>
    <cellStyle name="Separador de milhares 4 44" xfId="3028"/>
    <cellStyle name="Separador de milhares 4 45" xfId="3029"/>
    <cellStyle name="Separador de milhares 4 46" xfId="3030"/>
    <cellStyle name="Separador de milhares 4 47" xfId="3031"/>
    <cellStyle name="Separador de milhares 4 48" xfId="3032"/>
    <cellStyle name="Separador de milhares 4 49" xfId="3033"/>
    <cellStyle name="Separador de milhares 4 5" xfId="3034"/>
    <cellStyle name="Separador de milhares 4 50" xfId="3035"/>
    <cellStyle name="Separador de milhares 4 51" xfId="3036"/>
    <cellStyle name="Separador de milhares 4 52" xfId="3037"/>
    <cellStyle name="Separador de milhares 4 53" xfId="3038"/>
    <cellStyle name="Separador de milhares 4 54" xfId="3039"/>
    <cellStyle name="Separador de milhares 4 55" xfId="3040"/>
    <cellStyle name="Separador de milhares 4 56" xfId="3041"/>
    <cellStyle name="Separador de milhares 4 57" xfId="3042"/>
    <cellStyle name="Separador de milhares 4 58" xfId="3043"/>
    <cellStyle name="Separador de milhares 4 59" xfId="3044"/>
    <cellStyle name="Separador de milhares 4 6" xfId="3045"/>
    <cellStyle name="Separador de milhares 4 60" xfId="3046"/>
    <cellStyle name="Separador de milhares 4 61" xfId="3047"/>
    <cellStyle name="Separador de milhares 4 7" xfId="3048"/>
    <cellStyle name="Separador de milhares 4 8" xfId="3049"/>
    <cellStyle name="Separador de milhares 4 9" xfId="3050"/>
    <cellStyle name="Separador de milhares 4_818889 Palmeirais Orc. Rec. Estrada Vicinal CM" xfId="3051"/>
    <cellStyle name="Separador de milhares 5" xfId="3052"/>
    <cellStyle name="Separador de milhares 5 10" xfId="3053"/>
    <cellStyle name="Separador de milhares 5 11" xfId="3054"/>
    <cellStyle name="Separador de milhares 5 12" xfId="3055"/>
    <cellStyle name="Separador de milhares 5 13" xfId="3056"/>
    <cellStyle name="Separador de milhares 5 14" xfId="3057"/>
    <cellStyle name="Separador de milhares 5 15" xfId="3058"/>
    <cellStyle name="Separador de milhares 5 16" xfId="3059"/>
    <cellStyle name="Separador de milhares 5 17" xfId="3060"/>
    <cellStyle name="Separador de milhares 5 18" xfId="3061"/>
    <cellStyle name="Separador de milhares 5 19" xfId="3062"/>
    <cellStyle name="Separador de milhares 5 2" xfId="3063"/>
    <cellStyle name="Separador de milhares 5 2 2" xfId="3064"/>
    <cellStyle name="Separador de milhares 5 2 2 2" xfId="3065"/>
    <cellStyle name="Separador de milhares 5 2 3" xfId="3066"/>
    <cellStyle name="Separador de milhares 5 2 4" xfId="3067"/>
    <cellStyle name="Separador de milhares 5 2 5" xfId="3068"/>
    <cellStyle name="Separador de milhares 5 2 6" xfId="3069"/>
    <cellStyle name="Separador de milhares 5 2 7" xfId="3070"/>
    <cellStyle name="Separador de milhares 5 20" xfId="3071"/>
    <cellStyle name="Separador de milhares 5 21" xfId="3072"/>
    <cellStyle name="Separador de milhares 5 22" xfId="3073"/>
    <cellStyle name="Separador de milhares 5 23" xfId="3074"/>
    <cellStyle name="Separador de milhares 5 24" xfId="3075"/>
    <cellStyle name="Separador de milhares 5 25" xfId="3076"/>
    <cellStyle name="Separador de milhares 5 26" xfId="3077"/>
    <cellStyle name="Separador de milhares 5 27" xfId="3078"/>
    <cellStyle name="Separador de milhares 5 28" xfId="3079"/>
    <cellStyle name="Separador de milhares 5 29" xfId="3080"/>
    <cellStyle name="Separador de milhares 5 3" xfId="3081"/>
    <cellStyle name="Separador de milhares 5 3 2" xfId="3082"/>
    <cellStyle name="Separador de milhares 5 3 3" xfId="3083"/>
    <cellStyle name="Separador de milhares 5 3 4" xfId="3084"/>
    <cellStyle name="Separador de milhares 5 3 5" xfId="3085"/>
    <cellStyle name="Separador de milhares 5 3 6" xfId="3086"/>
    <cellStyle name="Separador de milhares 5 3 7" xfId="3087"/>
    <cellStyle name="Separador de milhares 5 30" xfId="3088"/>
    <cellStyle name="Separador de milhares 5 31" xfId="3089"/>
    <cellStyle name="Separador de milhares 5 32" xfId="3090"/>
    <cellStyle name="Separador de milhares 5 33" xfId="3091"/>
    <cellStyle name="Separador de milhares 5 34" xfId="3092"/>
    <cellStyle name="Separador de milhares 5 35" xfId="3093"/>
    <cellStyle name="Separador de milhares 5 36" xfId="3094"/>
    <cellStyle name="Separador de milhares 5 37" xfId="3095"/>
    <cellStyle name="Separador de milhares 5 38" xfId="3096"/>
    <cellStyle name="Separador de milhares 5 39" xfId="3097"/>
    <cellStyle name="Separador de milhares 5 4" xfId="3098"/>
    <cellStyle name="Separador de milhares 5 4 2" xfId="3099"/>
    <cellStyle name="Separador de milhares 5 4 3" xfId="3100"/>
    <cellStyle name="Separador de milhares 5 4 4" xfId="3101"/>
    <cellStyle name="Separador de milhares 5 4 5" xfId="3102"/>
    <cellStyle name="Separador de milhares 5 4 6" xfId="3103"/>
    <cellStyle name="Separador de milhares 5 4 7" xfId="3104"/>
    <cellStyle name="Separador de milhares 5 40" xfId="3105"/>
    <cellStyle name="Separador de milhares 5 41" xfId="3106"/>
    <cellStyle name="Separador de milhares 5 42" xfId="3107"/>
    <cellStyle name="Separador de milhares 5 43" xfId="3108"/>
    <cellStyle name="Separador de milhares 5 44" xfId="3109"/>
    <cellStyle name="Separador de milhares 5 45" xfId="3110"/>
    <cellStyle name="Separador de milhares 5 46" xfId="3111"/>
    <cellStyle name="Separador de milhares 5 47" xfId="3112"/>
    <cellStyle name="Separador de milhares 5 48" xfId="3113"/>
    <cellStyle name="Separador de milhares 5 49" xfId="3114"/>
    <cellStyle name="Separador de milhares 5 5" xfId="3115"/>
    <cellStyle name="Separador de milhares 5 5 2" xfId="3116"/>
    <cellStyle name="Separador de milhares 5 5 3" xfId="3117"/>
    <cellStyle name="Separador de milhares 5 50" xfId="3118"/>
    <cellStyle name="Separador de milhares 5 51" xfId="3119"/>
    <cellStyle name="Separador de milhares 5 52" xfId="3120"/>
    <cellStyle name="Separador de milhares 5 53" xfId="3121"/>
    <cellStyle name="Separador de milhares 5 54" xfId="3122"/>
    <cellStyle name="Separador de milhares 5 55" xfId="3123"/>
    <cellStyle name="Separador de milhares 5 56" xfId="3124"/>
    <cellStyle name="Separador de milhares 5 57" xfId="3125"/>
    <cellStyle name="Separador de milhares 5 58" xfId="3126"/>
    <cellStyle name="Separador de milhares 5 59" xfId="3127"/>
    <cellStyle name="Separador de milhares 5 6" xfId="3128"/>
    <cellStyle name="Separador de milhares 5 6 2" xfId="3129"/>
    <cellStyle name="Separador de milhares 5 60" xfId="3130"/>
    <cellStyle name="Separador de milhares 5 61" xfId="3131"/>
    <cellStyle name="Separador de milhares 5 7" xfId="3132"/>
    <cellStyle name="Separador de milhares 5 8" xfId="3133"/>
    <cellStyle name="Separador de milhares 5 9" xfId="3134"/>
    <cellStyle name="Separador de milhares 5_B M Serviços Extras" xfId="3135"/>
    <cellStyle name="Separador de milhares 6" xfId="3136"/>
    <cellStyle name="Separador de milhares 6 2" xfId="3137"/>
    <cellStyle name="Separador de milhares 6 2 2" xfId="3138"/>
    <cellStyle name="Separador de milhares 6 3" xfId="3139"/>
    <cellStyle name="Separador de milhares 6 4" xfId="3140"/>
    <cellStyle name="Separador de milhares 7" xfId="3141"/>
    <cellStyle name="Separador de milhares 7 2" xfId="3142"/>
    <cellStyle name="Separador de milhares 7 3" xfId="3143"/>
    <cellStyle name="Separador de milhares 7 4" xfId="3144"/>
    <cellStyle name="Separador de milhares 8" xfId="3145"/>
    <cellStyle name="Separador de milhares 8 2" xfId="3146"/>
    <cellStyle name="Separador de milhares 8 2 2" xfId="3147"/>
    <cellStyle name="Separador de milhares 9" xfId="3148"/>
    <cellStyle name="Separador de milhares 9 2" xfId="3149"/>
    <cellStyle name="TableStyleLight1" xfId="3150"/>
    <cellStyle name="Texto de Aviso" xfId="3151"/>
    <cellStyle name="Texto de Aviso 2" xfId="3152"/>
    <cellStyle name="Texto de Aviso 3" xfId="3153"/>
    <cellStyle name="Texto de Aviso 4" xfId="3154"/>
    <cellStyle name="Texto de Aviso 5" xfId="3155"/>
    <cellStyle name="Texto de Aviso 6" xfId="3156"/>
    <cellStyle name="Texto de Aviso 7" xfId="3157"/>
    <cellStyle name="Texto de Aviso 8" xfId="3158"/>
    <cellStyle name="Texto de Aviso 9" xfId="3159"/>
    <cellStyle name="Texto Explicativo" xfId="3160"/>
    <cellStyle name="Texto Explicativo 2" xfId="3161"/>
    <cellStyle name="Texto Explicativo 3" xfId="3162"/>
    <cellStyle name="Texto Explicativo 4" xfId="3163"/>
    <cellStyle name="Texto Explicativo 5" xfId="3164"/>
    <cellStyle name="Texto Explicativo 6" xfId="3165"/>
    <cellStyle name="Texto Explicativo 7" xfId="3166"/>
    <cellStyle name="Texto Explicativo 8" xfId="3167"/>
    <cellStyle name="Texto Explicativo 9" xfId="3168"/>
    <cellStyle name="Title" xfId="3169"/>
    <cellStyle name="Título" xfId="3170"/>
    <cellStyle name="Título 1" xfId="3171"/>
    <cellStyle name="Título 1 1" xfId="3172"/>
    <cellStyle name="Título 1 1 1" xfId="3173"/>
    <cellStyle name="Título 1 1 1 1" xfId="3174"/>
    <cellStyle name="Título 1 1 1 1 1" xfId="3175"/>
    <cellStyle name="Título 1 1 1 1 1 1" xfId="3176"/>
    <cellStyle name="Título 1 1 1 1 1 1 1" xfId="3177"/>
    <cellStyle name="Título 1 1 1 1 1 1 1 1" xfId="3178"/>
    <cellStyle name="Título 1 1 1 1 1 1 1 1 1" xfId="3179"/>
    <cellStyle name="Título 1 1 1 1 1 1 1 1 1 1" xfId="3180"/>
    <cellStyle name="Título 1 1 1 1 1 1 1 1 1 1 1" xfId="3181"/>
    <cellStyle name="Título 1 1 1 1 1 1 1 1 1 1 1 1" xfId="3182"/>
    <cellStyle name="Título 1 1 1 1 1 1 1 1 1 1 1 1 1" xfId="3183"/>
    <cellStyle name="Título 1 1 1 1 1 1 1 1 1 1 1 1 1 1" xfId="3184"/>
    <cellStyle name="Título 1 1 1 1 1 1 1 1 1 1 1 1 1 1 1" xfId="3185"/>
    <cellStyle name="Título 1 1 1 1 1 1 1 1 1 1 1 1 1 1 1 1" xfId="3186"/>
    <cellStyle name="Título 1 1 1 1 1 1 1 1 1 1 1 1 1 1 1 1 1" xfId="3187"/>
    <cellStyle name="Título 1 1 1 1 1 1 1 1 1 1 1 1 1 1 1 1 1 1" xfId="3188"/>
    <cellStyle name="Título 1 1 1 1 1 1 1 1 1 1 1 1 1 1 1 1 1 1 1" xfId="3189"/>
    <cellStyle name="Título 1 1 1 1 1 1 1 1 1 1 1 1 1 1 1 1 1 1 1 1" xfId="3190"/>
    <cellStyle name="Título 1 1 1 1 1 1 1 2" xfId="3191"/>
    <cellStyle name="Título 1 1 1 2" xfId="3192"/>
    <cellStyle name="Título 1 1_818889 Palmeirais Orc. Rec. Estrada Vicinal CM" xfId="3193"/>
    <cellStyle name="Título 1 2" xfId="3194"/>
    <cellStyle name="Título 1 3" xfId="3195"/>
    <cellStyle name="Título 1 4" xfId="3196"/>
    <cellStyle name="Título 1 5" xfId="3197"/>
    <cellStyle name="Título 1 6" xfId="3198"/>
    <cellStyle name="Título 1 7" xfId="3199"/>
    <cellStyle name="Título 1 8" xfId="3200"/>
    <cellStyle name="Título 1 9" xfId="3201"/>
    <cellStyle name="Título 10" xfId="3202"/>
    <cellStyle name="Título 11" xfId="3203"/>
    <cellStyle name="Título 12" xfId="3204"/>
    <cellStyle name="Título 2" xfId="3205"/>
    <cellStyle name="Título 2 2" xfId="3206"/>
    <cellStyle name="Título 2 3" xfId="3207"/>
    <cellStyle name="Título 2 4" xfId="3208"/>
    <cellStyle name="Título 2 5" xfId="3209"/>
    <cellStyle name="Título 2 6" xfId="3210"/>
    <cellStyle name="Título 2 7" xfId="3211"/>
    <cellStyle name="Título 2 8" xfId="3212"/>
    <cellStyle name="Título 2 9" xfId="3213"/>
    <cellStyle name="Título 3" xfId="3214"/>
    <cellStyle name="Título 3 2" xfId="3215"/>
    <cellStyle name="Título 3 2 2" xfId="3216"/>
    <cellStyle name="Título 3 3" xfId="3217"/>
    <cellStyle name="Título 3 4" xfId="3218"/>
    <cellStyle name="Título 3 5" xfId="3219"/>
    <cellStyle name="Título 3 6" xfId="3220"/>
    <cellStyle name="Título 3 7" xfId="3221"/>
    <cellStyle name="Título 3 8" xfId="3222"/>
    <cellStyle name="Título 3 9" xfId="3223"/>
    <cellStyle name="Título 4" xfId="3224"/>
    <cellStyle name="Título 4 2" xfId="3225"/>
    <cellStyle name="Título 4 3" xfId="3226"/>
    <cellStyle name="Título 4 4" xfId="3227"/>
    <cellStyle name="Título 4 5" xfId="3228"/>
    <cellStyle name="Título 4 6" xfId="3229"/>
    <cellStyle name="Título 4 7" xfId="3230"/>
    <cellStyle name="Título 4 8" xfId="3231"/>
    <cellStyle name="Título 4 9" xfId="3232"/>
    <cellStyle name="Título 5" xfId="3233"/>
    <cellStyle name="Título 6" xfId="3234"/>
    <cellStyle name="Título 7" xfId="3235"/>
    <cellStyle name="Título 8" xfId="3236"/>
    <cellStyle name="Título 9" xfId="3237"/>
    <cellStyle name="Titulo1" xfId="3238"/>
    <cellStyle name="Titulo2" xfId="3239"/>
    <cellStyle name="Total" xfId="3240"/>
    <cellStyle name="Total 2" xfId="3241"/>
    <cellStyle name="Total 3" xfId="3242"/>
    <cellStyle name="Total 4" xfId="3243"/>
    <cellStyle name="Total 5" xfId="3244"/>
    <cellStyle name="Total 6" xfId="3245"/>
    <cellStyle name="Total 7" xfId="3246"/>
    <cellStyle name="Total 8" xfId="3247"/>
    <cellStyle name="Total 9" xfId="3248"/>
    <cellStyle name="Comma" xfId="3249"/>
    <cellStyle name="Vírgula 10" xfId="3250"/>
    <cellStyle name="Vírgula 11" xfId="3251"/>
    <cellStyle name="Vírgula 13 3" xfId="3252"/>
    <cellStyle name="Vírgula 18" xfId="3253"/>
    <cellStyle name="Vírgula 2" xfId="3254"/>
    <cellStyle name="Vírgula 2 2" xfId="3255"/>
    <cellStyle name="Vírgula 2 3" xfId="3256"/>
    <cellStyle name="Vírgula 3" xfId="3257"/>
    <cellStyle name="Vírgula 3 2" xfId="3258"/>
    <cellStyle name="Vírgula 4" xfId="3259"/>
    <cellStyle name="Vírgula 5" xfId="3260"/>
    <cellStyle name="Vírgula 5 2" xfId="3261"/>
    <cellStyle name="Vírgula 5 3" xfId="3262"/>
    <cellStyle name="Vírgula 6" xfId="3263"/>
    <cellStyle name="Vírgula 6 2" xfId="3264"/>
    <cellStyle name="Vírgula 7" xfId="3265"/>
    <cellStyle name="Vírgula 8" xfId="3266"/>
    <cellStyle name="Vírgula 9" xfId="3267"/>
    <cellStyle name="Vírgula0" xfId="3268"/>
    <cellStyle name="Warning Text" xfId="3269"/>
  </cellStyles>
  <dxfs count="23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 patternType="lightDown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auto="1"/>
      </font>
      <fill>
        <patternFill patternType="lightDown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7\Backups\Users\Sarah\Desktop\IDEPI\ABASTECIMENTO%20-%20BALNE&#193;RIO%20-%20MELHORIAS%20SANIT&#193;RIAS%20-%20BUEIRO\AGRICOLANDIA%20-%20BURACO%20DAGUA\AGRICOLANDIA%20-%20BURACO%20DAGUA\BDI%202016%20SEINFRA%20INSS%204,5%%20ONERADO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&#233;bora%20Borba\Downloads\2023-12-13_18-53-27-joaquimhgn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RRALINHOS%20CD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ências"/>
      <sheetName val="BDI"/>
      <sheetName val="INFORMATIVO LEI"/>
      <sheetName val="ACÓRDÃO TCU 2622-37 P DE 2013"/>
    </sheetNames>
    <sheetDataSet>
      <sheetData sheetId="0">
        <row r="12">
          <cell r="A12">
            <v>1</v>
          </cell>
          <cell r="B12">
            <v>0.03</v>
          </cell>
          <cell r="C12">
            <v>0.04</v>
          </cell>
          <cell r="D12">
            <v>0.055</v>
          </cell>
        </row>
        <row r="13">
          <cell r="A13">
            <v>2</v>
          </cell>
          <cell r="B13">
            <v>0.038</v>
          </cell>
          <cell r="C13">
            <v>0.0401</v>
          </cell>
          <cell r="D13">
            <v>0.0467</v>
          </cell>
        </row>
        <row r="14">
          <cell r="A14">
            <v>3</v>
          </cell>
          <cell r="B14">
            <v>0.0343</v>
          </cell>
          <cell r="C14">
            <v>0.0493</v>
          </cell>
          <cell r="D14">
            <v>0.0671</v>
          </cell>
        </row>
        <row r="15">
          <cell r="A15">
            <v>4</v>
          </cell>
          <cell r="B15">
            <v>0.0529</v>
          </cell>
          <cell r="C15">
            <v>0.0592</v>
          </cell>
          <cell r="D15">
            <v>0.0793</v>
          </cell>
        </row>
        <row r="16">
          <cell r="A16">
            <v>5</v>
          </cell>
          <cell r="B16">
            <v>0.04</v>
          </cell>
          <cell r="C16">
            <v>0.0552</v>
          </cell>
          <cell r="D16">
            <v>0.0785</v>
          </cell>
        </row>
        <row r="17">
          <cell r="A17">
            <v>6</v>
          </cell>
          <cell r="B17">
            <v>0.015</v>
          </cell>
          <cell r="C17">
            <v>0.0345</v>
          </cell>
          <cell r="D17">
            <v>0.0449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1</v>
          </cell>
        </row>
        <row r="21">
          <cell r="A21">
            <v>1</v>
          </cell>
          <cell r="B21">
            <v>0.008</v>
          </cell>
          <cell r="C21">
            <v>0.008</v>
          </cell>
          <cell r="D21">
            <v>0.01</v>
          </cell>
        </row>
        <row r="22">
          <cell r="A22">
            <v>2</v>
          </cell>
          <cell r="B22">
            <v>0.0032</v>
          </cell>
          <cell r="C22">
            <v>0.004</v>
          </cell>
          <cell r="D22">
            <v>0.0074</v>
          </cell>
        </row>
        <row r="23">
          <cell r="A23">
            <v>3</v>
          </cell>
          <cell r="B23">
            <v>0.0028</v>
          </cell>
          <cell r="C23">
            <v>0.0049</v>
          </cell>
          <cell r="D23">
            <v>0.0075</v>
          </cell>
        </row>
        <row r="24">
          <cell r="A24">
            <v>4</v>
          </cell>
          <cell r="B24">
            <v>0.0025</v>
          </cell>
          <cell r="C24">
            <v>0.0051</v>
          </cell>
          <cell r="D24">
            <v>0.0056</v>
          </cell>
        </row>
        <row r="25">
          <cell r="A25">
            <v>5</v>
          </cell>
          <cell r="B25">
            <v>0.0081</v>
          </cell>
          <cell r="C25">
            <v>0.0122</v>
          </cell>
          <cell r="D25">
            <v>0.0199</v>
          </cell>
        </row>
        <row r="26">
          <cell r="A26">
            <v>6</v>
          </cell>
          <cell r="B26">
            <v>0.003</v>
          </cell>
          <cell r="C26">
            <v>0.0048</v>
          </cell>
          <cell r="D26">
            <v>0.0082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1</v>
          </cell>
        </row>
        <row r="30">
          <cell r="A30">
            <v>1</v>
          </cell>
          <cell r="B30">
            <v>0.0097</v>
          </cell>
          <cell r="C30">
            <v>0.0127</v>
          </cell>
          <cell r="D30">
            <v>0.0127</v>
          </cell>
        </row>
        <row r="31">
          <cell r="A31">
            <v>2</v>
          </cell>
          <cell r="B31">
            <v>0.005</v>
          </cell>
          <cell r="C31">
            <v>0.0056</v>
          </cell>
          <cell r="D31">
            <v>0.0097</v>
          </cell>
        </row>
        <row r="32">
          <cell r="A32">
            <v>3</v>
          </cell>
          <cell r="B32">
            <v>0.01</v>
          </cell>
          <cell r="C32">
            <v>0.0139</v>
          </cell>
          <cell r="D32">
            <v>0.0174</v>
          </cell>
        </row>
        <row r="33">
          <cell r="A33">
            <v>4</v>
          </cell>
          <cell r="B33">
            <v>0.01</v>
          </cell>
          <cell r="C33">
            <v>0.0148</v>
          </cell>
          <cell r="D33">
            <v>0.0197</v>
          </cell>
        </row>
        <row r="34">
          <cell r="A34">
            <v>5</v>
          </cell>
          <cell r="B34">
            <v>0.0146</v>
          </cell>
          <cell r="C34">
            <v>0.0232</v>
          </cell>
          <cell r="D34">
            <v>0.0316</v>
          </cell>
        </row>
        <row r="35">
          <cell r="A35">
            <v>6</v>
          </cell>
          <cell r="B35">
            <v>0.0056</v>
          </cell>
          <cell r="C35">
            <v>0.0085</v>
          </cell>
          <cell r="D35">
            <v>0.0089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1</v>
          </cell>
        </row>
        <row r="39">
          <cell r="A39">
            <v>1</v>
          </cell>
          <cell r="B39">
            <v>0.0059</v>
          </cell>
          <cell r="C39">
            <v>0.0123</v>
          </cell>
          <cell r="D39">
            <v>0.0139</v>
          </cell>
        </row>
        <row r="40">
          <cell r="A40">
            <v>2</v>
          </cell>
          <cell r="B40">
            <v>0.0102</v>
          </cell>
          <cell r="C40">
            <v>0.0111</v>
          </cell>
          <cell r="D40">
            <v>0.0121</v>
          </cell>
        </row>
        <row r="41">
          <cell r="A41">
            <v>3</v>
          </cell>
          <cell r="B41">
            <v>0.0094</v>
          </cell>
          <cell r="C41">
            <v>0.0099</v>
          </cell>
          <cell r="D41">
            <v>0.0117</v>
          </cell>
        </row>
        <row r="42">
          <cell r="A42">
            <v>4</v>
          </cell>
          <cell r="B42">
            <v>0.0101</v>
          </cell>
          <cell r="C42">
            <v>0.0107</v>
          </cell>
          <cell r="D42">
            <v>0.0111</v>
          </cell>
        </row>
        <row r="43">
          <cell r="A43">
            <v>5</v>
          </cell>
          <cell r="B43">
            <v>0.0094</v>
          </cell>
          <cell r="C43">
            <v>0.0102</v>
          </cell>
          <cell r="D43">
            <v>0.0133</v>
          </cell>
        </row>
        <row r="44">
          <cell r="A44">
            <v>6</v>
          </cell>
          <cell r="B44">
            <v>0.0085</v>
          </cell>
          <cell r="C44">
            <v>0.0085</v>
          </cell>
          <cell r="D44">
            <v>0.0111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1</v>
          </cell>
        </row>
        <row r="48">
          <cell r="A48">
            <v>1</v>
          </cell>
          <cell r="B48">
            <v>0.0616</v>
          </cell>
          <cell r="C48">
            <v>0.074</v>
          </cell>
          <cell r="D48">
            <v>0.0896</v>
          </cell>
        </row>
        <row r="49">
          <cell r="A49">
            <v>2</v>
          </cell>
          <cell r="B49">
            <v>0.0664</v>
          </cell>
          <cell r="C49">
            <v>0.073</v>
          </cell>
          <cell r="D49">
            <v>0.0869</v>
          </cell>
        </row>
        <row r="50">
          <cell r="A50">
            <v>3</v>
          </cell>
          <cell r="B50">
            <v>0.0674</v>
          </cell>
          <cell r="C50">
            <v>0.0804</v>
          </cell>
          <cell r="D50">
            <v>0.094</v>
          </cell>
        </row>
        <row r="51">
          <cell r="A51">
            <v>4</v>
          </cell>
          <cell r="B51">
            <v>0.08</v>
          </cell>
          <cell r="C51">
            <v>0.0831</v>
          </cell>
          <cell r="D51">
            <v>0.0951</v>
          </cell>
        </row>
        <row r="52">
          <cell r="A52">
            <v>5</v>
          </cell>
          <cell r="B52">
            <v>0.0714</v>
          </cell>
          <cell r="C52">
            <v>0.084</v>
          </cell>
          <cell r="D52">
            <v>0.1043</v>
          </cell>
        </row>
        <row r="53">
          <cell r="A53">
            <v>6</v>
          </cell>
          <cell r="B53">
            <v>0.035</v>
          </cell>
          <cell r="C53">
            <v>0.0511</v>
          </cell>
          <cell r="D53">
            <v>0.0622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1</v>
          </cell>
        </row>
        <row r="57">
          <cell r="A57">
            <v>1</v>
          </cell>
          <cell r="B57">
            <v>0.2034</v>
          </cell>
          <cell r="C57">
            <v>0.2212</v>
          </cell>
          <cell r="D57">
            <v>0.25</v>
          </cell>
        </row>
        <row r="58">
          <cell r="A58">
            <v>2</v>
          </cell>
          <cell r="B58">
            <v>0.196</v>
          </cell>
          <cell r="C58">
            <v>0.2097</v>
          </cell>
          <cell r="D58">
            <v>0.2423</v>
          </cell>
        </row>
        <row r="59">
          <cell r="A59">
            <v>3</v>
          </cell>
          <cell r="B59">
            <v>0.2076</v>
          </cell>
          <cell r="C59">
            <v>0.2418</v>
          </cell>
          <cell r="D59">
            <v>0.2644</v>
          </cell>
        </row>
        <row r="60">
          <cell r="A60">
            <v>4</v>
          </cell>
          <cell r="B60">
            <v>0.24</v>
          </cell>
          <cell r="C60">
            <v>0.2584</v>
          </cell>
          <cell r="D60">
            <v>0.2786</v>
          </cell>
        </row>
        <row r="61">
          <cell r="A61">
            <v>5</v>
          </cell>
          <cell r="B61">
            <v>0.228</v>
          </cell>
          <cell r="C61">
            <v>0.2748</v>
          </cell>
          <cell r="D61">
            <v>0.3095</v>
          </cell>
        </row>
        <row r="62">
          <cell r="A62">
            <v>6</v>
          </cell>
          <cell r="B62">
            <v>0.111</v>
          </cell>
          <cell r="C62">
            <v>0.1402</v>
          </cell>
          <cell r="D62">
            <v>0.168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1</v>
          </cell>
        </row>
        <row r="66">
          <cell r="A66">
            <v>1</v>
          </cell>
          <cell r="B66">
            <v>0.2643</v>
          </cell>
          <cell r="C66" t="str">
            <v>X</v>
          </cell>
          <cell r="D66">
            <v>0.3133</v>
          </cell>
        </row>
        <row r="67">
          <cell r="A67">
            <v>2</v>
          </cell>
          <cell r="B67">
            <v>0.256</v>
          </cell>
          <cell r="C67" t="str">
            <v>X</v>
          </cell>
          <cell r="D67">
            <v>0.3052</v>
          </cell>
        </row>
        <row r="68">
          <cell r="A68">
            <v>3</v>
          </cell>
          <cell r="B68">
            <v>0.2687</v>
          </cell>
          <cell r="C68" t="str">
            <v>X</v>
          </cell>
          <cell r="D68">
            <v>0.3284</v>
          </cell>
        </row>
        <row r="69">
          <cell r="A69">
            <v>4</v>
          </cell>
          <cell r="B69">
            <v>0.3025</v>
          </cell>
          <cell r="C69" t="str">
            <v>X</v>
          </cell>
          <cell r="D69">
            <v>0.3434</v>
          </cell>
        </row>
        <row r="70">
          <cell r="A70">
            <v>5</v>
          </cell>
          <cell r="B70">
            <v>0.29</v>
          </cell>
          <cell r="C70" t="str">
            <v>X</v>
          </cell>
          <cell r="D70">
            <v>0.3757</v>
          </cell>
        </row>
        <row r="71">
          <cell r="A71">
            <v>6</v>
          </cell>
          <cell r="B71">
            <v>0.111</v>
          </cell>
          <cell r="C71" t="str">
            <v>X</v>
          </cell>
          <cell r="D71">
            <v>0.168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RESUMO"/>
      <sheetName val="BDI"/>
      <sheetName val="LS"/>
      <sheetName val="S"/>
      <sheetName val="I"/>
    </sheetNames>
    <sheetDataSet>
      <sheetData sheetId="0">
        <row r="5">
          <cell r="B5" t="str">
            <v>SINAPI PI-09/2023, ORSE-09/2023, </v>
          </cell>
          <cell r="F5" t="str">
            <v>SEM DESONERAÇÃO</v>
          </cell>
          <cell r="H5">
            <v>113.05000000000001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RESUMO"/>
      <sheetName val="CFF"/>
      <sheetName val="ORCAMENTO"/>
      <sheetName val="CO"/>
      <sheetName val="MEMORIA"/>
      <sheetName val="CPU"/>
      <sheetName val="CPUAUX1"/>
      <sheetName val="CPUAUX2"/>
      <sheetName val="CPUAUX3"/>
      <sheetName val="BDI"/>
      <sheetName val="LSINAPI"/>
      <sheetName val="ABC_S"/>
      <sheetName val="ABC_I"/>
      <sheetName val="COMPRAS"/>
      <sheetName val="CONTRATOS"/>
      <sheetName val="S"/>
      <sheetName val="I"/>
    </sheetNames>
    <sheetDataSet>
      <sheetData sheetId="0">
        <row r="1">
          <cell r="A1" t="str">
            <v>MUNICÍPIO DE CURRALINHOS - PI</v>
          </cell>
        </row>
        <row r="2">
          <cell r="A2" t="str">
            <v>EXECUÇÃO DE PAVIMENTAÇÃO EM PARALELEPÍPEDO NO MUNICÍPIO DE CURRALINHOS - PI. COM ÁREA TOTAL DE 5.204,70 M²</v>
          </cell>
        </row>
        <row r="5">
          <cell r="B5" t="str">
            <v>SINAPI PI 03/2024, ORSE SE 03/2024, </v>
          </cell>
          <cell r="E5" t="str">
            <v>COM DESONERAÇÃO</v>
          </cell>
        </row>
        <row r="7">
          <cell r="B7">
            <v>28.32</v>
          </cell>
        </row>
        <row r="8">
          <cell r="F8">
            <v>1</v>
          </cell>
        </row>
        <row r="9">
          <cell r="B9">
            <v>84.59</v>
          </cell>
          <cell r="F9">
            <v>1</v>
          </cell>
        </row>
      </sheetData>
      <sheetData sheetId="7">
        <row r="1">
          <cell r="A1" t="str">
            <v>MUNICÍPIO DE CURRALINHOS - PI</v>
          </cell>
        </row>
        <row r="2">
          <cell r="A2" t="str">
            <v>EXECUÇÃO DE PAVIMENTAÇÃO EM PARALELEPÍPEDO NO MUNICÍPIO DE CURRALINHOS - PI. COM ÁREA TOTAL DE 5.204,70 M²</v>
          </cell>
        </row>
        <row r="3">
          <cell r="A3" t="str">
            <v>PLANILHA DE COMPOSIÇÕES UNITÁRIAS AUXILIARES - NÍVEL 1</v>
          </cell>
        </row>
        <row r="5">
          <cell r="A5" t="str">
            <v>DATA BASE:</v>
          </cell>
          <cell r="B5" t="str">
            <v>SINAPI PI 03/2024, ORSE SE 03/2024, COM DESONERAÇÃO</v>
          </cell>
          <cell r="G5" t="str">
            <v>LEIS SOCIAIS (%):</v>
          </cell>
          <cell r="H5">
            <v>84.59</v>
          </cell>
          <cell r="I5" t="str">
            <v>BDI (%):</v>
          </cell>
          <cell r="J5">
            <v>28.32</v>
          </cell>
        </row>
        <row r="6">
          <cell r="A6" t="str">
            <v>CLASSE/TIPO</v>
          </cell>
          <cell r="B6" t="str">
            <v>CÓDIGO</v>
          </cell>
          <cell r="C6" t="str">
            <v>FONTE</v>
          </cell>
          <cell r="D6" t="str">
            <v>DESCRIÇÃO</v>
          </cell>
          <cell r="E6" t="str">
            <v>UNID.</v>
          </cell>
          <cell r="F6" t="str">
            <v>COEF.</v>
          </cell>
          <cell r="G6" t="str">
            <v>P. UNIT. (R$)</v>
          </cell>
          <cell r="I6" t="str">
            <v>TOTAL (R$)</v>
          </cell>
        </row>
        <row r="7">
          <cell r="A7" t="str">
            <v>SEDI</v>
          </cell>
          <cell r="B7">
            <v>88262</v>
          </cell>
          <cell r="C7" t="str">
            <v>SINAPI</v>
          </cell>
          <cell r="D7" t="str">
            <v>CARPINTEIRO DE FORMAS COM ENCARGOS COMPLEMENTARES</v>
          </cell>
          <cell r="E7" t="str">
            <v>H</v>
          </cell>
          <cell r="G7">
            <v>22.93</v>
          </cell>
        </row>
        <row r="8">
          <cell r="A8" t="str">
            <v>INSUMO</v>
          </cell>
          <cell r="B8">
            <v>1213</v>
          </cell>
          <cell r="C8" t="str">
            <v>SINAPI</v>
          </cell>
          <cell r="D8" t="str">
            <v>CARPINTEIRO DE FORMAS (HORISTA)</v>
          </cell>
          <cell r="E8" t="str">
            <v>H</v>
          </cell>
          <cell r="F8">
            <v>1</v>
          </cell>
          <cell r="G8">
            <v>16.42</v>
          </cell>
          <cell r="I8">
            <v>16.42</v>
          </cell>
        </row>
        <row r="9">
          <cell r="A9" t="str">
            <v>INSUMO</v>
          </cell>
          <cell r="B9">
            <v>37370</v>
          </cell>
          <cell r="C9" t="str">
            <v>SINAPI</v>
          </cell>
          <cell r="D9" t="str">
            <v>ALIMENTACAO - HORISTA (COLETADO CAIXA - ENCARGOS COMPLEMENTARES)</v>
          </cell>
          <cell r="E9" t="str">
            <v>H</v>
          </cell>
          <cell r="F9">
            <v>1</v>
          </cell>
          <cell r="G9">
            <v>2.39</v>
          </cell>
          <cell r="I9">
            <v>2.39</v>
          </cell>
        </row>
        <row r="10">
          <cell r="A10" t="str">
            <v>INSUMO</v>
          </cell>
          <cell r="B10">
            <v>37371</v>
          </cell>
          <cell r="C10" t="str">
            <v>SINAPI</v>
          </cell>
          <cell r="D10" t="str">
            <v>TRANSPORTE - HORISTA (COLETADO CAIXA - ENCARGOS COMPLEMENTARES)</v>
          </cell>
          <cell r="E10" t="str">
            <v>H</v>
          </cell>
          <cell r="F10">
            <v>1</v>
          </cell>
          <cell r="G10">
            <v>0.61</v>
          </cell>
          <cell r="I10">
            <v>0.61</v>
          </cell>
        </row>
        <row r="11">
          <cell r="A11" t="str">
            <v>INSUMO</v>
          </cell>
          <cell r="B11">
            <v>37372</v>
          </cell>
          <cell r="C11" t="str">
            <v>SINAPI</v>
          </cell>
          <cell r="D11" t="str">
            <v>EXAMES - HORISTA (COLETADO CAIXA - ENCARGOS COMPLEMENTARES)</v>
          </cell>
          <cell r="E11" t="str">
            <v>H</v>
          </cell>
          <cell r="F11">
            <v>1</v>
          </cell>
          <cell r="G11">
            <v>1.34</v>
          </cell>
          <cell r="I11">
            <v>1.34</v>
          </cell>
        </row>
        <row r="12">
          <cell r="A12" t="str">
            <v>INSUMO</v>
          </cell>
          <cell r="B12">
            <v>37373</v>
          </cell>
          <cell r="C12" t="str">
            <v>SINAPI</v>
          </cell>
          <cell r="D12" t="str">
            <v>SEGURO - HORISTA (COLETADO CAIXA - ENCARGOS COMPLEMENTARES)</v>
          </cell>
          <cell r="E12" t="str">
            <v>H</v>
          </cell>
          <cell r="F12">
            <v>1</v>
          </cell>
          <cell r="G12">
            <v>0.04</v>
          </cell>
          <cell r="I12">
            <v>0.04</v>
          </cell>
        </row>
        <row r="13">
          <cell r="A13" t="str">
            <v>INSUMO</v>
          </cell>
          <cell r="B13">
            <v>43459</v>
          </cell>
          <cell r="C13" t="str">
            <v>SINAPI</v>
          </cell>
          <cell r="D13" t="str">
            <v>FERRAMENTAS - FAMILIA CARPINTEIRO DE FORMAS - HORISTA (ENCARGOS COMPLEMENTARES - COLETADO CAIXA)</v>
          </cell>
          <cell r="E13" t="str">
            <v>H</v>
          </cell>
          <cell r="F13">
            <v>1</v>
          </cell>
          <cell r="G13">
            <v>0.49</v>
          </cell>
          <cell r="I13">
            <v>0.49</v>
          </cell>
        </row>
        <row r="14">
          <cell r="A14" t="str">
            <v>INSUMO</v>
          </cell>
          <cell r="B14">
            <v>43483</v>
          </cell>
          <cell r="C14" t="str">
            <v>SINAPI</v>
          </cell>
          <cell r="D14" t="str">
            <v>EPI - FAMILIA CARPINTEIRO DE FORMAS - HORISTA (ENCARGOS COMPLEMENTARES - COLETADO CAIXA)</v>
          </cell>
          <cell r="E14" t="str">
            <v>H</v>
          </cell>
          <cell r="F14">
            <v>1</v>
          </cell>
          <cell r="G14">
            <v>1.43</v>
          </cell>
          <cell r="I14">
            <v>1.43</v>
          </cell>
        </row>
        <row r="15">
          <cell r="A15" t="str">
            <v>COMPOSICAO</v>
          </cell>
          <cell r="B15">
            <v>95330</v>
          </cell>
          <cell r="C15" t="str">
            <v>SINAPI</v>
          </cell>
          <cell r="D15" t="str">
            <v>CURSO DE CAPACITAÇÃO PARA CARPINTEIRO DE FÔRMAS (ENCARGOS COMPLEMENTARES) - HORISTA</v>
          </cell>
          <cell r="E15" t="str">
            <v>H</v>
          </cell>
          <cell r="F15">
            <v>1</v>
          </cell>
          <cell r="G15">
            <v>0.21</v>
          </cell>
          <cell r="I15">
            <v>0.21</v>
          </cell>
        </row>
        <row r="16">
          <cell r="A16" t="str">
            <v>TOTAL SEM BDI - 88262</v>
          </cell>
          <cell r="I16">
            <v>22.93</v>
          </cell>
        </row>
        <row r="18">
          <cell r="A18" t="str">
            <v>CLASSE/TIPO</v>
          </cell>
          <cell r="B18" t="str">
            <v>CÓDIGO</v>
          </cell>
          <cell r="C18" t="str">
            <v>FONTE</v>
          </cell>
          <cell r="D18" t="str">
            <v>DESCRIÇÃO</v>
          </cell>
          <cell r="E18" t="str">
            <v>UNID.</v>
          </cell>
          <cell r="F18" t="str">
            <v>COEF.</v>
          </cell>
          <cell r="G18" t="str">
            <v>P. UNIT. (R$)</v>
          </cell>
          <cell r="I18" t="str">
            <v>TOTAL (R$)</v>
          </cell>
        </row>
        <row r="19">
          <cell r="A19" t="str">
            <v>SEDI</v>
          </cell>
          <cell r="B19">
            <v>88316</v>
          </cell>
          <cell r="C19" t="str">
            <v>SINAPI</v>
          </cell>
          <cell r="D19" t="str">
            <v>SERVENTE COM ENCARGOS COMPLEMENTARES</v>
          </cell>
          <cell r="E19" t="str">
            <v>H</v>
          </cell>
          <cell r="G19">
            <v>18.64</v>
          </cell>
        </row>
        <row r="20">
          <cell r="A20" t="str">
            <v>INSUMO</v>
          </cell>
          <cell r="B20">
            <v>6111</v>
          </cell>
          <cell r="C20" t="str">
            <v>SINAPI</v>
          </cell>
          <cell r="D20" t="str">
            <v>SERVENTE DE OBRAS (HORISTA)</v>
          </cell>
          <cell r="E20" t="str">
            <v>H</v>
          </cell>
          <cell r="F20">
            <v>1</v>
          </cell>
          <cell r="G20">
            <v>12.03</v>
          </cell>
          <cell r="I20">
            <v>12.03</v>
          </cell>
        </row>
        <row r="21">
          <cell r="A21" t="str">
            <v>INSUMO</v>
          </cell>
          <cell r="B21">
            <v>37370</v>
          </cell>
          <cell r="C21" t="str">
            <v>SINAPI</v>
          </cell>
          <cell r="D21" t="str">
            <v>ALIMENTACAO - HORISTA (COLETADO CAIXA - ENCARGOS COMPLEMENTARES)</v>
          </cell>
          <cell r="E21" t="str">
            <v>H</v>
          </cell>
          <cell r="F21">
            <v>1</v>
          </cell>
          <cell r="G21">
            <v>2.39</v>
          </cell>
          <cell r="I21">
            <v>2.39</v>
          </cell>
        </row>
        <row r="22">
          <cell r="A22" t="str">
            <v>INSUMO</v>
          </cell>
          <cell r="B22">
            <v>37371</v>
          </cell>
          <cell r="C22" t="str">
            <v>SINAPI</v>
          </cell>
          <cell r="D22" t="str">
            <v>TRANSPORTE - HORISTA (COLETADO CAIXA - ENCARGOS COMPLEMENTARES)</v>
          </cell>
          <cell r="E22" t="str">
            <v>H</v>
          </cell>
          <cell r="F22">
            <v>1</v>
          </cell>
          <cell r="G22">
            <v>0.61</v>
          </cell>
          <cell r="I22">
            <v>0.61</v>
          </cell>
        </row>
        <row r="23">
          <cell r="A23" t="str">
            <v>INSUMO</v>
          </cell>
          <cell r="B23">
            <v>37372</v>
          </cell>
          <cell r="C23" t="str">
            <v>SINAPI</v>
          </cell>
          <cell r="D23" t="str">
            <v>EXAMES - HORISTA (COLETADO CAIXA - ENCARGOS COMPLEMENTARES)</v>
          </cell>
          <cell r="E23" t="str">
            <v>H</v>
          </cell>
          <cell r="F23">
            <v>1</v>
          </cell>
          <cell r="G23">
            <v>1.34</v>
          </cell>
          <cell r="I23">
            <v>1.34</v>
          </cell>
        </row>
        <row r="24">
          <cell r="A24" t="str">
            <v>INSUMO</v>
          </cell>
          <cell r="B24">
            <v>37373</v>
          </cell>
          <cell r="C24" t="str">
            <v>SINAPI</v>
          </cell>
          <cell r="D24" t="str">
            <v>SEGURO - HORISTA (COLETADO CAIXA - ENCARGOS COMPLEMENTARES)</v>
          </cell>
          <cell r="E24" t="str">
            <v>H</v>
          </cell>
          <cell r="F24">
            <v>1</v>
          </cell>
          <cell r="G24">
            <v>0.04</v>
          </cell>
          <cell r="I24">
            <v>0.04</v>
          </cell>
        </row>
        <row r="25">
          <cell r="A25" t="str">
            <v>INSUMO</v>
          </cell>
          <cell r="B25">
            <v>43467</v>
          </cell>
          <cell r="C25" t="str">
            <v>SINAPI</v>
          </cell>
          <cell r="D25" t="str">
            <v>FERRAMENTAS - FAMILIA SERVENTE - HORISTA (ENCARGOS COMPLEMENTARES - COLETADO CAIXA)</v>
          </cell>
          <cell r="E25" t="str">
            <v>H</v>
          </cell>
          <cell r="F25">
            <v>1</v>
          </cell>
          <cell r="G25">
            <v>0.61</v>
          </cell>
          <cell r="I25">
            <v>0.61</v>
          </cell>
        </row>
        <row r="26">
          <cell r="A26" t="str">
            <v>INSUMO</v>
          </cell>
          <cell r="B26">
            <v>43491</v>
          </cell>
          <cell r="C26" t="str">
            <v>SINAPI</v>
          </cell>
          <cell r="D26" t="str">
            <v>EPI - FAMILIA SERVENTE - HORISTA (ENCARGOS COMPLEMENTARES - COLETADO CAIXA)</v>
          </cell>
          <cell r="E26" t="str">
            <v>H</v>
          </cell>
          <cell r="F26">
            <v>1</v>
          </cell>
          <cell r="G26">
            <v>1.33</v>
          </cell>
          <cell r="I26">
            <v>1.33</v>
          </cell>
        </row>
        <row r="27">
          <cell r="A27" t="str">
            <v>COMPOSICAO</v>
          </cell>
          <cell r="B27">
            <v>95378</v>
          </cell>
          <cell r="C27" t="str">
            <v>SINAPI</v>
          </cell>
          <cell r="D27" t="str">
            <v>CURSO DE CAPACITAÇÃO PARA SERVENTE (ENCARGOS COMPLEMENTARES) - HORISTA</v>
          </cell>
          <cell r="E27" t="str">
            <v>H</v>
          </cell>
          <cell r="F27">
            <v>1</v>
          </cell>
          <cell r="G27">
            <v>0.29</v>
          </cell>
          <cell r="I27">
            <v>0.29</v>
          </cell>
        </row>
        <row r="28">
          <cell r="A28" t="str">
            <v>TOTAL SEM BDI - 88316</v>
          </cell>
          <cell r="I28">
            <v>18.64</v>
          </cell>
        </row>
        <row r="30">
          <cell r="A30" t="str">
            <v>CLASSE/TIPO</v>
          </cell>
          <cell r="B30" t="str">
            <v>CÓDIGO</v>
          </cell>
          <cell r="C30" t="str">
            <v>FONTE</v>
          </cell>
          <cell r="D30" t="str">
            <v>DESCRIÇÃO</v>
          </cell>
          <cell r="E30" t="str">
            <v>UNID.</v>
          </cell>
          <cell r="F30" t="str">
            <v>COEF.</v>
          </cell>
          <cell r="G30" t="str">
            <v>P. UNIT. (R$)</v>
          </cell>
          <cell r="I30" t="str">
            <v>TOTAL (R$)</v>
          </cell>
        </row>
        <row r="31">
          <cell r="A31" t="str">
            <v>FUES</v>
          </cell>
          <cell r="B31">
            <v>94962</v>
          </cell>
          <cell r="C31" t="str">
            <v>SINAPI</v>
          </cell>
          <cell r="D31" t="str">
            <v>CONCRETO MAGRO PARA LASTRO, TRAÇO 1:4,5:4,5 (EM MASSA SECA DE CIMENTO/ AREIA MÉDIA/ BRITA 1) - PREPARO MECÂNICO COM BETONEIRA 400 L. AF_05/2021</v>
          </cell>
          <cell r="E31" t="str">
            <v>M3</v>
          </cell>
          <cell r="G31">
            <v>504.72999999999996</v>
          </cell>
        </row>
        <row r="32">
          <cell r="A32" t="str">
            <v>INSUMO</v>
          </cell>
          <cell r="B32">
            <v>370</v>
          </cell>
          <cell r="C32" t="str">
            <v>SINAPI</v>
          </cell>
          <cell r="D32" t="str">
            <v>AREIA MEDIA - POSTO JAZIDA/FORNECEDOR (RETIRADO NA JAZIDA, SEM TRANSPORTE)</v>
          </cell>
          <cell r="E32" t="str">
            <v>M3</v>
          </cell>
          <cell r="F32">
            <v>0.8269</v>
          </cell>
          <cell r="G32">
            <v>85</v>
          </cell>
          <cell r="I32">
            <v>70.28</v>
          </cell>
        </row>
        <row r="33">
          <cell r="A33" t="str">
            <v>INSUMO</v>
          </cell>
          <cell r="B33">
            <v>1379</v>
          </cell>
          <cell r="C33" t="str">
            <v>SINAPI</v>
          </cell>
          <cell r="D33" t="str">
            <v>CIMENTO PORTLAND COMPOSTO CP II-32</v>
          </cell>
          <cell r="E33" t="str">
            <v>KG</v>
          </cell>
          <cell r="F33">
            <v>212.0194</v>
          </cell>
          <cell r="G33">
            <v>1.02</v>
          </cell>
          <cell r="I33">
            <v>216.25</v>
          </cell>
        </row>
        <row r="34">
          <cell r="A34" t="str">
            <v>INSUMO</v>
          </cell>
          <cell r="B34">
            <v>4721</v>
          </cell>
          <cell r="C34" t="str">
            <v>SINAPI</v>
          </cell>
          <cell r="D34" t="str">
            <v>PEDRA BRITADA N. 1 (9,5 a 19 MM) POSTO PEDREIRA/FORNECEDOR, SEM FRETE</v>
          </cell>
          <cell r="E34" t="str">
            <v>M3</v>
          </cell>
          <cell r="F34">
            <v>0.5782</v>
          </cell>
          <cell r="G34">
            <v>241.23</v>
          </cell>
          <cell r="I34">
            <v>139.47</v>
          </cell>
        </row>
        <row r="35">
          <cell r="A35" t="str">
            <v>COMPOSICAO</v>
          </cell>
          <cell r="B35">
            <v>88316</v>
          </cell>
          <cell r="C35" t="str">
            <v>SINAPI</v>
          </cell>
          <cell r="D35" t="str">
            <v>SERVENTE COM ENCARGOS COMPLEMENTARES</v>
          </cell>
          <cell r="E35" t="str">
            <v>H</v>
          </cell>
          <cell r="F35">
            <v>2.3433</v>
          </cell>
          <cell r="G35">
            <v>18.64</v>
          </cell>
          <cell r="I35">
            <v>43.67</v>
          </cell>
        </row>
        <row r="36">
          <cell r="A36" t="str">
            <v>COMPOSICAO</v>
          </cell>
          <cell r="B36">
            <v>88377</v>
          </cell>
          <cell r="C36" t="str">
            <v>SINAPI</v>
          </cell>
          <cell r="D36" t="str">
            <v>OPERADOR DE BETONEIRA ESTACIONÁRIA/MISTURADOR COM ENCARGOS COMPLEMENTARES</v>
          </cell>
          <cell r="E36" t="str">
            <v>H</v>
          </cell>
          <cell r="F36">
            <v>1.4811</v>
          </cell>
          <cell r="G36">
            <v>22.29</v>
          </cell>
          <cell r="I36">
            <v>33.01</v>
          </cell>
        </row>
        <row r="37">
          <cell r="A37" t="str">
            <v>COMPOSICAO</v>
          </cell>
          <cell r="B37">
            <v>88830</v>
          </cell>
          <cell r="C37" t="str">
            <v>SINAPI</v>
          </cell>
          <cell r="D37" t="str">
            <v>BETONEIRA CAPACIDADE NOMINAL DE 400 L, CAPACIDADE DE MISTURA 280 L, MOTOR ELÉTRICO TRIFÁSICO POTÊNCIA DE 2 CV, SEM CARREGADOR - CHP DIURNO. AF_05/2023</v>
          </cell>
          <cell r="E37" t="str">
            <v>CHP</v>
          </cell>
          <cell r="F37">
            <v>0.7623</v>
          </cell>
          <cell r="G37">
            <v>2.25</v>
          </cell>
          <cell r="I37">
            <v>1.71</v>
          </cell>
        </row>
        <row r="38">
          <cell r="A38" t="str">
            <v>COMPOSICAO</v>
          </cell>
          <cell r="B38">
            <v>88831</v>
          </cell>
          <cell r="C38" t="str">
            <v>SINAPI</v>
          </cell>
          <cell r="D38" t="str">
            <v>BETONEIRA CAPACIDADE NOMINAL DE 400 L, CAPACIDADE DE MISTURA 280 L, MOTOR ELÉTRICO TRIFÁSICO POTÊNCIA DE 2 CV, SEM CARREGADOR - CHI DIURNO. AF_05/2023</v>
          </cell>
          <cell r="E38" t="str">
            <v>CHI</v>
          </cell>
          <cell r="F38">
            <v>0.7188</v>
          </cell>
          <cell r="G38">
            <v>0.48</v>
          </cell>
          <cell r="I38">
            <v>0.34</v>
          </cell>
        </row>
        <row r="39">
          <cell r="A39" t="str">
            <v>TOTAL SEM BDI - 94962</v>
          </cell>
          <cell r="I39">
            <v>504.72999999999996</v>
          </cell>
        </row>
        <row r="41">
          <cell r="A41" t="str">
            <v>CLASSE/TIPO</v>
          </cell>
          <cell r="B41" t="str">
            <v>CÓDIGO</v>
          </cell>
          <cell r="C41" t="str">
            <v>FONTE</v>
          </cell>
          <cell r="D41" t="str">
            <v>DESCRIÇÃO</v>
          </cell>
          <cell r="E41" t="str">
            <v>UNID.</v>
          </cell>
          <cell r="F41" t="str">
            <v>COEF.</v>
          </cell>
          <cell r="G41" t="str">
            <v>P. UNIT. (R$)</v>
          </cell>
          <cell r="I41" t="str">
            <v>TOTAL (R$)</v>
          </cell>
        </row>
        <row r="42">
          <cell r="A42" t="str">
            <v>SEDI</v>
          </cell>
          <cell r="B42">
            <v>90777</v>
          </cell>
          <cell r="C42" t="str">
            <v>SINAPI</v>
          </cell>
          <cell r="D42" t="str">
            <v>ENGENHEIRO CIVIL DE OBRA JUNIOR COM ENCARGOS COMPLEMENTARES</v>
          </cell>
          <cell r="E42" t="str">
            <v>H</v>
          </cell>
          <cell r="G42">
            <v>104.53</v>
          </cell>
        </row>
        <row r="43">
          <cell r="A43" t="str">
            <v>INSUMO</v>
          </cell>
          <cell r="B43">
            <v>2706</v>
          </cell>
          <cell r="C43" t="str">
            <v>SINAPI</v>
          </cell>
          <cell r="D43" t="str">
            <v>ENGENHEIRO CIVIL DE OBRA JUNIOR (HORISTA)</v>
          </cell>
          <cell r="E43" t="str">
            <v>H</v>
          </cell>
          <cell r="F43">
            <v>1</v>
          </cell>
          <cell r="G43">
            <v>100.69</v>
          </cell>
          <cell r="I43">
            <v>100.69</v>
          </cell>
        </row>
        <row r="44">
          <cell r="A44" t="str">
            <v>INSUMO</v>
          </cell>
          <cell r="B44">
            <v>37372</v>
          </cell>
          <cell r="C44" t="str">
            <v>SINAPI</v>
          </cell>
          <cell r="D44" t="str">
            <v>EXAMES - HORISTA (COLETADO CAIXA - ENCARGOS COMPLEMENTARES)</v>
          </cell>
          <cell r="E44" t="str">
            <v>H</v>
          </cell>
          <cell r="F44">
            <v>1</v>
          </cell>
          <cell r="G44">
            <v>1.34</v>
          </cell>
          <cell r="I44">
            <v>1.34</v>
          </cell>
        </row>
        <row r="45">
          <cell r="A45" t="str">
            <v>INSUMO</v>
          </cell>
          <cell r="B45">
            <v>37373</v>
          </cell>
          <cell r="C45" t="str">
            <v>SINAPI</v>
          </cell>
          <cell r="D45" t="str">
            <v>SEGURO - HORISTA (COLETADO CAIXA - ENCARGOS COMPLEMENTARES)</v>
          </cell>
          <cell r="E45" t="str">
            <v>H</v>
          </cell>
          <cell r="F45">
            <v>1</v>
          </cell>
          <cell r="G45">
            <v>0.04</v>
          </cell>
          <cell r="I45">
            <v>0.04</v>
          </cell>
        </row>
        <row r="46">
          <cell r="A46" t="str">
            <v>INSUMO</v>
          </cell>
          <cell r="B46">
            <v>43462</v>
          </cell>
          <cell r="C46" t="str">
            <v>SINAPI</v>
          </cell>
          <cell r="D46" t="str">
            <v>FERRAMENTAS - FAMILIA ENGENHEIRO CIVIL - HORISTA (ENCARGOS COMPLEMENTARES - COLETADO CAIXA)</v>
          </cell>
          <cell r="E46" t="str">
            <v>H</v>
          </cell>
          <cell r="F46">
            <v>1</v>
          </cell>
          <cell r="G46">
            <v>0.01</v>
          </cell>
          <cell r="I46">
            <v>0.01</v>
          </cell>
        </row>
        <row r="47">
          <cell r="A47" t="str">
            <v>INSUMO</v>
          </cell>
          <cell r="B47">
            <v>43486</v>
          </cell>
          <cell r="C47" t="str">
            <v>SINAPI</v>
          </cell>
          <cell r="D47" t="str">
            <v>EPI - FAMILIA ENGENHEIRO CIVIL - HORISTA (ENCARGOS COMPLEMENTARES - COLETADO CAIXA)</v>
          </cell>
          <cell r="E47" t="str">
            <v>H</v>
          </cell>
          <cell r="F47">
            <v>1</v>
          </cell>
          <cell r="G47">
            <v>0.74</v>
          </cell>
          <cell r="I47">
            <v>0.74</v>
          </cell>
        </row>
        <row r="48">
          <cell r="A48" t="str">
            <v>COMPOSICAO</v>
          </cell>
          <cell r="B48">
            <v>95402</v>
          </cell>
          <cell r="C48" t="str">
            <v>SINAPI</v>
          </cell>
          <cell r="D48" t="str">
            <v>CURSO DE CAPACITAÇÃO PARA ENGENHEIRO CIVIL DE OBRA JÚNIOR (ENCARGOS COMPLEMENTARES) - HORISTA</v>
          </cell>
          <cell r="E48" t="str">
            <v>H</v>
          </cell>
          <cell r="F48">
            <v>1</v>
          </cell>
          <cell r="G48">
            <v>1.71</v>
          </cell>
          <cell r="I48">
            <v>1.71</v>
          </cell>
        </row>
        <row r="49">
          <cell r="A49" t="str">
            <v>TOTAL SEM BDI - 90777</v>
          </cell>
          <cell r="I49">
            <v>104.53</v>
          </cell>
        </row>
        <row r="51">
          <cell r="A51" t="str">
            <v>CLASSE/TIPO</v>
          </cell>
          <cell r="B51" t="str">
            <v>CÓDIGO</v>
          </cell>
          <cell r="C51" t="str">
            <v>FONTE</v>
          </cell>
          <cell r="D51" t="str">
            <v>DESCRIÇÃO</v>
          </cell>
          <cell r="E51" t="str">
            <v>UNID.</v>
          </cell>
          <cell r="F51" t="str">
            <v>COEF.</v>
          </cell>
          <cell r="G51" t="str">
            <v>P. UNIT. (R$)</v>
          </cell>
          <cell r="I51" t="str">
            <v>TOTAL (R$)</v>
          </cell>
        </row>
        <row r="52">
          <cell r="A52" t="str">
            <v>SEDI</v>
          </cell>
          <cell r="B52">
            <v>90776</v>
          </cell>
          <cell r="C52" t="str">
            <v>SINAPI</v>
          </cell>
          <cell r="D52" t="str">
            <v>ENCARREGADO GERAL COM ENCARGOS COMPLEMENTARES</v>
          </cell>
          <cell r="E52" t="str">
            <v>H</v>
          </cell>
          <cell r="G52">
            <v>29.1</v>
          </cell>
        </row>
        <row r="53">
          <cell r="A53" t="str">
            <v>INSUMO</v>
          </cell>
          <cell r="B53">
            <v>4083</v>
          </cell>
          <cell r="C53" t="str">
            <v>SINAPI</v>
          </cell>
          <cell r="D53" t="str">
            <v>ENCARREGADO GERAL DE OBRAS (HORISTA)</v>
          </cell>
          <cell r="E53" t="str">
            <v>H</v>
          </cell>
          <cell r="F53">
            <v>1</v>
          </cell>
          <cell r="G53">
            <v>25.75</v>
          </cell>
          <cell r="I53">
            <v>25.75</v>
          </cell>
        </row>
        <row r="54">
          <cell r="A54" t="str">
            <v>INSUMO</v>
          </cell>
          <cell r="B54">
            <v>37372</v>
          </cell>
          <cell r="C54" t="str">
            <v>SINAPI</v>
          </cell>
          <cell r="D54" t="str">
            <v>EXAMES - HORISTA (COLETADO CAIXA - ENCARGOS COMPLEMENTARES)</v>
          </cell>
          <cell r="E54" t="str">
            <v>H</v>
          </cell>
          <cell r="F54">
            <v>1</v>
          </cell>
          <cell r="G54">
            <v>1.34</v>
          </cell>
          <cell r="I54">
            <v>1.34</v>
          </cell>
        </row>
        <row r="55">
          <cell r="A55" t="str">
            <v>INSUMO</v>
          </cell>
          <cell r="B55">
            <v>37373</v>
          </cell>
          <cell r="C55" t="str">
            <v>SINAPI</v>
          </cell>
          <cell r="D55" t="str">
            <v>SEGURO - HORISTA (COLETADO CAIXA - ENCARGOS COMPLEMENTARES)</v>
          </cell>
          <cell r="E55" t="str">
            <v>H</v>
          </cell>
          <cell r="F55">
            <v>1</v>
          </cell>
          <cell r="G55">
            <v>0.04</v>
          </cell>
          <cell r="I55">
            <v>0.04</v>
          </cell>
        </row>
        <row r="56">
          <cell r="A56" t="str">
            <v>INSUMO</v>
          </cell>
          <cell r="B56">
            <v>43463</v>
          </cell>
          <cell r="C56" t="str">
            <v>SINAPI</v>
          </cell>
          <cell r="D56" t="str">
            <v>FERRAMENTAS - FAMILIA ENCARREGADO GERAL - HORISTA (ENCARGOS COMPLEMENTARES - COLETADO CAIXA)</v>
          </cell>
          <cell r="E56" t="str">
            <v>H</v>
          </cell>
          <cell r="F56">
            <v>1</v>
          </cell>
          <cell r="G56">
            <v>0.1</v>
          </cell>
          <cell r="I56">
            <v>0.1</v>
          </cell>
        </row>
        <row r="57">
          <cell r="A57" t="str">
            <v>INSUMO</v>
          </cell>
          <cell r="B57">
            <v>43487</v>
          </cell>
          <cell r="C57" t="str">
            <v>SINAPI</v>
          </cell>
          <cell r="D57" t="str">
            <v>EPI - FAMILIA ENCARREGADO GERAL - HORISTA (ENCARGOS COMPLEMENTARES - COLETADO CAIXA)</v>
          </cell>
          <cell r="E57" t="str">
            <v>H</v>
          </cell>
          <cell r="F57">
            <v>1</v>
          </cell>
          <cell r="G57">
            <v>1.25</v>
          </cell>
          <cell r="I57">
            <v>1.25</v>
          </cell>
        </row>
        <row r="58">
          <cell r="A58" t="str">
            <v>COMPOSICAO</v>
          </cell>
          <cell r="B58">
            <v>95401</v>
          </cell>
          <cell r="C58" t="str">
            <v>SINAPI</v>
          </cell>
          <cell r="D58" t="str">
            <v>CURSO DE CAPACITAÇÃO PARA ENCARREGADO GERAL (ENCARGOS COMPLEMENTARES) - HORISTA</v>
          </cell>
          <cell r="E58" t="str">
            <v>H</v>
          </cell>
          <cell r="F58">
            <v>1</v>
          </cell>
          <cell r="G58">
            <v>0.62</v>
          </cell>
          <cell r="I58">
            <v>0.62</v>
          </cell>
        </row>
        <row r="59">
          <cell r="A59" t="str">
            <v>TOTAL SEM BDI - 90776</v>
          </cell>
          <cell r="I59">
            <v>29.1</v>
          </cell>
        </row>
        <row r="61">
          <cell r="A61" t="str">
            <v>CLASSE/TIPO</v>
          </cell>
          <cell r="B61" t="str">
            <v>CÓDIGO</v>
          </cell>
          <cell r="C61" t="str">
            <v>FONTE</v>
          </cell>
          <cell r="D61" t="str">
            <v>DESCRIÇÃO</v>
          </cell>
          <cell r="E61" t="str">
            <v>UNID.</v>
          </cell>
          <cell r="F61" t="str">
            <v>COEF.</v>
          </cell>
          <cell r="G61" t="str">
            <v>P. UNIT. (R$)</v>
          </cell>
          <cell r="I61" t="str">
            <v>TOTAL (R$)</v>
          </cell>
        </row>
        <row r="62">
          <cell r="A62" t="str">
            <v>SEDI</v>
          </cell>
          <cell r="B62">
            <v>90766</v>
          </cell>
          <cell r="C62" t="str">
            <v>SINAPI</v>
          </cell>
          <cell r="D62" t="str">
            <v>ALMOXARIFE COM ENCARGOS COMPLEMENTARES</v>
          </cell>
          <cell r="E62" t="str">
            <v>H</v>
          </cell>
          <cell r="G62">
            <v>18.74</v>
          </cell>
        </row>
        <row r="63">
          <cell r="A63" t="str">
            <v>INSUMO</v>
          </cell>
          <cell r="B63">
            <v>253</v>
          </cell>
          <cell r="C63" t="str">
            <v>SINAPI</v>
          </cell>
          <cell r="D63" t="str">
            <v>ALMOXARIFE (HORISTA)</v>
          </cell>
          <cell r="E63" t="str">
            <v>H</v>
          </cell>
          <cell r="F63">
            <v>1</v>
          </cell>
          <cell r="G63">
            <v>16.42</v>
          </cell>
          <cell r="I63">
            <v>16.42</v>
          </cell>
        </row>
        <row r="64">
          <cell r="A64" t="str">
            <v>INSUMO</v>
          </cell>
          <cell r="B64">
            <v>37372</v>
          </cell>
          <cell r="C64" t="str">
            <v>SINAPI</v>
          </cell>
          <cell r="D64" t="str">
            <v>EXAMES - HORISTA (COLETADO CAIXA - ENCARGOS COMPLEMENTARES)</v>
          </cell>
          <cell r="E64" t="str">
            <v>H</v>
          </cell>
          <cell r="F64">
            <v>1</v>
          </cell>
          <cell r="G64">
            <v>1.34</v>
          </cell>
          <cell r="I64">
            <v>1.34</v>
          </cell>
        </row>
        <row r="65">
          <cell r="A65" t="str">
            <v>INSUMO</v>
          </cell>
          <cell r="B65">
            <v>37373</v>
          </cell>
          <cell r="C65" t="str">
            <v>SINAPI</v>
          </cell>
          <cell r="D65" t="str">
            <v>SEGURO - HORISTA (COLETADO CAIXA - ENCARGOS COMPLEMENTARES)</v>
          </cell>
          <cell r="E65" t="str">
            <v>H</v>
          </cell>
          <cell r="F65">
            <v>1</v>
          </cell>
          <cell r="G65">
            <v>0.04</v>
          </cell>
          <cell r="I65">
            <v>0.04</v>
          </cell>
        </row>
        <row r="66">
          <cell r="A66" t="str">
            <v>INSUMO</v>
          </cell>
          <cell r="B66">
            <v>43458</v>
          </cell>
          <cell r="C66" t="str">
            <v>SINAPI</v>
          </cell>
          <cell r="D66" t="str">
            <v>FERRAMENTAS - FAMILIA ALMOXARIFE - HORISTA (ENCARGOS COMPLEMENTARES - COLETADO CAIXA)</v>
          </cell>
          <cell r="E66" t="str">
            <v>H</v>
          </cell>
          <cell r="F66">
            <v>1</v>
          </cell>
          <cell r="G66">
            <v>0.06</v>
          </cell>
          <cell r="I66">
            <v>0.06</v>
          </cell>
        </row>
        <row r="67">
          <cell r="A67" t="str">
            <v>INSUMO</v>
          </cell>
          <cell r="B67">
            <v>43482</v>
          </cell>
          <cell r="C67" t="str">
            <v>SINAPI</v>
          </cell>
          <cell r="D67" t="str">
            <v>EPI - FAMILIA ALMOXARIFE - HORISTA (ENCARGOS COMPLEMENTARES - COLETADO CAIXA)</v>
          </cell>
          <cell r="E67" t="str">
            <v>H</v>
          </cell>
          <cell r="F67">
            <v>1</v>
          </cell>
          <cell r="G67">
            <v>0.79</v>
          </cell>
          <cell r="I67">
            <v>0.79</v>
          </cell>
        </row>
        <row r="68">
          <cell r="A68" t="str">
            <v>COMPOSICAO</v>
          </cell>
          <cell r="B68">
            <v>95392</v>
          </cell>
          <cell r="C68" t="str">
            <v>SINAPI</v>
          </cell>
          <cell r="D68" t="str">
            <v>CURSO DE CAPACITAÇÃO PARA ALMOXARIFE (ENCARGOS COMPLEMENTARES) - HORISTA</v>
          </cell>
          <cell r="E68" t="str">
            <v>H</v>
          </cell>
          <cell r="F68">
            <v>1</v>
          </cell>
          <cell r="G68">
            <v>0.09</v>
          </cell>
          <cell r="I68">
            <v>0.09</v>
          </cell>
        </row>
        <row r="69">
          <cell r="A69" t="str">
            <v>TOTAL SEM BDI - 90766</v>
          </cell>
          <cell r="I69">
            <v>18.74</v>
          </cell>
        </row>
        <row r="71">
          <cell r="A71" t="str">
            <v>CLASSE/TIPO</v>
          </cell>
          <cell r="B71" t="str">
            <v>CÓDIGO</v>
          </cell>
          <cell r="C71" t="str">
            <v>FONTE</v>
          </cell>
          <cell r="D71" t="str">
            <v>DESCRIÇÃO</v>
          </cell>
          <cell r="E71" t="str">
            <v>UNID.</v>
          </cell>
          <cell r="F71" t="str">
            <v>COEF.</v>
          </cell>
          <cell r="G71" t="str">
            <v>P. UNIT. (R$)</v>
          </cell>
          <cell r="I71" t="str">
            <v>TOTAL (R$)</v>
          </cell>
        </row>
        <row r="72">
          <cell r="A72" t="str">
            <v>CHOR</v>
          </cell>
          <cell r="B72">
            <v>5932</v>
          </cell>
          <cell r="C72" t="str">
            <v>SINAPI</v>
          </cell>
          <cell r="D72" t="str">
            <v>MOTONIVELADORA POTÊNCIA BÁSICA LÍQUIDA (PRIMEIRA MARCHA) 125 HP, PESO BRUTO 13032 KG, LARGURA DA LÂMINA DE 3,7 M - CHP DIURNO. AF_06/2014</v>
          </cell>
          <cell r="E72" t="str">
            <v>CHP</v>
          </cell>
          <cell r="G72">
            <v>250.52</v>
          </cell>
        </row>
        <row r="73">
          <cell r="A73" t="str">
            <v>COMPOSICAO</v>
          </cell>
          <cell r="B73">
            <v>5779</v>
          </cell>
          <cell r="C73" t="str">
            <v>SINAPI</v>
          </cell>
          <cell r="D73" t="str">
            <v>MOTONIVELADORA POTÊNCIA BÁSICA LÍQUIDA (PRIMEIRA MARCHA) 125 HP, PESO BRUTO 13032 KG, LARGURA DA LÂMINA DE 3,7 M - MANUTENÇÃO. AF_06/2014</v>
          </cell>
          <cell r="E73" t="str">
            <v>H</v>
          </cell>
          <cell r="F73">
            <v>1</v>
          </cell>
          <cell r="G73">
            <v>71.37</v>
          </cell>
          <cell r="I73">
            <v>71.37</v>
          </cell>
        </row>
        <row r="74">
          <cell r="A74" t="str">
            <v>COMPOSICAO</v>
          </cell>
          <cell r="B74">
            <v>53849</v>
          </cell>
          <cell r="C74" t="str">
            <v>SINAPI</v>
          </cell>
          <cell r="D74" t="str">
            <v>MOTONIVELADORA POTÊNCIA BÁSICA LÍQUIDA (PRIMEIRA MARCHA) 125 HP, PESO BRUTO 13032 KG, LARGURA DA LÂMINA DE 3,7 M - MATERIAIS NA OPERAÇÃO. AF_06/2014</v>
          </cell>
          <cell r="E74" t="str">
            <v>H</v>
          </cell>
          <cell r="F74">
            <v>1</v>
          </cell>
          <cell r="G74">
            <v>81.84</v>
          </cell>
          <cell r="I74">
            <v>81.84</v>
          </cell>
        </row>
        <row r="75">
          <cell r="A75" t="str">
            <v>COMPOSICAO</v>
          </cell>
          <cell r="B75">
            <v>88300</v>
          </cell>
          <cell r="C75" t="str">
            <v>SINAPI</v>
          </cell>
          <cell r="D75" t="str">
            <v>OPERADOR DE MOTONIVELADORA COM ENCARGOS COMPLEMENTARES</v>
          </cell>
          <cell r="E75" t="str">
            <v>H</v>
          </cell>
          <cell r="F75">
            <v>1</v>
          </cell>
          <cell r="G75">
            <v>37.26</v>
          </cell>
          <cell r="I75">
            <v>37.26</v>
          </cell>
        </row>
        <row r="76">
          <cell r="A76" t="str">
            <v>COMPOSICAO</v>
          </cell>
          <cell r="B76">
            <v>89228</v>
          </cell>
          <cell r="C76" t="str">
            <v>SINAPI</v>
          </cell>
          <cell r="D76" t="str">
            <v>MOTONIVELADORA POTÊNCIA BÁSICA LÍQUIDA (PRIMEIRA MARCHA) 125 HP, PESO BRUTO 13032 KG, LARGURA DA LÂMINA DE 3,7 M - DEPRECIAÇÃO. AF_06/2014</v>
          </cell>
          <cell r="E76" t="str">
            <v>H</v>
          </cell>
          <cell r="F76">
            <v>1</v>
          </cell>
          <cell r="G76">
            <v>44.4</v>
          </cell>
          <cell r="I76">
            <v>44.4</v>
          </cell>
        </row>
        <row r="77">
          <cell r="A77" t="str">
            <v>COMPOSICAO</v>
          </cell>
          <cell r="B77">
            <v>89229</v>
          </cell>
          <cell r="C77" t="str">
            <v>SINAPI</v>
          </cell>
          <cell r="D77" t="str">
            <v>MOTONIVELADORA POTÊNCIA BÁSICA LÍQUIDA (PRIMEIRA MARCHA) 125 HP, PESO BRUTO 13032 KG, LARGURA DA LÂMINA DE 3,7 M - JUROS. AF_06/2014</v>
          </cell>
          <cell r="E77" t="str">
            <v>H</v>
          </cell>
          <cell r="F77">
            <v>1</v>
          </cell>
          <cell r="G77">
            <v>15.65</v>
          </cell>
          <cell r="I77">
            <v>15.65</v>
          </cell>
        </row>
        <row r="78">
          <cell r="A78" t="str">
            <v>TOTAL SEM BDI - 5932</v>
          </cell>
          <cell r="I78">
            <v>250.52</v>
          </cell>
        </row>
        <row r="80">
          <cell r="A80" t="str">
            <v>CLASSE/TIPO</v>
          </cell>
          <cell r="B80" t="str">
            <v>CÓDIGO</v>
          </cell>
          <cell r="C80" t="str">
            <v>FONTE</v>
          </cell>
          <cell r="D80" t="str">
            <v>DESCRIÇÃO</v>
          </cell>
          <cell r="E80" t="str">
            <v>UNID.</v>
          </cell>
          <cell r="F80" t="str">
            <v>COEF.</v>
          </cell>
          <cell r="G80" t="str">
            <v>P. UNIT. (R$)</v>
          </cell>
          <cell r="I80" t="str">
            <v>TOTAL (R$)</v>
          </cell>
        </row>
        <row r="81">
          <cell r="A81" t="str">
            <v>CHOR</v>
          </cell>
          <cell r="B81">
            <v>5934</v>
          </cell>
          <cell r="C81" t="str">
            <v>SINAPI</v>
          </cell>
          <cell r="D81" t="str">
            <v>MOTONIVELADORA POTÊNCIA BÁSICA LÍQUIDA (PRIMEIRA MARCHA) 125 HP, PESO BRUTO 13032 KG, LARGURA DA LÂMINA DE 3,7 M - CHI DIURNO. AF_06/2014</v>
          </cell>
          <cell r="E81" t="str">
            <v>CHI</v>
          </cell>
          <cell r="G81">
            <v>97.31</v>
          </cell>
        </row>
        <row r="82">
          <cell r="A82" t="str">
            <v>COMPOSICAO</v>
          </cell>
          <cell r="B82">
            <v>88300</v>
          </cell>
          <cell r="C82" t="str">
            <v>SINAPI</v>
          </cell>
          <cell r="D82" t="str">
            <v>OPERADOR DE MOTONIVELADORA COM ENCARGOS COMPLEMENTARES</v>
          </cell>
          <cell r="E82" t="str">
            <v>H</v>
          </cell>
          <cell r="F82">
            <v>1</v>
          </cell>
          <cell r="G82">
            <v>37.26</v>
          </cell>
          <cell r="I82">
            <v>37.26</v>
          </cell>
        </row>
        <row r="83">
          <cell r="A83" t="str">
            <v>COMPOSICAO</v>
          </cell>
          <cell r="B83">
            <v>89228</v>
          </cell>
          <cell r="C83" t="str">
            <v>SINAPI</v>
          </cell>
          <cell r="D83" t="str">
            <v>MOTONIVELADORA POTÊNCIA BÁSICA LÍQUIDA (PRIMEIRA MARCHA) 125 HP, PESO BRUTO 13032 KG, LARGURA DA LÂMINA DE 3,7 M - DEPRECIAÇÃO. AF_06/2014</v>
          </cell>
          <cell r="E83" t="str">
            <v>H</v>
          </cell>
          <cell r="F83">
            <v>1</v>
          </cell>
          <cell r="G83">
            <v>44.4</v>
          </cell>
          <cell r="I83">
            <v>44.4</v>
          </cell>
        </row>
        <row r="84">
          <cell r="A84" t="str">
            <v>COMPOSICAO</v>
          </cell>
          <cell r="B84">
            <v>89229</v>
          </cell>
          <cell r="C84" t="str">
            <v>SINAPI</v>
          </cell>
          <cell r="D84" t="str">
            <v>MOTONIVELADORA POTÊNCIA BÁSICA LÍQUIDA (PRIMEIRA MARCHA) 125 HP, PESO BRUTO 13032 KG, LARGURA DA LÂMINA DE 3,7 M - JUROS. AF_06/2014</v>
          </cell>
          <cell r="E84" t="str">
            <v>H</v>
          </cell>
          <cell r="F84">
            <v>1</v>
          </cell>
          <cell r="G84">
            <v>15.65</v>
          </cell>
          <cell r="I84">
            <v>15.65</v>
          </cell>
        </row>
        <row r="85">
          <cell r="A85" t="str">
            <v>TOTAL SEM BDI - 5934</v>
          </cell>
          <cell r="I85">
            <v>97.31</v>
          </cell>
        </row>
        <row r="87">
          <cell r="A87" t="str">
            <v>CLASSE/TIPO</v>
          </cell>
          <cell r="B87" t="str">
            <v>CÓDIGO</v>
          </cell>
          <cell r="C87" t="str">
            <v>FONTE</v>
          </cell>
          <cell r="D87" t="str">
            <v>DESCRIÇÃO</v>
          </cell>
          <cell r="E87" t="str">
            <v>UNID.</v>
          </cell>
          <cell r="F87" t="str">
            <v>COEF.</v>
          </cell>
          <cell r="G87" t="str">
            <v>P. UNIT. (R$)</v>
          </cell>
          <cell r="I87" t="str">
            <v>TOTAL (R$)</v>
          </cell>
        </row>
        <row r="88">
          <cell r="A88" t="str">
            <v>SEDI</v>
          </cell>
          <cell r="B88">
            <v>88260</v>
          </cell>
          <cell r="C88" t="str">
            <v>SINAPI</v>
          </cell>
          <cell r="D88" t="str">
            <v>CALCETEIRO COM ENCARGOS COMPLEMENTARES</v>
          </cell>
          <cell r="E88" t="str">
            <v>H</v>
          </cell>
          <cell r="G88">
            <v>23.07</v>
          </cell>
        </row>
        <row r="89">
          <cell r="A89" t="str">
            <v>INSUMO</v>
          </cell>
          <cell r="B89">
            <v>4759</v>
          </cell>
          <cell r="C89" t="str">
            <v>SINAPI</v>
          </cell>
          <cell r="D89" t="str">
            <v>CALCETEIRO / RASTELEIRO (HORISTA)</v>
          </cell>
          <cell r="E89" t="str">
            <v>H</v>
          </cell>
          <cell r="F89">
            <v>1</v>
          </cell>
          <cell r="G89">
            <v>16.42</v>
          </cell>
          <cell r="I89">
            <v>16.42</v>
          </cell>
        </row>
        <row r="90">
          <cell r="A90" t="str">
            <v>INSUMO</v>
          </cell>
          <cell r="B90">
            <v>37370</v>
          </cell>
          <cell r="C90" t="str">
            <v>SINAPI</v>
          </cell>
          <cell r="D90" t="str">
            <v>ALIMENTACAO - HORISTA (COLETADO CAIXA - ENCARGOS COMPLEMENTARES)</v>
          </cell>
          <cell r="E90" t="str">
            <v>H</v>
          </cell>
          <cell r="F90">
            <v>1</v>
          </cell>
          <cell r="G90">
            <v>2.39</v>
          </cell>
          <cell r="I90">
            <v>2.39</v>
          </cell>
        </row>
        <row r="91">
          <cell r="A91" t="str">
            <v>INSUMO</v>
          </cell>
          <cell r="B91">
            <v>37371</v>
          </cell>
          <cell r="C91" t="str">
            <v>SINAPI</v>
          </cell>
          <cell r="D91" t="str">
            <v>TRANSPORTE - HORISTA (COLETADO CAIXA - ENCARGOS COMPLEMENTARES)</v>
          </cell>
          <cell r="E91" t="str">
            <v>H</v>
          </cell>
          <cell r="F91">
            <v>1</v>
          </cell>
          <cell r="G91">
            <v>0.61</v>
          </cell>
          <cell r="I91">
            <v>0.61</v>
          </cell>
        </row>
        <row r="92">
          <cell r="A92" t="str">
            <v>INSUMO</v>
          </cell>
          <cell r="B92">
            <v>37372</v>
          </cell>
          <cell r="C92" t="str">
            <v>SINAPI</v>
          </cell>
          <cell r="D92" t="str">
            <v>EXAMES - HORISTA (COLETADO CAIXA - ENCARGOS COMPLEMENTARES)</v>
          </cell>
          <cell r="E92" t="str">
            <v>H</v>
          </cell>
          <cell r="F92">
            <v>1</v>
          </cell>
          <cell r="G92">
            <v>1.34</v>
          </cell>
          <cell r="I92">
            <v>1.34</v>
          </cell>
        </row>
        <row r="93">
          <cell r="A93" t="str">
            <v>INSUMO</v>
          </cell>
          <cell r="B93">
            <v>37373</v>
          </cell>
          <cell r="C93" t="str">
            <v>SINAPI</v>
          </cell>
          <cell r="D93" t="str">
            <v>SEGURO - HORISTA (COLETADO CAIXA - ENCARGOS COMPLEMENTARES)</v>
          </cell>
          <cell r="E93" t="str">
            <v>H</v>
          </cell>
          <cell r="F93">
            <v>1</v>
          </cell>
          <cell r="G93">
            <v>0.04</v>
          </cell>
          <cell r="I93">
            <v>0.04</v>
          </cell>
        </row>
        <row r="94">
          <cell r="A94" t="str">
            <v>INSUMO</v>
          </cell>
          <cell r="B94">
            <v>43465</v>
          </cell>
          <cell r="C94" t="str">
            <v>SINAPI</v>
          </cell>
          <cell r="D94" t="str">
            <v>FERRAMENTAS - FAMILIA PEDREIRO - HORISTA (ENCARGOS COMPLEMENTARES - COLETADO CAIXA)</v>
          </cell>
          <cell r="E94" t="str">
            <v>H</v>
          </cell>
          <cell r="F94">
            <v>1</v>
          </cell>
          <cell r="G94">
            <v>0.82</v>
          </cell>
          <cell r="I94">
            <v>0.82</v>
          </cell>
        </row>
        <row r="95">
          <cell r="A95" t="str">
            <v>INSUMO</v>
          </cell>
          <cell r="B95">
            <v>43489</v>
          </cell>
          <cell r="C95" t="str">
            <v>SINAPI</v>
          </cell>
          <cell r="D95" t="str">
            <v>EPI - FAMILIA PEDREIRO - HORISTA (ENCARGOS COMPLEMENTARES - COLETADO CAIXA)</v>
          </cell>
          <cell r="E95" t="str">
            <v>H</v>
          </cell>
          <cell r="F95">
            <v>1</v>
          </cell>
          <cell r="G95">
            <v>1.24</v>
          </cell>
          <cell r="I95">
            <v>1.24</v>
          </cell>
        </row>
        <row r="96">
          <cell r="A96" t="str">
            <v>COMPOSICAO</v>
          </cell>
          <cell r="B96">
            <v>95328</v>
          </cell>
          <cell r="C96" t="str">
            <v>SINAPI</v>
          </cell>
          <cell r="D96" t="str">
            <v>CURSO DE CAPACITAÇÃO PARA CALCETEIRO (ENCARGOS COMPLEMENTARES) - HORISTA</v>
          </cell>
          <cell r="E96" t="str">
            <v>H</v>
          </cell>
          <cell r="F96">
            <v>1</v>
          </cell>
          <cell r="G96">
            <v>0.21</v>
          </cell>
          <cell r="I96">
            <v>0.21</v>
          </cell>
        </row>
        <row r="97">
          <cell r="A97" t="str">
            <v>TOTAL SEM BDI - 88260</v>
          </cell>
          <cell r="I97">
            <v>23.07</v>
          </cell>
        </row>
        <row r="99">
          <cell r="A99" t="str">
            <v>CLASSE/TIPO</v>
          </cell>
          <cell r="B99" t="str">
            <v>CÓDIGO</v>
          </cell>
          <cell r="C99" t="str">
            <v>FONTE</v>
          </cell>
          <cell r="D99" t="str">
            <v>DESCRIÇÃO</v>
          </cell>
          <cell r="E99" t="str">
            <v>UNID.</v>
          </cell>
          <cell r="F99" t="str">
            <v>COEF.</v>
          </cell>
          <cell r="G99" t="str">
            <v>P. UNIT. (R$)</v>
          </cell>
          <cell r="I99" t="str">
            <v>TOTAL (R$)</v>
          </cell>
        </row>
        <row r="100">
          <cell r="A100" t="str">
            <v>SEDI</v>
          </cell>
          <cell r="B100">
            <v>88628</v>
          </cell>
          <cell r="C100" t="str">
            <v>SINAPI</v>
          </cell>
          <cell r="D100" t="str">
            <v>ARGAMASSA TRAÇO 1:3 (EM VOLUME DE CIMENTO E AREIA MÉDIA ÚMIDA), PREPARO MECÂNICO COM BETONEIRA 400 L. AF_08/2019</v>
          </cell>
          <cell r="E100" t="str">
            <v>M3</v>
          </cell>
          <cell r="G100">
            <v>663.6</v>
          </cell>
        </row>
        <row r="101">
          <cell r="A101" t="str">
            <v>INSUMO</v>
          </cell>
          <cell r="B101">
            <v>370</v>
          </cell>
          <cell r="C101" t="str">
            <v>SINAPI</v>
          </cell>
          <cell r="D101" t="str">
            <v>AREIA MEDIA - POSTO JAZIDA/FORNECEDOR (RETIRADO NA JAZIDA, SEM TRANSPORTE)</v>
          </cell>
          <cell r="E101" t="str">
            <v>M3</v>
          </cell>
          <cell r="F101">
            <v>1.07</v>
          </cell>
          <cell r="G101">
            <v>85</v>
          </cell>
          <cell r="I101">
            <v>90.95</v>
          </cell>
        </row>
        <row r="102">
          <cell r="A102" t="str">
            <v>INSUMO</v>
          </cell>
          <cell r="B102">
            <v>1379</v>
          </cell>
          <cell r="C102" t="str">
            <v>SINAPI</v>
          </cell>
          <cell r="D102" t="str">
            <v>CIMENTO PORTLAND COMPOSTO CP II-32</v>
          </cell>
          <cell r="E102" t="str">
            <v>KG</v>
          </cell>
          <cell r="F102">
            <v>483.7</v>
          </cell>
          <cell r="G102">
            <v>1.02</v>
          </cell>
          <cell r="I102">
            <v>493.37</v>
          </cell>
        </row>
        <row r="103">
          <cell r="A103" t="str">
            <v>COMPOSICAO</v>
          </cell>
          <cell r="B103">
            <v>88377</v>
          </cell>
          <cell r="C103" t="str">
            <v>SINAPI</v>
          </cell>
          <cell r="D103" t="str">
            <v>OPERADOR DE BETONEIRA ESTACIONÁRIA/MISTURADOR COM ENCARGOS COMPLEMENTARES</v>
          </cell>
          <cell r="E103" t="str">
            <v>H</v>
          </cell>
          <cell r="F103">
            <v>3.42</v>
          </cell>
          <cell r="G103">
            <v>22.29</v>
          </cell>
          <cell r="I103">
            <v>76.23</v>
          </cell>
        </row>
        <row r="104">
          <cell r="A104" t="str">
            <v>COMPOSICAO</v>
          </cell>
          <cell r="B104">
            <v>88830</v>
          </cell>
          <cell r="C104" t="str">
            <v>SINAPI</v>
          </cell>
          <cell r="D104" t="str">
            <v>BETONEIRA CAPACIDADE NOMINAL DE 400 L, CAPACIDADE DE MISTURA 280 L, MOTOR ELÉTRICO TRIFÁSICO POTÊNCIA DE 2 CV, SEM CARREGADOR - CHP DIURNO. AF_05/2023</v>
          </cell>
          <cell r="E104" t="str">
            <v>CHP</v>
          </cell>
          <cell r="F104">
            <v>0.8</v>
          </cell>
          <cell r="G104">
            <v>2.25</v>
          </cell>
          <cell r="I104">
            <v>1.8</v>
          </cell>
        </row>
        <row r="105">
          <cell r="A105" t="str">
            <v>COMPOSICAO</v>
          </cell>
          <cell r="B105">
            <v>88831</v>
          </cell>
          <cell r="C105" t="str">
            <v>SINAPI</v>
          </cell>
          <cell r="D105" t="str">
            <v>BETONEIRA CAPACIDADE NOMINAL DE 400 L, CAPACIDADE DE MISTURA 280 L, MOTOR ELÉTRICO TRIFÁSICO POTÊNCIA DE 2 CV, SEM CARREGADOR - CHI DIURNO. AF_05/2023</v>
          </cell>
          <cell r="E105" t="str">
            <v>CHI</v>
          </cell>
          <cell r="F105">
            <v>2.62</v>
          </cell>
          <cell r="G105">
            <v>0.48</v>
          </cell>
          <cell r="I105">
            <v>1.25</v>
          </cell>
        </row>
        <row r="106">
          <cell r="A106" t="str">
            <v>TOTAL SEM BDI - 88628</v>
          </cell>
          <cell r="I106">
            <v>663.6</v>
          </cell>
        </row>
        <row r="108">
          <cell r="A108" t="str">
            <v>CLASSE/TIPO</v>
          </cell>
          <cell r="B108" t="str">
            <v>CÓDIGO</v>
          </cell>
          <cell r="C108" t="str">
            <v>FONTE</v>
          </cell>
          <cell r="D108" t="str">
            <v>DESCRIÇÃO</v>
          </cell>
          <cell r="E108" t="str">
            <v>UNID.</v>
          </cell>
          <cell r="F108" t="str">
            <v>COEF.</v>
          </cell>
          <cell r="G108" t="str">
            <v>P. UNIT. (R$)</v>
          </cell>
          <cell r="I108" t="str">
            <v>TOTAL (R$)</v>
          </cell>
        </row>
        <row r="109">
          <cell r="A109" t="str">
            <v>SEDI</v>
          </cell>
          <cell r="B109">
            <v>88309</v>
          </cell>
          <cell r="C109" t="str">
            <v>SINAPI</v>
          </cell>
          <cell r="D109" t="str">
            <v>PEDREIRO COM ENCARGOS COMPLEMENTARES</v>
          </cell>
          <cell r="E109" t="str">
            <v>H</v>
          </cell>
          <cell r="G109">
            <v>23.259999999999998</v>
          </cell>
        </row>
        <row r="110">
          <cell r="A110" t="str">
            <v>INSUMO</v>
          </cell>
          <cell r="B110">
            <v>4750</v>
          </cell>
          <cell r="C110" t="str">
            <v>SINAPI</v>
          </cell>
          <cell r="D110" t="str">
            <v>PEDREIRO (HORISTA)</v>
          </cell>
          <cell r="E110" t="str">
            <v>H</v>
          </cell>
          <cell r="F110">
            <v>1</v>
          </cell>
          <cell r="G110">
            <v>16.42</v>
          </cell>
          <cell r="I110">
            <v>16.42</v>
          </cell>
        </row>
        <row r="111">
          <cell r="A111" t="str">
            <v>INSUMO</v>
          </cell>
          <cell r="B111">
            <v>37370</v>
          </cell>
          <cell r="C111" t="str">
            <v>SINAPI</v>
          </cell>
          <cell r="D111" t="str">
            <v>ALIMENTACAO - HORISTA (COLETADO CAIXA - ENCARGOS COMPLEMENTARES)</v>
          </cell>
          <cell r="E111" t="str">
            <v>H</v>
          </cell>
          <cell r="F111">
            <v>1</v>
          </cell>
          <cell r="G111">
            <v>2.39</v>
          </cell>
          <cell r="I111">
            <v>2.39</v>
          </cell>
        </row>
        <row r="112">
          <cell r="A112" t="str">
            <v>INSUMO</v>
          </cell>
          <cell r="B112">
            <v>37371</v>
          </cell>
          <cell r="C112" t="str">
            <v>SINAPI</v>
          </cell>
          <cell r="D112" t="str">
            <v>TRANSPORTE - HORISTA (COLETADO CAIXA - ENCARGOS COMPLEMENTARES)</v>
          </cell>
          <cell r="E112" t="str">
            <v>H</v>
          </cell>
          <cell r="F112">
            <v>1</v>
          </cell>
          <cell r="G112">
            <v>0.61</v>
          </cell>
          <cell r="I112">
            <v>0.61</v>
          </cell>
        </row>
        <row r="113">
          <cell r="A113" t="str">
            <v>INSUMO</v>
          </cell>
          <cell r="B113">
            <v>37372</v>
          </cell>
          <cell r="C113" t="str">
            <v>SINAPI</v>
          </cell>
          <cell r="D113" t="str">
            <v>EXAMES - HORISTA (COLETADO CAIXA - ENCARGOS COMPLEMENTARES)</v>
          </cell>
          <cell r="E113" t="str">
            <v>H</v>
          </cell>
          <cell r="F113">
            <v>1</v>
          </cell>
          <cell r="G113">
            <v>1.34</v>
          </cell>
          <cell r="I113">
            <v>1.34</v>
          </cell>
        </row>
        <row r="114">
          <cell r="A114" t="str">
            <v>INSUMO</v>
          </cell>
          <cell r="B114">
            <v>37373</v>
          </cell>
          <cell r="C114" t="str">
            <v>SINAPI</v>
          </cell>
          <cell r="D114" t="str">
            <v>SEGURO - HORISTA (COLETADO CAIXA - ENCARGOS COMPLEMENTARES)</v>
          </cell>
          <cell r="E114" t="str">
            <v>H</v>
          </cell>
          <cell r="F114">
            <v>1</v>
          </cell>
          <cell r="G114">
            <v>0.04</v>
          </cell>
          <cell r="I114">
            <v>0.04</v>
          </cell>
        </row>
        <row r="115">
          <cell r="A115" t="str">
            <v>INSUMO</v>
          </cell>
          <cell r="B115">
            <v>43465</v>
          </cell>
          <cell r="C115" t="str">
            <v>SINAPI</v>
          </cell>
          <cell r="D115" t="str">
            <v>FERRAMENTAS - FAMILIA PEDREIRO - HORISTA (ENCARGOS COMPLEMENTARES - COLETADO CAIXA)</v>
          </cell>
          <cell r="E115" t="str">
            <v>H</v>
          </cell>
          <cell r="F115">
            <v>1</v>
          </cell>
          <cell r="G115">
            <v>0.82</v>
          </cell>
          <cell r="I115">
            <v>0.82</v>
          </cell>
        </row>
        <row r="116">
          <cell r="A116" t="str">
            <v>INSUMO</v>
          </cell>
          <cell r="B116">
            <v>43489</v>
          </cell>
          <cell r="C116" t="str">
            <v>SINAPI</v>
          </cell>
          <cell r="D116" t="str">
            <v>EPI - FAMILIA PEDREIRO - HORISTA (ENCARGOS COMPLEMENTARES - COLETADO CAIXA)</v>
          </cell>
          <cell r="E116" t="str">
            <v>H</v>
          </cell>
          <cell r="F116">
            <v>1</v>
          </cell>
          <cell r="G116">
            <v>1.24</v>
          </cell>
          <cell r="I116">
            <v>1.24</v>
          </cell>
        </row>
        <row r="117">
          <cell r="A117" t="str">
            <v>COMPOSICAO</v>
          </cell>
          <cell r="B117">
            <v>95371</v>
          </cell>
          <cell r="C117" t="str">
            <v>SINAPI</v>
          </cell>
          <cell r="D117" t="str">
            <v>CURSO DE CAPACITAÇÃO PARA PEDREIRO (ENCARGOS COMPLEMENTARES) - HORISTA</v>
          </cell>
          <cell r="E117" t="str">
            <v>H</v>
          </cell>
          <cell r="F117">
            <v>1</v>
          </cell>
          <cell r="G117">
            <v>0.4</v>
          </cell>
          <cell r="I117">
            <v>0.4</v>
          </cell>
        </row>
        <row r="118">
          <cell r="A118" t="str">
            <v>TOTAL SEM BDI - 88309</v>
          </cell>
          <cell r="I118">
            <v>23.259999999999998</v>
          </cell>
        </row>
        <row r="120">
          <cell r="A120" t="str">
            <v>CLASSE/TIPO</v>
          </cell>
          <cell r="B120" t="str">
            <v>CÓDIGO</v>
          </cell>
          <cell r="C120" t="str">
            <v>FONTE</v>
          </cell>
          <cell r="D120" t="str">
            <v>DESCRIÇÃO</v>
          </cell>
          <cell r="E120" t="str">
            <v>UNID.</v>
          </cell>
          <cell r="F120" t="str">
            <v>COEF.</v>
          </cell>
          <cell r="G120" t="str">
            <v>P. UNIT. (R$)</v>
          </cell>
          <cell r="I120" t="str">
            <v>TOTAL (R$)</v>
          </cell>
        </row>
        <row r="121">
          <cell r="A121" t="str">
            <v>SEDI</v>
          </cell>
          <cell r="B121">
            <v>88629</v>
          </cell>
          <cell r="C121" t="str">
            <v>SINAPI</v>
          </cell>
          <cell r="D121" t="str">
            <v>ARGAMASSA TRAÇO 1:3 (EM VOLUME DE CIMENTO E AREIA MÉDIA ÚMIDA), PREPARO MANUAL. AF_08/2019</v>
          </cell>
          <cell r="E121" t="str">
            <v>M3</v>
          </cell>
          <cell r="G121">
            <v>743.3000000000001</v>
          </cell>
        </row>
        <row r="122">
          <cell r="A122" t="str">
            <v>INSUMO</v>
          </cell>
          <cell r="B122">
            <v>370</v>
          </cell>
          <cell r="C122" t="str">
            <v>SINAPI</v>
          </cell>
          <cell r="D122" t="str">
            <v>AREIA MEDIA - POSTO JAZIDA/FORNECEDOR (RETIRADO NA JAZIDA, SEM TRANSPORTE)</v>
          </cell>
          <cell r="E122" t="str">
            <v>M3</v>
          </cell>
          <cell r="F122">
            <v>1.07</v>
          </cell>
          <cell r="G122">
            <v>85</v>
          </cell>
          <cell r="I122">
            <v>90.95</v>
          </cell>
        </row>
        <row r="123">
          <cell r="A123" t="str">
            <v>INSUMO</v>
          </cell>
          <cell r="B123">
            <v>1379</v>
          </cell>
          <cell r="C123" t="str">
            <v>SINAPI</v>
          </cell>
          <cell r="D123" t="str">
            <v>CIMENTO PORTLAND COMPOSTO CP II-32</v>
          </cell>
          <cell r="E123" t="str">
            <v>KG</v>
          </cell>
          <cell r="F123">
            <v>482.96</v>
          </cell>
          <cell r="G123">
            <v>1.02</v>
          </cell>
          <cell r="I123">
            <v>492.61</v>
          </cell>
        </row>
        <row r="124">
          <cell r="A124" t="str">
            <v>COMPOSICAO</v>
          </cell>
          <cell r="B124">
            <v>88316</v>
          </cell>
          <cell r="C124" t="str">
            <v>SINAPI</v>
          </cell>
          <cell r="D124" t="str">
            <v>SERVENTE COM ENCARGOS COMPLEMENTARES</v>
          </cell>
          <cell r="E124" t="str">
            <v>H</v>
          </cell>
          <cell r="F124">
            <v>8.57</v>
          </cell>
          <cell r="G124">
            <v>18.64</v>
          </cell>
          <cell r="I124">
            <v>159.74</v>
          </cell>
        </row>
        <row r="125">
          <cell r="A125" t="str">
            <v>TOTAL SEM BDI - 88629</v>
          </cell>
          <cell r="I125">
            <v>743.3000000000001</v>
          </cell>
        </row>
      </sheetData>
      <sheetData sheetId="16">
        <row r="1">
          <cell r="A1" t="str">
            <v>MUNICÍPIO DE CURRALINHOS - PI</v>
          </cell>
        </row>
        <row r="2">
          <cell r="A2" t="str">
            <v>EXECUÇÃO DE PAVIMENTAÇÃO EM PARALELEPÍPEDO NO MUNICÍPIO DE CURRALINHOS - PI. COM ÁREA TOTAL DE 5.204,70 M²</v>
          </cell>
        </row>
        <row r="3">
          <cell r="A3" t="str">
            <v>LISTA DE SERVIÇOS</v>
          </cell>
        </row>
        <row r="5">
          <cell r="A5" t="str">
            <v>DATA BASE:</v>
          </cell>
          <cell r="B5" t="str">
            <v>SINAPI PI 03/2024, ORSE SE 03/2024, COM DESONERAÇÃO</v>
          </cell>
          <cell r="D5" t="str">
            <v>LEIS SOCIAIS (%):</v>
          </cell>
          <cell r="E5">
            <v>84.59</v>
          </cell>
          <cell r="F5" t="str">
            <v>BDI (%):</v>
          </cell>
          <cell r="G5">
            <v>28.32</v>
          </cell>
        </row>
        <row r="6">
          <cell r="A6" t="str">
            <v>CÓDIGO</v>
          </cell>
          <cell r="B6" t="str">
            <v>FONTE</v>
          </cell>
          <cell r="C6" t="str">
            <v>DESCRIÇÃO</v>
          </cell>
          <cell r="D6" t="str">
            <v>UNID.</v>
          </cell>
          <cell r="E6" t="str">
            <v>PREÇO</v>
          </cell>
          <cell r="F6" t="str">
            <v>PREÇO CD</v>
          </cell>
          <cell r="G6" t="str">
            <v>PREÇO SD</v>
          </cell>
        </row>
        <row r="7">
          <cell r="A7" t="str">
            <v>COMPSADA02</v>
          </cell>
          <cell r="B7" t="str">
            <v>PRÓPRIA</v>
          </cell>
          <cell r="C7" t="str">
            <v>ADMINISTRAÇÃO LOCAL DA OBRA</v>
          </cell>
          <cell r="D7" t="str">
            <v>MÊS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90766</v>
          </cell>
          <cell r="B8" t="str">
            <v>SINAPI</v>
          </cell>
          <cell r="C8" t="str">
            <v>ALMOXARIFE COM ENCARGOS COMPLEMENTARES</v>
          </cell>
          <cell r="D8" t="str">
            <v>H</v>
          </cell>
          <cell r="E8">
            <v>18.74</v>
          </cell>
          <cell r="F8">
            <v>18.74</v>
          </cell>
          <cell r="G8">
            <v>21.43</v>
          </cell>
        </row>
        <row r="9">
          <cell r="A9">
            <v>88629</v>
          </cell>
          <cell r="B9" t="str">
            <v>SINAPI</v>
          </cell>
          <cell r="C9" t="str">
            <v>ARGAMASSA TRAÇO 1:3 (EM VOLUME DE CIMENTO E AREIA MÉDIA ÚMIDA), PREPARO MANUAL. AF_08/2019</v>
          </cell>
          <cell r="D9" t="str">
            <v>M3</v>
          </cell>
          <cell r="E9">
            <v>743.3</v>
          </cell>
          <cell r="F9">
            <v>743.3</v>
          </cell>
          <cell r="G9">
            <v>760.44</v>
          </cell>
        </row>
        <row r="10">
          <cell r="A10">
            <v>88628</v>
          </cell>
          <cell r="B10" t="str">
            <v>SINAPI</v>
          </cell>
          <cell r="C10" t="str">
            <v>ARGAMASSA TRAÇO 1:3 (EM VOLUME DE CIMENTO E AREIA MÉDIA ÚMIDA), PREPARO MECÂNICO COM BETONEIRA 400 L. AF_08/2019</v>
          </cell>
          <cell r="D10" t="str">
            <v>M3</v>
          </cell>
          <cell r="E10">
            <v>663.6</v>
          </cell>
          <cell r="F10">
            <v>663.6</v>
          </cell>
          <cell r="G10">
            <v>673.07</v>
          </cell>
        </row>
        <row r="11">
          <cell r="A11">
            <v>94273</v>
          </cell>
          <cell r="B11" t="str">
            <v>SINAPI</v>
          </cell>
          <cell r="C11" t="str">
            <v>ASSENTAMENTO DE GUIA (MEIO-FIO) EM TRECHO RETO, CONFECCIONADA EM CONCRETO PRÉ-FABRICADO, DIMENSÕES 100X15X13X30 CM (COMPRIMENTO X BASE INFERIOR X BASE SUPERIOR X ALTURA). AF_01/2024</v>
          </cell>
          <cell r="D11" t="str">
            <v>M</v>
          </cell>
          <cell r="E11">
            <v>37.16</v>
          </cell>
          <cell r="F11">
            <v>37.16</v>
          </cell>
          <cell r="G11">
            <v>38.27</v>
          </cell>
        </row>
        <row r="12">
          <cell r="A12">
            <v>88831</v>
          </cell>
          <cell r="B12" t="str">
            <v>SINAPI</v>
          </cell>
          <cell r="C12" t="str">
            <v>BETONEIRA CAPACIDADE NOMINAL DE 400 L, CAPACIDADE DE MISTURA 280 L, MOTOR ELÉTRICO TRIFÁSICO POTÊNCIA DE 2 CV, SEM CARREGADOR - CHI DIURNO. AF_05/2023</v>
          </cell>
          <cell r="D12" t="str">
            <v>CHI</v>
          </cell>
          <cell r="E12">
            <v>0.48</v>
          </cell>
          <cell r="F12">
            <v>0.48</v>
          </cell>
          <cell r="G12">
            <v>0.48</v>
          </cell>
        </row>
        <row r="13">
          <cell r="A13">
            <v>88830</v>
          </cell>
          <cell r="B13" t="str">
            <v>SINAPI</v>
          </cell>
          <cell r="C13" t="str">
            <v>BETONEIRA CAPACIDADE NOMINAL DE 400 L, CAPACIDADE DE MISTURA 280 L, MOTOR ELÉTRICO TRIFÁSICO POTÊNCIA DE 2 CV, SEM CARREGADOR - CHP DIURNO. AF_05/2023</v>
          </cell>
          <cell r="D13" t="str">
            <v>CHP</v>
          </cell>
          <cell r="E13">
            <v>2.25</v>
          </cell>
          <cell r="F13">
            <v>2.25</v>
          </cell>
          <cell r="G13">
            <v>2.25</v>
          </cell>
        </row>
        <row r="14">
          <cell r="A14">
            <v>88826</v>
          </cell>
          <cell r="B14" t="str">
            <v>SINAPI</v>
          </cell>
          <cell r="C14" t="str">
            <v>BETONEIRA CAPACIDADE NOMINAL DE 400 L, CAPACIDADE DE MISTURA 280 L, MOTOR ELÉTRICO TRIFÁSICO POTÊNCIA DE 2 CV, SEM CARREGADOR - DEPRECIAÇÃO. AF_05/2023</v>
          </cell>
          <cell r="D14" t="str">
            <v>H</v>
          </cell>
          <cell r="E14">
            <v>0.39</v>
          </cell>
          <cell r="F14">
            <v>0.39</v>
          </cell>
          <cell r="G14">
            <v>0.39</v>
          </cell>
        </row>
        <row r="15">
          <cell r="A15">
            <v>88827</v>
          </cell>
          <cell r="B15" t="str">
            <v>SINAPI</v>
          </cell>
          <cell r="C15" t="str">
            <v>BETONEIRA CAPACIDADE NOMINAL DE 400 L, CAPACIDADE DE MISTURA 280 L, MOTOR ELÉTRICO TRIFÁSICO POTÊNCIA DE 2 CV, SEM CARREGADOR - JUROS. AF_05/2023</v>
          </cell>
          <cell r="D15" t="str">
            <v>H</v>
          </cell>
          <cell r="E15">
            <v>0.09</v>
          </cell>
          <cell r="F15">
            <v>0.09</v>
          </cell>
          <cell r="G15">
            <v>0.09</v>
          </cell>
        </row>
        <row r="16">
          <cell r="A16">
            <v>88828</v>
          </cell>
          <cell r="B16" t="str">
            <v>SINAPI</v>
          </cell>
          <cell r="C16" t="str">
            <v>BETONEIRA CAPACIDADE NOMINAL DE 400 L, CAPACIDADE DE MISTURA 280 L, MOTOR ELÉTRICO TRIFÁSICO POTÊNCIA DE 2 CV, SEM CARREGADOR - MANUTENÇÃO. AF_05/2023</v>
          </cell>
          <cell r="D16" t="str">
            <v>H</v>
          </cell>
          <cell r="E16">
            <v>0.46</v>
          </cell>
          <cell r="F16">
            <v>0.46</v>
          </cell>
          <cell r="G16">
            <v>0.46</v>
          </cell>
        </row>
        <row r="17">
          <cell r="A17">
            <v>88829</v>
          </cell>
          <cell r="B17" t="str">
            <v>SINAPI</v>
          </cell>
          <cell r="C17" t="str">
            <v>BETONEIRA CAPACIDADE NOMINAL DE 400 L, CAPACIDADE DE MISTURA 280 L, MOTOR ELÉTRICO TRIFÁSICO POTÊNCIA DE 2 CV, SEM CARREGADOR - MATERIAIS NA OPERAÇÃO. AF_05/2023</v>
          </cell>
          <cell r="D17" t="str">
            <v>H</v>
          </cell>
          <cell r="E17">
            <v>1.31</v>
          </cell>
          <cell r="F17">
            <v>1.31</v>
          </cell>
          <cell r="G17">
            <v>1.31</v>
          </cell>
        </row>
        <row r="18">
          <cell r="A18">
            <v>88260</v>
          </cell>
          <cell r="B18" t="str">
            <v>SINAPI</v>
          </cell>
          <cell r="C18" t="str">
            <v>CALCETEIRO COM ENCARGOS COMPLEMENTARES</v>
          </cell>
          <cell r="D18" t="str">
            <v>H</v>
          </cell>
          <cell r="E18">
            <v>23.07</v>
          </cell>
          <cell r="F18">
            <v>23.07</v>
          </cell>
          <cell r="G18">
            <v>25.78</v>
          </cell>
        </row>
        <row r="19">
          <cell r="A19">
            <v>88262</v>
          </cell>
          <cell r="B19" t="str">
            <v>SINAPI</v>
          </cell>
          <cell r="C19" t="str">
            <v>CARPINTEIRO DE FORMAS COM ENCARGOS COMPLEMENTARES</v>
          </cell>
          <cell r="D19" t="str">
            <v>H</v>
          </cell>
          <cell r="E19">
            <v>22.93</v>
          </cell>
          <cell r="F19">
            <v>22.93</v>
          </cell>
          <cell r="G19">
            <v>25.64</v>
          </cell>
        </row>
        <row r="20">
          <cell r="A20">
            <v>94962</v>
          </cell>
          <cell r="B20" t="str">
            <v>SINAPI</v>
          </cell>
          <cell r="C20" t="str">
            <v>CONCRETO MAGRO PARA LASTRO, TRAÇO 1:4,5:4,5 (EM MASSA SECA DE CIMENTO/ AREIA MÉDIA/ BRITA 1) - PREPARO MECÂNICO COM BETONEIRA 400 L. AF_05/2021</v>
          </cell>
          <cell r="D20" t="str">
            <v>M3</v>
          </cell>
          <cell r="E20">
            <v>504.73</v>
          </cell>
          <cell r="F20">
            <v>504.73</v>
          </cell>
          <cell r="G20">
            <v>513.52</v>
          </cell>
        </row>
        <row r="21">
          <cell r="A21">
            <v>95392</v>
          </cell>
          <cell r="B21" t="str">
            <v>SINAPI</v>
          </cell>
          <cell r="C21" t="str">
            <v>CURSO DE CAPACITAÇÃO PARA ALMOXARIFE (ENCARGOS COMPLEMENTARES) - HORISTA</v>
          </cell>
          <cell r="D21" t="str">
            <v>H</v>
          </cell>
          <cell r="E21">
            <v>0.09</v>
          </cell>
          <cell r="F21">
            <v>0.09</v>
          </cell>
          <cell r="G21">
            <v>0.11</v>
          </cell>
        </row>
        <row r="22">
          <cell r="A22">
            <v>95328</v>
          </cell>
          <cell r="B22" t="str">
            <v>SINAPI</v>
          </cell>
          <cell r="C22" t="str">
            <v>CURSO DE CAPACITAÇÃO PARA CALCETEIRO (ENCARGOS COMPLEMENTARES) - HORISTA</v>
          </cell>
          <cell r="D22" t="str">
            <v>H</v>
          </cell>
          <cell r="E22">
            <v>0.21</v>
          </cell>
          <cell r="F22">
            <v>0.21</v>
          </cell>
          <cell r="G22">
            <v>0.25</v>
          </cell>
        </row>
        <row r="23">
          <cell r="A23">
            <v>95330</v>
          </cell>
          <cell r="B23" t="str">
            <v>SINAPI</v>
          </cell>
          <cell r="C23" t="str">
            <v>CURSO DE CAPACITAÇÃO PARA CARPINTEIRO DE FÔRMAS (ENCARGOS COMPLEMENTARES) - HORISTA</v>
          </cell>
          <cell r="D23" t="str">
            <v>H</v>
          </cell>
          <cell r="E23">
            <v>0.21</v>
          </cell>
          <cell r="F23">
            <v>0.21</v>
          </cell>
          <cell r="G23">
            <v>0.25</v>
          </cell>
        </row>
        <row r="24">
          <cell r="A24">
            <v>95401</v>
          </cell>
          <cell r="B24" t="str">
            <v>SINAPI</v>
          </cell>
          <cell r="C24" t="str">
            <v>CURSO DE CAPACITAÇÃO PARA ENCARREGADO GERAL (ENCARGOS COMPLEMENTARES) - HORISTA</v>
          </cell>
          <cell r="D24" t="str">
            <v>H</v>
          </cell>
          <cell r="E24">
            <v>0.62</v>
          </cell>
          <cell r="F24">
            <v>0.62</v>
          </cell>
          <cell r="G24">
            <v>0.73</v>
          </cell>
        </row>
        <row r="25">
          <cell r="A25">
            <v>95402</v>
          </cell>
          <cell r="B25" t="str">
            <v>SINAPI</v>
          </cell>
          <cell r="C25" t="str">
            <v>CURSO DE CAPACITAÇÃO PARA ENGENHEIRO CIVIL DE OBRA JÚNIOR (ENCARGOS COMPLEMENTARES) - HORISTA</v>
          </cell>
          <cell r="D25" t="str">
            <v>H</v>
          </cell>
          <cell r="E25">
            <v>1.71</v>
          </cell>
          <cell r="F25">
            <v>1.71</v>
          </cell>
          <cell r="G25">
            <v>1.98</v>
          </cell>
        </row>
        <row r="26">
          <cell r="A26">
            <v>95389</v>
          </cell>
          <cell r="B26" t="str">
            <v>SINAPI</v>
          </cell>
          <cell r="C26" t="str">
            <v>CURSO DE CAPACITAÇÃO PARA OPERADOR DE BETONEIRA ESTACIONÁRIA/MISTURADOR (ENCARGOS COMPLEMENTARES) - HORISTA</v>
          </cell>
          <cell r="D26" t="str">
            <v>H</v>
          </cell>
          <cell r="E26">
            <v>0.16</v>
          </cell>
          <cell r="F26">
            <v>0.16</v>
          </cell>
          <cell r="G26">
            <v>0.18</v>
          </cell>
        </row>
        <row r="27">
          <cell r="A27">
            <v>95363</v>
          </cell>
          <cell r="B27" t="str">
            <v>SINAPI</v>
          </cell>
          <cell r="C27" t="str">
            <v>CURSO DE CAPACITAÇÃO PARA OPERADOR DE MOTONIVELADORA (ENCARGOS COMPLEMENTARES) - HORISTA</v>
          </cell>
          <cell r="D27" t="str">
            <v>H</v>
          </cell>
          <cell r="E27">
            <v>0.3</v>
          </cell>
          <cell r="F27">
            <v>0.3</v>
          </cell>
          <cell r="G27">
            <v>0.35</v>
          </cell>
        </row>
        <row r="28">
          <cell r="A28">
            <v>95371</v>
          </cell>
          <cell r="B28" t="str">
            <v>SINAPI</v>
          </cell>
          <cell r="C28" t="str">
            <v>CURSO DE CAPACITAÇÃO PARA PEDREIRO (ENCARGOS COMPLEMENTARES) - HORISTA</v>
          </cell>
          <cell r="D28" t="str">
            <v>H</v>
          </cell>
          <cell r="E28">
            <v>0.4</v>
          </cell>
          <cell r="F28">
            <v>0.4</v>
          </cell>
          <cell r="G28">
            <v>0.46</v>
          </cell>
        </row>
        <row r="29">
          <cell r="A29">
            <v>95378</v>
          </cell>
          <cell r="B29" t="str">
            <v>SINAPI</v>
          </cell>
          <cell r="C29" t="str">
            <v>CURSO DE CAPACITAÇÃO PARA SERVENTE (ENCARGOS COMPLEMENTARES) - HORISTA</v>
          </cell>
          <cell r="D29" t="str">
            <v>H</v>
          </cell>
          <cell r="E29">
            <v>0.29</v>
          </cell>
          <cell r="F29">
            <v>0.29</v>
          </cell>
          <cell r="G29">
            <v>0.34</v>
          </cell>
        </row>
        <row r="30">
          <cell r="A30">
            <v>90776</v>
          </cell>
          <cell r="B30" t="str">
            <v>SINAPI</v>
          </cell>
          <cell r="C30" t="str">
            <v>ENCARREGADO GERAL COM ENCARGOS COMPLEMENTARES</v>
          </cell>
          <cell r="D30" t="str">
            <v>H</v>
          </cell>
          <cell r="E30">
            <v>29.1</v>
          </cell>
          <cell r="F30">
            <v>29.1</v>
          </cell>
          <cell r="G30">
            <v>33.38</v>
          </cell>
        </row>
        <row r="31">
          <cell r="A31">
            <v>90777</v>
          </cell>
          <cell r="B31" t="str">
            <v>SINAPI</v>
          </cell>
          <cell r="C31" t="str">
            <v>ENGENHEIRO CIVIL DE OBRA JUNIOR COM ENCARGOS COMPLEMENTARES</v>
          </cell>
          <cell r="D31" t="str">
            <v>H</v>
          </cell>
          <cell r="E31">
            <v>104.53</v>
          </cell>
          <cell r="F31">
            <v>104.53</v>
          </cell>
          <cell r="G31">
            <v>121.14</v>
          </cell>
        </row>
        <row r="32">
          <cell r="A32" t="str">
            <v>COMPSADA03</v>
          </cell>
          <cell r="B32" t="str">
            <v>PRÓPRIA</v>
          </cell>
          <cell r="C32" t="str">
            <v>EXECUÇÃO DE PAVIMENTO EM PARALELEPÍPEDOS, REJUNTAMENTO COM ARGAMASSA TRAÇO 1:3 (CIMENTO E AREIA). AF_05/2020</v>
          </cell>
          <cell r="D32" t="str">
            <v>M²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5934</v>
          </cell>
          <cell r="B33" t="str">
            <v>SINAPI</v>
          </cell>
          <cell r="C33" t="str">
            <v>MOTONIVELADORA POTÊNCIA BÁSICA LÍQUIDA (PRIMEIRA MARCHA) 125 HP, PESO BRUTO 13032 KG, LARGURA DA LÂMINA DE 3,7 M - CHI DIURNO. AF_06/2014</v>
          </cell>
          <cell r="D33" t="str">
            <v>CHI</v>
          </cell>
          <cell r="E33">
            <v>97.31</v>
          </cell>
          <cell r="F33">
            <v>97.31</v>
          </cell>
          <cell r="G33">
            <v>102.5</v>
          </cell>
        </row>
        <row r="34">
          <cell r="A34">
            <v>5932</v>
          </cell>
          <cell r="B34" t="str">
            <v>SINAPI</v>
          </cell>
          <cell r="C34" t="str">
            <v>MOTONIVELADORA POTÊNCIA BÁSICA LÍQUIDA (PRIMEIRA MARCHA) 125 HP, PESO BRUTO 13032 KG, LARGURA DA LÂMINA DE 3,7 M - CHP DIURNO. AF_06/2014</v>
          </cell>
          <cell r="D34" t="str">
            <v>CHP</v>
          </cell>
          <cell r="E34">
            <v>250.52</v>
          </cell>
          <cell r="F34">
            <v>250.52</v>
          </cell>
          <cell r="G34">
            <v>255.71</v>
          </cell>
        </row>
        <row r="35">
          <cell r="A35">
            <v>89228</v>
          </cell>
          <cell r="B35" t="str">
            <v>SINAPI</v>
          </cell>
          <cell r="C35" t="str">
            <v>MOTONIVELADORA POTÊNCIA BÁSICA LÍQUIDA (PRIMEIRA MARCHA) 125 HP, PESO BRUTO 13032 KG, LARGURA DA LÂMINA DE 3,7 M - DEPRECIAÇÃO. AF_06/2014</v>
          </cell>
          <cell r="D35" t="str">
            <v>H</v>
          </cell>
          <cell r="E35">
            <v>44.4</v>
          </cell>
          <cell r="F35">
            <v>44.4</v>
          </cell>
          <cell r="G35">
            <v>44.4</v>
          </cell>
        </row>
        <row r="36">
          <cell r="A36">
            <v>89229</v>
          </cell>
          <cell r="B36" t="str">
            <v>SINAPI</v>
          </cell>
          <cell r="C36" t="str">
            <v>MOTONIVELADORA POTÊNCIA BÁSICA LÍQUIDA (PRIMEIRA MARCHA) 125 HP, PESO BRUTO 13032 KG, LARGURA DA LÂMINA DE 3,7 M - JUROS. AF_06/2014</v>
          </cell>
          <cell r="D36" t="str">
            <v>H</v>
          </cell>
          <cell r="E36">
            <v>15.65</v>
          </cell>
          <cell r="F36">
            <v>15.65</v>
          </cell>
          <cell r="G36">
            <v>15.65</v>
          </cell>
        </row>
        <row r="37">
          <cell r="A37">
            <v>5779</v>
          </cell>
          <cell r="B37" t="str">
            <v>SINAPI</v>
          </cell>
          <cell r="C37" t="str">
            <v>MOTONIVELADORA POTÊNCIA BÁSICA LÍQUIDA (PRIMEIRA MARCHA) 125 HP, PESO BRUTO 13032 KG, LARGURA DA LÂMINA DE 3,7 M - MANUTENÇÃO. AF_06/2014</v>
          </cell>
          <cell r="D37" t="str">
            <v>H</v>
          </cell>
          <cell r="E37">
            <v>71.37</v>
          </cell>
          <cell r="F37">
            <v>71.37</v>
          </cell>
          <cell r="G37">
            <v>71.37</v>
          </cell>
        </row>
        <row r="38">
          <cell r="A38">
            <v>53849</v>
          </cell>
          <cell r="B38" t="str">
            <v>SINAPI</v>
          </cell>
          <cell r="C38" t="str">
            <v>MOTONIVELADORA POTÊNCIA BÁSICA LÍQUIDA (PRIMEIRA MARCHA) 125 HP, PESO BRUTO 13032 KG, LARGURA DA LÂMINA DE 3,7 M - MATERIAIS NA OPERAÇÃO. AF_06/2014</v>
          </cell>
          <cell r="D38" t="str">
            <v>H</v>
          </cell>
          <cell r="E38">
            <v>81.84</v>
          </cell>
          <cell r="F38">
            <v>81.84</v>
          </cell>
          <cell r="G38">
            <v>81.84</v>
          </cell>
        </row>
        <row r="39">
          <cell r="A39">
            <v>88377</v>
          </cell>
          <cell r="B39" t="str">
            <v>SINAPI</v>
          </cell>
          <cell r="C39" t="str">
            <v>OPERADOR DE BETONEIRA ESTACIONÁRIA/MISTURADOR COM ENCARGOS COMPLEMENTARES</v>
          </cell>
          <cell r="D39" t="str">
            <v>H</v>
          </cell>
          <cell r="E39">
            <v>22.29</v>
          </cell>
          <cell r="F39">
            <v>22.29</v>
          </cell>
          <cell r="G39">
            <v>25.06</v>
          </cell>
        </row>
        <row r="40">
          <cell r="A40">
            <v>88300</v>
          </cell>
          <cell r="B40" t="str">
            <v>SINAPI</v>
          </cell>
          <cell r="C40" t="str">
            <v>OPERADOR DE MOTONIVELADORA COM ENCARGOS COMPLEMENTARES</v>
          </cell>
          <cell r="D40" t="str">
            <v>H</v>
          </cell>
          <cell r="E40">
            <v>37.26</v>
          </cell>
          <cell r="F40">
            <v>37.26</v>
          </cell>
          <cell r="G40">
            <v>42.45</v>
          </cell>
        </row>
        <row r="41">
          <cell r="A41">
            <v>88309</v>
          </cell>
          <cell r="B41" t="str">
            <v>SINAPI</v>
          </cell>
          <cell r="C41" t="str">
            <v>PEDREIRO COM ENCARGOS COMPLEMENTARES</v>
          </cell>
          <cell r="D41" t="str">
            <v>H</v>
          </cell>
          <cell r="E41">
            <v>23.26</v>
          </cell>
          <cell r="F41">
            <v>23.26</v>
          </cell>
          <cell r="G41">
            <v>25.99</v>
          </cell>
        </row>
        <row r="42">
          <cell r="A42" t="str">
            <v>COMPSADA01</v>
          </cell>
          <cell r="B42" t="str">
            <v>PRÓPRIA</v>
          </cell>
          <cell r="C42" t="str">
            <v>PLACA DE OBRA EM CHAPA DE AÇO GALVANIZADA</v>
          </cell>
          <cell r="D42" t="str">
            <v>M²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COMPSADA04</v>
          </cell>
          <cell r="B43" t="str">
            <v>PRÓPRIA</v>
          </cell>
          <cell r="C43" t="str">
            <v>REFERÊNCIA SINAPI (94287) - EXECUÇÃO DE SARJETA DE CONCRETO USINADO, MOLDADA IN LOCO EM TRECHO RETO, 30 CM BASE X 3 CM ALTURA. AF_06/2016</v>
          </cell>
          <cell r="D43" t="str">
            <v>M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100575</v>
          </cell>
          <cell r="B44" t="str">
            <v>SINAPI</v>
          </cell>
          <cell r="C44" t="str">
            <v>REGULARIZAÇÃO DE SUPERFÍCIES COM MOTONIVELADORA. AF_11/2019</v>
          </cell>
          <cell r="D44" t="str">
            <v>M2</v>
          </cell>
          <cell r="E44">
            <v>0.12</v>
          </cell>
          <cell r="F44">
            <v>0.12</v>
          </cell>
          <cell r="G44">
            <v>0.14</v>
          </cell>
        </row>
        <row r="45">
          <cell r="A45">
            <v>88316</v>
          </cell>
          <cell r="B45" t="str">
            <v>SINAPI</v>
          </cell>
          <cell r="C45" t="str">
            <v>SERVENTE COM ENCARGOS COMPLEMENTARES</v>
          </cell>
          <cell r="D45" t="str">
            <v>H</v>
          </cell>
          <cell r="E45">
            <v>18.64</v>
          </cell>
          <cell r="F45">
            <v>18.64</v>
          </cell>
          <cell r="G45">
            <v>20.64</v>
          </cell>
        </row>
      </sheetData>
      <sheetData sheetId="17">
        <row r="1">
          <cell r="A1" t="str">
            <v>MUNICÍPIO DE CURRALINHOS - PI</v>
          </cell>
        </row>
        <row r="2">
          <cell r="A2" t="str">
            <v>EXECUÇÃO DE PAVIMENTAÇÃO EM PARALELEPÍPEDO NO MUNICÍPIO DE CURRALINHOS - PI. COM ÁREA TOTAL DE 5.204,70 M²</v>
          </cell>
        </row>
        <row r="3">
          <cell r="A3" t="str">
            <v>LISTA DE INSUMOS</v>
          </cell>
        </row>
        <row r="5">
          <cell r="A5" t="str">
            <v>DATA BASE:</v>
          </cell>
          <cell r="B5" t="str">
            <v>SINAPI PI 03/2024, ORSE SE 03/2024, COM DESONERAÇÃO</v>
          </cell>
          <cell r="D5" t="str">
            <v>LEIS SOCIAIS (%):</v>
          </cell>
          <cell r="E5">
            <v>84.59</v>
          </cell>
        </row>
        <row r="6">
          <cell r="A6" t="str">
            <v>CÓDIGO</v>
          </cell>
          <cell r="B6" t="str">
            <v>FONTE</v>
          </cell>
          <cell r="C6" t="str">
            <v>DESCRIÇÃO</v>
          </cell>
          <cell r="D6" t="str">
            <v>UNID.</v>
          </cell>
          <cell r="E6" t="str">
            <v>PREÇO</v>
          </cell>
        </row>
        <row r="7">
          <cell r="A7">
            <v>37370</v>
          </cell>
          <cell r="B7" t="str">
            <v>SINAPI</v>
          </cell>
          <cell r="C7" t="str">
            <v>ALIMENTACAO - HORISTA (COLETADO CAIXA - ENCARGOS COMPLEMENTARES)</v>
          </cell>
          <cell r="D7" t="str">
            <v>H</v>
          </cell>
          <cell r="E7">
            <v>2.39</v>
          </cell>
        </row>
        <row r="8">
          <cell r="A8">
            <v>253</v>
          </cell>
          <cell r="B8" t="str">
            <v>SINAPI</v>
          </cell>
          <cell r="C8" t="str">
            <v>ALMOXARIFE (HORISTA)</v>
          </cell>
          <cell r="D8" t="str">
            <v>H</v>
          </cell>
          <cell r="E8">
            <v>16.42</v>
          </cell>
        </row>
        <row r="9">
          <cell r="A9">
            <v>367</v>
          </cell>
          <cell r="B9" t="str">
            <v>SINAPI</v>
          </cell>
          <cell r="C9" t="str">
            <v>AREIA GROSSA - POSTO JAZIDA/FORNECEDOR (RETIRADO NA JAZIDA, SEM TRANSPORTE)</v>
          </cell>
          <cell r="D9" t="str">
            <v>M3</v>
          </cell>
          <cell r="E9">
            <v>86.11</v>
          </cell>
        </row>
        <row r="10">
          <cell r="A10">
            <v>370</v>
          </cell>
          <cell r="B10" t="str">
            <v>SINAPI</v>
          </cell>
          <cell r="C10" t="str">
            <v>AREIA MEDIA - POSTO JAZIDA/FORNECEDOR (RETIRADO NA JAZIDA, SEM TRANSPORTE)</v>
          </cell>
          <cell r="D10" t="str">
            <v>M3</v>
          </cell>
          <cell r="E10">
            <v>85</v>
          </cell>
        </row>
        <row r="11">
          <cell r="A11">
            <v>10535</v>
          </cell>
          <cell r="B11" t="str">
            <v>SINAPI</v>
          </cell>
          <cell r="C11" t="str">
            <v>BETONEIRA CAPACIDADE NOMINAL 400 L, CAPACIDADE DE MISTURA 280 L, MOTOR ELETRICO TRIFASICO 220/380 V POTENCIA 2 CV, SEM CARREGADOR</v>
          </cell>
          <cell r="D11" t="str">
            <v>UN</v>
          </cell>
          <cell r="E11">
            <v>6645</v>
          </cell>
        </row>
        <row r="12">
          <cell r="A12">
            <v>4759</v>
          </cell>
          <cell r="B12" t="str">
            <v>SINAPI</v>
          </cell>
          <cell r="C12" t="str">
            <v>CALCETEIRO / RASTELEIRO (HORISTA)</v>
          </cell>
          <cell r="D12" t="str">
            <v>H</v>
          </cell>
          <cell r="E12">
            <v>16.42</v>
          </cell>
        </row>
        <row r="13">
          <cell r="A13">
            <v>1213</v>
          </cell>
          <cell r="B13" t="str">
            <v>SINAPI</v>
          </cell>
          <cell r="C13" t="str">
            <v>CARPINTEIRO DE FORMAS (HORISTA)</v>
          </cell>
          <cell r="D13" t="str">
            <v>H</v>
          </cell>
          <cell r="E13">
            <v>16.42</v>
          </cell>
        </row>
        <row r="14">
          <cell r="A14">
            <v>1379</v>
          </cell>
          <cell r="B14" t="str">
            <v>SINAPI</v>
          </cell>
          <cell r="C14" t="str">
            <v>CIMENTO PORTLAND COMPOSTO CP II-32</v>
          </cell>
          <cell r="D14" t="str">
            <v>KG</v>
          </cell>
          <cell r="E14">
            <v>1.02</v>
          </cell>
        </row>
        <row r="15">
          <cell r="A15">
            <v>34492</v>
          </cell>
          <cell r="B15" t="str">
            <v>SINAPI</v>
          </cell>
          <cell r="C15" t="str">
            <v>CONCRETO USINADO BOMBEAVEL, CLASSE DE RESISTENCIA C20, COM BRITA 0 E 1, SLUMP = 100 +/- 20 MM, EXCLUI SERVICO DE BOMBEAMENTO (NBR 8953)</v>
          </cell>
          <cell r="D15" t="str">
            <v>M3</v>
          </cell>
          <cell r="E15">
            <v>500</v>
          </cell>
        </row>
        <row r="16">
          <cell r="A16">
            <v>4083</v>
          </cell>
          <cell r="B16" t="str">
            <v>SINAPI</v>
          </cell>
          <cell r="C16" t="str">
            <v>ENCARREGADO GERAL DE OBRAS (HORISTA)</v>
          </cell>
          <cell r="D16" t="str">
            <v>H</v>
          </cell>
          <cell r="E16">
            <v>25.75</v>
          </cell>
        </row>
        <row r="17">
          <cell r="A17">
            <v>2705</v>
          </cell>
          <cell r="B17" t="str">
            <v>SINAPI</v>
          </cell>
          <cell r="C17" t="str">
            <v>ENERGIA ELETRICA ATE 2000 KWH INDUSTRIAL, SEM DEMANDA</v>
          </cell>
          <cell r="D17" t="str">
            <v>KWH</v>
          </cell>
          <cell r="E17">
            <v>1.05</v>
          </cell>
        </row>
        <row r="18">
          <cell r="A18">
            <v>2706</v>
          </cell>
          <cell r="B18" t="str">
            <v>SINAPI</v>
          </cell>
          <cell r="C18" t="str">
            <v>ENGENHEIRO CIVIL DE OBRA JUNIOR (HORISTA)</v>
          </cell>
          <cell r="D18" t="str">
            <v>H</v>
          </cell>
          <cell r="E18">
            <v>100.69</v>
          </cell>
        </row>
        <row r="19">
          <cell r="A19">
            <v>43482</v>
          </cell>
          <cell r="B19" t="str">
            <v>SINAPI</v>
          </cell>
          <cell r="C19" t="str">
            <v>EPI - FAMILIA ALMOXARIFE - HORISTA (ENCARGOS COMPLEMENTARES - COLETADO CAIXA)</v>
          </cell>
          <cell r="D19" t="str">
            <v>H</v>
          </cell>
          <cell r="E19">
            <v>0.79</v>
          </cell>
        </row>
        <row r="20">
          <cell r="A20">
            <v>43483</v>
          </cell>
          <cell r="B20" t="str">
            <v>SINAPI</v>
          </cell>
          <cell r="C20" t="str">
            <v>EPI - FAMILIA CARPINTEIRO DE FORMAS - HORISTA (ENCARGOS COMPLEMENTARES - COLETADO CAIXA)</v>
          </cell>
          <cell r="D20" t="str">
            <v>H</v>
          </cell>
          <cell r="E20">
            <v>1.43</v>
          </cell>
        </row>
        <row r="21">
          <cell r="A21">
            <v>43487</v>
          </cell>
          <cell r="B21" t="str">
            <v>SINAPI</v>
          </cell>
          <cell r="C21" t="str">
            <v>EPI - FAMILIA ENCARREGADO GERAL - HORISTA (ENCARGOS COMPLEMENTARES - COLETADO CAIXA)</v>
          </cell>
          <cell r="D21" t="str">
            <v>H</v>
          </cell>
          <cell r="E21">
            <v>1.25</v>
          </cell>
        </row>
        <row r="22">
          <cell r="A22">
            <v>43486</v>
          </cell>
          <cell r="B22" t="str">
            <v>SINAPI</v>
          </cell>
          <cell r="C22" t="str">
            <v>EPI - FAMILIA ENGENHEIRO CIVIL - HORISTA (ENCARGOS COMPLEMENTARES - COLETADO CAIXA)</v>
          </cell>
          <cell r="D22" t="str">
            <v>H</v>
          </cell>
          <cell r="E22">
            <v>0.74</v>
          </cell>
        </row>
        <row r="23">
          <cell r="A23">
            <v>43488</v>
          </cell>
          <cell r="B23" t="str">
            <v>SINAPI</v>
          </cell>
          <cell r="C23" t="str">
            <v>EPI - FAMILIA OPERADOR ESCAVADEIRA - HORISTA (ENCARGOS COMPLEMENTARES - COLETADO CAIXA)</v>
          </cell>
          <cell r="D23" t="str">
            <v>H</v>
          </cell>
          <cell r="E23">
            <v>0.86</v>
          </cell>
        </row>
        <row r="24">
          <cell r="A24">
            <v>43489</v>
          </cell>
          <cell r="B24" t="str">
            <v>SINAPI</v>
          </cell>
          <cell r="C24" t="str">
            <v>EPI - FAMILIA PEDREIRO - HORISTA (ENCARGOS COMPLEMENTARES - COLETADO CAIXA)</v>
          </cell>
          <cell r="D24" t="str">
            <v>H</v>
          </cell>
          <cell r="E24">
            <v>1.24</v>
          </cell>
        </row>
        <row r="25">
          <cell r="A25">
            <v>43491</v>
          </cell>
          <cell r="B25" t="str">
            <v>SINAPI</v>
          </cell>
          <cell r="C25" t="str">
            <v>EPI - FAMILIA SERVENTE - HORISTA (ENCARGOS COMPLEMENTARES - COLETADO CAIXA)</v>
          </cell>
          <cell r="D25" t="str">
            <v>H</v>
          </cell>
          <cell r="E25">
            <v>1.33</v>
          </cell>
        </row>
        <row r="26">
          <cell r="A26">
            <v>37372</v>
          </cell>
          <cell r="B26" t="str">
            <v>SINAPI</v>
          </cell>
          <cell r="C26" t="str">
            <v>EXAMES - HORISTA (COLETADO CAIXA - ENCARGOS COMPLEMENTARES)</v>
          </cell>
          <cell r="D26" t="str">
            <v>H</v>
          </cell>
          <cell r="E26">
            <v>1.34</v>
          </cell>
        </row>
        <row r="27">
          <cell r="A27">
            <v>43458</v>
          </cell>
          <cell r="B27" t="str">
            <v>SINAPI</v>
          </cell>
          <cell r="C27" t="str">
            <v>FERRAMENTAS - FAMILIA ALMOXARIFE - HORISTA (ENCARGOS COMPLEMENTARES - COLETADO CAIXA)</v>
          </cell>
          <cell r="D27" t="str">
            <v>H</v>
          </cell>
          <cell r="E27">
            <v>0.06</v>
          </cell>
        </row>
        <row r="28">
          <cell r="A28">
            <v>43459</v>
          </cell>
          <cell r="B28" t="str">
            <v>SINAPI</v>
          </cell>
          <cell r="C28" t="str">
            <v>FERRAMENTAS - FAMILIA CARPINTEIRO DE FORMAS - HORISTA (ENCARGOS COMPLEMENTARES - COLETADO CAIXA)</v>
          </cell>
          <cell r="D28" t="str">
            <v>H</v>
          </cell>
          <cell r="E28">
            <v>0.49</v>
          </cell>
        </row>
        <row r="29">
          <cell r="A29">
            <v>43463</v>
          </cell>
          <cell r="B29" t="str">
            <v>SINAPI</v>
          </cell>
          <cell r="C29" t="str">
            <v>FERRAMENTAS - FAMILIA ENCARREGADO GERAL - HORISTA (ENCARGOS COMPLEMENTARES - COLETADO CAIXA)</v>
          </cell>
          <cell r="D29" t="str">
            <v>H</v>
          </cell>
          <cell r="E29">
            <v>0.1</v>
          </cell>
        </row>
        <row r="30">
          <cell r="A30">
            <v>43462</v>
          </cell>
          <cell r="B30" t="str">
            <v>SINAPI</v>
          </cell>
          <cell r="C30" t="str">
            <v>FERRAMENTAS - FAMILIA ENGENHEIRO CIVIL - HORISTA (ENCARGOS COMPLEMENTARES - COLETADO CAIXA)</v>
          </cell>
          <cell r="D30" t="str">
            <v>H</v>
          </cell>
          <cell r="E30">
            <v>0.01</v>
          </cell>
        </row>
        <row r="31">
          <cell r="A31">
            <v>43464</v>
          </cell>
          <cell r="B31" t="str">
            <v>SINAPI</v>
          </cell>
          <cell r="C31" t="str">
            <v>FERRAMENTAS - FAMILIA OPERADOR ESCAVADEIRA - HORISTA (ENCARGOS COMPLEMENTARES - COLETADO CAIXA)</v>
          </cell>
          <cell r="D31" t="str">
            <v>H</v>
          </cell>
          <cell r="E31">
            <v>0.01</v>
          </cell>
        </row>
        <row r="32">
          <cell r="A32">
            <v>43465</v>
          </cell>
          <cell r="B32" t="str">
            <v>SINAPI</v>
          </cell>
          <cell r="C32" t="str">
            <v>FERRAMENTAS - FAMILIA PEDREIRO - HORISTA (ENCARGOS COMPLEMENTARES - COLETADO CAIXA)</v>
          </cell>
          <cell r="D32" t="str">
            <v>H</v>
          </cell>
          <cell r="E32">
            <v>0.82</v>
          </cell>
        </row>
        <row r="33">
          <cell r="A33">
            <v>43467</v>
          </cell>
          <cell r="B33" t="str">
            <v>SINAPI</v>
          </cell>
          <cell r="C33" t="str">
            <v>FERRAMENTAS - FAMILIA SERVENTE - HORISTA (ENCARGOS COMPLEMENTARES - COLETADO CAIXA)</v>
          </cell>
          <cell r="D33" t="str">
            <v>H</v>
          </cell>
          <cell r="E33">
            <v>0.61</v>
          </cell>
        </row>
        <row r="34">
          <cell r="A34">
            <v>4059</v>
          </cell>
          <cell r="B34" t="str">
            <v>SINAPI</v>
          </cell>
          <cell r="C34" t="str">
            <v>MEIO-FIO OU GUIA DE CONCRETO, PRE-MOLDADO, COMP 1 M, *30 X 12/15* CM (H X L1/L2)</v>
          </cell>
          <cell r="D34" t="str">
            <v>M</v>
          </cell>
          <cell r="E34">
            <v>25.54</v>
          </cell>
        </row>
        <row r="35">
          <cell r="A35">
            <v>4090</v>
          </cell>
          <cell r="B35" t="str">
            <v>SINAPI</v>
          </cell>
          <cell r="C35" t="str">
            <v>MOTONIVELADORA POTENCIA BASICA LIQUIDA (PRIMEIRA MARCHA) 125 HP , PESO BRUTO 13843 KG, LARGURA DA LAMINA DE 3,7 M</v>
          </cell>
          <cell r="D35" t="str">
            <v>UN</v>
          </cell>
          <cell r="E35">
            <v>1110000</v>
          </cell>
        </row>
        <row r="36">
          <cell r="A36">
            <v>4221</v>
          </cell>
          <cell r="B36" t="str">
            <v>SINAPI</v>
          </cell>
          <cell r="C36" t="str">
            <v>OLEO DIESEL COMBUSTIVEL COMUM METROPOLITANO S-10 OU S-500</v>
          </cell>
          <cell r="D36" t="str">
            <v>L</v>
          </cell>
          <cell r="E36">
            <v>5.85</v>
          </cell>
        </row>
        <row r="37">
          <cell r="A37">
            <v>37666</v>
          </cell>
          <cell r="B37" t="str">
            <v>SINAPI</v>
          </cell>
          <cell r="C37" t="str">
            <v>OPERADOR DE BETONEIRA ESTACIONARIA / MISTURADOR (HORISTA)</v>
          </cell>
          <cell r="D37" t="str">
            <v>H</v>
          </cell>
          <cell r="E37">
            <v>16.88</v>
          </cell>
        </row>
        <row r="38">
          <cell r="A38">
            <v>4239</v>
          </cell>
          <cell r="B38" t="str">
            <v>SINAPI</v>
          </cell>
          <cell r="C38" t="str">
            <v>OPERADOR DE MOTONIVELADORA (HORISTA)</v>
          </cell>
          <cell r="D38" t="str">
            <v>H</v>
          </cell>
          <cell r="E38">
            <v>31.71</v>
          </cell>
        </row>
        <row r="39">
          <cell r="A39" t="str">
            <v>11394/ORSE</v>
          </cell>
          <cell r="B39" t="str">
            <v>ORSE</v>
          </cell>
          <cell r="C39" t="str">
            <v>PARALELEPÍPEDO GRANITICO (COM FRETE)</v>
          </cell>
          <cell r="D39" t="str">
            <v>MIL</v>
          </cell>
          <cell r="E39">
            <v>1723.39</v>
          </cell>
        </row>
        <row r="40">
          <cell r="A40">
            <v>4721</v>
          </cell>
          <cell r="B40" t="str">
            <v>SINAPI</v>
          </cell>
          <cell r="C40" t="str">
            <v>PEDRA BRITADA N. 1 (9,5 a 19 MM) POSTO PEDREIRA/FORNECEDOR, SEM FRETE</v>
          </cell>
          <cell r="D40" t="str">
            <v>M3</v>
          </cell>
          <cell r="E40">
            <v>241.23</v>
          </cell>
        </row>
        <row r="41">
          <cell r="A41">
            <v>4750</v>
          </cell>
          <cell r="B41" t="str">
            <v>SINAPI</v>
          </cell>
          <cell r="C41" t="str">
            <v>PEDREIRO (HORISTA)</v>
          </cell>
          <cell r="D41" t="str">
            <v>H</v>
          </cell>
          <cell r="E41">
            <v>16.42</v>
          </cell>
        </row>
        <row r="42">
          <cell r="A42">
            <v>4813</v>
          </cell>
          <cell r="B42" t="str">
            <v>SINAPI</v>
          </cell>
          <cell r="C42" t="str">
            <v>PLACA DE OBRA (PARA CONSTRUCAO CIVIL) EM CHAPA GALVANIZADA *N. 22*, ADESIVADA, DE *2,4 X 1,2* M (SEM POSTES PARA FIXACAO)</v>
          </cell>
          <cell r="D42" t="str">
            <v>M2</v>
          </cell>
          <cell r="E42">
            <v>250</v>
          </cell>
        </row>
        <row r="43">
          <cell r="A43">
            <v>4491</v>
          </cell>
          <cell r="B43" t="str">
            <v>SINAPI</v>
          </cell>
          <cell r="C43" t="str">
            <v>PONTALETE *7,5 X 7,5* CM EM PINUS, MISTA OU EQUIVALENTE DA REGIAO - BRUTA</v>
          </cell>
          <cell r="D43" t="str">
            <v>M</v>
          </cell>
          <cell r="E43">
            <v>9.59</v>
          </cell>
        </row>
        <row r="44">
          <cell r="A44">
            <v>5075</v>
          </cell>
          <cell r="B44" t="str">
            <v>SINAPI</v>
          </cell>
          <cell r="C44" t="str">
            <v>PREGO DE ACO POLIDO COM CABECA 18 X 30 (2 3/4 X 10)</v>
          </cell>
          <cell r="D44" t="str">
            <v>KG</v>
          </cell>
          <cell r="E44">
            <v>21.14</v>
          </cell>
        </row>
        <row r="45">
          <cell r="A45">
            <v>4517</v>
          </cell>
          <cell r="B45" t="str">
            <v>SINAPI</v>
          </cell>
          <cell r="C45" t="str">
            <v>SARRAFO *2,5 X 7,5* CM EM PINUS, MISTA OU EQUIVALENTE DA REGIAO - BRUTA</v>
          </cell>
          <cell r="D45" t="str">
            <v>M</v>
          </cell>
          <cell r="E45">
            <v>3.35</v>
          </cell>
        </row>
        <row r="46">
          <cell r="A46">
            <v>4417</v>
          </cell>
          <cell r="B46" t="str">
            <v>SINAPI</v>
          </cell>
          <cell r="C46" t="str">
            <v>SARRAFO NAO APARELHADO *2,5 X 7* CM, EM MACARANDUBA/MASSARANDUBA, ANGELIM, PEROBA-ROSA OU EQUIVALENTE DA REGIAO - BRUTA</v>
          </cell>
          <cell r="D46" t="str">
            <v>M</v>
          </cell>
          <cell r="E46">
            <v>4.35</v>
          </cell>
        </row>
        <row r="47">
          <cell r="A47">
            <v>37373</v>
          </cell>
          <cell r="B47" t="str">
            <v>SINAPI</v>
          </cell>
          <cell r="C47" t="str">
            <v>SEGURO - HORISTA (COLETADO CAIXA - ENCARGOS COMPLEMENTARES)</v>
          </cell>
          <cell r="D47" t="str">
            <v>H</v>
          </cell>
          <cell r="E47">
            <v>0.04</v>
          </cell>
        </row>
        <row r="48">
          <cell r="A48">
            <v>6111</v>
          </cell>
          <cell r="B48" t="str">
            <v>SINAPI</v>
          </cell>
          <cell r="C48" t="str">
            <v>SERVENTE DE OBRAS (HORISTA)</v>
          </cell>
          <cell r="D48" t="str">
            <v>H</v>
          </cell>
          <cell r="E48">
            <v>12.03</v>
          </cell>
        </row>
        <row r="49">
          <cell r="A49">
            <v>6189</v>
          </cell>
          <cell r="B49" t="str">
            <v>SINAPI</v>
          </cell>
          <cell r="C49" t="str">
            <v>TABUA NAO APARELHADA *2,5 X 30* CM, EM MACARANDUBA/MASSARANDUBA, ANGELIM OU EQUIVALENTE DA REGIAO - BRUTA</v>
          </cell>
          <cell r="D49" t="str">
            <v>M</v>
          </cell>
          <cell r="E49">
            <v>16.5</v>
          </cell>
        </row>
        <row r="50">
          <cell r="A50">
            <v>37371</v>
          </cell>
          <cell r="B50" t="str">
            <v>SINAPI</v>
          </cell>
          <cell r="C50" t="str">
            <v>TRANSPORTE - HORISTA (COLETADO CAIXA - ENCARGOS COMPLEMENTARES)</v>
          </cell>
          <cell r="D50" t="str">
            <v>H</v>
          </cell>
          <cell r="E50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zoomScaleSheetLayoutView="100" workbookViewId="0" topLeftCell="A1">
      <selection activeCell="J16" sqref="J16"/>
    </sheetView>
  </sheetViews>
  <sheetFormatPr defaultColWidth="9.140625" defaultRowHeight="12.75"/>
  <cols>
    <col min="1" max="1" width="9.28125" style="0" customWidth="1"/>
    <col min="2" max="2" width="12.8515625" style="0" hidden="1" customWidth="1"/>
    <col min="3" max="3" width="14.57421875" style="0" hidden="1" customWidth="1"/>
    <col min="4" max="4" width="29.421875" style="0" customWidth="1"/>
    <col min="5" max="5" width="22.57421875" style="0" customWidth="1"/>
    <col min="8" max="8" width="14.7109375" style="0" customWidth="1"/>
    <col min="9" max="9" width="8.28125" style="0" customWidth="1"/>
    <col min="10" max="10" width="17.421875" style="0" bestFit="1" customWidth="1"/>
    <col min="11" max="11" width="10.7109375" style="0" customWidth="1"/>
    <col min="13" max="13" width="12.140625" style="0" bestFit="1" customWidth="1"/>
  </cols>
  <sheetData>
    <row r="3" spans="1:11" ht="12.75">
      <c r="A3" s="283" t="s">
        <v>313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34.5" customHeight="1">
      <c r="A4" s="284" t="s">
        <v>311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 ht="20.25" customHeight="1">
      <c r="A5" s="285" t="s">
        <v>360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</row>
    <row r="6" spans="1:11" ht="20.25" customHeight="1">
      <c r="A6" s="286" t="s">
        <v>333</v>
      </c>
      <c r="B6" s="287"/>
      <c r="C6" s="287"/>
      <c r="D6" s="287"/>
      <c r="E6" s="287"/>
      <c r="F6" s="287"/>
      <c r="G6" s="287"/>
      <c r="H6" s="287"/>
      <c r="I6" s="287"/>
      <c r="J6" s="287"/>
      <c r="K6" s="288"/>
    </row>
    <row r="7" spans="1:11" s="216" customFormat="1" ht="23.25" customHeight="1">
      <c r="A7" s="289" t="s">
        <v>67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</row>
    <row r="8" spans="1:11" s="216" customFormat="1" ht="23.25" customHeight="1">
      <c r="A8" s="290" t="s">
        <v>68</v>
      </c>
      <c r="B8" s="290"/>
      <c r="C8" s="290"/>
      <c r="D8" s="290" t="s">
        <v>69</v>
      </c>
      <c r="E8" s="290"/>
      <c r="F8" s="290"/>
      <c r="G8" s="290"/>
      <c r="H8" s="290"/>
      <c r="I8" s="290"/>
      <c r="J8" s="213" t="s">
        <v>65</v>
      </c>
      <c r="K8" s="213" t="s">
        <v>70</v>
      </c>
    </row>
    <row r="9" spans="1:11" ht="12.75">
      <c r="A9" s="281">
        <v>1</v>
      </c>
      <c r="B9" s="282"/>
      <c r="C9" s="282"/>
      <c r="D9" s="282" t="s">
        <v>213</v>
      </c>
      <c r="E9" s="282"/>
      <c r="F9" s="282"/>
      <c r="G9" s="282"/>
      <c r="H9" s="282"/>
      <c r="I9" s="282"/>
      <c r="J9" s="171">
        <f>'PLANILHA ORÇAMENTÁRIA'!I9</f>
        <v>2995.77</v>
      </c>
      <c r="K9" s="169">
        <v>0.002978878268348144</v>
      </c>
    </row>
    <row r="10" spans="1:11" ht="12.75">
      <c r="A10" s="281">
        <v>2</v>
      </c>
      <c r="B10" s="282"/>
      <c r="C10" s="282"/>
      <c r="D10" s="282" t="s">
        <v>119</v>
      </c>
      <c r="E10" s="282"/>
      <c r="F10" s="282"/>
      <c r="G10" s="282"/>
      <c r="H10" s="282"/>
      <c r="I10" s="282"/>
      <c r="J10" s="171">
        <f>'PLANILHA ORÇAMENTÁRIA'!I11</f>
        <v>23121.84</v>
      </c>
      <c r="K10" s="169">
        <v>0.014952634962569043</v>
      </c>
    </row>
    <row r="11" spans="1:11" ht="12.75">
      <c r="A11" s="281">
        <v>3</v>
      </c>
      <c r="B11" s="282"/>
      <c r="C11" s="282"/>
      <c r="D11" s="282" t="str">
        <f>VLOOKUP(A11,'PLANILHA ORÇAMENTÁRIA'!$A:$XFD,4,)</f>
        <v>RUA 01 - ASSENTAMENTO IRAJÁ</v>
      </c>
      <c r="E11" s="282"/>
      <c r="F11" s="282"/>
      <c r="G11" s="282"/>
      <c r="H11" s="282"/>
      <c r="I11" s="282"/>
      <c r="J11" s="171">
        <f>VLOOKUP(A11,'PLANILHA ORÇAMENTÁRIA'!$A:$XFD,9,)</f>
        <v>371068.57999999996</v>
      </c>
      <c r="K11" s="169">
        <v>0.09045977311855392</v>
      </c>
    </row>
    <row r="12" spans="1:11" s="175" customFormat="1" ht="13.5">
      <c r="A12" s="280" t="s">
        <v>286</v>
      </c>
      <c r="B12" s="280"/>
      <c r="C12" s="280"/>
      <c r="D12" s="280" t="s">
        <v>242</v>
      </c>
      <c r="E12" s="280"/>
      <c r="F12" s="280"/>
      <c r="G12" s="280"/>
      <c r="H12" s="280"/>
      <c r="I12" s="280"/>
      <c r="J12" s="172">
        <f>VLOOKUP(A12,'PLANILHA ORÇAMENTÁRIA'!$A:$XFD,9,)</f>
        <v>403.43</v>
      </c>
      <c r="K12" s="170">
        <v>9.488741544898701E-05</v>
      </c>
    </row>
    <row r="13" spans="1:11" s="175" customFormat="1" ht="13.5">
      <c r="A13" s="280" t="s">
        <v>282</v>
      </c>
      <c r="B13" s="280"/>
      <c r="C13" s="280"/>
      <c r="D13" s="280" t="s">
        <v>224</v>
      </c>
      <c r="E13" s="280"/>
      <c r="F13" s="280"/>
      <c r="G13" s="280"/>
      <c r="H13" s="280"/>
      <c r="I13" s="280"/>
      <c r="J13" s="172">
        <f>VLOOKUP(A13,'PLANILHA ORÇAMENTÁRIA'!$A:$XFD,9,)</f>
        <v>308321.29</v>
      </c>
      <c r="K13" s="170">
        <v>0.07195916542504087</v>
      </c>
    </row>
    <row r="14" spans="1:11" s="175" customFormat="1" ht="13.5">
      <c r="A14" s="280" t="s">
        <v>283</v>
      </c>
      <c r="B14" s="280"/>
      <c r="C14" s="280"/>
      <c r="D14" s="280" t="s">
        <v>244</v>
      </c>
      <c r="E14" s="280"/>
      <c r="F14" s="280"/>
      <c r="G14" s="280"/>
      <c r="H14" s="280"/>
      <c r="I14" s="280"/>
      <c r="J14" s="172">
        <f>VLOOKUP(A14,'PLANILHA ORÇAMENTÁRIA'!$A:$XFD,9,)</f>
        <v>62343.86</v>
      </c>
      <c r="K14" s="170">
        <v>0.018405720278064062</v>
      </c>
    </row>
    <row r="15" spans="1:11" ht="12.75">
      <c r="A15" s="281">
        <v>4</v>
      </c>
      <c r="B15" s="282"/>
      <c r="C15" s="282"/>
      <c r="D15" s="282" t="str">
        <f>VLOOKUP(A15,'PLANILHA ORÇAMENTÁRIA'!$A:$XFD,4,)</f>
        <v>RUA 01 - ASSENTAMENTO IRMÃ DOROTH</v>
      </c>
      <c r="E15" s="282"/>
      <c r="F15" s="282"/>
      <c r="G15" s="282"/>
      <c r="H15" s="282"/>
      <c r="I15" s="282"/>
      <c r="J15" s="171">
        <f>VLOOKUP(A15,'PLANILHA ORÇAMENTÁRIA'!$A:$XFD,9,)</f>
        <v>55879.53</v>
      </c>
      <c r="K15" s="169">
        <v>0.12278187727194977</v>
      </c>
    </row>
    <row r="16" spans="1:11" s="175" customFormat="1" ht="13.5">
      <c r="A16" s="280" t="s">
        <v>284</v>
      </c>
      <c r="B16" s="280"/>
      <c r="C16" s="280"/>
      <c r="D16" s="280" t="s">
        <v>242</v>
      </c>
      <c r="E16" s="280"/>
      <c r="F16" s="280"/>
      <c r="G16" s="280"/>
      <c r="H16" s="280"/>
      <c r="I16" s="280"/>
      <c r="J16" s="172">
        <f>VLOOKUP(A16,'PLANILHA ORÇAMENTÁRIA'!$A:$XFD,9,)</f>
        <v>61.38</v>
      </c>
      <c r="K16" s="170">
        <v>0.00012904688501062233</v>
      </c>
    </row>
    <row r="17" spans="1:11" s="175" customFormat="1" ht="13.5">
      <c r="A17" s="280" t="s">
        <v>285</v>
      </c>
      <c r="B17" s="280"/>
      <c r="C17" s="280"/>
      <c r="D17" s="280" t="s">
        <v>224</v>
      </c>
      <c r="E17" s="280"/>
      <c r="F17" s="280"/>
      <c r="G17" s="280"/>
      <c r="H17" s="280"/>
      <c r="I17" s="280"/>
      <c r="J17" s="172">
        <f>VLOOKUP(A17,'PLANILHA ORÇAMENTÁRIA'!$A:$XFD,9,)</f>
        <v>46910.23</v>
      </c>
      <c r="K17" s="170">
        <v>0.0978644649780556</v>
      </c>
    </row>
    <row r="18" spans="1:11" s="175" customFormat="1" ht="13.5">
      <c r="A18" s="280" t="s">
        <v>287</v>
      </c>
      <c r="B18" s="280"/>
      <c r="C18" s="280"/>
      <c r="D18" s="280" t="s">
        <v>244</v>
      </c>
      <c r="E18" s="280"/>
      <c r="F18" s="280"/>
      <c r="G18" s="280"/>
      <c r="H18" s="280"/>
      <c r="I18" s="280"/>
      <c r="J18" s="172">
        <f>VLOOKUP(A18,'PLANILHA ORÇAMENTÁRIA'!$A:$XFD,9,)</f>
        <v>8907.92</v>
      </c>
      <c r="K18" s="170">
        <v>0.02478836540888356</v>
      </c>
    </row>
    <row r="19" spans="1:11" ht="12.75">
      <c r="A19" s="281">
        <v>5</v>
      </c>
      <c r="B19" s="282"/>
      <c r="C19" s="282"/>
      <c r="D19" s="282" t="str">
        <f>VLOOKUP(A19,'PLANILHA ORÇAMENTÁRIA'!$A:$XFD,4,)</f>
        <v>RUA 02 - ASSENTAMENTO IRMÃ DOROTH</v>
      </c>
      <c r="E19" s="282"/>
      <c r="F19" s="282"/>
      <c r="G19" s="282"/>
      <c r="H19" s="282"/>
      <c r="I19" s="282"/>
      <c r="J19" s="171">
        <f>VLOOKUP(A19,'PLANILHA ORÇAMENTÁRIA'!$A:$XFD,9,)</f>
        <v>286311.72</v>
      </c>
      <c r="K19" s="169">
        <v>0.09045977311855392</v>
      </c>
    </row>
    <row r="20" spans="1:11" s="175" customFormat="1" ht="13.5">
      <c r="A20" s="280" t="s">
        <v>288</v>
      </c>
      <c r="B20" s="280"/>
      <c r="C20" s="280"/>
      <c r="D20" s="280" t="s">
        <v>242</v>
      </c>
      <c r="E20" s="280"/>
      <c r="F20" s="280"/>
      <c r="G20" s="280"/>
      <c r="H20" s="280"/>
      <c r="I20" s="280"/>
      <c r="J20" s="172">
        <f>VLOOKUP(A20,'PLANILHA ORÇAMENTÁRIA'!$A:$XFD,9,)</f>
        <v>315.9</v>
      </c>
      <c r="K20" s="170">
        <v>9.488741544898701E-05</v>
      </c>
    </row>
    <row r="21" spans="1:11" s="175" customFormat="1" ht="13.5">
      <c r="A21" s="280" t="s">
        <v>289</v>
      </c>
      <c r="B21" s="280"/>
      <c r="C21" s="280"/>
      <c r="D21" s="280" t="s">
        <v>224</v>
      </c>
      <c r="E21" s="280"/>
      <c r="F21" s="280"/>
      <c r="G21" s="280"/>
      <c r="H21" s="280"/>
      <c r="I21" s="280"/>
      <c r="J21" s="172">
        <f>VLOOKUP(A21,'PLANILHA ORÇAMENTÁRIA'!$A:$XFD,9,)</f>
        <v>241429.5</v>
      </c>
      <c r="K21" s="170">
        <v>0.07195916542504087</v>
      </c>
    </row>
    <row r="22" spans="1:11" s="175" customFormat="1" ht="13.5">
      <c r="A22" s="280" t="s">
        <v>290</v>
      </c>
      <c r="B22" s="280"/>
      <c r="C22" s="280"/>
      <c r="D22" s="280" t="s">
        <v>244</v>
      </c>
      <c r="E22" s="280"/>
      <c r="F22" s="280"/>
      <c r="G22" s="280"/>
      <c r="H22" s="280"/>
      <c r="I22" s="280"/>
      <c r="J22" s="172">
        <f>VLOOKUP(A22,'PLANILHA ORÇAMENTÁRIA'!$A:$XFD,9,)</f>
        <v>44566.32</v>
      </c>
      <c r="K22" s="170">
        <v>0.018405720278064062</v>
      </c>
    </row>
    <row r="23" spans="1:11" ht="12.7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</row>
    <row r="24" spans="1:11" ht="12.75">
      <c r="A24" s="291"/>
      <c r="B24" s="291"/>
      <c r="C24" s="291"/>
      <c r="D24" s="161"/>
      <c r="E24" s="174"/>
      <c r="F24" s="174"/>
      <c r="G24" s="292" t="s">
        <v>72</v>
      </c>
      <c r="H24" s="293"/>
      <c r="I24" s="294">
        <f>'PLANILHA ORÇAMENTÁRIA'!H38</f>
        <v>615937</v>
      </c>
      <c r="J24" s="294"/>
      <c r="K24" s="294"/>
    </row>
    <row r="25" spans="1:11" ht="12.75">
      <c r="A25" s="291"/>
      <c r="B25" s="291"/>
      <c r="C25" s="291"/>
      <c r="D25" s="161"/>
      <c r="E25" s="174"/>
      <c r="F25" s="174"/>
      <c r="G25" s="292" t="s">
        <v>73</v>
      </c>
      <c r="H25" s="293"/>
      <c r="I25" s="294">
        <f>'PLANILHA ORÇAMENTÁRIA'!H39</f>
        <v>123440.43999999994</v>
      </c>
      <c r="J25" s="294"/>
      <c r="K25" s="294"/>
    </row>
    <row r="26" spans="1:11" ht="12.75">
      <c r="A26" s="291"/>
      <c r="B26" s="291"/>
      <c r="C26" s="291"/>
      <c r="D26" s="161"/>
      <c r="E26" s="174"/>
      <c r="F26" s="174"/>
      <c r="G26" s="292" t="s">
        <v>74</v>
      </c>
      <c r="H26" s="293"/>
      <c r="I26" s="294">
        <f>'PLANILHA ORÇAMENTÁRIA'!H40</f>
        <v>739377.44</v>
      </c>
      <c r="J26" s="294"/>
      <c r="K26" s="294"/>
    </row>
  </sheetData>
  <sheetProtection/>
  <mergeCells count="44">
    <mergeCell ref="A26:C26"/>
    <mergeCell ref="G26:H26"/>
    <mergeCell ref="I26:K26"/>
    <mergeCell ref="A24:C24"/>
    <mergeCell ref="G24:H24"/>
    <mergeCell ref="I24:K24"/>
    <mergeCell ref="A25:C25"/>
    <mergeCell ref="G25:H25"/>
    <mergeCell ref="I25:K25"/>
    <mergeCell ref="A9:C9"/>
    <mergeCell ref="D9:I9"/>
    <mergeCell ref="A10:C10"/>
    <mergeCell ref="D10:I10"/>
    <mergeCell ref="A11:C11"/>
    <mergeCell ref="D11:I11"/>
    <mergeCell ref="A3:K3"/>
    <mergeCell ref="A4:K4"/>
    <mergeCell ref="A5:K5"/>
    <mergeCell ref="A6:K6"/>
    <mergeCell ref="A7:K7"/>
    <mergeCell ref="D8:I8"/>
    <mergeCell ref="A8:C8"/>
    <mergeCell ref="A14:C14"/>
    <mergeCell ref="D14:I14"/>
    <mergeCell ref="A15:C15"/>
    <mergeCell ref="D15:I15"/>
    <mergeCell ref="A12:C12"/>
    <mergeCell ref="A16:C16"/>
    <mergeCell ref="D16:I16"/>
    <mergeCell ref="D12:I12"/>
    <mergeCell ref="A13:C13"/>
    <mergeCell ref="D13:I13"/>
    <mergeCell ref="A17:C17"/>
    <mergeCell ref="D17:I17"/>
    <mergeCell ref="A18:C18"/>
    <mergeCell ref="D18:I18"/>
    <mergeCell ref="A19:C19"/>
    <mergeCell ref="D19:I19"/>
    <mergeCell ref="D20:I20"/>
    <mergeCell ref="D21:I21"/>
    <mergeCell ref="D22:I22"/>
    <mergeCell ref="A21:C21"/>
    <mergeCell ref="A22:C22"/>
    <mergeCell ref="A20:C20"/>
  </mergeCells>
  <printOptions horizontalCentered="1"/>
  <pageMargins left="0.4724409448818898" right="0.3937007874015748" top="1.8447916666666666" bottom="0.7874015748031497" header="0" footer="0"/>
  <pageSetup fitToHeight="0" fitToWidth="1" horizontalDpi="600" verticalDpi="600" orientation="portrait" paperSize="9" scale="74" r:id="rId2"/>
  <headerFooter alignWithMargins="0">
    <oddHeader>&amp;C
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view="pageBreakPreview" zoomScale="60" zoomScalePageLayoutView="0" workbookViewId="0" topLeftCell="A1">
      <selection activeCell="F15" sqref="F15"/>
    </sheetView>
  </sheetViews>
  <sheetFormatPr defaultColWidth="9.140625" defaultRowHeight="15" customHeight="1"/>
  <cols>
    <col min="1" max="1" width="12.00390625" style="262" bestFit="1" customWidth="1"/>
    <col min="2" max="2" width="79.7109375" style="262" bestFit="1" customWidth="1"/>
    <col min="3" max="6" width="16.7109375" style="262" bestFit="1" customWidth="1"/>
    <col min="7" max="16384" width="8.8515625" style="262" customWidth="1"/>
  </cols>
  <sheetData>
    <row r="1" spans="1:6" ht="15" customHeight="1">
      <c r="A1" s="414" t="str">
        <f>CIDADE</f>
        <v>MUNICÍPIO DE CURRALINHOS - PI</v>
      </c>
      <c r="B1" s="414"/>
      <c r="C1" s="414"/>
      <c r="D1" s="414"/>
      <c r="E1" s="414"/>
      <c r="F1" s="414"/>
    </row>
    <row r="2" spans="1:6" ht="15" customHeight="1">
      <c r="A2" s="414" t="str">
        <f>OBRA</f>
        <v>EXECUÇÃO DE PAVIMENTAÇÃO EM PARALELEPÍPEDO NO MUNICÍPIO DE CURRALINHOS - PI. COM ÁREA TOTAL DE 5.204,70 M²</v>
      </c>
      <c r="B2" s="414"/>
      <c r="C2" s="414"/>
      <c r="D2" s="414"/>
      <c r="E2" s="414"/>
      <c r="F2" s="414"/>
    </row>
    <row r="3" spans="1:6" ht="15" customHeight="1">
      <c r="A3" s="414" t="s">
        <v>334</v>
      </c>
      <c r="B3" s="414"/>
      <c r="C3" s="414"/>
      <c r="D3" s="414"/>
      <c r="E3" s="414"/>
      <c r="F3" s="414"/>
    </row>
    <row r="5" spans="1:6" ht="15" customHeight="1">
      <c r="A5" s="261" t="s">
        <v>322</v>
      </c>
      <c r="B5" s="263" t="str">
        <f>FONTE&amp;FOLHA</f>
        <v>SINAPI PI 03/2024, ORSE SE 03/2024, COM DESONERAÇÃO</v>
      </c>
      <c r="C5" s="261" t="s">
        <v>323</v>
      </c>
      <c r="D5" s="264">
        <f>LEI</f>
        <v>84.59</v>
      </c>
      <c r="E5" s="261" t="s">
        <v>324</v>
      </c>
      <c r="F5" s="264">
        <f>BDI</f>
        <v>28.32</v>
      </c>
    </row>
    <row r="6" spans="1:6" ht="15" customHeight="1">
      <c r="A6" s="416" t="s">
        <v>4</v>
      </c>
      <c r="B6" s="416" t="s">
        <v>5</v>
      </c>
      <c r="C6" s="408" t="s">
        <v>153</v>
      </c>
      <c r="D6" s="409"/>
      <c r="E6" s="408" t="s">
        <v>154</v>
      </c>
      <c r="F6" s="409"/>
    </row>
    <row r="7" spans="1:6" ht="15" customHeight="1">
      <c r="A7" s="417"/>
      <c r="B7" s="417"/>
      <c r="C7" s="265" t="s">
        <v>325</v>
      </c>
      <c r="D7" s="265" t="s">
        <v>326</v>
      </c>
      <c r="E7" s="265" t="s">
        <v>325</v>
      </c>
      <c r="F7" s="265" t="s">
        <v>326</v>
      </c>
    </row>
    <row r="8" spans="1:6" ht="15" customHeight="1">
      <c r="A8" s="408" t="s">
        <v>327</v>
      </c>
      <c r="B8" s="415"/>
      <c r="C8" s="415"/>
      <c r="D8" s="415"/>
      <c r="E8" s="415"/>
      <c r="F8" s="409"/>
    </row>
    <row r="9" spans="1:6" ht="15" customHeight="1">
      <c r="A9" s="266" t="s">
        <v>6</v>
      </c>
      <c r="B9" s="266" t="s">
        <v>7</v>
      </c>
      <c r="C9" s="267">
        <v>0</v>
      </c>
      <c r="D9" s="267">
        <v>0</v>
      </c>
      <c r="E9" s="267">
        <v>0.2</v>
      </c>
      <c r="F9" s="267">
        <v>0.2</v>
      </c>
    </row>
    <row r="10" spans="1:6" ht="15" customHeight="1">
      <c r="A10" s="266" t="s">
        <v>8</v>
      </c>
      <c r="B10" s="266" t="s">
        <v>9</v>
      </c>
      <c r="C10" s="267">
        <v>0.015</v>
      </c>
      <c r="D10" s="267">
        <v>0.015</v>
      </c>
      <c r="E10" s="267">
        <v>0.015</v>
      </c>
      <c r="F10" s="267">
        <v>0.015</v>
      </c>
    </row>
    <row r="11" spans="1:6" ht="15" customHeight="1">
      <c r="A11" s="266" t="s">
        <v>10</v>
      </c>
      <c r="B11" s="266" t="s">
        <v>11</v>
      </c>
      <c r="C11" s="267">
        <v>0.01</v>
      </c>
      <c r="D11" s="267">
        <v>0.01</v>
      </c>
      <c r="E11" s="267">
        <v>0.01</v>
      </c>
      <c r="F11" s="267">
        <v>0.01</v>
      </c>
    </row>
    <row r="12" spans="1:6" ht="15" customHeight="1">
      <c r="A12" s="266" t="s">
        <v>12</v>
      </c>
      <c r="B12" s="266" t="s">
        <v>13</v>
      </c>
      <c r="C12" s="267">
        <v>0.002</v>
      </c>
      <c r="D12" s="267">
        <v>0.002</v>
      </c>
      <c r="E12" s="267">
        <v>0.002</v>
      </c>
      <c r="F12" s="267">
        <v>0.002</v>
      </c>
    </row>
    <row r="13" spans="1:6" ht="15" customHeight="1">
      <c r="A13" s="266" t="s">
        <v>14</v>
      </c>
      <c r="B13" s="266" t="s">
        <v>15</v>
      </c>
      <c r="C13" s="267">
        <v>0.006</v>
      </c>
      <c r="D13" s="267">
        <v>0.006</v>
      </c>
      <c r="E13" s="267">
        <v>0.006</v>
      </c>
      <c r="F13" s="267">
        <v>0.006</v>
      </c>
    </row>
    <row r="14" spans="1:6" ht="15" customHeight="1">
      <c r="A14" s="266" t="s">
        <v>16</v>
      </c>
      <c r="B14" s="266" t="s">
        <v>17</v>
      </c>
      <c r="C14" s="267">
        <v>0.025</v>
      </c>
      <c r="D14" s="267">
        <v>0.025</v>
      </c>
      <c r="E14" s="267">
        <v>0.025</v>
      </c>
      <c r="F14" s="267">
        <v>0.025</v>
      </c>
    </row>
    <row r="15" spans="1:6" ht="15" customHeight="1">
      <c r="A15" s="266" t="s">
        <v>18</v>
      </c>
      <c r="B15" s="266" t="s">
        <v>328</v>
      </c>
      <c r="C15" s="267">
        <v>0.03</v>
      </c>
      <c r="D15" s="267">
        <v>0.03</v>
      </c>
      <c r="E15" s="267">
        <v>0.03</v>
      </c>
      <c r="F15" s="267">
        <v>0.03</v>
      </c>
    </row>
    <row r="16" spans="1:6" ht="15" customHeight="1">
      <c r="A16" s="266" t="s">
        <v>19</v>
      </c>
      <c r="B16" s="266" t="s">
        <v>20</v>
      </c>
      <c r="C16" s="267">
        <v>0.08</v>
      </c>
      <c r="D16" s="267">
        <v>0.08</v>
      </c>
      <c r="E16" s="267">
        <v>0.08</v>
      </c>
      <c r="F16" s="267">
        <v>0.08</v>
      </c>
    </row>
    <row r="17" spans="1:6" ht="15" customHeight="1">
      <c r="A17" s="266" t="s">
        <v>21</v>
      </c>
      <c r="B17" s="266" t="s">
        <v>22</v>
      </c>
      <c r="C17" s="267">
        <v>0</v>
      </c>
      <c r="D17" s="267">
        <v>0</v>
      </c>
      <c r="E17" s="267">
        <v>0</v>
      </c>
      <c r="F17" s="267">
        <v>0</v>
      </c>
    </row>
    <row r="18" spans="1:6" ht="15" customHeight="1">
      <c r="A18" s="266" t="s">
        <v>23</v>
      </c>
      <c r="B18" s="266" t="s">
        <v>300</v>
      </c>
      <c r="C18" s="267">
        <f>SUM(C9:C17)</f>
        <v>0.16799999999999998</v>
      </c>
      <c r="D18" s="267">
        <f>SUM(D9:D17)</f>
        <v>0.16799999999999998</v>
      </c>
      <c r="E18" s="267">
        <f>SUM(E9:E17)</f>
        <v>0.36800000000000005</v>
      </c>
      <c r="F18" s="267">
        <f>SUM(F9:F17)</f>
        <v>0.36800000000000005</v>
      </c>
    </row>
    <row r="19" spans="1:6" ht="15" customHeight="1">
      <c r="A19" s="408" t="s">
        <v>24</v>
      </c>
      <c r="B19" s="415"/>
      <c r="C19" s="415"/>
      <c r="D19" s="415"/>
      <c r="E19" s="415"/>
      <c r="F19" s="409"/>
    </row>
    <row r="20" spans="1:6" ht="15" customHeight="1">
      <c r="A20" s="266" t="s">
        <v>25</v>
      </c>
      <c r="B20" s="266" t="s">
        <v>26</v>
      </c>
      <c r="C20" s="267">
        <v>0.1782</v>
      </c>
      <c r="D20" s="266" t="s">
        <v>329</v>
      </c>
      <c r="E20" s="267">
        <v>0.1782</v>
      </c>
      <c r="F20" s="266" t="s">
        <v>329</v>
      </c>
    </row>
    <row r="21" spans="1:6" ht="15" customHeight="1">
      <c r="A21" s="266" t="s">
        <v>27</v>
      </c>
      <c r="B21" s="266" t="s">
        <v>28</v>
      </c>
      <c r="C21" s="267">
        <v>0.0395</v>
      </c>
      <c r="D21" s="266" t="s">
        <v>329</v>
      </c>
      <c r="E21" s="267">
        <v>0.0395</v>
      </c>
      <c r="F21" s="266" t="s">
        <v>329</v>
      </c>
    </row>
    <row r="22" spans="1:6" ht="15" customHeight="1">
      <c r="A22" s="266" t="s">
        <v>29</v>
      </c>
      <c r="B22" s="266" t="s">
        <v>330</v>
      </c>
      <c r="C22" s="267">
        <v>0.0085</v>
      </c>
      <c r="D22" s="267">
        <v>0.0064</v>
      </c>
      <c r="E22" s="267">
        <v>0.0085</v>
      </c>
      <c r="F22" s="267">
        <v>0.0064</v>
      </c>
    </row>
    <row r="23" spans="1:6" ht="15" customHeight="1">
      <c r="A23" s="266" t="s">
        <v>30</v>
      </c>
      <c r="B23" s="266" t="s">
        <v>32</v>
      </c>
      <c r="C23" s="267">
        <v>0.1109</v>
      </c>
      <c r="D23" s="267">
        <v>0.0833</v>
      </c>
      <c r="E23" s="267">
        <v>0.1109</v>
      </c>
      <c r="F23" s="267">
        <v>0.0833</v>
      </c>
    </row>
    <row r="24" spans="1:6" ht="15" customHeight="1">
      <c r="A24" s="266" t="s">
        <v>31</v>
      </c>
      <c r="B24" s="266" t="s">
        <v>34</v>
      </c>
      <c r="C24" s="267">
        <v>0.0006</v>
      </c>
      <c r="D24" s="267">
        <v>0.0004</v>
      </c>
      <c r="E24" s="267">
        <v>0.0006</v>
      </c>
      <c r="F24" s="267">
        <v>0.0004</v>
      </c>
    </row>
    <row r="25" spans="1:6" ht="15" customHeight="1">
      <c r="A25" s="266" t="s">
        <v>33</v>
      </c>
      <c r="B25" s="266" t="s">
        <v>50</v>
      </c>
      <c r="C25" s="267">
        <v>0.0074</v>
      </c>
      <c r="D25" s="267">
        <v>0.0056</v>
      </c>
      <c r="E25" s="267">
        <v>0.0074</v>
      </c>
      <c r="F25" s="267">
        <v>0.0056</v>
      </c>
    </row>
    <row r="26" spans="1:6" ht="15" customHeight="1">
      <c r="A26" s="266" t="s">
        <v>35</v>
      </c>
      <c r="B26" s="266" t="s">
        <v>331</v>
      </c>
      <c r="C26" s="267">
        <v>0.0118</v>
      </c>
      <c r="D26" s="266" t="s">
        <v>329</v>
      </c>
      <c r="E26" s="267">
        <v>0.0118</v>
      </c>
      <c r="F26" s="266" t="s">
        <v>329</v>
      </c>
    </row>
    <row r="27" spans="1:6" ht="15" customHeight="1">
      <c r="A27" s="266" t="s">
        <v>47</v>
      </c>
      <c r="B27" s="266" t="s">
        <v>51</v>
      </c>
      <c r="C27" s="267">
        <v>0.001</v>
      </c>
      <c r="D27" s="267">
        <v>0.0008</v>
      </c>
      <c r="E27" s="267">
        <v>0.001</v>
      </c>
      <c r="F27" s="267">
        <v>0.0008</v>
      </c>
    </row>
    <row r="28" spans="1:6" ht="15" customHeight="1">
      <c r="A28" s="266" t="s">
        <v>48</v>
      </c>
      <c r="B28" s="266" t="s">
        <v>52</v>
      </c>
      <c r="C28" s="267">
        <v>0.1376</v>
      </c>
      <c r="D28" s="267">
        <v>0.1034</v>
      </c>
      <c r="E28" s="267">
        <v>0.1376</v>
      </c>
      <c r="F28" s="267">
        <v>0.1034</v>
      </c>
    </row>
    <row r="29" spans="1:6" ht="15" customHeight="1">
      <c r="A29" s="266" t="s">
        <v>49</v>
      </c>
      <c r="B29" s="266" t="s">
        <v>53</v>
      </c>
      <c r="C29" s="267">
        <v>0.0004</v>
      </c>
      <c r="D29" s="267">
        <v>0.0003</v>
      </c>
      <c r="E29" s="267">
        <v>0.0004</v>
      </c>
      <c r="F29" s="267">
        <v>0.0003</v>
      </c>
    </row>
    <row r="30" spans="1:6" ht="15" customHeight="1">
      <c r="A30" s="266" t="s">
        <v>36</v>
      </c>
      <c r="B30" s="266" t="s">
        <v>300</v>
      </c>
      <c r="C30" s="267">
        <f>SUM(C20:C29)</f>
        <v>0.4959</v>
      </c>
      <c r="D30" s="267">
        <f>SUM(D20:D29)</f>
        <v>0.2002</v>
      </c>
      <c r="E30" s="267">
        <f>SUM(E20:E29)</f>
        <v>0.4959</v>
      </c>
      <c r="F30" s="267">
        <f>SUM(F20:F29)</f>
        <v>0.2002</v>
      </c>
    </row>
    <row r="31" spans="1:6" ht="15" customHeight="1">
      <c r="A31" s="408" t="s">
        <v>37</v>
      </c>
      <c r="B31" s="415"/>
      <c r="C31" s="415"/>
      <c r="D31" s="415"/>
      <c r="E31" s="415"/>
      <c r="F31" s="409"/>
    </row>
    <row r="32" spans="1:6" ht="15" customHeight="1">
      <c r="A32" s="266" t="s">
        <v>38</v>
      </c>
      <c r="B32" s="266" t="s">
        <v>56</v>
      </c>
      <c r="C32" s="267">
        <v>0.0536</v>
      </c>
      <c r="D32" s="267">
        <v>0.0403</v>
      </c>
      <c r="E32" s="267">
        <v>0.0536</v>
      </c>
      <c r="F32" s="267">
        <v>0.0403</v>
      </c>
    </row>
    <row r="33" spans="1:6" ht="15" customHeight="1">
      <c r="A33" s="266" t="s">
        <v>40</v>
      </c>
      <c r="B33" s="266" t="s">
        <v>57</v>
      </c>
      <c r="C33" s="267">
        <v>0.0013</v>
      </c>
      <c r="D33" s="267">
        <v>0.0009</v>
      </c>
      <c r="E33" s="267">
        <v>0.0013</v>
      </c>
      <c r="F33" s="267">
        <v>0.0009</v>
      </c>
    </row>
    <row r="34" spans="1:6" ht="15" customHeight="1">
      <c r="A34" s="266" t="s">
        <v>54</v>
      </c>
      <c r="B34" s="266" t="s">
        <v>58</v>
      </c>
      <c r="C34" s="267">
        <v>0.0096</v>
      </c>
      <c r="D34" s="267">
        <v>0.0072</v>
      </c>
      <c r="E34" s="267">
        <v>0.0096</v>
      </c>
      <c r="F34" s="267">
        <v>0.0072</v>
      </c>
    </row>
    <row r="35" spans="1:6" ht="15" customHeight="1">
      <c r="A35" s="266" t="s">
        <v>55</v>
      </c>
      <c r="B35" s="266" t="s">
        <v>39</v>
      </c>
      <c r="C35" s="267">
        <v>0.0252</v>
      </c>
      <c r="D35" s="267">
        <v>0.0189</v>
      </c>
      <c r="E35" s="267">
        <v>0.0252</v>
      </c>
      <c r="F35" s="267">
        <v>0.0189</v>
      </c>
    </row>
    <row r="36" spans="1:6" ht="15" customHeight="1">
      <c r="A36" s="266" t="s">
        <v>59</v>
      </c>
      <c r="B36" s="266" t="s">
        <v>60</v>
      </c>
      <c r="C36" s="267">
        <v>0.0045</v>
      </c>
      <c r="D36" s="267">
        <v>0.0034</v>
      </c>
      <c r="E36" s="267">
        <v>0.0045</v>
      </c>
      <c r="F36" s="267">
        <v>0.0034</v>
      </c>
    </row>
    <row r="37" spans="1:6" ht="15" customHeight="1">
      <c r="A37" s="266" t="s">
        <v>41</v>
      </c>
      <c r="B37" s="266" t="s">
        <v>300</v>
      </c>
      <c r="C37" s="267">
        <f>SUM(C32:C36)</f>
        <v>0.0942</v>
      </c>
      <c r="D37" s="267">
        <f>SUM(D32:D36)</f>
        <v>0.0707</v>
      </c>
      <c r="E37" s="267">
        <f>SUM(E32:E36)</f>
        <v>0.0942</v>
      </c>
      <c r="F37" s="267">
        <f>SUM(F32:F36)</f>
        <v>0.0707</v>
      </c>
    </row>
    <row r="38" spans="1:6" ht="15" customHeight="1">
      <c r="A38" s="408" t="s">
        <v>42</v>
      </c>
      <c r="B38" s="415"/>
      <c r="C38" s="415"/>
      <c r="D38" s="415"/>
      <c r="E38" s="415"/>
      <c r="F38" s="409"/>
    </row>
    <row r="39" spans="1:6" ht="15" customHeight="1">
      <c r="A39" s="266" t="s">
        <v>43</v>
      </c>
      <c r="B39" s="262" t="s">
        <v>61</v>
      </c>
      <c r="C39" s="267">
        <v>0.0833</v>
      </c>
      <c r="D39" s="267">
        <v>0.0336</v>
      </c>
      <c r="E39" s="267">
        <v>0.1825</v>
      </c>
      <c r="F39" s="267">
        <v>0.0737</v>
      </c>
    </row>
    <row r="40" spans="1:6" ht="42" customHeight="1">
      <c r="A40" s="266" t="s">
        <v>62</v>
      </c>
      <c r="B40" s="268" t="s">
        <v>63</v>
      </c>
      <c r="C40" s="267">
        <v>0.0045</v>
      </c>
      <c r="D40" s="267">
        <v>0.0034</v>
      </c>
      <c r="E40" s="267">
        <v>0.0048</v>
      </c>
      <c r="F40" s="267">
        <v>0.0036</v>
      </c>
    </row>
    <row r="41" spans="1:6" ht="15" customHeight="1">
      <c r="A41" s="266" t="s">
        <v>44</v>
      </c>
      <c r="B41" s="266" t="s">
        <v>300</v>
      </c>
      <c r="C41" s="267">
        <f>SUM(C39:C40)</f>
        <v>0.0878</v>
      </c>
      <c r="D41" s="267">
        <f>SUM(D39:D40)</f>
        <v>0.037</v>
      </c>
      <c r="E41" s="267">
        <f>SUM(E39:E40)</f>
        <v>0.1873</v>
      </c>
      <c r="F41" s="267">
        <f>SUM(F39:F40)</f>
        <v>0.07730000000000001</v>
      </c>
    </row>
    <row r="42" spans="1:6" ht="15" customHeight="1">
      <c r="A42" s="408" t="s">
        <v>335</v>
      </c>
      <c r="B42" s="415"/>
      <c r="C42" s="415"/>
      <c r="D42" s="415"/>
      <c r="E42" s="415"/>
      <c r="F42" s="409"/>
    </row>
    <row r="43" spans="1:6" ht="15" customHeight="1">
      <c r="A43" s="408" t="s">
        <v>300</v>
      </c>
      <c r="B43" s="409"/>
      <c r="C43" s="269">
        <f>SUM(C18,C30,C37,C41)</f>
        <v>0.8459</v>
      </c>
      <c r="D43" s="269">
        <f>SUM(D18,D30,D37,D41)</f>
        <v>0.47589999999999993</v>
      </c>
      <c r="E43" s="269">
        <f>SUM(E18,E30,E37,E41)</f>
        <v>1.1454000000000002</v>
      </c>
      <c r="F43" s="269">
        <f>SUM(F18,F30,F37,F41)</f>
        <v>0.7162000000000001</v>
      </c>
    </row>
    <row r="44" ht="15" customHeight="1">
      <c r="A44" s="270" t="s">
        <v>332</v>
      </c>
    </row>
  </sheetData>
  <sheetProtection/>
  <mergeCells count="13">
    <mergeCell ref="A1:F1"/>
    <mergeCell ref="A2:F2"/>
    <mergeCell ref="A3:F3"/>
    <mergeCell ref="A6:A7"/>
    <mergeCell ref="B6:B7"/>
    <mergeCell ref="C6:D6"/>
    <mergeCell ref="E6:F6"/>
    <mergeCell ref="A8:F8"/>
    <mergeCell ref="A19:F19"/>
    <mergeCell ref="A31:F31"/>
    <mergeCell ref="A38:F38"/>
    <mergeCell ref="A42:F42"/>
    <mergeCell ref="A43:B43"/>
  </mergeCells>
  <printOptions/>
  <pageMargins left="0.7874015748031497" right="0.3937007874015748" top="1.1811023622047243" bottom="0.7874015748031497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7"/>
  <sheetViews>
    <sheetView tabSelected="1" zoomScaleSheetLayoutView="115" workbookViewId="0" topLeftCell="A1">
      <selection activeCell="K37" sqref="K37"/>
    </sheetView>
  </sheetViews>
  <sheetFormatPr defaultColWidth="9.140625" defaultRowHeight="12.75"/>
  <cols>
    <col min="1" max="1" width="7.28125" style="193" customWidth="1"/>
    <col min="2" max="2" width="25.28125" style="193" customWidth="1"/>
    <col min="3" max="3" width="9.421875" style="193" customWidth="1"/>
    <col min="4" max="4" width="53.28125" style="193" customWidth="1"/>
    <col min="5" max="5" width="11.7109375" style="193" customWidth="1"/>
    <col min="6" max="6" width="11.7109375" style="194" customWidth="1"/>
    <col min="7" max="7" width="15.57421875" style="195" customWidth="1"/>
    <col min="8" max="8" width="13.140625" style="195" bestFit="1" customWidth="1"/>
    <col min="9" max="9" width="16.140625" style="195" bestFit="1" customWidth="1"/>
    <col min="10" max="10" width="10.7109375" style="193" customWidth="1"/>
    <col min="11" max="11" width="12.8515625" style="0" bestFit="1" customWidth="1"/>
    <col min="12" max="12" width="0" style="0" hidden="1" customWidth="1"/>
    <col min="13" max="13" width="14.28125" style="0" hidden="1" customWidth="1"/>
    <col min="14" max="14" width="0" style="0" hidden="1" customWidth="1"/>
    <col min="15" max="15" width="12.8515625" style="0" hidden="1" customWidth="1"/>
  </cols>
  <sheetData>
    <row r="3" spans="1:10" ht="15.75" customHeight="1">
      <c r="A3" s="299" t="s">
        <v>313</v>
      </c>
      <c r="B3" s="300"/>
      <c r="C3" s="300"/>
      <c r="D3" s="300"/>
      <c r="E3" s="300"/>
      <c r="F3" s="300"/>
      <c r="G3" s="300"/>
      <c r="H3" s="300"/>
      <c r="I3" s="300"/>
      <c r="J3" s="301"/>
    </row>
    <row r="4" spans="1:10" ht="15.75" customHeight="1">
      <c r="A4" s="302" t="s">
        <v>311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ht="15.75" customHeight="1">
      <c r="A5" s="305" t="str">
        <f>RESUMO!A5</f>
        <v>BDI: 28,32% - COM DESONERAÇÃO - BDI DIFERENCIADO: 11,10% - ENCARGOS SOCIAIS: 84,59% HORISTA - 47,20% MENSALISTA</v>
      </c>
      <c r="B5" s="306"/>
      <c r="C5" s="306"/>
      <c r="D5" s="306"/>
      <c r="E5" s="306"/>
      <c r="F5" s="306"/>
      <c r="G5" s="306"/>
      <c r="H5" s="306"/>
      <c r="I5" s="306"/>
      <c r="J5" s="307"/>
    </row>
    <row r="6" spans="1:10" ht="15.75" customHeight="1">
      <c r="A6" s="309" t="str">
        <f>RESUMO!A6</f>
        <v>FONTES: SINAPI - 03/2023 - Piauí - ORSE - 03/2023 - Sergipe</v>
      </c>
      <c r="B6" s="310"/>
      <c r="C6" s="310"/>
      <c r="D6" s="310"/>
      <c r="E6" s="310"/>
      <c r="F6" s="310"/>
      <c r="G6" s="310"/>
      <c r="H6" s="310"/>
      <c r="I6" s="310"/>
      <c r="J6" s="311"/>
    </row>
    <row r="7" spans="1:10" s="204" customFormat="1" ht="21" customHeight="1">
      <c r="A7" s="308" t="s">
        <v>152</v>
      </c>
      <c r="B7" s="308"/>
      <c r="C7" s="308"/>
      <c r="D7" s="308"/>
      <c r="E7" s="308"/>
      <c r="F7" s="308"/>
      <c r="G7" s="308"/>
      <c r="H7" s="308"/>
      <c r="I7" s="308"/>
      <c r="J7" s="308"/>
    </row>
    <row r="8" spans="1:10" s="204" customFormat="1" ht="33" customHeight="1">
      <c r="A8" s="213" t="s">
        <v>68</v>
      </c>
      <c r="B8" s="213" t="s">
        <v>64</v>
      </c>
      <c r="C8" s="213" t="s">
        <v>84</v>
      </c>
      <c r="D8" s="213" t="s">
        <v>69</v>
      </c>
      <c r="E8" s="213" t="s">
        <v>85</v>
      </c>
      <c r="F8" s="214" t="s">
        <v>3</v>
      </c>
      <c r="G8" s="215" t="s">
        <v>86</v>
      </c>
      <c r="H8" s="215" t="s">
        <v>87</v>
      </c>
      <c r="I8" s="215" t="s">
        <v>65</v>
      </c>
      <c r="J8" s="213" t="s">
        <v>70</v>
      </c>
    </row>
    <row r="9" spans="1:10" ht="12.75">
      <c r="A9" s="177" t="s">
        <v>71</v>
      </c>
      <c r="B9" s="177"/>
      <c r="C9" s="177"/>
      <c r="D9" s="177" t="s">
        <v>213</v>
      </c>
      <c r="E9" s="177"/>
      <c r="F9" s="178"/>
      <c r="G9" s="179"/>
      <c r="H9" s="179"/>
      <c r="I9" s="180">
        <f>I10</f>
        <v>2995.77</v>
      </c>
      <c r="J9" s="181">
        <f>J10</f>
        <v>0.002978878268348144</v>
      </c>
    </row>
    <row r="10" spans="1:11" ht="12.75">
      <c r="A10" s="182" t="s">
        <v>88</v>
      </c>
      <c r="B10" s="183" t="s">
        <v>292</v>
      </c>
      <c r="C10" s="182" t="s">
        <v>89</v>
      </c>
      <c r="D10" s="182" t="s">
        <v>240</v>
      </c>
      <c r="E10" s="184" t="s">
        <v>0</v>
      </c>
      <c r="F10" s="185">
        <v>6.48</v>
      </c>
      <c r="G10" s="186">
        <f>CPU!I15</f>
        <v>360.28</v>
      </c>
      <c r="H10" s="186">
        <f>CPU!I17</f>
        <v>462.30999999999995</v>
      </c>
      <c r="I10" s="186">
        <f>ROUND(H10*F10,2)</f>
        <v>2995.77</v>
      </c>
      <c r="J10" s="187">
        <v>0.002978878268348144</v>
      </c>
      <c r="K10" s="197">
        <f>ROUND(G10*F10,)</f>
        <v>2335</v>
      </c>
    </row>
    <row r="11" spans="1:11" ht="12.75">
      <c r="A11" s="177" t="s">
        <v>121</v>
      </c>
      <c r="B11" s="177"/>
      <c r="C11" s="177"/>
      <c r="D11" s="177" t="s">
        <v>119</v>
      </c>
      <c r="E11" s="177"/>
      <c r="F11" s="178"/>
      <c r="G11" s="179"/>
      <c r="H11" s="179"/>
      <c r="I11" s="180">
        <f>I12</f>
        <v>23121.84</v>
      </c>
      <c r="J11" s="181">
        <v>0.014952634962569043</v>
      </c>
      <c r="K11" s="197">
        <f aca="true" t="shared" si="0" ref="K11:K36">ROUND(G11*F11,)</f>
        <v>0</v>
      </c>
    </row>
    <row r="12" spans="1:11" ht="12.75">
      <c r="A12" s="182" t="s">
        <v>120</v>
      </c>
      <c r="B12" s="183" t="s">
        <v>293</v>
      </c>
      <c r="C12" s="182" t="s">
        <v>89</v>
      </c>
      <c r="D12" s="182" t="s">
        <v>123</v>
      </c>
      <c r="E12" s="184" t="s">
        <v>241</v>
      </c>
      <c r="F12" s="185">
        <v>3</v>
      </c>
      <c r="G12" s="186">
        <f>CPU!I24</f>
        <v>6006.299999999999</v>
      </c>
      <c r="H12" s="186">
        <f>CPU!I26</f>
        <v>7707.279999999999</v>
      </c>
      <c r="I12" s="186">
        <f>ROUND(H12*F12,2)</f>
        <v>23121.84</v>
      </c>
      <c r="J12" s="187">
        <v>0.014952634962569</v>
      </c>
      <c r="K12" s="197">
        <f t="shared" si="0"/>
        <v>18019</v>
      </c>
    </row>
    <row r="13" spans="1:13" ht="12.75">
      <c r="A13" s="177">
        <v>3</v>
      </c>
      <c r="B13" s="177"/>
      <c r="C13" s="177"/>
      <c r="D13" s="246" t="str">
        <f>MC!B14</f>
        <v>RUA 01 - ASSENTAMENTO IRAJÁ</v>
      </c>
      <c r="E13" s="177"/>
      <c r="F13" s="178"/>
      <c r="G13" s="179"/>
      <c r="H13" s="179"/>
      <c r="I13" s="180">
        <f>I14+I16+I18</f>
        <v>371068.57999999996</v>
      </c>
      <c r="J13" s="181">
        <f aca="true" t="shared" si="1" ref="J13:J36">I13/$H$40</f>
        <v>0.5018662457431755</v>
      </c>
      <c r="K13" s="197">
        <f t="shared" si="0"/>
        <v>0</v>
      </c>
      <c r="L13" s="176" t="e">
        <f>F19+#REF!+#REF!+#REF!+#REF!+#REF!+#REF!+#REF!+#REF!</f>
        <v>#REF!</v>
      </c>
      <c r="M13" s="176" t="e">
        <f>L13*0.4</f>
        <v>#REF!</v>
      </c>
    </row>
    <row r="14" spans="1:11" ht="12.75">
      <c r="A14" s="177" t="str">
        <f>CONCATENATE(A13,".1")</f>
        <v>3.1</v>
      </c>
      <c r="B14" s="177"/>
      <c r="C14" s="177"/>
      <c r="D14" s="177" t="s">
        <v>242</v>
      </c>
      <c r="E14" s="177"/>
      <c r="F14" s="178"/>
      <c r="G14" s="179"/>
      <c r="H14" s="179"/>
      <c r="I14" s="180">
        <f>I15</f>
        <v>403.43</v>
      </c>
      <c r="J14" s="196">
        <f t="shared" si="1"/>
        <v>0.000545634716688137</v>
      </c>
      <c r="K14" s="197">
        <f t="shared" si="0"/>
        <v>0</v>
      </c>
    </row>
    <row r="15" spans="1:15" ht="26.25">
      <c r="A15" s="182" t="str">
        <f>CONCATENATE(A14,".1")</f>
        <v>3.1.1</v>
      </c>
      <c r="B15" s="183" t="s">
        <v>124</v>
      </c>
      <c r="C15" s="182" t="s">
        <v>2</v>
      </c>
      <c r="D15" s="182" t="s">
        <v>128</v>
      </c>
      <c r="E15" s="184" t="s">
        <v>0</v>
      </c>
      <c r="F15" s="185">
        <f>MC!E28</f>
        <v>2689.5</v>
      </c>
      <c r="G15" s="186">
        <f>CPU!I33</f>
        <v>0.12</v>
      </c>
      <c r="H15" s="186">
        <f>CPU!I35</f>
        <v>0.15</v>
      </c>
      <c r="I15" s="186">
        <f>ROUND(H15*F15,2)</f>
        <v>403.43</v>
      </c>
      <c r="J15" s="187">
        <f t="shared" si="1"/>
        <v>0.000545634716688137</v>
      </c>
      <c r="K15" s="197">
        <f t="shared" si="0"/>
        <v>323</v>
      </c>
      <c r="O15" s="225">
        <f aca="true" t="shared" si="2" ref="O15:O20">F15+F23+F31</f>
        <v>5204.7</v>
      </c>
    </row>
    <row r="16" spans="1:15" ht="12.75">
      <c r="A16" s="177" t="str">
        <f>CONCATENATE(A13,".2")</f>
        <v>3.2</v>
      </c>
      <c r="B16" s="177"/>
      <c r="C16" s="177"/>
      <c r="D16" s="177" t="s">
        <v>224</v>
      </c>
      <c r="E16" s="177"/>
      <c r="F16" s="178"/>
      <c r="G16" s="179"/>
      <c r="H16" s="179"/>
      <c r="I16" s="180">
        <f>I17</f>
        <v>308321.29</v>
      </c>
      <c r="J16" s="196">
        <f t="shared" si="1"/>
        <v>0.41700121388610395</v>
      </c>
      <c r="K16" s="197">
        <f t="shared" si="0"/>
        <v>0</v>
      </c>
      <c r="M16" s="227">
        <f>I13+I21+I29</f>
        <v>713259.83</v>
      </c>
      <c r="O16" s="225">
        <f t="shared" si="2"/>
        <v>0</v>
      </c>
    </row>
    <row r="17" spans="1:15" ht="52.5">
      <c r="A17" s="182" t="str">
        <f>CONCATENATE(A16,".1")</f>
        <v>3.2.1</v>
      </c>
      <c r="B17" s="183" t="s">
        <v>294</v>
      </c>
      <c r="C17" s="182" t="s">
        <v>89</v>
      </c>
      <c r="D17" s="182" t="s">
        <v>243</v>
      </c>
      <c r="E17" s="184" t="s">
        <v>0</v>
      </c>
      <c r="F17" s="185">
        <f>F15</f>
        <v>2689.5</v>
      </c>
      <c r="G17" s="186">
        <f>CPU!I44</f>
        <v>96.97</v>
      </c>
      <c r="H17" s="186">
        <f>CPU!I46</f>
        <v>114.63889</v>
      </c>
      <c r="I17" s="186">
        <f>ROUND(H17*F17,2)</f>
        <v>308321.29</v>
      </c>
      <c r="J17" s="187">
        <f t="shared" si="1"/>
        <v>0.41700121388610395</v>
      </c>
      <c r="K17" s="197">
        <f t="shared" si="0"/>
        <v>260801</v>
      </c>
      <c r="M17" s="227">
        <f>I14+I22+I30</f>
        <v>780.71</v>
      </c>
      <c r="O17" s="225">
        <f t="shared" si="2"/>
        <v>5204.7</v>
      </c>
    </row>
    <row r="18" spans="1:15" ht="12.75">
      <c r="A18" s="177" t="str">
        <f>CONCATENATE(A13,".3")</f>
        <v>3.3</v>
      </c>
      <c r="B18" s="177"/>
      <c r="C18" s="177"/>
      <c r="D18" s="177" t="s">
        <v>244</v>
      </c>
      <c r="E18" s="177"/>
      <c r="F18" s="178"/>
      <c r="G18" s="179"/>
      <c r="H18" s="179"/>
      <c r="I18" s="180">
        <f>I19+I20</f>
        <v>62343.86</v>
      </c>
      <c r="J18" s="196">
        <f t="shared" si="1"/>
        <v>0.0843193971403834</v>
      </c>
      <c r="K18" s="197">
        <f t="shared" si="0"/>
        <v>0</v>
      </c>
      <c r="M18" s="227">
        <f>I16+I24+I32</f>
        <v>596661.02</v>
      </c>
      <c r="O18" s="225">
        <f t="shared" si="2"/>
        <v>0</v>
      </c>
    </row>
    <row r="19" spans="1:15" ht="66">
      <c r="A19" s="182" t="str">
        <f>CONCATENATE(A18,".1")</f>
        <v>3.3.1</v>
      </c>
      <c r="B19" s="183" t="s">
        <v>125</v>
      </c>
      <c r="C19" s="182" t="s">
        <v>2</v>
      </c>
      <c r="D19" s="182" t="s">
        <v>126</v>
      </c>
      <c r="E19" s="184" t="s">
        <v>90</v>
      </c>
      <c r="F19" s="185">
        <f>MC!E44</f>
        <v>989</v>
      </c>
      <c r="G19" s="186">
        <f>CPU!I55</f>
        <v>37.16</v>
      </c>
      <c r="H19" s="186">
        <f>CPU!I57</f>
        <v>47.67999999999999</v>
      </c>
      <c r="I19" s="186">
        <f>ROUND(H19*F19,2)</f>
        <v>47155.52</v>
      </c>
      <c r="J19" s="187">
        <f t="shared" si="1"/>
        <v>0.06377733137218793</v>
      </c>
      <c r="K19" s="197">
        <f t="shared" si="0"/>
        <v>36751</v>
      </c>
      <c r="M19" s="227">
        <f>I18+I26+I34</f>
        <v>115818.1</v>
      </c>
      <c r="O19" s="225">
        <f t="shared" si="2"/>
        <v>1839.4</v>
      </c>
    </row>
    <row r="20" spans="1:15" ht="39">
      <c r="A20" s="182" t="str">
        <f>CONCATENATE(A18,".2")</f>
        <v>3.3.2</v>
      </c>
      <c r="B20" s="183" t="s">
        <v>295</v>
      </c>
      <c r="C20" s="182" t="s">
        <v>89</v>
      </c>
      <c r="D20" s="182" t="s">
        <v>274</v>
      </c>
      <c r="E20" s="184" t="s">
        <v>90</v>
      </c>
      <c r="F20" s="185">
        <f>MC!E52</f>
        <v>978</v>
      </c>
      <c r="G20" s="186">
        <f>CPU!I67</f>
        <v>12.1</v>
      </c>
      <c r="H20" s="186">
        <f>CPU!I69</f>
        <v>15.53</v>
      </c>
      <c r="I20" s="186">
        <f>ROUND(H20*F20,2)</f>
        <v>15188.34</v>
      </c>
      <c r="J20" s="187">
        <f t="shared" si="1"/>
        <v>0.02054206576819547</v>
      </c>
      <c r="K20" s="197">
        <f t="shared" si="0"/>
        <v>11834</v>
      </c>
      <c r="O20" s="225">
        <f t="shared" si="2"/>
        <v>1810.4</v>
      </c>
    </row>
    <row r="21" spans="1:13" ht="12.75">
      <c r="A21" s="177">
        <v>4</v>
      </c>
      <c r="B21" s="177"/>
      <c r="C21" s="177"/>
      <c r="D21" s="246" t="str">
        <f>MC!B59</f>
        <v>RUA 01 - ASSENTAMENTO IRMÃ DOROTH</v>
      </c>
      <c r="E21" s="177"/>
      <c r="F21" s="178"/>
      <c r="G21" s="179"/>
      <c r="H21" s="179"/>
      <c r="I21" s="180">
        <f>I22+I24+I26</f>
        <v>55879.53</v>
      </c>
      <c r="J21" s="181">
        <f t="shared" si="1"/>
        <v>0.07557646065046292</v>
      </c>
      <c r="K21" s="197">
        <f t="shared" si="0"/>
        <v>0</v>
      </c>
      <c r="L21" s="176" t="e">
        <f>F27+#REF!+#REF!+#REF!+#REF!+#REF!+#REF!+#REF!+#REF!</f>
        <v>#REF!</v>
      </c>
      <c r="M21" s="176" t="e">
        <f>L21*0.4</f>
        <v>#REF!</v>
      </c>
    </row>
    <row r="22" spans="1:11" ht="12.75">
      <c r="A22" s="177" t="str">
        <f>CONCATENATE(A21,".1")</f>
        <v>4.1</v>
      </c>
      <c r="B22" s="177"/>
      <c r="C22" s="177"/>
      <c r="D22" s="177" t="s">
        <v>242</v>
      </c>
      <c r="E22" s="177"/>
      <c r="F22" s="178"/>
      <c r="G22" s="179"/>
      <c r="H22" s="179"/>
      <c r="I22" s="180">
        <f>I23</f>
        <v>61.38</v>
      </c>
      <c r="J22" s="196">
        <f t="shared" si="1"/>
        <v>8.301578690310055E-05</v>
      </c>
      <c r="K22" s="197">
        <f t="shared" si="0"/>
        <v>0</v>
      </c>
    </row>
    <row r="23" spans="1:11" ht="26.25">
      <c r="A23" s="182" t="str">
        <f>CONCATENATE(A22,".1")</f>
        <v>4.1.1</v>
      </c>
      <c r="B23" s="183" t="s">
        <v>124</v>
      </c>
      <c r="C23" s="182" t="s">
        <v>2</v>
      </c>
      <c r="D23" s="182" t="s">
        <v>128</v>
      </c>
      <c r="E23" s="184" t="s">
        <v>0</v>
      </c>
      <c r="F23" s="185">
        <f>MC!E73</f>
        <v>409.20000000000005</v>
      </c>
      <c r="G23" s="186">
        <f>G15</f>
        <v>0.12</v>
      </c>
      <c r="H23" s="186">
        <f>H15</f>
        <v>0.15</v>
      </c>
      <c r="I23" s="186">
        <f>ROUND(H23*F23,2)</f>
        <v>61.38</v>
      </c>
      <c r="J23" s="187">
        <f t="shared" si="1"/>
        <v>8.301578690310055E-05</v>
      </c>
      <c r="K23" s="197">
        <f t="shared" si="0"/>
        <v>49</v>
      </c>
    </row>
    <row r="24" spans="1:11" ht="12.75">
      <c r="A24" s="177" t="str">
        <f>CONCATENATE(A21,".2")</f>
        <v>4.2</v>
      </c>
      <c r="B24" s="177"/>
      <c r="C24" s="177"/>
      <c r="D24" s="177" t="s">
        <v>224</v>
      </c>
      <c r="E24" s="177"/>
      <c r="F24" s="178"/>
      <c r="G24" s="179"/>
      <c r="H24" s="179"/>
      <c r="I24" s="180">
        <f>I25</f>
        <v>46910.23</v>
      </c>
      <c r="J24" s="196">
        <f t="shared" si="1"/>
        <v>0.06344557929709081</v>
      </c>
      <c r="K24" s="197">
        <f t="shared" si="0"/>
        <v>0</v>
      </c>
    </row>
    <row r="25" spans="1:11" ht="52.5">
      <c r="A25" s="182" t="str">
        <f>CONCATENATE(A24,".1")</f>
        <v>4.2.1</v>
      </c>
      <c r="B25" s="183" t="s">
        <v>294</v>
      </c>
      <c r="C25" s="182" t="s">
        <v>89</v>
      </c>
      <c r="D25" s="182" t="s">
        <v>243</v>
      </c>
      <c r="E25" s="184" t="s">
        <v>0</v>
      </c>
      <c r="F25" s="185">
        <f>F23</f>
        <v>409.20000000000005</v>
      </c>
      <c r="G25" s="186">
        <f>G17</f>
        <v>96.97</v>
      </c>
      <c r="H25" s="186">
        <f>H17</f>
        <v>114.63889</v>
      </c>
      <c r="I25" s="186">
        <f>ROUND(H25*F25,2)</f>
        <v>46910.23</v>
      </c>
      <c r="J25" s="187">
        <f t="shared" si="1"/>
        <v>0.06344557929709081</v>
      </c>
      <c r="K25" s="197">
        <f t="shared" si="0"/>
        <v>39680</v>
      </c>
    </row>
    <row r="26" spans="1:11" ht="12.75">
      <c r="A26" s="177" t="str">
        <f>CONCATENATE(A21,".3")</f>
        <v>4.3</v>
      </c>
      <c r="B26" s="219"/>
      <c r="C26" s="177"/>
      <c r="D26" s="177" t="s">
        <v>244</v>
      </c>
      <c r="E26" s="177"/>
      <c r="F26" s="178"/>
      <c r="G26" s="179"/>
      <c r="H26" s="179"/>
      <c r="I26" s="180">
        <f>I27+I28</f>
        <v>8907.92</v>
      </c>
      <c r="J26" s="196">
        <f t="shared" si="1"/>
        <v>0.012047865566469002</v>
      </c>
      <c r="K26" s="197">
        <f t="shared" si="0"/>
        <v>0</v>
      </c>
    </row>
    <row r="27" spans="1:11" ht="66">
      <c r="A27" s="182" t="str">
        <f>CONCATENATE(A26,".1")</f>
        <v>4.3.1</v>
      </c>
      <c r="B27" s="183" t="s">
        <v>125</v>
      </c>
      <c r="C27" s="182" t="s">
        <v>2</v>
      </c>
      <c r="D27" s="182" t="s">
        <v>126</v>
      </c>
      <c r="E27" s="184" t="s">
        <v>90</v>
      </c>
      <c r="F27" s="185">
        <f>MC!E89</f>
        <v>142.4</v>
      </c>
      <c r="G27" s="186">
        <f>G19</f>
        <v>37.16</v>
      </c>
      <c r="H27" s="186">
        <f>H19</f>
        <v>47.67999999999999</v>
      </c>
      <c r="I27" s="186">
        <f>ROUND(H27*F27,2)</f>
        <v>6789.63</v>
      </c>
      <c r="J27" s="187">
        <f t="shared" si="1"/>
        <v>0.009182901225658171</v>
      </c>
      <c r="K27" s="197">
        <f t="shared" si="0"/>
        <v>5292</v>
      </c>
    </row>
    <row r="28" spans="1:11" ht="39">
      <c r="A28" s="182" t="str">
        <f>CONCATENATE(A26,".2")</f>
        <v>4.3.2</v>
      </c>
      <c r="B28" s="183" t="s">
        <v>295</v>
      </c>
      <c r="C28" s="182" t="s">
        <v>89</v>
      </c>
      <c r="D28" s="182" t="s">
        <v>274</v>
      </c>
      <c r="E28" s="184" t="s">
        <v>90</v>
      </c>
      <c r="F28" s="185">
        <f>MC!E97</f>
        <v>136.4</v>
      </c>
      <c r="G28" s="186">
        <f>G20</f>
        <v>12.1</v>
      </c>
      <c r="H28" s="186">
        <f>H20</f>
        <v>15.53</v>
      </c>
      <c r="I28" s="186">
        <f>ROUND(H28*F28,2)</f>
        <v>2118.29</v>
      </c>
      <c r="J28" s="187">
        <f t="shared" si="1"/>
        <v>0.0028649643408108316</v>
      </c>
      <c r="K28" s="197">
        <f t="shared" si="0"/>
        <v>1650</v>
      </c>
    </row>
    <row r="29" spans="1:13" ht="12.75">
      <c r="A29" s="177">
        <v>5</v>
      </c>
      <c r="B29" s="177"/>
      <c r="C29" s="177"/>
      <c r="D29" s="246" t="str">
        <f>MC!B104</f>
        <v>RUA 02 - ASSENTAMENTO IRMÃ DOROTH</v>
      </c>
      <c r="E29" s="177"/>
      <c r="F29" s="178"/>
      <c r="G29" s="179"/>
      <c r="H29" s="179"/>
      <c r="I29" s="180">
        <f>I30+I32+I34</f>
        <v>286311.72</v>
      </c>
      <c r="J29" s="181">
        <f t="shared" si="1"/>
        <v>0.3872335082336296</v>
      </c>
      <c r="K29" s="197">
        <f t="shared" si="0"/>
        <v>0</v>
      </c>
      <c r="L29" s="176" t="e">
        <f>F35+#REF!+#REF!+#REF!+#REF!+#REF!+#REF!+#REF!+#REF!</f>
        <v>#REF!</v>
      </c>
      <c r="M29" s="176" t="e">
        <f>L29*0.4</f>
        <v>#REF!</v>
      </c>
    </row>
    <row r="30" spans="1:11" ht="12.75">
      <c r="A30" s="177" t="str">
        <f>CONCATENATE(A29,".1")</f>
        <v>5.1</v>
      </c>
      <c r="B30" s="177"/>
      <c r="C30" s="177"/>
      <c r="D30" s="177" t="s">
        <v>242</v>
      </c>
      <c r="E30" s="177"/>
      <c r="F30" s="178"/>
      <c r="G30" s="179"/>
      <c r="H30" s="179"/>
      <c r="I30" s="180">
        <f>I31</f>
        <v>315.9</v>
      </c>
      <c r="J30" s="196">
        <f t="shared" si="1"/>
        <v>0.0004272513372872183</v>
      </c>
      <c r="K30" s="197">
        <f t="shared" si="0"/>
        <v>0</v>
      </c>
    </row>
    <row r="31" spans="1:11" ht="26.25">
      <c r="A31" s="182" t="str">
        <f>CONCATENATE(A30,".1")</f>
        <v>5.1.1</v>
      </c>
      <c r="B31" s="183" t="s">
        <v>124</v>
      </c>
      <c r="C31" s="182" t="s">
        <v>2</v>
      </c>
      <c r="D31" s="182" t="s">
        <v>128</v>
      </c>
      <c r="E31" s="184" t="s">
        <v>0</v>
      </c>
      <c r="F31" s="185">
        <f>MC!E118</f>
        <v>2106</v>
      </c>
      <c r="G31" s="186">
        <f>G23</f>
        <v>0.12</v>
      </c>
      <c r="H31" s="186">
        <f>H23</f>
        <v>0.15</v>
      </c>
      <c r="I31" s="186">
        <f>ROUND(H31*F31,2)</f>
        <v>315.9</v>
      </c>
      <c r="J31" s="187">
        <f t="shared" si="1"/>
        <v>0.0004272513372872183</v>
      </c>
      <c r="K31" s="197">
        <f t="shared" si="0"/>
        <v>253</v>
      </c>
    </row>
    <row r="32" spans="1:11" ht="12.75">
      <c r="A32" s="177" t="str">
        <f>CONCATENATE(A29,".2")</f>
        <v>5.2</v>
      </c>
      <c r="B32" s="177"/>
      <c r="C32" s="177"/>
      <c r="D32" s="177" t="s">
        <v>224</v>
      </c>
      <c r="E32" s="177"/>
      <c r="F32" s="178"/>
      <c r="G32" s="179"/>
      <c r="H32" s="179"/>
      <c r="I32" s="180">
        <f>I33</f>
        <v>241429.5</v>
      </c>
      <c r="J32" s="196">
        <f t="shared" si="1"/>
        <v>0.3265307905526574</v>
      </c>
      <c r="K32" s="197">
        <f t="shared" si="0"/>
        <v>0</v>
      </c>
    </row>
    <row r="33" spans="1:11" ht="52.5">
      <c r="A33" s="182" t="str">
        <f>CONCATENATE(A32,".1")</f>
        <v>5.2.1</v>
      </c>
      <c r="B33" s="183" t="s">
        <v>294</v>
      </c>
      <c r="C33" s="182" t="s">
        <v>89</v>
      </c>
      <c r="D33" s="182" t="s">
        <v>243</v>
      </c>
      <c r="E33" s="184" t="s">
        <v>0</v>
      </c>
      <c r="F33" s="185">
        <f>F31</f>
        <v>2106</v>
      </c>
      <c r="G33" s="186">
        <f>G25</f>
        <v>96.97</v>
      </c>
      <c r="H33" s="186">
        <f>H25</f>
        <v>114.63889</v>
      </c>
      <c r="I33" s="186">
        <f>ROUND(H33*F33,2)</f>
        <v>241429.5</v>
      </c>
      <c r="J33" s="187">
        <f t="shared" si="1"/>
        <v>0.3265307905526574</v>
      </c>
      <c r="K33" s="197">
        <f t="shared" si="0"/>
        <v>204219</v>
      </c>
    </row>
    <row r="34" spans="1:11" ht="12.75">
      <c r="A34" s="177" t="str">
        <f>CONCATENATE(A29,".3")</f>
        <v>5.3</v>
      </c>
      <c r="B34" s="219"/>
      <c r="C34" s="177"/>
      <c r="D34" s="177" t="s">
        <v>244</v>
      </c>
      <c r="E34" s="177"/>
      <c r="F34" s="178"/>
      <c r="G34" s="179"/>
      <c r="H34" s="179"/>
      <c r="I34" s="180">
        <f>I35+I36</f>
        <v>44566.32</v>
      </c>
      <c r="J34" s="196">
        <f t="shared" si="1"/>
        <v>0.06027546634368504</v>
      </c>
      <c r="K34" s="197">
        <f t="shared" si="0"/>
        <v>0</v>
      </c>
    </row>
    <row r="35" spans="1:11" ht="66">
      <c r="A35" s="182" t="str">
        <f>CONCATENATE(A34,".1")</f>
        <v>5.3.1</v>
      </c>
      <c r="B35" s="183" t="s">
        <v>125</v>
      </c>
      <c r="C35" s="182" t="s">
        <v>2</v>
      </c>
      <c r="D35" s="182" t="s">
        <v>126</v>
      </c>
      <c r="E35" s="184" t="s">
        <v>90</v>
      </c>
      <c r="F35" s="185">
        <f>MC!E134</f>
        <v>708</v>
      </c>
      <c r="G35" s="186">
        <f>G27</f>
        <v>37.16</v>
      </c>
      <c r="H35" s="186">
        <f>H27</f>
        <v>47.67999999999999</v>
      </c>
      <c r="I35" s="186">
        <f>ROUND(H35*F35,2)</f>
        <v>33757.44</v>
      </c>
      <c r="J35" s="187">
        <f t="shared" si="1"/>
        <v>0.0456565729135582</v>
      </c>
      <c r="K35" s="197">
        <f t="shared" si="0"/>
        <v>26309</v>
      </c>
    </row>
    <row r="36" spans="1:15" ht="39">
      <c r="A36" s="182" t="str">
        <f>CONCATENATE(A34,".2")</f>
        <v>5.3.2</v>
      </c>
      <c r="B36" s="183" t="s">
        <v>295</v>
      </c>
      <c r="C36" s="182" t="s">
        <v>89</v>
      </c>
      <c r="D36" s="182" t="s">
        <v>274</v>
      </c>
      <c r="E36" s="184" t="s">
        <v>90</v>
      </c>
      <c r="F36" s="185">
        <f>MC!E143</f>
        <v>696</v>
      </c>
      <c r="G36" s="186">
        <f>G28</f>
        <v>12.1</v>
      </c>
      <c r="H36" s="186">
        <f>H28</f>
        <v>15.53</v>
      </c>
      <c r="I36" s="186">
        <f>ROUND(H36*F36,2)</f>
        <v>10808.88</v>
      </c>
      <c r="J36" s="187">
        <f t="shared" si="1"/>
        <v>0.014618893430126838</v>
      </c>
      <c r="K36" s="197">
        <f t="shared" si="0"/>
        <v>8422</v>
      </c>
      <c r="N36" s="260"/>
      <c r="O36" s="212"/>
    </row>
    <row r="37" spans="1:15" ht="12.75">
      <c r="A37" s="188"/>
      <c r="B37" s="188"/>
      <c r="C37" s="188"/>
      <c r="D37" s="188"/>
      <c r="E37" s="188"/>
      <c r="F37" s="189"/>
      <c r="G37" s="190"/>
      <c r="H37" s="190"/>
      <c r="I37" s="190"/>
      <c r="J37" s="188"/>
      <c r="K37" s="198">
        <f>SUM(K10:K36)</f>
        <v>615937</v>
      </c>
      <c r="M37" s="212"/>
      <c r="O37" s="212"/>
    </row>
    <row r="38" spans="1:10" ht="12.75">
      <c r="A38" s="296"/>
      <c r="B38" s="296"/>
      <c r="C38" s="296"/>
      <c r="D38" s="191"/>
      <c r="E38" s="192"/>
      <c r="F38" s="297" t="s">
        <v>72</v>
      </c>
      <c r="G38" s="298"/>
      <c r="H38" s="295">
        <f>K37</f>
        <v>615937</v>
      </c>
      <c r="I38" s="295"/>
      <c r="J38" s="295"/>
    </row>
    <row r="39" spans="1:10" ht="12.75">
      <c r="A39" s="296"/>
      <c r="B39" s="296"/>
      <c r="C39" s="296"/>
      <c r="D39" s="191"/>
      <c r="E39" s="192"/>
      <c r="F39" s="297" t="s">
        <v>73</v>
      </c>
      <c r="G39" s="298"/>
      <c r="H39" s="295">
        <f>H40-H38</f>
        <v>123440.43999999994</v>
      </c>
      <c r="I39" s="295"/>
      <c r="J39" s="295"/>
    </row>
    <row r="40" spans="1:11" ht="12.75">
      <c r="A40" s="296"/>
      <c r="B40" s="296"/>
      <c r="C40" s="296"/>
      <c r="D40" s="191"/>
      <c r="E40" s="192"/>
      <c r="F40" s="297" t="s">
        <v>74</v>
      </c>
      <c r="G40" s="298"/>
      <c r="H40" s="295">
        <f>I29+I21+I13+I11+I9</f>
        <v>739377.44</v>
      </c>
      <c r="I40" s="295"/>
      <c r="J40" s="295"/>
      <c r="K40" s="224"/>
    </row>
    <row r="42" ht="12.75" hidden="1">
      <c r="K42" s="176">
        <f>+F31+F23+F15</f>
        <v>5204.7</v>
      </c>
    </row>
    <row r="43" ht="12.75" hidden="1"/>
    <row r="44" spans="8:13" ht="12.75" hidden="1">
      <c r="H44" s="295">
        <v>1036600.85</v>
      </c>
      <c r="I44" s="295"/>
      <c r="J44" s="295"/>
      <c r="K44" s="224">
        <f>H44/O15</f>
        <v>199.16630161200453</v>
      </c>
      <c r="M44" s="212">
        <f>H40/5204.7</f>
        <v>142.05956923549869</v>
      </c>
    </row>
    <row r="45" ht="12.75" hidden="1"/>
    <row r="46" ht="12.75" hidden="1"/>
    <row r="47" ht="12.75" hidden="1"/>
    <row r="48" ht="12.75" hidden="1"/>
    <row r="49" ht="12.75" hidden="1"/>
    <row r="50" ht="12.75" hidden="1"/>
    <row r="51" spans="6:8" ht="12.75" hidden="1">
      <c r="F51" s="194">
        <v>250</v>
      </c>
      <c r="G51" s="226">
        <v>6</v>
      </c>
      <c r="H51" s="226">
        <f>F51*G51</f>
        <v>1500</v>
      </c>
    </row>
    <row r="52" spans="6:8" ht="12.75" hidden="1">
      <c r="F52" s="194">
        <v>224</v>
      </c>
      <c r="G52" s="226">
        <v>6</v>
      </c>
      <c r="H52" s="226">
        <f>F52*G52</f>
        <v>1344</v>
      </c>
    </row>
    <row r="53" spans="6:8" ht="12.75" hidden="1">
      <c r="F53" s="194">
        <v>103</v>
      </c>
      <c r="G53" s="226">
        <v>6</v>
      </c>
      <c r="H53" s="226">
        <f>F53*G53</f>
        <v>618</v>
      </c>
    </row>
    <row r="54" spans="6:8" ht="12.75" hidden="1">
      <c r="F54" s="194">
        <v>368</v>
      </c>
      <c r="G54" s="226">
        <v>6</v>
      </c>
      <c r="H54" s="226">
        <f>F54*G54</f>
        <v>2208</v>
      </c>
    </row>
    <row r="55" spans="7:8" ht="12.75" hidden="1">
      <c r="G55" s="226"/>
      <c r="H55" s="226"/>
    </row>
    <row r="56" ht="12.75" hidden="1">
      <c r="H56" s="195">
        <f>SUM(H51:H54)</f>
        <v>5670</v>
      </c>
    </row>
    <row r="57" ht="12.75" hidden="1">
      <c r="H57" s="195">
        <f>H56*K44</f>
        <v>1129272.9301400657</v>
      </c>
    </row>
  </sheetData>
  <sheetProtection/>
  <mergeCells count="15">
    <mergeCell ref="A3:J3"/>
    <mergeCell ref="A4:J4"/>
    <mergeCell ref="A5:J5"/>
    <mergeCell ref="A7:J7"/>
    <mergeCell ref="A6:J6"/>
    <mergeCell ref="H44:J44"/>
    <mergeCell ref="A40:C40"/>
    <mergeCell ref="F40:G40"/>
    <mergeCell ref="H40:J40"/>
    <mergeCell ref="A38:C38"/>
    <mergeCell ref="F38:G38"/>
    <mergeCell ref="H38:J38"/>
    <mergeCell ref="A39:C39"/>
    <mergeCell ref="F39:G39"/>
    <mergeCell ref="H39:J39"/>
  </mergeCells>
  <printOptions horizontalCentered="1"/>
  <pageMargins left="0.4724409448818898" right="0.3937007874015748" top="1.8447916666666666" bottom="0.7874015748031497" header="0" footer="0"/>
  <pageSetup fitToHeight="0" fitToWidth="1" horizontalDpi="600" verticalDpi="600" orientation="portrait" paperSize="9" scale="55" r:id="rId2"/>
  <headerFooter alignWithMargins="0">
    <oddHeader>&amp;C
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3"/>
    </sheetView>
  </sheetViews>
  <sheetFormatPr defaultColWidth="9.140625" defaultRowHeight="12.75"/>
  <cols>
    <col min="1" max="1" width="52.28125" style="0" bestFit="1" customWidth="1"/>
    <col min="2" max="3" width="9.28125" style="0" bestFit="1" customWidth="1"/>
    <col min="4" max="4" width="10.28125" style="0" bestFit="1" customWidth="1"/>
  </cols>
  <sheetData>
    <row r="1" spans="1:4" ht="19.5" customHeight="1">
      <c r="A1" s="312" t="s">
        <v>291</v>
      </c>
      <c r="B1" s="312"/>
      <c r="C1" s="312"/>
      <c r="D1" s="312"/>
    </row>
    <row r="2" spans="1:4" ht="19.5" customHeight="1">
      <c r="A2" s="220" t="s">
        <v>297</v>
      </c>
      <c r="B2" s="220" t="s">
        <v>298</v>
      </c>
      <c r="C2" s="220" t="s">
        <v>299</v>
      </c>
      <c r="D2" s="220" t="s">
        <v>223</v>
      </c>
    </row>
    <row r="3" spans="1:4" ht="12.75">
      <c r="A3" s="221" t="str">
        <f>'CRON.'!B15</f>
        <v>RUA 01 - ASSENTAMENTO IRAJÁ</v>
      </c>
      <c r="B3" s="222">
        <f>MC!B16</f>
        <v>489</v>
      </c>
      <c r="C3" s="222">
        <v>6</v>
      </c>
      <c r="D3" s="222">
        <f>ROUND(B3*C3,2)</f>
        <v>2934</v>
      </c>
    </row>
    <row r="4" spans="1:4" ht="12.75">
      <c r="A4" s="221" t="str">
        <f>'CRON.'!B17</f>
        <v>RUA 01 - ASSENTAMENTO IRMÃ DOROTH</v>
      </c>
      <c r="B4" s="222">
        <f>MC!B61</f>
        <v>68.2</v>
      </c>
      <c r="C4" s="222">
        <v>6</v>
      </c>
      <c r="D4" s="222">
        <f aca="true" t="shared" si="0" ref="D4:D12">ROUND(B4*C4,2)</f>
        <v>409.2</v>
      </c>
    </row>
    <row r="5" spans="1:4" ht="12.75">
      <c r="A5" s="221" t="str">
        <f>'CRON.'!B19</f>
        <v>RUA 02 - ASSENTAMENTO IRMÃ DOROTH</v>
      </c>
      <c r="B5" s="222">
        <f>MC!B106</f>
        <v>351</v>
      </c>
      <c r="C5" s="222">
        <v>6</v>
      </c>
      <c r="D5" s="222">
        <f t="shared" si="0"/>
        <v>2106</v>
      </c>
    </row>
    <row r="6" spans="1:4" ht="12.75">
      <c r="A6" s="221" t="e">
        <f>'CRON.'!#REF!</f>
        <v>#REF!</v>
      </c>
      <c r="B6" s="222" t="e">
        <f>MC!#REF!</f>
        <v>#REF!</v>
      </c>
      <c r="C6" s="222">
        <v>6</v>
      </c>
      <c r="D6" s="222" t="e">
        <f t="shared" si="0"/>
        <v>#REF!</v>
      </c>
    </row>
    <row r="7" spans="1:4" ht="12.75">
      <c r="A7" s="221" t="e">
        <f>'CRON.'!#REF!</f>
        <v>#REF!</v>
      </c>
      <c r="B7" s="222" t="e">
        <f>MC!#REF!</f>
        <v>#REF!</v>
      </c>
      <c r="C7" s="222">
        <v>6</v>
      </c>
      <c r="D7" s="222" t="e">
        <f t="shared" si="0"/>
        <v>#REF!</v>
      </c>
    </row>
    <row r="8" spans="1:4" ht="12.75">
      <c r="A8" s="221" t="e">
        <f>'CRON.'!#REF!</f>
        <v>#REF!</v>
      </c>
      <c r="B8" s="222" t="e">
        <f>MC!#REF!</f>
        <v>#REF!</v>
      </c>
      <c r="C8" s="222">
        <v>6</v>
      </c>
      <c r="D8" s="222" t="e">
        <f t="shared" si="0"/>
        <v>#REF!</v>
      </c>
    </row>
    <row r="9" spans="1:4" ht="12.75">
      <c r="A9" s="221" t="e">
        <f>'CRON.'!#REF!</f>
        <v>#REF!</v>
      </c>
      <c r="B9" s="222" t="e">
        <f>MC!#REF!</f>
        <v>#REF!</v>
      </c>
      <c r="C9" s="222">
        <v>6</v>
      </c>
      <c r="D9" s="222" t="e">
        <f t="shared" si="0"/>
        <v>#REF!</v>
      </c>
    </row>
    <row r="10" spans="1:4" ht="12.75">
      <c r="A10" s="221" t="e">
        <f>'CRON.'!#REF!</f>
        <v>#REF!</v>
      </c>
      <c r="B10" s="222" t="e">
        <f>MC!#REF!</f>
        <v>#REF!</v>
      </c>
      <c r="C10" s="222">
        <v>6</v>
      </c>
      <c r="D10" s="222" t="e">
        <f t="shared" si="0"/>
        <v>#REF!</v>
      </c>
    </row>
    <row r="11" spans="1:4" ht="12.75">
      <c r="A11" s="221" t="e">
        <f>'CRON.'!#REF!</f>
        <v>#REF!</v>
      </c>
      <c r="B11" s="222" t="e">
        <f>MC!#REF!</f>
        <v>#REF!</v>
      </c>
      <c r="C11" s="222">
        <v>6</v>
      </c>
      <c r="D11" s="222" t="e">
        <f t="shared" si="0"/>
        <v>#REF!</v>
      </c>
    </row>
    <row r="12" spans="1:4" ht="12.75">
      <c r="A12" s="221" t="e">
        <f>'CRON.'!#REF!</f>
        <v>#REF!</v>
      </c>
      <c r="B12" s="222" t="e">
        <f>MC!#REF!</f>
        <v>#REF!</v>
      </c>
      <c r="C12" s="222">
        <v>6</v>
      </c>
      <c r="D12" s="222" t="e">
        <f t="shared" si="0"/>
        <v>#REF!</v>
      </c>
    </row>
    <row r="13" spans="1:4" ht="21" customHeight="1">
      <c r="A13" s="313" t="s">
        <v>300</v>
      </c>
      <c r="B13" s="314"/>
      <c r="C13" s="315"/>
      <c r="D13" s="223" t="e">
        <f>SUM(D3:D12)</f>
        <v>#REF!</v>
      </c>
    </row>
  </sheetData>
  <sheetProtection/>
  <mergeCells count="2">
    <mergeCell ref="A1:D1"/>
    <mergeCell ref="A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48"/>
  <sheetViews>
    <sheetView zoomScaleSheetLayoutView="145" workbookViewId="0" topLeftCell="A1">
      <selection activeCell="A7" sqref="A7:G7"/>
    </sheetView>
  </sheetViews>
  <sheetFormatPr defaultColWidth="9.140625" defaultRowHeight="12.75"/>
  <cols>
    <col min="1" max="1" width="16.00390625" style="0" customWidth="1"/>
    <col min="4" max="4" width="12.00390625" style="0" customWidth="1"/>
    <col min="6" max="6" width="9.140625" style="0" customWidth="1"/>
    <col min="7" max="7" width="27.421875" style="0" customWidth="1"/>
    <col min="9" max="9" width="9.140625" style="0" bestFit="1" customWidth="1"/>
    <col min="11" max="11" width="9.140625" style="0" bestFit="1" customWidth="1"/>
  </cols>
  <sheetData>
    <row r="3" spans="1:7" ht="12.75">
      <c r="A3" s="283" t="s">
        <v>313</v>
      </c>
      <c r="B3" s="283"/>
      <c r="C3" s="283"/>
      <c r="D3" s="283"/>
      <c r="E3" s="283"/>
      <c r="F3" s="283"/>
      <c r="G3" s="283"/>
    </row>
    <row r="4" spans="1:7" ht="34.5" customHeight="1">
      <c r="A4" s="284" t="s">
        <v>311</v>
      </c>
      <c r="B4" s="284"/>
      <c r="C4" s="284"/>
      <c r="D4" s="284"/>
      <c r="E4" s="284"/>
      <c r="F4" s="284"/>
      <c r="G4" s="284"/>
    </row>
    <row r="5" spans="1:7" ht="27" customHeight="1">
      <c r="A5" s="284" t="str">
        <f>RESUMO!A5</f>
        <v>BDI: 28,32% - COM DESONERAÇÃO - BDI DIFERENCIADO: 11,10% - ENCARGOS SOCIAIS: 84,59% HORISTA - 47,20% MENSALISTA</v>
      </c>
      <c r="B5" s="284"/>
      <c r="C5" s="284"/>
      <c r="D5" s="284"/>
      <c r="E5" s="284"/>
      <c r="F5" s="284"/>
      <c r="G5" s="284"/>
    </row>
    <row r="6" spans="1:7" ht="12.75">
      <c r="A6" s="285" t="str">
        <f>RESUMO!A6</f>
        <v>FONTES: SINAPI - 03/2023 - Piauí - ORSE - 03/2023 - Sergipe</v>
      </c>
      <c r="B6" s="285"/>
      <c r="C6" s="285"/>
      <c r="D6" s="285"/>
      <c r="E6" s="285"/>
      <c r="F6" s="285"/>
      <c r="G6" s="285"/>
    </row>
    <row r="7" spans="1:7" ht="12.75">
      <c r="A7" s="337" t="s">
        <v>238</v>
      </c>
      <c r="B7" s="337"/>
      <c r="C7" s="337"/>
      <c r="D7" s="337"/>
      <c r="E7" s="337"/>
      <c r="F7" s="337"/>
      <c r="G7" s="337"/>
    </row>
    <row r="8" spans="1:7" ht="12.75">
      <c r="A8" s="324" t="s">
        <v>266</v>
      </c>
      <c r="B8" s="324"/>
      <c r="C8" s="324"/>
      <c r="D8" s="324"/>
      <c r="E8" s="324"/>
      <c r="F8" s="324"/>
      <c r="G8" s="324"/>
    </row>
    <row r="9" spans="1:7" ht="12.75">
      <c r="A9" s="156" t="s">
        <v>267</v>
      </c>
      <c r="B9" s="155">
        <v>3.6</v>
      </c>
      <c r="C9" s="154" t="s">
        <v>218</v>
      </c>
      <c r="D9" s="156" t="s">
        <v>268</v>
      </c>
      <c r="E9" s="155">
        <v>1.8</v>
      </c>
      <c r="F9" s="154" t="s">
        <v>218</v>
      </c>
      <c r="G9" s="152" t="s">
        <v>271</v>
      </c>
    </row>
    <row r="10" spans="1:7" ht="12.75">
      <c r="A10" s="331"/>
      <c r="B10" s="332"/>
      <c r="C10" s="332"/>
      <c r="D10" s="332"/>
      <c r="E10" s="332"/>
      <c r="F10" s="332"/>
      <c r="G10" s="333"/>
    </row>
    <row r="11" spans="1:7" ht="12.75">
      <c r="A11" s="324" t="s">
        <v>269</v>
      </c>
      <c r="B11" s="324"/>
      <c r="C11" s="324"/>
      <c r="D11" s="324"/>
      <c r="E11" s="324"/>
      <c r="F11" s="324"/>
      <c r="G11" s="324"/>
    </row>
    <row r="12" spans="1:7" ht="12.75">
      <c r="A12" s="331"/>
      <c r="B12" s="333"/>
      <c r="C12" s="335" t="s">
        <v>270</v>
      </c>
      <c r="D12" s="336"/>
      <c r="E12" s="155">
        <v>3</v>
      </c>
      <c r="F12" s="154" t="s">
        <v>241</v>
      </c>
      <c r="G12" s="152"/>
    </row>
    <row r="13" spans="1:7" ht="12.75">
      <c r="A13" s="331"/>
      <c r="B13" s="332"/>
      <c r="C13" s="332"/>
      <c r="D13" s="332"/>
      <c r="E13" s="332"/>
      <c r="F13" s="332"/>
      <c r="G13" s="333"/>
    </row>
    <row r="14" spans="1:11" ht="12.75">
      <c r="A14" s="157" t="s">
        <v>203</v>
      </c>
      <c r="B14" s="334" t="s">
        <v>301</v>
      </c>
      <c r="C14" s="328"/>
      <c r="D14" s="328"/>
      <c r="E14" s="328"/>
      <c r="F14" s="328"/>
      <c r="G14" s="328"/>
      <c r="H14" s="100"/>
      <c r="I14" s="100"/>
      <c r="J14" s="100"/>
      <c r="K14" s="100"/>
    </row>
    <row r="15" spans="1:11" ht="12.75">
      <c r="A15" s="157" t="s">
        <v>204</v>
      </c>
      <c r="B15" s="328" t="s">
        <v>302</v>
      </c>
      <c r="C15" s="328"/>
      <c r="D15" s="328"/>
      <c r="E15" s="328"/>
      <c r="F15" s="328"/>
      <c r="G15" s="328"/>
      <c r="H15" s="100"/>
      <c r="I15" s="100"/>
      <c r="J15" s="100"/>
      <c r="K15" s="100"/>
    </row>
    <row r="16" spans="1:11" ht="12.75">
      <c r="A16" s="157" t="s">
        <v>205</v>
      </c>
      <c r="B16" s="323">
        <v>489</v>
      </c>
      <c r="C16" s="323"/>
      <c r="D16" s="323"/>
      <c r="E16" s="157" t="s">
        <v>155</v>
      </c>
      <c r="F16" s="323">
        <v>5.5</v>
      </c>
      <c r="G16" s="328"/>
      <c r="H16" s="100"/>
      <c r="I16" s="100"/>
      <c r="J16" s="100"/>
      <c r="K16" s="100"/>
    </row>
    <row r="17" spans="1:11" ht="12.75">
      <c r="A17" s="329"/>
      <c r="B17" s="329"/>
      <c r="C17" s="329"/>
      <c r="D17" s="329"/>
      <c r="E17" s="329"/>
      <c r="F17" s="329"/>
      <c r="G17" s="329"/>
      <c r="H17" s="100"/>
      <c r="I17" s="100"/>
      <c r="J17" s="100"/>
      <c r="K17" s="100"/>
    </row>
    <row r="18" spans="1:11" ht="24">
      <c r="A18" s="158" t="s">
        <v>206</v>
      </c>
      <c r="B18" s="158" t="s">
        <v>207</v>
      </c>
      <c r="C18" s="158" t="s">
        <v>208</v>
      </c>
      <c r="D18" s="158" t="s">
        <v>209</v>
      </c>
      <c r="E18" s="158" t="s">
        <v>210</v>
      </c>
      <c r="F18" s="158" t="s">
        <v>211</v>
      </c>
      <c r="G18" s="158" t="s">
        <v>212</v>
      </c>
      <c r="H18" s="100"/>
      <c r="I18" s="100"/>
      <c r="J18" s="100"/>
      <c r="K18" s="100"/>
    </row>
    <row r="19" spans="1:11" ht="12.75">
      <c r="A19" s="330"/>
      <c r="B19" s="330"/>
      <c r="C19" s="330"/>
      <c r="D19" s="330"/>
      <c r="E19" s="330"/>
      <c r="F19" s="330"/>
      <c r="G19" s="330"/>
      <c r="H19" s="100"/>
      <c r="I19" s="100"/>
      <c r="J19" s="100"/>
      <c r="K19" s="100"/>
    </row>
    <row r="20" spans="1:11" ht="12.75">
      <c r="A20" s="324" t="s">
        <v>213</v>
      </c>
      <c r="B20" s="324"/>
      <c r="C20" s="324"/>
      <c r="D20" s="324"/>
      <c r="E20" s="324"/>
      <c r="F20" s="324"/>
      <c r="G20" s="324"/>
      <c r="H20" s="100"/>
      <c r="I20" s="100"/>
      <c r="J20" s="100"/>
      <c r="K20" s="100"/>
    </row>
    <row r="21" spans="1:11" ht="12.75">
      <c r="A21" s="324"/>
      <c r="B21" s="324"/>
      <c r="C21" s="324"/>
      <c r="D21" s="324"/>
      <c r="E21" s="324"/>
      <c r="F21" s="324"/>
      <c r="G21" s="324"/>
      <c r="H21" s="100"/>
      <c r="I21" s="100"/>
      <c r="J21" s="100"/>
      <c r="K21" s="100"/>
    </row>
    <row r="22" spans="1:11" ht="12.75">
      <c r="A22" s="325" t="s">
        <v>214</v>
      </c>
      <c r="B22" s="325"/>
      <c r="C22" s="325"/>
      <c r="D22" s="325"/>
      <c r="E22" s="325"/>
      <c r="F22" s="325"/>
      <c r="G22" s="325"/>
      <c r="H22" s="100"/>
      <c r="I22" s="100"/>
      <c r="J22" s="148">
        <f>E28+E73+E118</f>
        <v>5204.7</v>
      </c>
      <c r="K22" s="100"/>
    </row>
    <row r="23" spans="1:11" ht="12.75">
      <c r="A23" s="143">
        <f>B16</f>
        <v>489</v>
      </c>
      <c r="B23" s="144">
        <f>F16</f>
        <v>5.5</v>
      </c>
      <c r="C23" s="144"/>
      <c r="D23" s="144">
        <v>1</v>
      </c>
      <c r="E23" s="145">
        <f>A23*B23*D23</f>
        <v>2689.5</v>
      </c>
      <c r="F23" s="146" t="s">
        <v>0</v>
      </c>
      <c r="G23" s="147" t="s">
        <v>215</v>
      </c>
      <c r="H23" s="100"/>
      <c r="I23" s="148"/>
      <c r="J23" s="100"/>
      <c r="K23" s="148"/>
    </row>
    <row r="24" spans="1:11" ht="12.75">
      <c r="A24" s="149">
        <v>3</v>
      </c>
      <c r="B24" s="144">
        <v>6</v>
      </c>
      <c r="C24" s="150"/>
      <c r="D24" s="144">
        <v>0</v>
      </c>
      <c r="E24" s="144">
        <f>ROUND(B24*A24*D24,2)</f>
        <v>0</v>
      </c>
      <c r="F24" s="144" t="s">
        <v>0</v>
      </c>
      <c r="G24" s="147" t="s">
        <v>216</v>
      </c>
      <c r="H24" s="100"/>
      <c r="I24" s="100"/>
      <c r="J24" s="100"/>
      <c r="K24" s="148"/>
    </row>
    <row r="25" spans="1:11" ht="12.75">
      <c r="A25" s="326" t="s">
        <v>217</v>
      </c>
      <c r="B25" s="327"/>
      <c r="C25" s="327"/>
      <c r="D25" s="327"/>
      <c r="E25" s="144">
        <f>SUM(E23:E24)</f>
        <v>2689.5</v>
      </c>
      <c r="F25" s="144" t="s">
        <v>218</v>
      </c>
      <c r="G25" s="147" t="s">
        <v>219</v>
      </c>
      <c r="H25" s="100"/>
      <c r="I25" s="100"/>
      <c r="J25" s="100"/>
      <c r="K25" s="148"/>
    </row>
    <row r="26" spans="1:11" ht="12.75">
      <c r="A26" s="149">
        <v>0</v>
      </c>
      <c r="B26" s="144">
        <v>0</v>
      </c>
      <c r="C26" s="144" t="s">
        <v>220</v>
      </c>
      <c r="D26" s="144">
        <v>0</v>
      </c>
      <c r="E26" s="144">
        <f>A26*B26*D26</f>
        <v>0</v>
      </c>
      <c r="F26" s="144" t="s">
        <v>0</v>
      </c>
      <c r="G26" s="147" t="s">
        <v>221</v>
      </c>
      <c r="H26" s="100"/>
      <c r="I26" s="100"/>
      <c r="J26" s="100"/>
      <c r="K26" s="100"/>
    </row>
    <row r="27" spans="1:11" ht="12.75">
      <c r="A27" s="326" t="s">
        <v>222</v>
      </c>
      <c r="B27" s="327"/>
      <c r="C27" s="327"/>
      <c r="D27" s="327"/>
      <c r="E27" s="144">
        <f>SUM(E26:E26)</f>
        <v>0</v>
      </c>
      <c r="F27" s="144" t="s">
        <v>0</v>
      </c>
      <c r="G27" s="147" t="s">
        <v>219</v>
      </c>
      <c r="H27" s="100"/>
      <c r="I27" s="100"/>
      <c r="J27" s="100"/>
      <c r="K27" s="100"/>
    </row>
    <row r="28" spans="1:8" ht="12.75">
      <c r="A28" s="321" t="s">
        <v>65</v>
      </c>
      <c r="B28" s="322"/>
      <c r="C28" s="322"/>
      <c r="D28" s="322"/>
      <c r="E28" s="79">
        <f>E25-E27</f>
        <v>2689.5</v>
      </c>
      <c r="F28" s="80" t="s">
        <v>0</v>
      </c>
      <c r="G28" s="88" t="s">
        <v>223</v>
      </c>
      <c r="H28" s="1" t="e">
        <f>E28+E73+E118+#REF!+#REF!+#REF!+#REF!+#REF!+#REF!</f>
        <v>#REF!</v>
      </c>
    </row>
    <row r="29" spans="1:7" ht="12.75">
      <c r="A29" s="316"/>
      <c r="B29" s="316"/>
      <c r="C29" s="316"/>
      <c r="D29" s="316"/>
      <c r="E29" s="316"/>
      <c r="F29" s="316"/>
      <c r="G29" s="316"/>
    </row>
    <row r="30" spans="1:7" ht="12.75">
      <c r="A30" s="323" t="s">
        <v>224</v>
      </c>
      <c r="B30" s="323"/>
      <c r="C30" s="323"/>
      <c r="D30" s="323"/>
      <c r="E30" s="323"/>
      <c r="F30" s="323"/>
      <c r="G30" s="323"/>
    </row>
    <row r="31" spans="1:7" ht="12.75">
      <c r="A31" s="316"/>
      <c r="B31" s="316"/>
      <c r="C31" s="316"/>
      <c r="D31" s="316"/>
      <c r="E31" s="316"/>
      <c r="F31" s="316"/>
      <c r="G31" s="316"/>
    </row>
    <row r="32" spans="1:7" ht="12.75">
      <c r="A32" s="316" t="s">
        <v>225</v>
      </c>
      <c r="B32" s="316"/>
      <c r="C32" s="316"/>
      <c r="D32" s="316"/>
      <c r="E32" s="316"/>
      <c r="F32" s="316"/>
      <c r="G32" s="316"/>
    </row>
    <row r="33" spans="1:7" ht="12.75">
      <c r="A33" s="83">
        <f>B16</f>
        <v>489</v>
      </c>
      <c r="B33" s="84"/>
      <c r="C33" s="84"/>
      <c r="D33" s="84">
        <v>2</v>
      </c>
      <c r="E33" s="84">
        <f>A33*D33</f>
        <v>978</v>
      </c>
      <c r="F33" s="84" t="s">
        <v>218</v>
      </c>
      <c r="G33" s="85" t="s">
        <v>226</v>
      </c>
    </row>
    <row r="34" spans="1:7" ht="12.75">
      <c r="A34" s="86">
        <v>5.5</v>
      </c>
      <c r="B34" s="84"/>
      <c r="C34" s="84"/>
      <c r="D34" s="84">
        <v>0</v>
      </c>
      <c r="E34" s="84">
        <f>D34*A34</f>
        <v>0</v>
      </c>
      <c r="F34" s="84" t="s">
        <v>218</v>
      </c>
      <c r="G34" s="85" t="s">
        <v>216</v>
      </c>
    </row>
    <row r="35" spans="1:7" ht="12.75">
      <c r="A35" s="317" t="s">
        <v>227</v>
      </c>
      <c r="B35" s="318"/>
      <c r="C35" s="318"/>
      <c r="D35" s="318"/>
      <c r="E35" s="87">
        <f>SUM(E33:E34)</f>
        <v>978</v>
      </c>
      <c r="F35" s="87" t="s">
        <v>218</v>
      </c>
      <c r="G35" s="85" t="s">
        <v>219</v>
      </c>
    </row>
    <row r="36" spans="1:7" ht="12.75">
      <c r="A36" s="86">
        <v>6</v>
      </c>
      <c r="B36" s="318" t="s">
        <v>220</v>
      </c>
      <c r="C36" s="318"/>
      <c r="D36" s="84">
        <v>0</v>
      </c>
      <c r="E36" s="84">
        <f>ROUND(D36*A36,2)</f>
        <v>0</v>
      </c>
      <c r="F36" s="84" t="s">
        <v>218</v>
      </c>
      <c r="G36" s="89" t="s">
        <v>228</v>
      </c>
    </row>
    <row r="37" spans="1:7" ht="12.75">
      <c r="A37" s="317" t="s">
        <v>229</v>
      </c>
      <c r="B37" s="318"/>
      <c r="C37" s="318"/>
      <c r="D37" s="318"/>
      <c r="E37" s="87">
        <f>SUM(E36:E36)</f>
        <v>0</v>
      </c>
      <c r="F37" s="87" t="s">
        <v>218</v>
      </c>
      <c r="G37" s="85" t="s">
        <v>219</v>
      </c>
    </row>
    <row r="38" spans="1:7" ht="12.75">
      <c r="A38" s="321" t="s">
        <v>65</v>
      </c>
      <c r="B38" s="322"/>
      <c r="C38" s="322"/>
      <c r="D38" s="322"/>
      <c r="E38" s="79">
        <f>SUM(E35-E37)</f>
        <v>978</v>
      </c>
      <c r="F38" s="80" t="s">
        <v>218</v>
      </c>
      <c r="G38" s="88" t="s">
        <v>230</v>
      </c>
    </row>
    <row r="39" spans="1:7" ht="12.75">
      <c r="A39" s="316"/>
      <c r="B39" s="316"/>
      <c r="C39" s="316"/>
      <c r="D39" s="316"/>
      <c r="E39" s="316"/>
      <c r="F39" s="316"/>
      <c r="G39" s="316"/>
    </row>
    <row r="40" spans="1:7" ht="12.75">
      <c r="A40" s="316" t="s">
        <v>231</v>
      </c>
      <c r="B40" s="316"/>
      <c r="C40" s="316"/>
      <c r="D40" s="316"/>
      <c r="E40" s="316"/>
      <c r="F40" s="316"/>
      <c r="G40" s="316"/>
    </row>
    <row r="41" spans="1:7" ht="12.75">
      <c r="A41" s="86"/>
      <c r="B41" s="84">
        <f>F16</f>
        <v>5.5</v>
      </c>
      <c r="C41" s="84"/>
      <c r="D41" s="84">
        <v>2</v>
      </c>
      <c r="E41" s="84">
        <f>B41*D41</f>
        <v>11</v>
      </c>
      <c r="F41" s="84" t="s">
        <v>218</v>
      </c>
      <c r="G41" s="85" t="s">
        <v>232</v>
      </c>
    </row>
    <row r="42" spans="1:7" ht="12.75">
      <c r="A42" s="86"/>
      <c r="B42" s="84">
        <v>6</v>
      </c>
      <c r="C42" s="84"/>
      <c r="D42" s="84">
        <v>0</v>
      </c>
      <c r="E42" s="84">
        <f>D42*B42</f>
        <v>0</v>
      </c>
      <c r="F42" s="84" t="s">
        <v>218</v>
      </c>
      <c r="G42" s="85" t="s">
        <v>216</v>
      </c>
    </row>
    <row r="43" spans="1:7" ht="12.75">
      <c r="A43" s="319" t="s">
        <v>65</v>
      </c>
      <c r="B43" s="320"/>
      <c r="C43" s="320"/>
      <c r="D43" s="320"/>
      <c r="E43" s="82">
        <f>SUM(E41:E42)</f>
        <v>11</v>
      </c>
      <c r="F43" s="82" t="s">
        <v>218</v>
      </c>
      <c r="G43" s="85" t="s">
        <v>230</v>
      </c>
    </row>
    <row r="44" spans="1:7" ht="12.75">
      <c r="A44" s="153"/>
      <c r="B44" s="81"/>
      <c r="C44" s="320" t="s">
        <v>272</v>
      </c>
      <c r="D44" s="320"/>
      <c r="E44" s="82">
        <f>E38+E43</f>
        <v>989</v>
      </c>
      <c r="F44" s="82" t="s">
        <v>218</v>
      </c>
      <c r="G44" s="85" t="s">
        <v>273</v>
      </c>
    </row>
    <row r="45" spans="1:7" ht="12.75">
      <c r="A45" s="316"/>
      <c r="B45" s="316"/>
      <c r="C45" s="316"/>
      <c r="D45" s="316"/>
      <c r="E45" s="316"/>
      <c r="F45" s="316"/>
      <c r="G45" s="316"/>
    </row>
    <row r="46" spans="1:7" ht="12.75">
      <c r="A46" s="316" t="s">
        <v>237</v>
      </c>
      <c r="B46" s="316"/>
      <c r="C46" s="316"/>
      <c r="D46" s="316"/>
      <c r="E46" s="316"/>
      <c r="F46" s="316"/>
      <c r="G46" s="316"/>
    </row>
    <row r="47" spans="1:7" ht="12.75">
      <c r="A47" s="86">
        <f>A33</f>
        <v>489</v>
      </c>
      <c r="B47" s="84"/>
      <c r="C47" s="84"/>
      <c r="D47" s="84">
        <f>D33</f>
        <v>2</v>
      </c>
      <c r="E47" s="84">
        <f>ROUND(D47*A47,2)</f>
        <v>978</v>
      </c>
      <c r="F47" s="84" t="s">
        <v>218</v>
      </c>
      <c r="G47" s="85" t="s">
        <v>233</v>
      </c>
    </row>
    <row r="48" spans="1:7" ht="12.75">
      <c r="A48" s="86">
        <v>3</v>
      </c>
      <c r="B48" s="84"/>
      <c r="C48" s="84"/>
      <c r="D48" s="84">
        <v>0</v>
      </c>
      <c r="E48" s="84">
        <f>D48*A48</f>
        <v>0</v>
      </c>
      <c r="F48" s="84" t="s">
        <v>218</v>
      </c>
      <c r="G48" s="85" t="s">
        <v>216</v>
      </c>
    </row>
    <row r="49" spans="1:7" ht="12.75">
      <c r="A49" s="317" t="s">
        <v>227</v>
      </c>
      <c r="B49" s="318"/>
      <c r="C49" s="318"/>
      <c r="D49" s="318"/>
      <c r="E49" s="87">
        <f>SUM(E47:E48)</f>
        <v>978</v>
      </c>
      <c r="F49" s="87" t="s">
        <v>218</v>
      </c>
      <c r="G49" s="85" t="s">
        <v>219</v>
      </c>
    </row>
    <row r="50" spans="1:7" ht="12.75">
      <c r="A50" s="86">
        <v>6</v>
      </c>
      <c r="B50" s="318" t="s">
        <v>220</v>
      </c>
      <c r="C50" s="318"/>
      <c r="D50" s="84">
        <v>0</v>
      </c>
      <c r="E50" s="84">
        <f>ROUND(D50*A50,2)</f>
        <v>0</v>
      </c>
      <c r="F50" s="84" t="s">
        <v>218</v>
      </c>
      <c r="G50" s="89" t="s">
        <v>228</v>
      </c>
    </row>
    <row r="51" spans="1:7" ht="12.75">
      <c r="A51" s="317" t="s">
        <v>229</v>
      </c>
      <c r="B51" s="318"/>
      <c r="C51" s="318"/>
      <c r="D51" s="318"/>
      <c r="E51" s="87">
        <f>SUM(E50:E50)</f>
        <v>0</v>
      </c>
      <c r="F51" s="87" t="s">
        <v>218</v>
      </c>
      <c r="G51" s="85" t="s">
        <v>219</v>
      </c>
    </row>
    <row r="52" spans="1:7" ht="12.75">
      <c r="A52" s="319" t="s">
        <v>65</v>
      </c>
      <c r="B52" s="320"/>
      <c r="C52" s="320"/>
      <c r="D52" s="320"/>
      <c r="E52" s="82">
        <f>E49-E51</f>
        <v>978</v>
      </c>
      <c r="F52" s="82" t="s">
        <v>218</v>
      </c>
      <c r="G52" s="85" t="s">
        <v>230</v>
      </c>
    </row>
    <row r="53" spans="1:7" ht="12.75">
      <c r="A53" s="316"/>
      <c r="B53" s="316"/>
      <c r="C53" s="316"/>
      <c r="D53" s="316"/>
      <c r="E53" s="316"/>
      <c r="F53" s="316"/>
      <c r="G53" s="316"/>
    </row>
    <row r="54" spans="1:7" ht="12.75">
      <c r="A54" s="316" t="s">
        <v>234</v>
      </c>
      <c r="B54" s="316"/>
      <c r="C54" s="316"/>
      <c r="D54" s="316"/>
      <c r="E54" s="316"/>
      <c r="F54" s="316"/>
      <c r="G54" s="316"/>
    </row>
    <row r="55" spans="1:7" ht="12.75">
      <c r="A55" s="83">
        <f>A23</f>
        <v>489</v>
      </c>
      <c r="B55" s="84">
        <f>F16</f>
        <v>5.5</v>
      </c>
      <c r="C55" s="81"/>
      <c r="D55" s="81"/>
      <c r="E55" s="84">
        <f>ROUND(B55*A55,2)</f>
        <v>2689.5</v>
      </c>
      <c r="F55" s="84" t="s">
        <v>0</v>
      </c>
      <c r="G55" s="85" t="s">
        <v>215</v>
      </c>
    </row>
    <row r="56" spans="1:7" ht="12.75">
      <c r="A56" s="86">
        <v>3</v>
      </c>
      <c r="B56" s="84">
        <v>6</v>
      </c>
      <c r="C56" s="81"/>
      <c r="D56" s="84">
        <v>0</v>
      </c>
      <c r="E56" s="84">
        <f>ROUND(B56*A56*D56,2)</f>
        <v>0</v>
      </c>
      <c r="F56" s="84" t="s">
        <v>0</v>
      </c>
      <c r="G56" s="85" t="s">
        <v>235</v>
      </c>
    </row>
    <row r="57" spans="1:7" ht="12.75">
      <c r="A57" s="321" t="s">
        <v>65</v>
      </c>
      <c r="B57" s="322"/>
      <c r="C57" s="322"/>
      <c r="D57" s="322"/>
      <c r="E57" s="79">
        <f>SUM(E55:E56)</f>
        <v>2689.5</v>
      </c>
      <c r="F57" s="80" t="s">
        <v>0</v>
      </c>
      <c r="G57" s="88" t="s">
        <v>236</v>
      </c>
    </row>
    <row r="58" spans="1:7" ht="12.75">
      <c r="A58" s="316"/>
      <c r="B58" s="316"/>
      <c r="C58" s="316"/>
      <c r="D58" s="316"/>
      <c r="E58" s="316"/>
      <c r="F58" s="316"/>
      <c r="G58" s="316"/>
    </row>
    <row r="59" spans="1:7" ht="12.75">
      <c r="A59" s="157" t="s">
        <v>203</v>
      </c>
      <c r="B59" s="334" t="s">
        <v>303</v>
      </c>
      <c r="C59" s="328"/>
      <c r="D59" s="328"/>
      <c r="E59" s="328"/>
      <c r="F59" s="328"/>
      <c r="G59" s="328"/>
    </row>
    <row r="60" spans="1:7" ht="12.75">
      <c r="A60" s="157" t="s">
        <v>204</v>
      </c>
      <c r="B60" s="328" t="str">
        <f>$B$15</f>
        <v>CURRALINHOS</v>
      </c>
      <c r="C60" s="328"/>
      <c r="D60" s="328"/>
      <c r="E60" s="328"/>
      <c r="F60" s="328"/>
      <c r="G60" s="328"/>
    </row>
    <row r="61" spans="1:7" ht="12.75">
      <c r="A61" s="157" t="s">
        <v>205</v>
      </c>
      <c r="B61" s="323">
        <v>68.2</v>
      </c>
      <c r="C61" s="323"/>
      <c r="D61" s="323"/>
      <c r="E61" s="157" t="s">
        <v>155</v>
      </c>
      <c r="F61" s="323">
        <v>6</v>
      </c>
      <c r="G61" s="328"/>
    </row>
    <row r="62" spans="1:7" ht="12.75">
      <c r="A62" s="329"/>
      <c r="B62" s="329"/>
      <c r="C62" s="329"/>
      <c r="D62" s="329"/>
      <c r="E62" s="329"/>
      <c r="F62" s="329"/>
      <c r="G62" s="329"/>
    </row>
    <row r="63" spans="1:7" ht="24">
      <c r="A63" s="158" t="s">
        <v>206</v>
      </c>
      <c r="B63" s="158" t="s">
        <v>207</v>
      </c>
      <c r="C63" s="158" t="s">
        <v>208</v>
      </c>
      <c r="D63" s="158" t="s">
        <v>209</v>
      </c>
      <c r="E63" s="158" t="s">
        <v>210</v>
      </c>
      <c r="F63" s="158" t="s">
        <v>211</v>
      </c>
      <c r="G63" s="158" t="s">
        <v>212</v>
      </c>
    </row>
    <row r="64" spans="1:7" ht="12.75">
      <c r="A64" s="330"/>
      <c r="B64" s="330"/>
      <c r="C64" s="330"/>
      <c r="D64" s="330"/>
      <c r="E64" s="330"/>
      <c r="F64" s="330"/>
      <c r="G64" s="330"/>
    </row>
    <row r="65" spans="1:7" ht="12.75">
      <c r="A65" s="324" t="s">
        <v>213</v>
      </c>
      <c r="B65" s="324"/>
      <c r="C65" s="324"/>
      <c r="D65" s="324"/>
      <c r="E65" s="324"/>
      <c r="F65" s="324"/>
      <c r="G65" s="324"/>
    </row>
    <row r="66" spans="1:7" ht="12.75">
      <c r="A66" s="324"/>
      <c r="B66" s="324"/>
      <c r="C66" s="324"/>
      <c r="D66" s="324"/>
      <c r="E66" s="324"/>
      <c r="F66" s="324"/>
      <c r="G66" s="324"/>
    </row>
    <row r="67" spans="1:7" ht="12.75">
      <c r="A67" s="325" t="s">
        <v>214</v>
      </c>
      <c r="B67" s="325"/>
      <c r="C67" s="325"/>
      <c r="D67" s="325"/>
      <c r="E67" s="325"/>
      <c r="F67" s="325"/>
      <c r="G67" s="325"/>
    </row>
    <row r="68" spans="1:7" ht="12.75">
      <c r="A68" s="143">
        <f>B61</f>
        <v>68.2</v>
      </c>
      <c r="B68" s="144">
        <f>F61</f>
        <v>6</v>
      </c>
      <c r="C68" s="144"/>
      <c r="D68" s="144">
        <v>1</v>
      </c>
      <c r="E68" s="145">
        <f>A68*B68*D68</f>
        <v>409.20000000000005</v>
      </c>
      <c r="F68" s="146" t="s">
        <v>0</v>
      </c>
      <c r="G68" s="147" t="s">
        <v>215</v>
      </c>
    </row>
    <row r="69" spans="1:7" ht="12.75">
      <c r="A69" s="149">
        <v>3</v>
      </c>
      <c r="B69" s="144">
        <v>6</v>
      </c>
      <c r="C69" s="150"/>
      <c r="D69" s="144">
        <v>0</v>
      </c>
      <c r="E69" s="144">
        <f>ROUND(B69*A69*D69,2)</f>
        <v>0</v>
      </c>
      <c r="F69" s="144" t="s">
        <v>0</v>
      </c>
      <c r="G69" s="147" t="s">
        <v>216</v>
      </c>
    </row>
    <row r="70" spans="1:7" ht="12.75">
      <c r="A70" s="326" t="s">
        <v>217</v>
      </c>
      <c r="B70" s="327"/>
      <c r="C70" s="327"/>
      <c r="D70" s="327"/>
      <c r="E70" s="144">
        <f>SUM(E68:E69)</f>
        <v>409.20000000000005</v>
      </c>
      <c r="F70" s="144" t="s">
        <v>218</v>
      </c>
      <c r="G70" s="147" t="s">
        <v>219</v>
      </c>
    </row>
    <row r="71" spans="1:7" ht="12.75">
      <c r="A71" s="149">
        <v>0</v>
      </c>
      <c r="B71" s="144">
        <v>0</v>
      </c>
      <c r="C71" s="144" t="s">
        <v>220</v>
      </c>
      <c r="D71" s="144">
        <v>0</v>
      </c>
      <c r="E71" s="144">
        <f>A71*B71*D71</f>
        <v>0</v>
      </c>
      <c r="F71" s="144" t="s">
        <v>0</v>
      </c>
      <c r="G71" s="147" t="s">
        <v>221</v>
      </c>
    </row>
    <row r="72" spans="1:7" ht="12.75">
      <c r="A72" s="326" t="s">
        <v>222</v>
      </c>
      <c r="B72" s="327"/>
      <c r="C72" s="327"/>
      <c r="D72" s="327"/>
      <c r="E72" s="144">
        <f>SUM(E71:E71)</f>
        <v>0</v>
      </c>
      <c r="F72" s="144" t="s">
        <v>0</v>
      </c>
      <c r="G72" s="147" t="s">
        <v>219</v>
      </c>
    </row>
    <row r="73" spans="1:7" ht="12.75">
      <c r="A73" s="321" t="s">
        <v>65</v>
      </c>
      <c r="B73" s="322"/>
      <c r="C73" s="322"/>
      <c r="D73" s="322"/>
      <c r="E73" s="79">
        <f>E70-E72</f>
        <v>409.20000000000005</v>
      </c>
      <c r="F73" s="80" t="s">
        <v>0</v>
      </c>
      <c r="G73" s="88" t="s">
        <v>223</v>
      </c>
    </row>
    <row r="74" spans="1:7" ht="12.75">
      <c r="A74" s="316"/>
      <c r="B74" s="316"/>
      <c r="C74" s="316"/>
      <c r="D74" s="316"/>
      <c r="E74" s="316"/>
      <c r="F74" s="316"/>
      <c r="G74" s="316"/>
    </row>
    <row r="75" spans="1:7" ht="12.75">
      <c r="A75" s="323" t="s">
        <v>224</v>
      </c>
      <c r="B75" s="323"/>
      <c r="C75" s="323"/>
      <c r="D75" s="323"/>
      <c r="E75" s="323"/>
      <c r="F75" s="323"/>
      <c r="G75" s="323"/>
    </row>
    <row r="76" spans="1:7" ht="12.75">
      <c r="A76" s="316"/>
      <c r="B76" s="316"/>
      <c r="C76" s="316"/>
      <c r="D76" s="316"/>
      <c r="E76" s="316"/>
      <c r="F76" s="316"/>
      <c r="G76" s="316"/>
    </row>
    <row r="77" spans="1:7" ht="12.75">
      <c r="A77" s="316" t="s">
        <v>225</v>
      </c>
      <c r="B77" s="316"/>
      <c r="C77" s="316"/>
      <c r="D77" s="316"/>
      <c r="E77" s="316"/>
      <c r="F77" s="316"/>
      <c r="G77" s="316"/>
    </row>
    <row r="78" spans="1:7" ht="12.75">
      <c r="A78" s="83">
        <f>B61</f>
        <v>68.2</v>
      </c>
      <c r="B78" s="84"/>
      <c r="C78" s="84"/>
      <c r="D78" s="84">
        <v>2</v>
      </c>
      <c r="E78" s="84">
        <f>A78*D78</f>
        <v>136.4</v>
      </c>
      <c r="F78" s="84" t="s">
        <v>218</v>
      </c>
      <c r="G78" s="85" t="s">
        <v>226</v>
      </c>
    </row>
    <row r="79" spans="1:7" ht="12.75">
      <c r="A79" s="86">
        <v>3</v>
      </c>
      <c r="B79" s="84"/>
      <c r="C79" s="84"/>
      <c r="D79" s="84">
        <v>0</v>
      </c>
      <c r="E79" s="84">
        <f>D79*A79</f>
        <v>0</v>
      </c>
      <c r="F79" s="84" t="s">
        <v>218</v>
      </c>
      <c r="G79" s="85" t="s">
        <v>216</v>
      </c>
    </row>
    <row r="80" spans="1:7" ht="12.75">
      <c r="A80" s="317" t="s">
        <v>227</v>
      </c>
      <c r="B80" s="318"/>
      <c r="C80" s="318"/>
      <c r="D80" s="318"/>
      <c r="E80" s="87">
        <f>SUM(E78:E79)</f>
        <v>136.4</v>
      </c>
      <c r="F80" s="87" t="s">
        <v>218</v>
      </c>
      <c r="G80" s="85" t="s">
        <v>219</v>
      </c>
    </row>
    <row r="81" spans="1:7" ht="12.75">
      <c r="A81" s="86">
        <v>6</v>
      </c>
      <c r="B81" s="318" t="s">
        <v>220</v>
      </c>
      <c r="C81" s="318"/>
      <c r="D81" s="84">
        <v>0</v>
      </c>
      <c r="E81" s="84">
        <f>ROUND(D81*A81,2)</f>
        <v>0</v>
      </c>
      <c r="F81" s="84" t="s">
        <v>218</v>
      </c>
      <c r="G81" s="89" t="s">
        <v>228</v>
      </c>
    </row>
    <row r="82" spans="1:7" ht="12.75">
      <c r="A82" s="317" t="s">
        <v>229</v>
      </c>
      <c r="B82" s="318"/>
      <c r="C82" s="318"/>
      <c r="D82" s="318"/>
      <c r="E82" s="87">
        <f>SUM(E81:E81)</f>
        <v>0</v>
      </c>
      <c r="F82" s="87" t="s">
        <v>218</v>
      </c>
      <c r="G82" s="85" t="s">
        <v>219</v>
      </c>
    </row>
    <row r="83" spans="1:7" ht="12.75">
      <c r="A83" s="321" t="s">
        <v>65</v>
      </c>
      <c r="B83" s="322"/>
      <c r="C83" s="322"/>
      <c r="D83" s="322"/>
      <c r="E83" s="79">
        <f>SUM(E80-E82)</f>
        <v>136.4</v>
      </c>
      <c r="F83" s="80" t="s">
        <v>218</v>
      </c>
      <c r="G83" s="88" t="s">
        <v>230</v>
      </c>
    </row>
    <row r="84" spans="1:7" ht="12.75">
      <c r="A84" s="316"/>
      <c r="B84" s="316"/>
      <c r="C84" s="316"/>
      <c r="D84" s="316"/>
      <c r="E84" s="316"/>
      <c r="F84" s="316"/>
      <c r="G84" s="316"/>
    </row>
    <row r="85" spans="1:7" ht="12.75">
      <c r="A85" s="316" t="s">
        <v>231</v>
      </c>
      <c r="B85" s="316"/>
      <c r="C85" s="316"/>
      <c r="D85" s="316"/>
      <c r="E85" s="316"/>
      <c r="F85" s="316"/>
      <c r="G85" s="316"/>
    </row>
    <row r="86" spans="1:7" ht="12.75">
      <c r="A86" s="86"/>
      <c r="B86" s="84">
        <f>F61</f>
        <v>6</v>
      </c>
      <c r="C86" s="84"/>
      <c r="D86" s="84">
        <v>1</v>
      </c>
      <c r="E86" s="84">
        <f>B86*D86</f>
        <v>6</v>
      </c>
      <c r="F86" s="84" t="s">
        <v>218</v>
      </c>
      <c r="G86" s="85" t="s">
        <v>232</v>
      </c>
    </row>
    <row r="87" spans="1:7" ht="12.75">
      <c r="A87" s="86"/>
      <c r="B87" s="84">
        <v>6</v>
      </c>
      <c r="C87" s="84"/>
      <c r="D87" s="84">
        <v>0</v>
      </c>
      <c r="E87" s="84">
        <f>D87*B87</f>
        <v>0</v>
      </c>
      <c r="F87" s="84" t="s">
        <v>218</v>
      </c>
      <c r="G87" s="85" t="s">
        <v>216</v>
      </c>
    </row>
    <row r="88" spans="1:7" ht="12.75">
      <c r="A88" s="319" t="s">
        <v>65</v>
      </c>
      <c r="B88" s="320"/>
      <c r="C88" s="320"/>
      <c r="D88" s="320"/>
      <c r="E88" s="82">
        <f>SUM(E86:E87)</f>
        <v>6</v>
      </c>
      <c r="F88" s="82" t="s">
        <v>218</v>
      </c>
      <c r="G88" s="85" t="s">
        <v>230</v>
      </c>
    </row>
    <row r="89" spans="1:7" ht="12.75">
      <c r="A89" s="153"/>
      <c r="B89" s="81"/>
      <c r="C89" s="320" t="s">
        <v>272</v>
      </c>
      <c r="D89" s="320"/>
      <c r="E89" s="82">
        <f>E83+E88</f>
        <v>142.4</v>
      </c>
      <c r="F89" s="82" t="s">
        <v>218</v>
      </c>
      <c r="G89" s="85" t="s">
        <v>273</v>
      </c>
    </row>
    <row r="90" spans="1:7" ht="12.75">
      <c r="A90" s="316"/>
      <c r="B90" s="316"/>
      <c r="C90" s="316"/>
      <c r="D90" s="316"/>
      <c r="E90" s="316"/>
      <c r="F90" s="316"/>
      <c r="G90" s="316"/>
    </row>
    <row r="91" spans="1:7" ht="12.75">
      <c r="A91" s="316" t="s">
        <v>237</v>
      </c>
      <c r="B91" s="316"/>
      <c r="C91" s="316"/>
      <c r="D91" s="316"/>
      <c r="E91" s="316"/>
      <c r="F91" s="316"/>
      <c r="G91" s="316"/>
    </row>
    <row r="92" spans="1:7" ht="12.75">
      <c r="A92" s="86">
        <f>A78</f>
        <v>68.2</v>
      </c>
      <c r="B92" s="84"/>
      <c r="C92" s="84"/>
      <c r="D92" s="84">
        <f>D78</f>
        <v>2</v>
      </c>
      <c r="E92" s="84">
        <f>ROUND(D92*A92,2)</f>
        <v>136.4</v>
      </c>
      <c r="F92" s="84" t="s">
        <v>218</v>
      </c>
      <c r="G92" s="85" t="s">
        <v>233</v>
      </c>
    </row>
    <row r="93" spans="1:7" ht="12.75">
      <c r="A93" s="86">
        <v>3</v>
      </c>
      <c r="B93" s="84"/>
      <c r="C93" s="84"/>
      <c r="D93" s="84">
        <v>0</v>
      </c>
      <c r="E93" s="84">
        <f>D93*A93</f>
        <v>0</v>
      </c>
      <c r="F93" s="84" t="s">
        <v>218</v>
      </c>
      <c r="G93" s="85" t="s">
        <v>216</v>
      </c>
    </row>
    <row r="94" spans="1:7" ht="12.75">
      <c r="A94" s="317" t="s">
        <v>227</v>
      </c>
      <c r="B94" s="318"/>
      <c r="C94" s="318"/>
      <c r="D94" s="318"/>
      <c r="E94" s="87">
        <f>SUM(E92:E93)</f>
        <v>136.4</v>
      </c>
      <c r="F94" s="87" t="s">
        <v>218</v>
      </c>
      <c r="G94" s="85" t="s">
        <v>219</v>
      </c>
    </row>
    <row r="95" spans="1:7" ht="12.75">
      <c r="A95" s="86">
        <v>6</v>
      </c>
      <c r="B95" s="318" t="s">
        <v>220</v>
      </c>
      <c r="C95" s="318"/>
      <c r="D95" s="84">
        <v>0</v>
      </c>
      <c r="E95" s="84">
        <f>ROUND(D95*A95,2)</f>
        <v>0</v>
      </c>
      <c r="F95" s="84" t="s">
        <v>218</v>
      </c>
      <c r="G95" s="89" t="s">
        <v>228</v>
      </c>
    </row>
    <row r="96" spans="1:7" ht="12.75">
      <c r="A96" s="317" t="s">
        <v>229</v>
      </c>
      <c r="B96" s="318"/>
      <c r="C96" s="318"/>
      <c r="D96" s="318"/>
      <c r="E96" s="87">
        <f>SUM(E95:E95)</f>
        <v>0</v>
      </c>
      <c r="F96" s="87" t="s">
        <v>218</v>
      </c>
      <c r="G96" s="85" t="s">
        <v>219</v>
      </c>
    </row>
    <row r="97" spans="1:7" ht="12.75">
      <c r="A97" s="319" t="s">
        <v>65</v>
      </c>
      <c r="B97" s="320"/>
      <c r="C97" s="320"/>
      <c r="D97" s="320"/>
      <c r="E97" s="82">
        <f>E94-E96</f>
        <v>136.4</v>
      </c>
      <c r="F97" s="82" t="s">
        <v>218</v>
      </c>
      <c r="G97" s="85" t="s">
        <v>230</v>
      </c>
    </row>
    <row r="98" spans="1:7" ht="12.75">
      <c r="A98" s="316"/>
      <c r="B98" s="316"/>
      <c r="C98" s="316"/>
      <c r="D98" s="316"/>
      <c r="E98" s="316"/>
      <c r="F98" s="316"/>
      <c r="G98" s="316"/>
    </row>
    <row r="99" spans="1:7" ht="12.75">
      <c r="A99" s="316" t="s">
        <v>234</v>
      </c>
      <c r="B99" s="316"/>
      <c r="C99" s="316"/>
      <c r="D99" s="316"/>
      <c r="E99" s="316"/>
      <c r="F99" s="316"/>
      <c r="G99" s="316"/>
    </row>
    <row r="100" spans="1:7" ht="12.75">
      <c r="A100" s="83">
        <f>A68</f>
        <v>68.2</v>
      </c>
      <c r="B100" s="84">
        <f>F61</f>
        <v>6</v>
      </c>
      <c r="C100" s="81"/>
      <c r="D100" s="81"/>
      <c r="E100" s="84">
        <f>ROUND(B100*A100,2)</f>
        <v>409.2</v>
      </c>
      <c r="F100" s="84" t="s">
        <v>0</v>
      </c>
      <c r="G100" s="85" t="s">
        <v>215</v>
      </c>
    </row>
    <row r="101" spans="1:7" ht="12.75">
      <c r="A101" s="86">
        <v>3</v>
      </c>
      <c r="B101" s="84">
        <v>6</v>
      </c>
      <c r="C101" s="81"/>
      <c r="D101" s="84">
        <v>0</v>
      </c>
      <c r="E101" s="84">
        <f>ROUND(B101*A101*D101,2)</f>
        <v>0</v>
      </c>
      <c r="F101" s="84" t="s">
        <v>0</v>
      </c>
      <c r="G101" s="85" t="s">
        <v>235</v>
      </c>
    </row>
    <row r="102" spans="1:7" ht="12.75">
      <c r="A102" s="321" t="s">
        <v>65</v>
      </c>
      <c r="B102" s="322"/>
      <c r="C102" s="322"/>
      <c r="D102" s="322"/>
      <c r="E102" s="79">
        <f>SUM(E100:E101)</f>
        <v>409.2</v>
      </c>
      <c r="F102" s="80" t="s">
        <v>0</v>
      </c>
      <c r="G102" s="88" t="s">
        <v>236</v>
      </c>
    </row>
    <row r="103" spans="1:7" ht="12.75">
      <c r="A103" s="331"/>
      <c r="B103" s="332"/>
      <c r="C103" s="332"/>
      <c r="D103" s="332"/>
      <c r="E103" s="332"/>
      <c r="F103" s="332"/>
      <c r="G103" s="333"/>
    </row>
    <row r="104" spans="1:11" ht="12.75">
      <c r="A104" s="173" t="s">
        <v>203</v>
      </c>
      <c r="B104" s="334" t="s">
        <v>304</v>
      </c>
      <c r="C104" s="328"/>
      <c r="D104" s="328"/>
      <c r="E104" s="328"/>
      <c r="F104" s="328"/>
      <c r="G104" s="328"/>
      <c r="H104" s="100"/>
      <c r="I104" s="100"/>
      <c r="J104" s="100"/>
      <c r="K104" s="100"/>
    </row>
    <row r="105" spans="1:11" ht="12.75">
      <c r="A105" s="173" t="s">
        <v>204</v>
      </c>
      <c r="B105" s="328" t="str">
        <f>B60</f>
        <v>CURRALINHOS</v>
      </c>
      <c r="C105" s="328"/>
      <c r="D105" s="328"/>
      <c r="E105" s="328"/>
      <c r="F105" s="328"/>
      <c r="G105" s="328"/>
      <c r="H105" s="100"/>
      <c r="I105" s="100"/>
      <c r="J105" s="100"/>
      <c r="K105" s="100"/>
    </row>
    <row r="106" spans="1:11" ht="12.75">
      <c r="A106" s="173" t="s">
        <v>205</v>
      </c>
      <c r="B106" s="323">
        <v>351</v>
      </c>
      <c r="C106" s="323"/>
      <c r="D106" s="323"/>
      <c r="E106" s="173" t="s">
        <v>155</v>
      </c>
      <c r="F106" s="323">
        <v>6</v>
      </c>
      <c r="G106" s="328"/>
      <c r="H106" s="100"/>
      <c r="I106" s="100"/>
      <c r="J106" s="100"/>
      <c r="K106" s="100"/>
    </row>
    <row r="107" spans="1:11" ht="12.75">
      <c r="A107" s="329"/>
      <c r="B107" s="329"/>
      <c r="C107" s="329"/>
      <c r="D107" s="329"/>
      <c r="E107" s="329"/>
      <c r="F107" s="329"/>
      <c r="G107" s="329"/>
      <c r="H107" s="100"/>
      <c r="I107" s="100"/>
      <c r="J107" s="100"/>
      <c r="K107" s="100"/>
    </row>
    <row r="108" spans="1:11" ht="24">
      <c r="A108" s="158" t="s">
        <v>206</v>
      </c>
      <c r="B108" s="158" t="s">
        <v>207</v>
      </c>
      <c r="C108" s="158" t="s">
        <v>208</v>
      </c>
      <c r="D108" s="158" t="s">
        <v>209</v>
      </c>
      <c r="E108" s="158" t="s">
        <v>210</v>
      </c>
      <c r="F108" s="158" t="s">
        <v>211</v>
      </c>
      <c r="G108" s="158" t="s">
        <v>212</v>
      </c>
      <c r="H108" s="100"/>
      <c r="I108" s="100"/>
      <c r="J108" s="100"/>
      <c r="K108" s="100"/>
    </row>
    <row r="109" spans="1:11" ht="12.75">
      <c r="A109" s="330"/>
      <c r="B109" s="330"/>
      <c r="C109" s="330"/>
      <c r="D109" s="330"/>
      <c r="E109" s="330"/>
      <c r="F109" s="330"/>
      <c r="G109" s="330"/>
      <c r="H109" s="100"/>
      <c r="I109" s="100"/>
      <c r="J109" s="100"/>
      <c r="K109" s="100"/>
    </row>
    <row r="110" spans="1:11" ht="12.75">
      <c r="A110" s="324" t="s">
        <v>213</v>
      </c>
      <c r="B110" s="324"/>
      <c r="C110" s="324"/>
      <c r="D110" s="324"/>
      <c r="E110" s="324"/>
      <c r="F110" s="324"/>
      <c r="G110" s="324"/>
      <c r="H110" s="100"/>
      <c r="I110" s="100"/>
      <c r="J110" s="100"/>
      <c r="K110" s="100"/>
    </row>
    <row r="111" spans="1:11" ht="12.75">
      <c r="A111" s="324"/>
      <c r="B111" s="324"/>
      <c r="C111" s="324"/>
      <c r="D111" s="324"/>
      <c r="E111" s="324"/>
      <c r="F111" s="324"/>
      <c r="G111" s="324"/>
      <c r="H111" s="100"/>
      <c r="I111" s="100"/>
      <c r="J111" s="100"/>
      <c r="K111" s="100"/>
    </row>
    <row r="112" spans="1:11" ht="12.75">
      <c r="A112" s="325" t="s">
        <v>214</v>
      </c>
      <c r="B112" s="325"/>
      <c r="C112" s="325"/>
      <c r="D112" s="325"/>
      <c r="E112" s="325"/>
      <c r="F112" s="325"/>
      <c r="G112" s="325"/>
      <c r="H112" s="100"/>
      <c r="I112" s="100"/>
      <c r="J112" s="148" t="e">
        <f>E147+#REF!+#REF!+#REF!+#REF!+#REF!+#REF!+#REF!+#REF!</f>
        <v>#REF!</v>
      </c>
      <c r="K112" s="100"/>
    </row>
    <row r="113" spans="1:11" ht="12.75">
      <c r="A113" s="143">
        <f>B106</f>
        <v>351</v>
      </c>
      <c r="B113" s="144">
        <f>F106</f>
        <v>6</v>
      </c>
      <c r="C113" s="144"/>
      <c r="D113" s="144">
        <v>1</v>
      </c>
      <c r="E113" s="145">
        <f>A113*B113*D113</f>
        <v>2106</v>
      </c>
      <c r="F113" s="146" t="s">
        <v>0</v>
      </c>
      <c r="G113" s="147" t="s">
        <v>215</v>
      </c>
      <c r="H113" s="100"/>
      <c r="I113" s="148"/>
      <c r="J113" s="100"/>
      <c r="K113" s="148"/>
    </row>
    <row r="114" spans="1:11" ht="12.75">
      <c r="A114" s="149">
        <v>3</v>
      </c>
      <c r="B114" s="144">
        <v>6</v>
      </c>
      <c r="C114" s="150"/>
      <c r="D114" s="144">
        <v>0</v>
      </c>
      <c r="E114" s="144">
        <f>ROUND(B114*A114*D114,2)</f>
        <v>0</v>
      </c>
      <c r="F114" s="144" t="s">
        <v>0</v>
      </c>
      <c r="G114" s="147" t="s">
        <v>216</v>
      </c>
      <c r="H114" s="100"/>
      <c r="I114" s="100"/>
      <c r="J114" s="100"/>
      <c r="K114" s="148"/>
    </row>
    <row r="115" spans="1:11" ht="12.75">
      <c r="A115" s="326" t="s">
        <v>217</v>
      </c>
      <c r="B115" s="327"/>
      <c r="C115" s="327"/>
      <c r="D115" s="327"/>
      <c r="E115" s="144">
        <f>SUM(E113:E114)</f>
        <v>2106</v>
      </c>
      <c r="F115" s="144" t="s">
        <v>218</v>
      </c>
      <c r="G115" s="147" t="s">
        <v>219</v>
      </c>
      <c r="H115" s="100"/>
      <c r="I115" s="100"/>
      <c r="J115" s="100"/>
      <c r="K115" s="148"/>
    </row>
    <row r="116" spans="1:11" ht="12.75">
      <c r="A116" s="149">
        <v>0</v>
      </c>
      <c r="B116" s="144">
        <v>0</v>
      </c>
      <c r="C116" s="144" t="s">
        <v>220</v>
      </c>
      <c r="D116" s="144">
        <v>0</v>
      </c>
      <c r="E116" s="144">
        <f>A116*B116*D116</f>
        <v>0</v>
      </c>
      <c r="F116" s="144" t="s">
        <v>0</v>
      </c>
      <c r="G116" s="147" t="s">
        <v>221</v>
      </c>
      <c r="H116" s="100"/>
      <c r="I116" s="100"/>
      <c r="J116" s="100"/>
      <c r="K116" s="100"/>
    </row>
    <row r="117" spans="1:11" ht="12.75">
      <c r="A117" s="326" t="s">
        <v>222</v>
      </c>
      <c r="B117" s="327"/>
      <c r="C117" s="327"/>
      <c r="D117" s="327"/>
      <c r="E117" s="144">
        <f>SUM(E116:E116)</f>
        <v>0</v>
      </c>
      <c r="F117" s="144" t="s">
        <v>0</v>
      </c>
      <c r="G117" s="147" t="s">
        <v>219</v>
      </c>
      <c r="H117" s="100"/>
      <c r="I117" s="100"/>
      <c r="J117" s="100"/>
      <c r="K117" s="100"/>
    </row>
    <row r="118" spans="1:8" ht="12.75">
      <c r="A118" s="321" t="s">
        <v>65</v>
      </c>
      <c r="B118" s="322"/>
      <c r="C118" s="322"/>
      <c r="D118" s="322"/>
      <c r="E118" s="79">
        <f>E115-E117</f>
        <v>2106</v>
      </c>
      <c r="F118" s="80" t="s">
        <v>0</v>
      </c>
      <c r="G118" s="88" t="s">
        <v>223</v>
      </c>
      <c r="H118" s="1" t="e">
        <f>E118+#REF!</f>
        <v>#REF!</v>
      </c>
    </row>
    <row r="119" spans="1:7" ht="12.75">
      <c r="A119" s="316"/>
      <c r="B119" s="316"/>
      <c r="C119" s="316"/>
      <c r="D119" s="316"/>
      <c r="E119" s="316"/>
      <c r="F119" s="316"/>
      <c r="G119" s="316"/>
    </row>
    <row r="120" spans="1:7" ht="12.75">
      <c r="A120" s="323" t="s">
        <v>224</v>
      </c>
      <c r="B120" s="323"/>
      <c r="C120" s="323"/>
      <c r="D120" s="323"/>
      <c r="E120" s="323"/>
      <c r="F120" s="323"/>
      <c r="G120" s="323"/>
    </row>
    <row r="121" spans="1:7" ht="12.75">
      <c r="A121" s="316"/>
      <c r="B121" s="316"/>
      <c r="C121" s="316"/>
      <c r="D121" s="316"/>
      <c r="E121" s="316"/>
      <c r="F121" s="316"/>
      <c r="G121" s="316"/>
    </row>
    <row r="122" spans="1:7" ht="12.75">
      <c r="A122" s="316" t="s">
        <v>225</v>
      </c>
      <c r="B122" s="316"/>
      <c r="C122" s="316"/>
      <c r="D122" s="316"/>
      <c r="E122" s="316"/>
      <c r="F122" s="316"/>
      <c r="G122" s="316"/>
    </row>
    <row r="123" spans="1:7" ht="12.75">
      <c r="A123" s="83">
        <f>B106</f>
        <v>351</v>
      </c>
      <c r="B123" s="84"/>
      <c r="C123" s="84"/>
      <c r="D123" s="84">
        <v>2</v>
      </c>
      <c r="E123" s="84">
        <f>A123*D123</f>
        <v>702</v>
      </c>
      <c r="F123" s="84" t="s">
        <v>218</v>
      </c>
      <c r="G123" s="85" t="s">
        <v>226</v>
      </c>
    </row>
    <row r="124" spans="1:7" ht="12.75">
      <c r="A124" s="86">
        <v>3</v>
      </c>
      <c r="B124" s="84"/>
      <c r="C124" s="84"/>
      <c r="D124" s="84">
        <v>0</v>
      </c>
      <c r="E124" s="84">
        <f>D124*A124</f>
        <v>0</v>
      </c>
      <c r="F124" s="84" t="s">
        <v>218</v>
      </c>
      <c r="G124" s="85" t="s">
        <v>216</v>
      </c>
    </row>
    <row r="125" spans="1:7" ht="12.75">
      <c r="A125" s="317" t="s">
        <v>227</v>
      </c>
      <c r="B125" s="318"/>
      <c r="C125" s="318"/>
      <c r="D125" s="318"/>
      <c r="E125" s="87">
        <f>SUM(E123:E124)</f>
        <v>702</v>
      </c>
      <c r="F125" s="87" t="s">
        <v>218</v>
      </c>
      <c r="G125" s="85" t="s">
        <v>219</v>
      </c>
    </row>
    <row r="126" spans="1:7" ht="12.75">
      <c r="A126" s="86">
        <v>6</v>
      </c>
      <c r="B126" s="318" t="s">
        <v>220</v>
      </c>
      <c r="C126" s="318"/>
      <c r="D126" s="84">
        <v>0</v>
      </c>
      <c r="E126" s="84">
        <f>ROUND(D126*A126,2)</f>
        <v>0</v>
      </c>
      <c r="F126" s="84" t="s">
        <v>218</v>
      </c>
      <c r="G126" s="89" t="s">
        <v>228</v>
      </c>
    </row>
    <row r="127" spans="1:7" ht="12.75">
      <c r="A127" s="317" t="s">
        <v>229</v>
      </c>
      <c r="B127" s="318"/>
      <c r="C127" s="318"/>
      <c r="D127" s="318"/>
      <c r="E127" s="87">
        <f>SUM(E126:E126)</f>
        <v>0</v>
      </c>
      <c r="F127" s="87" t="s">
        <v>218</v>
      </c>
      <c r="G127" s="85" t="s">
        <v>219</v>
      </c>
    </row>
    <row r="128" spans="1:7" ht="12.75">
      <c r="A128" s="321" t="s">
        <v>65</v>
      </c>
      <c r="B128" s="322"/>
      <c r="C128" s="322"/>
      <c r="D128" s="322"/>
      <c r="E128" s="79">
        <f>SUM(E125-E127)</f>
        <v>702</v>
      </c>
      <c r="F128" s="80" t="s">
        <v>218</v>
      </c>
      <c r="G128" s="88" t="s">
        <v>230</v>
      </c>
    </row>
    <row r="129" spans="1:7" ht="24">
      <c r="A129" s="247"/>
      <c r="B129" s="248"/>
      <c r="C129" s="248"/>
      <c r="D129" s="248"/>
      <c r="E129" s="251">
        <f>E128-6</f>
        <v>696</v>
      </c>
      <c r="F129" s="251" t="s">
        <v>218</v>
      </c>
      <c r="G129" s="249" t="s">
        <v>314</v>
      </c>
    </row>
    <row r="130" spans="1:7" ht="12.75">
      <c r="A130" s="316" t="s">
        <v>231</v>
      </c>
      <c r="B130" s="316"/>
      <c r="C130" s="316"/>
      <c r="D130" s="316"/>
      <c r="E130" s="316"/>
      <c r="F130" s="316"/>
      <c r="G130" s="316"/>
    </row>
    <row r="131" spans="1:7" ht="12.75">
      <c r="A131" s="86"/>
      <c r="B131" s="84">
        <f>F106</f>
        <v>6</v>
      </c>
      <c r="C131" s="84"/>
      <c r="D131" s="84">
        <v>2</v>
      </c>
      <c r="E131" s="84">
        <f>B131*D131</f>
        <v>12</v>
      </c>
      <c r="F131" s="84" t="s">
        <v>218</v>
      </c>
      <c r="G131" s="85" t="s">
        <v>232</v>
      </c>
    </row>
    <row r="132" spans="1:7" ht="12.75">
      <c r="A132" s="86"/>
      <c r="B132" s="84">
        <v>6</v>
      </c>
      <c r="C132" s="84"/>
      <c r="D132" s="84">
        <v>0</v>
      </c>
      <c r="E132" s="84">
        <f>D132*B132</f>
        <v>0</v>
      </c>
      <c r="F132" s="84" t="s">
        <v>218</v>
      </c>
      <c r="G132" s="85" t="s">
        <v>216</v>
      </c>
    </row>
    <row r="133" spans="1:7" ht="12.75">
      <c r="A133" s="319" t="s">
        <v>65</v>
      </c>
      <c r="B133" s="320"/>
      <c r="C133" s="320"/>
      <c r="D133" s="320"/>
      <c r="E133" s="82">
        <f>SUM(E131:E132)</f>
        <v>12</v>
      </c>
      <c r="F133" s="82" t="s">
        <v>218</v>
      </c>
      <c r="G133" s="85" t="s">
        <v>230</v>
      </c>
    </row>
    <row r="134" spans="1:7" ht="12.75">
      <c r="A134" s="153"/>
      <c r="B134" s="81"/>
      <c r="C134" s="320" t="s">
        <v>272</v>
      </c>
      <c r="D134" s="320"/>
      <c r="E134" s="82">
        <f>E129+E133</f>
        <v>708</v>
      </c>
      <c r="F134" s="82" t="s">
        <v>218</v>
      </c>
      <c r="G134" s="85" t="s">
        <v>273</v>
      </c>
    </row>
    <row r="135" spans="1:7" ht="12.75">
      <c r="A135" s="247"/>
      <c r="B135" s="248"/>
      <c r="C135" s="248"/>
      <c r="D135" s="248"/>
      <c r="E135" s="248"/>
      <c r="F135" s="250"/>
      <c r="G135" s="249"/>
    </row>
    <row r="136" spans="1:7" ht="12.75">
      <c r="A136" s="316" t="s">
        <v>237</v>
      </c>
      <c r="B136" s="316"/>
      <c r="C136" s="316"/>
      <c r="D136" s="316"/>
      <c r="E136" s="316"/>
      <c r="F136" s="316"/>
      <c r="G136" s="316"/>
    </row>
    <row r="137" spans="1:7" ht="12.75">
      <c r="A137" s="86">
        <f>A123</f>
        <v>351</v>
      </c>
      <c r="B137" s="84"/>
      <c r="C137" s="84"/>
      <c r="D137" s="84">
        <f>D123</f>
        <v>2</v>
      </c>
      <c r="E137" s="84">
        <f>ROUND(D137*A137,2)</f>
        <v>702</v>
      </c>
      <c r="F137" s="84" t="s">
        <v>218</v>
      </c>
      <c r="G137" s="85" t="s">
        <v>233</v>
      </c>
    </row>
    <row r="138" spans="1:7" ht="12.75">
      <c r="A138" s="86">
        <v>3</v>
      </c>
      <c r="B138" s="84"/>
      <c r="C138" s="84"/>
      <c r="D138" s="84">
        <v>0</v>
      </c>
      <c r="E138" s="84">
        <f>D138*A138</f>
        <v>0</v>
      </c>
      <c r="F138" s="84" t="s">
        <v>218</v>
      </c>
      <c r="G138" s="85" t="s">
        <v>216</v>
      </c>
    </row>
    <row r="139" spans="1:7" ht="12.75">
      <c r="A139" s="317" t="s">
        <v>227</v>
      </c>
      <c r="B139" s="318"/>
      <c r="C139" s="318"/>
      <c r="D139" s="318"/>
      <c r="E139" s="87">
        <f>SUM(E137:E138)</f>
        <v>702</v>
      </c>
      <c r="F139" s="87" t="s">
        <v>218</v>
      </c>
      <c r="G139" s="85" t="s">
        <v>219</v>
      </c>
    </row>
    <row r="140" spans="1:7" ht="12.75">
      <c r="A140" s="86">
        <v>6</v>
      </c>
      <c r="B140" s="318" t="s">
        <v>220</v>
      </c>
      <c r="C140" s="318"/>
      <c r="D140" s="84">
        <v>0</v>
      </c>
      <c r="E140" s="84">
        <f>ROUND(D140*A140,2)</f>
        <v>0</v>
      </c>
      <c r="F140" s="84" t="s">
        <v>218</v>
      </c>
      <c r="G140" s="89" t="s">
        <v>228</v>
      </c>
    </row>
    <row r="141" spans="1:7" ht="12.75">
      <c r="A141" s="317" t="s">
        <v>229</v>
      </c>
      <c r="B141" s="318"/>
      <c r="C141" s="318"/>
      <c r="D141" s="318"/>
      <c r="E141" s="87">
        <f>SUM(E140:E140)</f>
        <v>0</v>
      </c>
      <c r="F141" s="87" t="s">
        <v>218</v>
      </c>
      <c r="G141" s="85" t="s">
        <v>219</v>
      </c>
    </row>
    <row r="142" spans="1:7" ht="12.75">
      <c r="A142" s="319" t="s">
        <v>65</v>
      </c>
      <c r="B142" s="320"/>
      <c r="C142" s="320"/>
      <c r="D142" s="320"/>
      <c r="E142" s="82">
        <f>E139-E141</f>
        <v>702</v>
      </c>
      <c r="F142" s="82" t="s">
        <v>218</v>
      </c>
      <c r="G142" s="85" t="s">
        <v>230</v>
      </c>
    </row>
    <row r="143" spans="1:7" ht="24">
      <c r="A143" s="252"/>
      <c r="B143" s="253"/>
      <c r="C143" s="253"/>
      <c r="D143" s="255" t="s">
        <v>315</v>
      </c>
      <c r="E143" s="251">
        <f>E142-6</f>
        <v>696</v>
      </c>
      <c r="F143" s="254" t="s">
        <v>218</v>
      </c>
      <c r="G143" s="249" t="s">
        <v>314</v>
      </c>
    </row>
    <row r="144" spans="1:7" ht="12.75">
      <c r="A144" s="316" t="s">
        <v>234</v>
      </c>
      <c r="B144" s="316"/>
      <c r="C144" s="316"/>
      <c r="D144" s="316"/>
      <c r="E144" s="316"/>
      <c r="F144" s="316"/>
      <c r="G144" s="316"/>
    </row>
    <row r="145" spans="1:7" ht="12.75">
      <c r="A145" s="83">
        <f>A113</f>
        <v>351</v>
      </c>
      <c r="B145" s="84">
        <f>F106</f>
        <v>6</v>
      </c>
      <c r="C145" s="81"/>
      <c r="D145" s="81"/>
      <c r="E145" s="84">
        <f>ROUND(B145*A145,2)</f>
        <v>2106</v>
      </c>
      <c r="F145" s="84" t="s">
        <v>0</v>
      </c>
      <c r="G145" s="85" t="s">
        <v>215</v>
      </c>
    </row>
    <row r="146" spans="1:7" ht="12.75">
      <c r="A146" s="86">
        <v>3</v>
      </c>
      <c r="B146" s="84">
        <v>6</v>
      </c>
      <c r="C146" s="81"/>
      <c r="D146" s="84">
        <v>0</v>
      </c>
      <c r="E146" s="84">
        <f>ROUND(B146*A146*D146,2)</f>
        <v>0</v>
      </c>
      <c r="F146" s="84" t="s">
        <v>0</v>
      </c>
      <c r="G146" s="85" t="s">
        <v>235</v>
      </c>
    </row>
    <row r="147" spans="1:7" ht="12.75">
      <c r="A147" s="321" t="s">
        <v>65</v>
      </c>
      <c r="B147" s="322"/>
      <c r="C147" s="322"/>
      <c r="D147" s="322"/>
      <c r="E147" s="79">
        <f>SUM(E145:E146)</f>
        <v>2106</v>
      </c>
      <c r="F147" s="80" t="s">
        <v>0</v>
      </c>
      <c r="G147" s="88" t="s">
        <v>236</v>
      </c>
    </row>
    <row r="148" spans="1:7" ht="12.75">
      <c r="A148" s="316"/>
      <c r="B148" s="316"/>
      <c r="C148" s="316"/>
      <c r="D148" s="316"/>
      <c r="E148" s="316"/>
      <c r="F148" s="316"/>
      <c r="G148" s="316"/>
    </row>
  </sheetData>
  <sheetProtection/>
  <mergeCells count="110">
    <mergeCell ref="A13:G13"/>
    <mergeCell ref="A20:G20"/>
    <mergeCell ref="A17:G17"/>
    <mergeCell ref="A19:G19"/>
    <mergeCell ref="A7:G7"/>
    <mergeCell ref="B14:G14"/>
    <mergeCell ref="B15:G15"/>
    <mergeCell ref="B16:D16"/>
    <mergeCell ref="F16:G16"/>
    <mergeCell ref="A8:G8"/>
    <mergeCell ref="A11:G11"/>
    <mergeCell ref="A10:G10"/>
    <mergeCell ref="A12:B12"/>
    <mergeCell ref="C12:D12"/>
    <mergeCell ref="A37:D37"/>
    <mergeCell ref="A31:G31"/>
    <mergeCell ref="A32:G32"/>
    <mergeCell ref="A35:D35"/>
    <mergeCell ref="B36:C36"/>
    <mergeCell ref="A22:G22"/>
    <mergeCell ref="A25:D25"/>
    <mergeCell ref="A27:D27"/>
    <mergeCell ref="A28:D28"/>
    <mergeCell ref="A38:D38"/>
    <mergeCell ref="A40:G40"/>
    <mergeCell ref="A43:D43"/>
    <mergeCell ref="C44:D44"/>
    <mergeCell ref="A49:D49"/>
    <mergeCell ref="A90:G90"/>
    <mergeCell ref="B81:C81"/>
    <mergeCell ref="A62:G62"/>
    <mergeCell ref="A83:D83"/>
    <mergeCell ref="A74:G74"/>
    <mergeCell ref="A64:G64"/>
    <mergeCell ref="A57:D57"/>
    <mergeCell ref="A58:G58"/>
    <mergeCell ref="A46:G46"/>
    <mergeCell ref="A52:D52"/>
    <mergeCell ref="A54:G54"/>
    <mergeCell ref="A76:G76"/>
    <mergeCell ref="F61:G61"/>
    <mergeCell ref="A65:G65"/>
    <mergeCell ref="A75:G75"/>
    <mergeCell ref="A72:D72"/>
    <mergeCell ref="A85:G85"/>
    <mergeCell ref="C89:D89"/>
    <mergeCell ref="A91:G91"/>
    <mergeCell ref="A96:D96"/>
    <mergeCell ref="B95:C95"/>
    <mergeCell ref="A88:D88"/>
    <mergeCell ref="A80:D80"/>
    <mergeCell ref="A6:G6"/>
    <mergeCell ref="A30:G30"/>
    <mergeCell ref="A98:G98"/>
    <mergeCell ref="A77:G77"/>
    <mergeCell ref="A82:D82"/>
    <mergeCell ref="A84:G84"/>
    <mergeCell ref="A67:G67"/>
    <mergeCell ref="A94:D94"/>
    <mergeCell ref="A70:D70"/>
    <mergeCell ref="A3:G3"/>
    <mergeCell ref="A21:G21"/>
    <mergeCell ref="A29:G29"/>
    <mergeCell ref="A39:G39"/>
    <mergeCell ref="A45:G45"/>
    <mergeCell ref="A53:G53"/>
    <mergeCell ref="B50:C50"/>
    <mergeCell ref="A51:D51"/>
    <mergeCell ref="A4:G4"/>
    <mergeCell ref="A5:G5"/>
    <mergeCell ref="A103:G103"/>
    <mergeCell ref="B104:G104"/>
    <mergeCell ref="B59:G59"/>
    <mergeCell ref="B60:G60"/>
    <mergeCell ref="B61:D61"/>
    <mergeCell ref="A66:G66"/>
    <mergeCell ref="A102:D102"/>
    <mergeCell ref="A99:G99"/>
    <mergeCell ref="A73:D73"/>
    <mergeCell ref="A97:D97"/>
    <mergeCell ref="B105:G105"/>
    <mergeCell ref="B106:D106"/>
    <mergeCell ref="F106:G106"/>
    <mergeCell ref="A107:G107"/>
    <mergeCell ref="A109:G109"/>
    <mergeCell ref="A110:G110"/>
    <mergeCell ref="A111:G111"/>
    <mergeCell ref="A112:G112"/>
    <mergeCell ref="A115:D115"/>
    <mergeCell ref="A117:D117"/>
    <mergeCell ref="A118:D118"/>
    <mergeCell ref="A119:G119"/>
    <mergeCell ref="A120:G120"/>
    <mergeCell ref="A121:G121"/>
    <mergeCell ref="A122:G122"/>
    <mergeCell ref="A125:D125"/>
    <mergeCell ref="B126:C126"/>
    <mergeCell ref="A127:D127"/>
    <mergeCell ref="A128:D128"/>
    <mergeCell ref="A130:G130"/>
    <mergeCell ref="A133:D133"/>
    <mergeCell ref="C134:D134"/>
    <mergeCell ref="A144:G144"/>
    <mergeCell ref="A147:D147"/>
    <mergeCell ref="A148:G148"/>
    <mergeCell ref="A136:G136"/>
    <mergeCell ref="A139:D139"/>
    <mergeCell ref="B140:C140"/>
    <mergeCell ref="A141:D141"/>
    <mergeCell ref="A142:D142"/>
  </mergeCells>
  <printOptions horizontalCentered="1"/>
  <pageMargins left="0.4724409448818898" right="0.3937007874015748" top="1.8447916666666666" bottom="0.7874015748031497" header="0" footer="0"/>
  <pageSetup fitToHeight="0" fitToWidth="1" horizontalDpi="600" verticalDpi="600" orientation="portrait" paperSize="9" r:id="rId2"/>
  <headerFooter alignWithMargins="0">
    <oddHeader>&amp;C
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zoomScale="75" zoomScaleNormal="75" zoomScaleSheetLayoutView="115" workbookViewId="0" topLeftCell="A1">
      <selection activeCell="B16" sqref="B16"/>
    </sheetView>
  </sheetViews>
  <sheetFormatPr defaultColWidth="9.140625" defaultRowHeight="12.75"/>
  <cols>
    <col min="1" max="1" width="11.7109375" style="0" customWidth="1"/>
    <col min="2" max="2" width="15.00390625" style="0" customWidth="1"/>
    <col min="3" max="3" width="9.421875" style="0" customWidth="1"/>
    <col min="4" max="4" width="68.00390625" style="0" customWidth="1"/>
    <col min="5" max="5" width="14.57421875" style="0" customWidth="1"/>
    <col min="6" max="6" width="9.8515625" style="0" bestFit="1" customWidth="1"/>
    <col min="7" max="7" width="15.8515625" style="0" customWidth="1"/>
    <col min="8" max="8" width="13.7109375" style="0" bestFit="1" customWidth="1"/>
    <col min="9" max="9" width="14.421875" style="0" customWidth="1"/>
    <col min="10" max="10" width="15.57421875" style="0" bestFit="1" customWidth="1"/>
  </cols>
  <sheetData>
    <row r="3" spans="1:10" ht="12.75">
      <c r="A3" s="283" t="s">
        <v>313</v>
      </c>
      <c r="B3" s="283"/>
      <c r="C3" s="283"/>
      <c r="D3" s="283"/>
      <c r="E3" s="283"/>
      <c r="F3" s="283"/>
      <c r="G3" s="283"/>
      <c r="H3" s="341"/>
      <c r="I3" s="341"/>
      <c r="J3" s="341"/>
    </row>
    <row r="4" spans="1:10" ht="34.5" customHeight="1">
      <c r="A4" s="285" t="s">
        <v>311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5" customHeight="1">
      <c r="A5" s="285" t="s">
        <v>321</v>
      </c>
      <c r="B5" s="285"/>
      <c r="C5" s="285"/>
      <c r="D5" s="285"/>
      <c r="E5" s="285"/>
      <c r="F5" s="285"/>
      <c r="G5" s="285"/>
      <c r="H5" s="342"/>
      <c r="I5" s="342"/>
      <c r="J5" s="342"/>
    </row>
    <row r="6" spans="1:10" ht="15" customHeight="1">
      <c r="A6" s="343" t="s">
        <v>312</v>
      </c>
      <c r="B6" s="344"/>
      <c r="C6" s="344"/>
      <c r="D6" s="344"/>
      <c r="E6" s="344"/>
      <c r="F6" s="344"/>
      <c r="G6" s="344"/>
      <c r="H6" s="344"/>
      <c r="I6" s="344"/>
      <c r="J6" s="345"/>
    </row>
    <row r="7" spans="1:11" s="218" customFormat="1" ht="24.75" customHeight="1">
      <c r="A7" s="346" t="s">
        <v>202</v>
      </c>
      <c r="B7" s="347"/>
      <c r="C7" s="347"/>
      <c r="D7" s="347"/>
      <c r="E7" s="347"/>
      <c r="F7" s="347"/>
      <c r="G7" s="347"/>
      <c r="H7" s="347"/>
      <c r="I7" s="347"/>
      <c r="J7" s="348"/>
      <c r="K7" s="217"/>
    </row>
    <row r="8" spans="1:10" s="159" customFormat="1" ht="13.5">
      <c r="A8" s="228" t="s">
        <v>88</v>
      </c>
      <c r="B8" s="229" t="s">
        <v>64</v>
      </c>
      <c r="C8" s="228" t="s">
        <v>84</v>
      </c>
      <c r="D8" s="228" t="s">
        <v>69</v>
      </c>
      <c r="E8" s="349" t="s">
        <v>66</v>
      </c>
      <c r="F8" s="349"/>
      <c r="G8" s="230" t="s">
        <v>85</v>
      </c>
      <c r="H8" s="229" t="s">
        <v>3</v>
      </c>
      <c r="I8" s="229" t="s">
        <v>86</v>
      </c>
      <c r="J8" s="229" t="s">
        <v>65</v>
      </c>
    </row>
    <row r="9" spans="1:10" s="159" customFormat="1" ht="26.25">
      <c r="A9" s="231" t="s">
        <v>91</v>
      </c>
      <c r="B9" s="232" t="s">
        <v>296</v>
      </c>
      <c r="C9" s="231" t="s">
        <v>89</v>
      </c>
      <c r="D9" s="231" t="s">
        <v>240</v>
      </c>
      <c r="E9" s="340" t="s">
        <v>133</v>
      </c>
      <c r="F9" s="340"/>
      <c r="G9" s="233" t="s">
        <v>0</v>
      </c>
      <c r="H9" s="234">
        <v>1</v>
      </c>
      <c r="I9" s="235">
        <v>364.27</v>
      </c>
      <c r="J9" s="235">
        <v>364.27</v>
      </c>
    </row>
    <row r="10" spans="1:10" s="159" customFormat="1" ht="26.25">
      <c r="A10" s="236" t="s">
        <v>92</v>
      </c>
      <c r="B10" s="237" t="s">
        <v>102</v>
      </c>
      <c r="C10" s="236" t="s">
        <v>2</v>
      </c>
      <c r="D10" s="236" t="s">
        <v>103</v>
      </c>
      <c r="E10" s="339" t="s">
        <v>104</v>
      </c>
      <c r="F10" s="339"/>
      <c r="G10" s="238" t="s">
        <v>105</v>
      </c>
      <c r="H10" s="239">
        <v>1</v>
      </c>
      <c r="I10" s="240">
        <v>23.88</v>
      </c>
      <c r="J10" s="240">
        <v>23.88</v>
      </c>
    </row>
    <row r="11" spans="1:10" s="159" customFormat="1" ht="26.25">
      <c r="A11" s="236" t="s">
        <v>92</v>
      </c>
      <c r="B11" s="237" t="s">
        <v>106</v>
      </c>
      <c r="C11" s="236" t="s">
        <v>2</v>
      </c>
      <c r="D11" s="236" t="s">
        <v>107</v>
      </c>
      <c r="E11" s="339" t="s">
        <v>104</v>
      </c>
      <c r="F11" s="339"/>
      <c r="G11" s="238" t="s">
        <v>105</v>
      </c>
      <c r="H11" s="239">
        <v>2</v>
      </c>
      <c r="I11" s="240">
        <v>19.02</v>
      </c>
      <c r="J11" s="240">
        <v>38.04</v>
      </c>
    </row>
    <row r="12" spans="1:10" s="159" customFormat="1" ht="39">
      <c r="A12" s="236" t="s">
        <v>92</v>
      </c>
      <c r="B12" s="237" t="s">
        <v>101</v>
      </c>
      <c r="C12" s="236" t="s">
        <v>2</v>
      </c>
      <c r="D12" s="236" t="s">
        <v>245</v>
      </c>
      <c r="E12" s="339" t="s">
        <v>93</v>
      </c>
      <c r="F12" s="339"/>
      <c r="G12" s="238" t="s">
        <v>1</v>
      </c>
      <c r="H12" s="239">
        <v>0.01</v>
      </c>
      <c r="I12" s="240">
        <v>499.19</v>
      </c>
      <c r="J12" s="240">
        <v>4.99</v>
      </c>
    </row>
    <row r="13" spans="1:10" s="159" customFormat="1" ht="26.25">
      <c r="A13" s="236" t="s">
        <v>94</v>
      </c>
      <c r="B13" s="237" t="s">
        <v>134</v>
      </c>
      <c r="C13" s="236" t="s">
        <v>2</v>
      </c>
      <c r="D13" s="236" t="s">
        <v>135</v>
      </c>
      <c r="E13" s="339" t="s">
        <v>95</v>
      </c>
      <c r="F13" s="339"/>
      <c r="G13" s="238" t="s">
        <v>90</v>
      </c>
      <c r="H13" s="239">
        <v>1</v>
      </c>
      <c r="I13" s="240">
        <v>3.81</v>
      </c>
      <c r="J13" s="240">
        <v>3.81</v>
      </c>
    </row>
    <row r="14" spans="1:10" s="159" customFormat="1" ht="26.25">
      <c r="A14" s="236" t="s">
        <v>94</v>
      </c>
      <c r="B14" s="237" t="s">
        <v>136</v>
      </c>
      <c r="C14" s="236" t="s">
        <v>2</v>
      </c>
      <c r="D14" s="236" t="s">
        <v>137</v>
      </c>
      <c r="E14" s="339" t="s">
        <v>95</v>
      </c>
      <c r="F14" s="339"/>
      <c r="G14" s="238" t="s">
        <v>90</v>
      </c>
      <c r="H14" s="239">
        <v>4</v>
      </c>
      <c r="I14" s="240">
        <v>10.33</v>
      </c>
      <c r="J14" s="240">
        <v>41.32</v>
      </c>
    </row>
    <row r="15" spans="1:10" s="159" customFormat="1" ht="26.25">
      <c r="A15" s="236" t="s">
        <v>94</v>
      </c>
      <c r="B15" s="237" t="s">
        <v>138</v>
      </c>
      <c r="C15" s="236" t="s">
        <v>2</v>
      </c>
      <c r="D15" s="236" t="s">
        <v>305</v>
      </c>
      <c r="E15" s="339" t="s">
        <v>95</v>
      </c>
      <c r="F15" s="339"/>
      <c r="G15" s="238" t="s">
        <v>0</v>
      </c>
      <c r="H15" s="239">
        <v>1</v>
      </c>
      <c r="I15" s="240">
        <v>250</v>
      </c>
      <c r="J15" s="240">
        <v>250</v>
      </c>
    </row>
    <row r="16" spans="1:10" s="159" customFormat="1" ht="12.75">
      <c r="A16" s="236" t="s">
        <v>94</v>
      </c>
      <c r="B16" s="237" t="s">
        <v>139</v>
      </c>
      <c r="C16" s="236" t="s">
        <v>2</v>
      </c>
      <c r="D16" s="236" t="s">
        <v>108</v>
      </c>
      <c r="E16" s="339" t="s">
        <v>95</v>
      </c>
      <c r="F16" s="339"/>
      <c r="G16" s="238" t="s">
        <v>109</v>
      </c>
      <c r="H16" s="239">
        <v>0.11</v>
      </c>
      <c r="I16" s="240">
        <v>20.34</v>
      </c>
      <c r="J16" s="240">
        <v>2.23</v>
      </c>
    </row>
    <row r="17" spans="1:10" s="159" customFormat="1" ht="12.75">
      <c r="A17" s="241"/>
      <c r="B17" s="241"/>
      <c r="C17" s="241"/>
      <c r="D17" s="241"/>
      <c r="E17" s="241" t="s">
        <v>96</v>
      </c>
      <c r="F17" s="242">
        <v>20.93</v>
      </c>
      <c r="G17" s="241" t="s">
        <v>97</v>
      </c>
      <c r="H17" s="242">
        <v>23.66</v>
      </c>
      <c r="I17" s="241" t="s">
        <v>98</v>
      </c>
      <c r="J17" s="242">
        <v>44.59</v>
      </c>
    </row>
    <row r="18" spans="1:10" s="159" customFormat="1" ht="13.5" thickBot="1">
      <c r="A18" s="241"/>
      <c r="B18" s="241"/>
      <c r="C18" s="241"/>
      <c r="D18" s="241"/>
      <c r="E18" s="241" t="s">
        <v>99</v>
      </c>
      <c r="F18" s="242">
        <v>80.649378</v>
      </c>
      <c r="G18" s="241"/>
      <c r="H18" s="338" t="s">
        <v>100</v>
      </c>
      <c r="I18" s="338"/>
      <c r="J18" s="242">
        <v>444.92</v>
      </c>
    </row>
    <row r="19" spans="1:10" s="159" customFormat="1" ht="13.5" thickTop="1">
      <c r="A19" s="243"/>
      <c r="B19" s="243"/>
      <c r="C19" s="243"/>
      <c r="D19" s="243"/>
      <c r="E19" s="243"/>
      <c r="F19" s="243"/>
      <c r="G19" s="243"/>
      <c r="H19" s="243"/>
      <c r="I19" s="243"/>
      <c r="J19" s="243"/>
    </row>
    <row r="20" spans="1:10" s="159" customFormat="1" ht="13.5">
      <c r="A20" s="228" t="s">
        <v>120</v>
      </c>
      <c r="B20" s="229" t="s">
        <v>64</v>
      </c>
      <c r="C20" s="228" t="s">
        <v>84</v>
      </c>
      <c r="D20" s="228" t="s">
        <v>69</v>
      </c>
      <c r="E20" s="349" t="s">
        <v>66</v>
      </c>
      <c r="F20" s="349"/>
      <c r="G20" s="230" t="s">
        <v>85</v>
      </c>
      <c r="H20" s="229" t="s">
        <v>3</v>
      </c>
      <c r="I20" s="229" t="s">
        <v>86</v>
      </c>
      <c r="J20" s="229" t="s">
        <v>65</v>
      </c>
    </row>
    <row r="21" spans="1:10" s="159" customFormat="1" ht="26.25">
      <c r="A21" s="231" t="s">
        <v>91</v>
      </c>
      <c r="B21" s="232" t="s">
        <v>293</v>
      </c>
      <c r="C21" s="231" t="s">
        <v>89</v>
      </c>
      <c r="D21" s="231" t="s">
        <v>123</v>
      </c>
      <c r="E21" s="340" t="s">
        <v>133</v>
      </c>
      <c r="F21" s="340"/>
      <c r="G21" s="233" t="s">
        <v>241</v>
      </c>
      <c r="H21" s="234">
        <v>1</v>
      </c>
      <c r="I21" s="235">
        <v>6410.4</v>
      </c>
      <c r="J21" s="235">
        <v>6410.4</v>
      </c>
    </row>
    <row r="22" spans="1:10" s="159" customFormat="1" ht="26.25">
      <c r="A22" s="236" t="s">
        <v>92</v>
      </c>
      <c r="B22" s="237" t="s">
        <v>129</v>
      </c>
      <c r="C22" s="236" t="s">
        <v>2</v>
      </c>
      <c r="D22" s="236" t="s">
        <v>130</v>
      </c>
      <c r="E22" s="339" t="s">
        <v>104</v>
      </c>
      <c r="F22" s="339"/>
      <c r="G22" s="238" t="s">
        <v>105</v>
      </c>
      <c r="H22" s="239">
        <v>30</v>
      </c>
      <c r="I22" s="240">
        <v>112.26</v>
      </c>
      <c r="J22" s="240">
        <v>3367.8</v>
      </c>
    </row>
    <row r="23" spans="1:10" s="159" customFormat="1" ht="26.25">
      <c r="A23" s="236" t="s">
        <v>92</v>
      </c>
      <c r="B23" s="237" t="s">
        <v>246</v>
      </c>
      <c r="C23" s="236" t="s">
        <v>2</v>
      </c>
      <c r="D23" s="236" t="s">
        <v>247</v>
      </c>
      <c r="E23" s="339" t="s">
        <v>104</v>
      </c>
      <c r="F23" s="339"/>
      <c r="G23" s="238" t="s">
        <v>105</v>
      </c>
      <c r="H23" s="239">
        <v>60</v>
      </c>
      <c r="I23" s="240">
        <v>30.88</v>
      </c>
      <c r="J23" s="240">
        <v>1852.8</v>
      </c>
    </row>
    <row r="24" spans="1:10" s="159" customFormat="1" ht="26.25">
      <c r="A24" s="236" t="s">
        <v>92</v>
      </c>
      <c r="B24" s="237" t="s">
        <v>131</v>
      </c>
      <c r="C24" s="236" t="s">
        <v>2</v>
      </c>
      <c r="D24" s="236" t="s">
        <v>132</v>
      </c>
      <c r="E24" s="339" t="s">
        <v>104</v>
      </c>
      <c r="F24" s="339"/>
      <c r="G24" s="238" t="s">
        <v>105</v>
      </c>
      <c r="H24" s="239">
        <v>60</v>
      </c>
      <c r="I24" s="240">
        <v>19.83</v>
      </c>
      <c r="J24" s="240">
        <v>1189.8</v>
      </c>
    </row>
    <row r="25" spans="1:10" s="159" customFormat="1" ht="12.75">
      <c r="A25" s="241"/>
      <c r="B25" s="241"/>
      <c r="C25" s="241"/>
      <c r="D25" s="241"/>
      <c r="E25" s="241" t="s">
        <v>96</v>
      </c>
      <c r="F25" s="242">
        <v>2854.68</v>
      </c>
      <c r="G25" s="241" t="s">
        <v>97</v>
      </c>
      <c r="H25" s="242">
        <v>3227.22</v>
      </c>
      <c r="I25" s="241" t="s">
        <v>98</v>
      </c>
      <c r="J25" s="242">
        <v>6081.9</v>
      </c>
    </row>
    <row r="26" spans="1:10" s="159" customFormat="1" ht="13.5" thickBot="1">
      <c r="A26" s="241"/>
      <c r="B26" s="241"/>
      <c r="C26" s="241"/>
      <c r="D26" s="241"/>
      <c r="E26" s="241" t="s">
        <v>99</v>
      </c>
      <c r="F26" s="242">
        <v>1419.26256</v>
      </c>
      <c r="G26" s="241"/>
      <c r="H26" s="338" t="s">
        <v>100</v>
      </c>
      <c r="I26" s="338"/>
      <c r="J26" s="242">
        <v>7829.66</v>
      </c>
    </row>
    <row r="27" spans="1:10" s="159" customFormat="1" ht="13.5" thickTop="1">
      <c r="A27" s="243"/>
      <c r="B27" s="243"/>
      <c r="C27" s="243"/>
      <c r="D27" s="243"/>
      <c r="E27" s="243"/>
      <c r="F27" s="243"/>
      <c r="G27" s="243"/>
      <c r="H27" s="243"/>
      <c r="I27" s="243"/>
      <c r="J27" s="243"/>
    </row>
    <row r="28" spans="1:10" s="159" customFormat="1" ht="13.5">
      <c r="A28" s="228" t="s">
        <v>306</v>
      </c>
      <c r="B28" s="229" t="s">
        <v>64</v>
      </c>
      <c r="C28" s="228" t="s">
        <v>84</v>
      </c>
      <c r="D28" s="228" t="s">
        <v>69</v>
      </c>
      <c r="E28" s="349" t="s">
        <v>66</v>
      </c>
      <c r="F28" s="349"/>
      <c r="G28" s="230" t="s">
        <v>85</v>
      </c>
      <c r="H28" s="229" t="s">
        <v>3</v>
      </c>
      <c r="I28" s="229" t="s">
        <v>86</v>
      </c>
      <c r="J28" s="229" t="s">
        <v>65</v>
      </c>
    </row>
    <row r="29" spans="1:10" s="159" customFormat="1" ht="12.75">
      <c r="A29" s="231" t="s">
        <v>91</v>
      </c>
      <c r="B29" s="232" t="s">
        <v>124</v>
      </c>
      <c r="C29" s="231" t="s">
        <v>2</v>
      </c>
      <c r="D29" s="231" t="s">
        <v>128</v>
      </c>
      <c r="E29" s="340" t="s">
        <v>140</v>
      </c>
      <c r="F29" s="340"/>
      <c r="G29" s="233" t="s">
        <v>0</v>
      </c>
      <c r="H29" s="234">
        <v>1</v>
      </c>
      <c r="I29" s="235">
        <v>0.12</v>
      </c>
      <c r="J29" s="235">
        <v>0.12</v>
      </c>
    </row>
    <row r="30" spans="1:10" s="159" customFormat="1" ht="39">
      <c r="A30" s="236" t="s">
        <v>92</v>
      </c>
      <c r="B30" s="237" t="s">
        <v>141</v>
      </c>
      <c r="C30" s="236" t="s">
        <v>2</v>
      </c>
      <c r="D30" s="236" t="s">
        <v>142</v>
      </c>
      <c r="E30" s="339" t="s">
        <v>115</v>
      </c>
      <c r="F30" s="339"/>
      <c r="G30" s="238" t="s">
        <v>45</v>
      </c>
      <c r="H30" s="239">
        <v>0.0001</v>
      </c>
      <c r="I30" s="240">
        <v>248.17</v>
      </c>
      <c r="J30" s="240">
        <v>0.02</v>
      </c>
    </row>
    <row r="31" spans="1:10" s="159" customFormat="1" ht="39">
      <c r="A31" s="236" t="s">
        <v>92</v>
      </c>
      <c r="B31" s="237" t="s">
        <v>143</v>
      </c>
      <c r="C31" s="236" t="s">
        <v>2</v>
      </c>
      <c r="D31" s="236" t="s">
        <v>144</v>
      </c>
      <c r="E31" s="339" t="s">
        <v>115</v>
      </c>
      <c r="F31" s="339"/>
      <c r="G31" s="238" t="s">
        <v>46</v>
      </c>
      <c r="H31" s="239">
        <v>0.001</v>
      </c>
      <c r="I31" s="240">
        <v>91.11</v>
      </c>
      <c r="J31" s="240">
        <v>0.09</v>
      </c>
    </row>
    <row r="32" spans="1:10" s="159" customFormat="1" ht="26.25">
      <c r="A32" s="236" t="s">
        <v>92</v>
      </c>
      <c r="B32" s="237" t="s">
        <v>106</v>
      </c>
      <c r="C32" s="236" t="s">
        <v>2</v>
      </c>
      <c r="D32" s="236" t="s">
        <v>107</v>
      </c>
      <c r="E32" s="339" t="s">
        <v>104</v>
      </c>
      <c r="F32" s="339"/>
      <c r="G32" s="238" t="s">
        <v>105</v>
      </c>
      <c r="H32" s="239">
        <v>0.001</v>
      </c>
      <c r="I32" s="240">
        <v>19.02</v>
      </c>
      <c r="J32" s="240">
        <v>0.01</v>
      </c>
    </row>
    <row r="33" spans="1:10" s="159" customFormat="1" ht="12.75">
      <c r="A33" s="241"/>
      <c r="B33" s="241"/>
      <c r="C33" s="241"/>
      <c r="D33" s="241"/>
      <c r="E33" s="241" t="s">
        <v>96</v>
      </c>
      <c r="F33" s="242">
        <v>0.01</v>
      </c>
      <c r="G33" s="241" t="s">
        <v>97</v>
      </c>
      <c r="H33" s="242">
        <v>0.02</v>
      </c>
      <c r="I33" s="241" t="s">
        <v>98</v>
      </c>
      <c r="J33" s="242">
        <v>0.03</v>
      </c>
    </row>
    <row r="34" spans="1:10" s="159" customFormat="1" ht="13.5" thickBot="1">
      <c r="A34" s="241"/>
      <c r="B34" s="241"/>
      <c r="C34" s="241"/>
      <c r="D34" s="241"/>
      <c r="E34" s="241" t="s">
        <v>99</v>
      </c>
      <c r="F34" s="242">
        <v>0.026568</v>
      </c>
      <c r="G34" s="241"/>
      <c r="H34" s="338" t="s">
        <v>100</v>
      </c>
      <c r="I34" s="338"/>
      <c r="J34" s="242">
        <v>0.15</v>
      </c>
    </row>
    <row r="35" spans="1:10" s="159" customFormat="1" ht="13.5" thickTop="1">
      <c r="A35" s="243"/>
      <c r="B35" s="243"/>
      <c r="C35" s="243"/>
      <c r="D35" s="243"/>
      <c r="E35" s="243"/>
      <c r="F35" s="243"/>
      <c r="G35" s="243"/>
      <c r="H35" s="243"/>
      <c r="I35" s="243"/>
      <c r="J35" s="243"/>
    </row>
    <row r="36" spans="1:10" s="159" customFormat="1" ht="13.5">
      <c r="A36" s="228" t="s">
        <v>307</v>
      </c>
      <c r="B36" s="229" t="s">
        <v>64</v>
      </c>
      <c r="C36" s="228" t="s">
        <v>84</v>
      </c>
      <c r="D36" s="228" t="s">
        <v>69</v>
      </c>
      <c r="E36" s="349" t="s">
        <v>66</v>
      </c>
      <c r="F36" s="349"/>
      <c r="G36" s="230" t="s">
        <v>85</v>
      </c>
      <c r="H36" s="229" t="s">
        <v>3</v>
      </c>
      <c r="I36" s="229" t="s">
        <v>86</v>
      </c>
      <c r="J36" s="229" t="s">
        <v>65</v>
      </c>
    </row>
    <row r="37" spans="1:16" s="159" customFormat="1" ht="39">
      <c r="A37" s="231" t="s">
        <v>91</v>
      </c>
      <c r="B37" s="232" t="s">
        <v>294</v>
      </c>
      <c r="C37" s="231" t="s">
        <v>89</v>
      </c>
      <c r="D37" s="231" t="s">
        <v>243</v>
      </c>
      <c r="E37" s="340" t="s">
        <v>140</v>
      </c>
      <c r="F37" s="340"/>
      <c r="G37" s="233" t="s">
        <v>0</v>
      </c>
      <c r="H37" s="234">
        <v>1</v>
      </c>
      <c r="I37" s="235">
        <v>88.18</v>
      </c>
      <c r="J37" s="235">
        <v>88.18</v>
      </c>
      <c r="L37" s="256" t="s">
        <v>316</v>
      </c>
      <c r="M37" s="256">
        <f>J38+J39</f>
        <v>17.31</v>
      </c>
      <c r="N37" s="256">
        <f>J38+J39</f>
        <v>17.31</v>
      </c>
      <c r="P37" s="256">
        <f>SUM(J38:J42)</f>
        <v>88.18</v>
      </c>
    </row>
    <row r="38" spans="1:16" s="159" customFormat="1" ht="26.25">
      <c r="A38" s="236" t="s">
        <v>92</v>
      </c>
      <c r="B38" s="237" t="s">
        <v>145</v>
      </c>
      <c r="C38" s="236" t="s">
        <v>2</v>
      </c>
      <c r="D38" s="236" t="s">
        <v>146</v>
      </c>
      <c r="E38" s="339" t="s">
        <v>104</v>
      </c>
      <c r="F38" s="339"/>
      <c r="G38" s="238" t="s">
        <v>105</v>
      </c>
      <c r="H38" s="239">
        <v>0.4021</v>
      </c>
      <c r="I38" s="240">
        <v>24.06</v>
      </c>
      <c r="J38" s="259">
        <v>9.67</v>
      </c>
      <c r="L38" s="159" t="s">
        <v>317</v>
      </c>
      <c r="M38" s="256">
        <f>J40+J41</f>
        <v>23.740000000000002</v>
      </c>
      <c r="N38" s="256">
        <f>J40+J41</f>
        <v>23.740000000000002</v>
      </c>
      <c r="P38" s="256">
        <f>P37+F44</f>
        <v>93.41143000000001</v>
      </c>
    </row>
    <row r="39" spans="1:16" s="159" customFormat="1" ht="26.25">
      <c r="A39" s="236" t="s">
        <v>92</v>
      </c>
      <c r="B39" s="237" t="s">
        <v>106</v>
      </c>
      <c r="C39" s="236" t="s">
        <v>2</v>
      </c>
      <c r="D39" s="236" t="s">
        <v>107</v>
      </c>
      <c r="E39" s="339" t="s">
        <v>104</v>
      </c>
      <c r="F39" s="339"/>
      <c r="G39" s="238" t="s">
        <v>105</v>
      </c>
      <c r="H39" s="239">
        <v>0.4021</v>
      </c>
      <c r="I39" s="240">
        <v>19.02</v>
      </c>
      <c r="J39" s="259">
        <v>7.64</v>
      </c>
      <c r="L39" s="159" t="s">
        <v>318</v>
      </c>
      <c r="M39" s="257">
        <f>M37+M38</f>
        <v>41.05</v>
      </c>
      <c r="P39" s="256">
        <f>P38+O43</f>
        <v>102.49990000000001</v>
      </c>
    </row>
    <row r="40" spans="1:13" s="159" customFormat="1" ht="26.25">
      <c r="A40" s="236" t="s">
        <v>92</v>
      </c>
      <c r="B40" s="237" t="s">
        <v>248</v>
      </c>
      <c r="C40" s="236" t="s">
        <v>2</v>
      </c>
      <c r="D40" s="236" t="s">
        <v>249</v>
      </c>
      <c r="E40" s="339" t="s">
        <v>104</v>
      </c>
      <c r="F40" s="339"/>
      <c r="G40" s="238" t="s">
        <v>1</v>
      </c>
      <c r="H40" s="239">
        <v>0.0204</v>
      </c>
      <c r="I40" s="240">
        <v>654.66</v>
      </c>
      <c r="J40" s="259">
        <v>13.35</v>
      </c>
      <c r="L40" s="258" t="s">
        <v>319</v>
      </c>
      <c r="M40" s="159">
        <f>M39*0.2214</f>
        <v>9.08847</v>
      </c>
    </row>
    <row r="41" spans="1:16" s="159" customFormat="1" ht="26.25">
      <c r="A41" s="236" t="s">
        <v>94</v>
      </c>
      <c r="B41" s="237" t="s">
        <v>116</v>
      </c>
      <c r="C41" s="236" t="s">
        <v>2</v>
      </c>
      <c r="D41" s="236" t="s">
        <v>117</v>
      </c>
      <c r="E41" s="339" t="s">
        <v>95</v>
      </c>
      <c r="F41" s="339"/>
      <c r="G41" s="238" t="s">
        <v>1</v>
      </c>
      <c r="H41" s="239">
        <v>0.114</v>
      </c>
      <c r="I41" s="240">
        <v>91.17</v>
      </c>
      <c r="J41" s="259">
        <v>10.39</v>
      </c>
      <c r="M41" s="256">
        <f>M39+M40+J42+F44</f>
        <v>102.49990000000001</v>
      </c>
      <c r="P41" s="159">
        <f>J42*0.111</f>
        <v>5.2314300000000005</v>
      </c>
    </row>
    <row r="42" spans="1:16" s="159" customFormat="1" ht="12.75">
      <c r="A42" s="236" t="s">
        <v>94</v>
      </c>
      <c r="B42" s="237" t="s">
        <v>147</v>
      </c>
      <c r="C42" s="236" t="s">
        <v>127</v>
      </c>
      <c r="D42" s="236" t="s">
        <v>309</v>
      </c>
      <c r="E42" s="339" t="s">
        <v>95</v>
      </c>
      <c r="F42" s="339"/>
      <c r="G42" s="238" t="s">
        <v>148</v>
      </c>
      <c r="H42" s="239">
        <v>0.033</v>
      </c>
      <c r="I42" s="240">
        <v>1428.27</v>
      </c>
      <c r="J42" s="240">
        <v>47.13</v>
      </c>
      <c r="K42" s="159">
        <f>0.111*J42</f>
        <v>5.2314300000000005</v>
      </c>
      <c r="P42" s="159">
        <f>P41+O43</f>
        <v>14.3199</v>
      </c>
    </row>
    <row r="43" spans="1:16" s="159" customFormat="1" ht="12.75">
      <c r="A43" s="241"/>
      <c r="B43" s="241"/>
      <c r="C43" s="241"/>
      <c r="D43" s="241"/>
      <c r="E43" s="241" t="s">
        <v>96</v>
      </c>
      <c r="F43" s="242">
        <v>7.57</v>
      </c>
      <c r="G43" s="241" t="s">
        <v>97</v>
      </c>
      <c r="H43" s="242">
        <v>8.55</v>
      </c>
      <c r="I43" s="241" t="s">
        <v>98</v>
      </c>
      <c r="J43" s="242">
        <v>16.12</v>
      </c>
      <c r="N43" s="256">
        <f>J38+J39+J40+J41</f>
        <v>41.05</v>
      </c>
      <c r="O43" s="159">
        <f>N43*0.2214</f>
        <v>9.08847</v>
      </c>
      <c r="P43" s="256">
        <f>P42+P37</f>
        <v>102.49990000000001</v>
      </c>
    </row>
    <row r="44" spans="1:12" s="159" customFormat="1" ht="26.25">
      <c r="A44" s="241"/>
      <c r="B44" s="241"/>
      <c r="C44" s="241"/>
      <c r="D44" s="241"/>
      <c r="E44" s="244" t="s">
        <v>310</v>
      </c>
      <c r="F44" s="245">
        <v>5.23143</v>
      </c>
      <c r="G44" s="241"/>
      <c r="H44" s="338"/>
      <c r="I44" s="338"/>
      <c r="J44" s="242"/>
      <c r="K44" s="256"/>
      <c r="L44" s="256"/>
    </row>
    <row r="45" spans="1:10" s="159" customFormat="1" ht="13.5" thickBot="1">
      <c r="A45" s="241"/>
      <c r="B45" s="241"/>
      <c r="C45" s="241"/>
      <c r="D45" s="241"/>
      <c r="E45" s="241" t="s">
        <v>99</v>
      </c>
      <c r="F45" s="242">
        <f>O43</f>
        <v>9.08847</v>
      </c>
      <c r="G45" s="241"/>
      <c r="H45" s="338" t="s">
        <v>100</v>
      </c>
      <c r="I45" s="338"/>
      <c r="J45" s="242">
        <f>F44+F45+J37</f>
        <v>102.49990000000001</v>
      </c>
    </row>
    <row r="46" spans="1:10" s="159" customFormat="1" ht="14.25" thickBot="1" thickTop="1">
      <c r="A46" s="243"/>
      <c r="B46" s="243"/>
      <c r="C46" s="243"/>
      <c r="D46" s="243"/>
      <c r="E46" s="243"/>
      <c r="F46" s="243"/>
      <c r="G46" s="243"/>
      <c r="H46" s="243"/>
      <c r="I46" s="243"/>
      <c r="J46" s="243"/>
    </row>
    <row r="47" spans="1:10" s="159" customFormat="1" ht="13.5" thickTop="1">
      <c r="A47" s="243"/>
      <c r="B47" s="243"/>
      <c r="C47" s="243"/>
      <c r="D47" s="243"/>
      <c r="E47" s="243"/>
      <c r="F47" s="243"/>
      <c r="G47" s="243"/>
      <c r="H47" s="243"/>
      <c r="I47" s="243"/>
      <c r="J47" s="243"/>
    </row>
    <row r="48" spans="1:10" s="159" customFormat="1" ht="13.5">
      <c r="A48" s="228" t="s">
        <v>308</v>
      </c>
      <c r="B48" s="229" t="s">
        <v>64</v>
      </c>
      <c r="C48" s="228" t="s">
        <v>84</v>
      </c>
      <c r="D48" s="228" t="s">
        <v>69</v>
      </c>
      <c r="E48" s="349" t="s">
        <v>66</v>
      </c>
      <c r="F48" s="349"/>
      <c r="G48" s="230" t="s">
        <v>85</v>
      </c>
      <c r="H48" s="229" t="s">
        <v>3</v>
      </c>
      <c r="I48" s="229" t="s">
        <v>86</v>
      </c>
      <c r="J48" s="229" t="s">
        <v>65</v>
      </c>
    </row>
    <row r="49" spans="1:10" s="159" customFormat="1" ht="52.5">
      <c r="A49" s="231" t="s">
        <v>91</v>
      </c>
      <c r="B49" s="232" t="s">
        <v>125</v>
      </c>
      <c r="C49" s="231" t="s">
        <v>2</v>
      </c>
      <c r="D49" s="231" t="s">
        <v>126</v>
      </c>
      <c r="E49" s="340" t="s">
        <v>149</v>
      </c>
      <c r="F49" s="340"/>
      <c r="G49" s="233" t="s">
        <v>90</v>
      </c>
      <c r="H49" s="234">
        <v>1</v>
      </c>
      <c r="I49" s="235">
        <v>43.79</v>
      </c>
      <c r="J49" s="235">
        <v>43.79</v>
      </c>
    </row>
    <row r="50" spans="1:10" s="159" customFormat="1" ht="26.25">
      <c r="A50" s="236" t="s">
        <v>92</v>
      </c>
      <c r="B50" s="237" t="s">
        <v>110</v>
      </c>
      <c r="C50" s="236" t="s">
        <v>2</v>
      </c>
      <c r="D50" s="236" t="s">
        <v>111</v>
      </c>
      <c r="E50" s="339" t="s">
        <v>104</v>
      </c>
      <c r="F50" s="339"/>
      <c r="G50" s="238" t="s">
        <v>105</v>
      </c>
      <c r="H50" s="239">
        <v>0.394</v>
      </c>
      <c r="I50" s="240">
        <v>24.24</v>
      </c>
      <c r="J50" s="240">
        <v>9.55</v>
      </c>
    </row>
    <row r="51" spans="1:10" s="159" customFormat="1" ht="26.25">
      <c r="A51" s="236" t="s">
        <v>92</v>
      </c>
      <c r="B51" s="237" t="s">
        <v>106</v>
      </c>
      <c r="C51" s="236" t="s">
        <v>2</v>
      </c>
      <c r="D51" s="236" t="s">
        <v>107</v>
      </c>
      <c r="E51" s="339" t="s">
        <v>104</v>
      </c>
      <c r="F51" s="339"/>
      <c r="G51" s="238" t="s">
        <v>105</v>
      </c>
      <c r="H51" s="239">
        <v>0.394</v>
      </c>
      <c r="I51" s="240">
        <v>19.02</v>
      </c>
      <c r="J51" s="240">
        <v>7.49</v>
      </c>
    </row>
    <row r="52" spans="1:10" s="159" customFormat="1" ht="26.25">
      <c r="A52" s="236" t="s">
        <v>92</v>
      </c>
      <c r="B52" s="237" t="s">
        <v>114</v>
      </c>
      <c r="C52" s="236" t="s">
        <v>2</v>
      </c>
      <c r="D52" s="236" t="s">
        <v>118</v>
      </c>
      <c r="E52" s="339" t="s">
        <v>104</v>
      </c>
      <c r="F52" s="339"/>
      <c r="G52" s="238" t="s">
        <v>1</v>
      </c>
      <c r="H52" s="239">
        <v>0.002</v>
      </c>
      <c r="I52" s="240">
        <v>742.26</v>
      </c>
      <c r="J52" s="240">
        <v>1.48</v>
      </c>
    </row>
    <row r="53" spans="1:10" s="159" customFormat="1" ht="26.25">
      <c r="A53" s="236" t="s">
        <v>94</v>
      </c>
      <c r="B53" s="237" t="s">
        <v>112</v>
      </c>
      <c r="C53" s="236" t="s">
        <v>2</v>
      </c>
      <c r="D53" s="236" t="s">
        <v>113</v>
      </c>
      <c r="E53" s="339" t="s">
        <v>95</v>
      </c>
      <c r="F53" s="339"/>
      <c r="G53" s="238" t="s">
        <v>1</v>
      </c>
      <c r="H53" s="239">
        <v>0.007</v>
      </c>
      <c r="I53" s="240">
        <v>90</v>
      </c>
      <c r="J53" s="240">
        <v>0.63</v>
      </c>
    </row>
    <row r="54" spans="1:10" s="159" customFormat="1" ht="26.25">
      <c r="A54" s="236" t="s">
        <v>94</v>
      </c>
      <c r="B54" s="237" t="s">
        <v>150</v>
      </c>
      <c r="C54" s="236" t="s">
        <v>2</v>
      </c>
      <c r="D54" s="236" t="s">
        <v>151</v>
      </c>
      <c r="E54" s="339" t="s">
        <v>95</v>
      </c>
      <c r="F54" s="339"/>
      <c r="G54" s="238" t="s">
        <v>90</v>
      </c>
      <c r="H54" s="239">
        <v>1.005</v>
      </c>
      <c r="I54" s="240">
        <v>24.52</v>
      </c>
      <c r="J54" s="240">
        <v>24.64</v>
      </c>
    </row>
    <row r="55" spans="1:10" s="159" customFormat="1" ht="12.75">
      <c r="A55" s="241"/>
      <c r="B55" s="241"/>
      <c r="C55" s="241"/>
      <c r="D55" s="241"/>
      <c r="E55" s="241" t="s">
        <v>96</v>
      </c>
      <c r="F55" s="242">
        <v>5.86</v>
      </c>
      <c r="G55" s="241" t="s">
        <v>97</v>
      </c>
      <c r="H55" s="242">
        <v>6.63</v>
      </c>
      <c r="I55" s="241" t="s">
        <v>98</v>
      </c>
      <c r="J55" s="242">
        <v>12.49</v>
      </c>
    </row>
    <row r="56" spans="1:10" s="159" customFormat="1" ht="13.5" thickBot="1">
      <c r="A56" s="241"/>
      <c r="B56" s="241"/>
      <c r="C56" s="241"/>
      <c r="D56" s="241"/>
      <c r="E56" s="241" t="s">
        <v>99</v>
      </c>
      <c r="F56" s="242">
        <v>9.695106</v>
      </c>
      <c r="G56" s="241"/>
      <c r="H56" s="338" t="s">
        <v>100</v>
      </c>
      <c r="I56" s="338"/>
      <c r="J56" s="242">
        <v>53.49</v>
      </c>
    </row>
    <row r="57" spans="1:10" s="159" customFormat="1" ht="13.5" thickTop="1">
      <c r="A57" s="243"/>
      <c r="B57" s="243"/>
      <c r="C57" s="243"/>
      <c r="D57" s="243"/>
      <c r="E57" s="243"/>
      <c r="F57" s="243"/>
      <c r="G57" s="243"/>
      <c r="H57" s="243"/>
      <c r="I57" s="243"/>
      <c r="J57" s="243"/>
    </row>
    <row r="58" spans="1:10" s="159" customFormat="1" ht="13.5">
      <c r="A58" s="228" t="s">
        <v>308</v>
      </c>
      <c r="B58" s="229" t="s">
        <v>64</v>
      </c>
      <c r="C58" s="228" t="s">
        <v>84</v>
      </c>
      <c r="D58" s="228" t="s">
        <v>69</v>
      </c>
      <c r="E58" s="349" t="s">
        <v>66</v>
      </c>
      <c r="F58" s="349"/>
      <c r="G58" s="230" t="s">
        <v>85</v>
      </c>
      <c r="H58" s="229" t="s">
        <v>3</v>
      </c>
      <c r="I58" s="229" t="s">
        <v>86</v>
      </c>
      <c r="J58" s="229" t="s">
        <v>65</v>
      </c>
    </row>
    <row r="59" spans="1:10" s="159" customFormat="1" ht="39">
      <c r="A59" s="231" t="s">
        <v>91</v>
      </c>
      <c r="B59" s="232" t="s">
        <v>295</v>
      </c>
      <c r="C59" s="231" t="s">
        <v>89</v>
      </c>
      <c r="D59" s="231" t="s">
        <v>274</v>
      </c>
      <c r="E59" s="340" t="s">
        <v>149</v>
      </c>
      <c r="F59" s="340"/>
      <c r="G59" s="233" t="s">
        <v>90</v>
      </c>
      <c r="H59" s="234">
        <v>1</v>
      </c>
      <c r="I59" s="235">
        <v>12.11</v>
      </c>
      <c r="J59" s="235">
        <v>12.11</v>
      </c>
    </row>
    <row r="60" spans="1:10" s="159" customFormat="1" ht="26.25">
      <c r="A60" s="236" t="s">
        <v>92</v>
      </c>
      <c r="B60" s="237" t="s">
        <v>110</v>
      </c>
      <c r="C60" s="236" t="s">
        <v>2</v>
      </c>
      <c r="D60" s="236" t="s">
        <v>111</v>
      </c>
      <c r="E60" s="339" t="s">
        <v>104</v>
      </c>
      <c r="F60" s="339"/>
      <c r="G60" s="238" t="s">
        <v>105</v>
      </c>
      <c r="H60" s="239">
        <v>0.1362</v>
      </c>
      <c r="I60" s="240">
        <v>24.24</v>
      </c>
      <c r="J60" s="240">
        <v>3.3</v>
      </c>
    </row>
    <row r="61" spans="1:10" s="159" customFormat="1" ht="26.25">
      <c r="A61" s="236" t="s">
        <v>92</v>
      </c>
      <c r="B61" s="237" t="s">
        <v>106</v>
      </c>
      <c r="C61" s="236" t="s">
        <v>2</v>
      </c>
      <c r="D61" s="236" t="s">
        <v>107</v>
      </c>
      <c r="E61" s="339" t="s">
        <v>104</v>
      </c>
      <c r="F61" s="339"/>
      <c r="G61" s="238" t="s">
        <v>105</v>
      </c>
      <c r="H61" s="239">
        <v>0.1362</v>
      </c>
      <c r="I61" s="240">
        <v>19.02</v>
      </c>
      <c r="J61" s="240">
        <v>2.59</v>
      </c>
    </row>
    <row r="62" spans="1:10" s="159" customFormat="1" ht="26.25">
      <c r="A62" s="236" t="s">
        <v>94</v>
      </c>
      <c r="B62" s="237" t="s">
        <v>112</v>
      </c>
      <c r="C62" s="236" t="s">
        <v>2</v>
      </c>
      <c r="D62" s="236" t="s">
        <v>113</v>
      </c>
      <c r="E62" s="339" t="s">
        <v>95</v>
      </c>
      <c r="F62" s="339"/>
      <c r="G62" s="238" t="s">
        <v>1</v>
      </c>
      <c r="H62" s="239">
        <v>0.003</v>
      </c>
      <c r="I62" s="240">
        <v>90</v>
      </c>
      <c r="J62" s="240">
        <v>0.27</v>
      </c>
    </row>
    <row r="63" spans="1:10" s="159" customFormat="1" ht="26.25">
      <c r="A63" s="236" t="s">
        <v>94</v>
      </c>
      <c r="B63" s="237" t="s">
        <v>275</v>
      </c>
      <c r="C63" s="236" t="s">
        <v>2</v>
      </c>
      <c r="D63" s="236" t="s">
        <v>276</v>
      </c>
      <c r="E63" s="339" t="s">
        <v>95</v>
      </c>
      <c r="F63" s="339"/>
      <c r="G63" s="238" t="s">
        <v>90</v>
      </c>
      <c r="H63" s="239">
        <v>0.06</v>
      </c>
      <c r="I63" s="240">
        <v>3.61</v>
      </c>
      <c r="J63" s="240">
        <v>0.21</v>
      </c>
    </row>
    <row r="64" spans="1:10" s="159" customFormat="1" ht="26.25">
      <c r="A64" s="236" t="s">
        <v>94</v>
      </c>
      <c r="B64" s="237" t="s">
        <v>277</v>
      </c>
      <c r="C64" s="236" t="s">
        <v>2</v>
      </c>
      <c r="D64" s="236" t="s">
        <v>278</v>
      </c>
      <c r="E64" s="339" t="s">
        <v>95</v>
      </c>
      <c r="F64" s="339"/>
      <c r="G64" s="238" t="s">
        <v>90</v>
      </c>
      <c r="H64" s="239">
        <v>0.025</v>
      </c>
      <c r="I64" s="240">
        <v>14.43</v>
      </c>
      <c r="J64" s="240">
        <v>0.36</v>
      </c>
    </row>
    <row r="65" spans="1:10" s="159" customFormat="1" ht="39">
      <c r="A65" s="236" t="s">
        <v>94</v>
      </c>
      <c r="B65" s="237" t="s">
        <v>279</v>
      </c>
      <c r="C65" s="236" t="s">
        <v>2</v>
      </c>
      <c r="D65" s="236" t="s">
        <v>280</v>
      </c>
      <c r="E65" s="339" t="s">
        <v>95</v>
      </c>
      <c r="F65" s="339"/>
      <c r="G65" s="238" t="s">
        <v>1</v>
      </c>
      <c r="H65" s="239">
        <v>0.0111</v>
      </c>
      <c r="I65" s="240">
        <v>485</v>
      </c>
      <c r="J65" s="240">
        <v>5.38</v>
      </c>
    </row>
    <row r="66" spans="1:10" s="159" customFormat="1" ht="12.75">
      <c r="A66" s="241"/>
      <c r="B66" s="241"/>
      <c r="C66" s="241"/>
      <c r="D66" s="241"/>
      <c r="E66" s="241" t="s">
        <v>96</v>
      </c>
      <c r="F66" s="242">
        <v>1.99</v>
      </c>
      <c r="G66" s="241" t="s">
        <v>97</v>
      </c>
      <c r="H66" s="242">
        <v>2.24</v>
      </c>
      <c r="I66" s="241" t="s">
        <v>98</v>
      </c>
      <c r="J66" s="242">
        <v>4.23</v>
      </c>
    </row>
    <row r="67" spans="1:10" s="159" customFormat="1" ht="12.75">
      <c r="A67" s="241"/>
      <c r="B67" s="241"/>
      <c r="C67" s="241"/>
      <c r="D67" s="241"/>
      <c r="E67" s="241" t="s">
        <v>99</v>
      </c>
      <c r="F67" s="242">
        <v>2.681154</v>
      </c>
      <c r="G67" s="241"/>
      <c r="H67" s="338" t="s">
        <v>100</v>
      </c>
      <c r="I67" s="338"/>
      <c r="J67" s="242">
        <v>14.79</v>
      </c>
    </row>
  </sheetData>
  <sheetProtection/>
  <mergeCells count="53">
    <mergeCell ref="H56:I56"/>
    <mergeCell ref="E65:F65"/>
    <mergeCell ref="H67:I67"/>
    <mergeCell ref="E62:F62"/>
    <mergeCell ref="E63:F63"/>
    <mergeCell ref="E60:F60"/>
    <mergeCell ref="E64:F64"/>
    <mergeCell ref="E23:F23"/>
    <mergeCell ref="E36:F36"/>
    <mergeCell ref="E49:F49"/>
    <mergeCell ref="E61:F61"/>
    <mergeCell ref="E59:F59"/>
    <mergeCell ref="E58:F58"/>
    <mergeCell ref="E54:F54"/>
    <mergeCell ref="E53:F53"/>
    <mergeCell ref="E30:F30"/>
    <mergeCell ref="H44:I44"/>
    <mergeCell ref="E51:F51"/>
    <mergeCell ref="E52:F52"/>
    <mergeCell ref="E50:F50"/>
    <mergeCell ref="E42:F42"/>
    <mergeCell ref="H34:I34"/>
    <mergeCell ref="E37:F37"/>
    <mergeCell ref="H45:I45"/>
    <mergeCell ref="E16:F16"/>
    <mergeCell ref="E20:F20"/>
    <mergeCell ref="E21:F21"/>
    <mergeCell ref="E48:F48"/>
    <mergeCell ref="E40:F40"/>
    <mergeCell ref="E41:F41"/>
    <mergeCell ref="E39:F39"/>
    <mergeCell ref="E28:F28"/>
    <mergeCell ref="E38:F38"/>
    <mergeCell ref="E22:F22"/>
    <mergeCell ref="A3:J3"/>
    <mergeCell ref="A4:J4"/>
    <mergeCell ref="A5:J5"/>
    <mergeCell ref="A6:J6"/>
    <mergeCell ref="A7:J7"/>
    <mergeCell ref="E15:F15"/>
    <mergeCell ref="E12:F12"/>
    <mergeCell ref="E8:F8"/>
    <mergeCell ref="E9:F9"/>
    <mergeCell ref="H18:I18"/>
    <mergeCell ref="E10:F10"/>
    <mergeCell ref="E11:F11"/>
    <mergeCell ref="E32:F32"/>
    <mergeCell ref="E24:F24"/>
    <mergeCell ref="H26:I26"/>
    <mergeCell ref="E31:F31"/>
    <mergeCell ref="E14:F14"/>
    <mergeCell ref="E13:F13"/>
    <mergeCell ref="E29:F29"/>
  </mergeCells>
  <printOptions horizontalCentered="1"/>
  <pageMargins left="0.4724409448818898" right="0.3937007874015748" top="1.8447916666666666" bottom="0.7874015748031497" header="0" footer="0"/>
  <pageSetup fitToHeight="0" fitToWidth="1" horizontalDpi="600" verticalDpi="600" orientation="portrait" paperSize="9" scale="50" r:id="rId2"/>
  <headerFooter alignWithMargins="0">
    <oddHeader>&amp;C
&amp;G</oddHeader>
  </headerFooter>
  <rowBreaks count="1" manualBreakCount="1">
    <brk id="45" max="9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4"/>
  <sheetViews>
    <sheetView view="pageBreakPreview" zoomScaleNormal="75" zoomScaleSheetLayoutView="100" workbookViewId="0" topLeftCell="A7">
      <selection activeCell="A7" sqref="A7:F7"/>
    </sheetView>
  </sheetViews>
  <sheetFormatPr defaultColWidth="9.140625" defaultRowHeight="12.75"/>
  <cols>
    <col min="1" max="1" width="7.28125" style="203" customWidth="1"/>
    <col min="2" max="2" width="68.7109375" style="203" customWidth="1"/>
    <col min="3" max="3" width="13.28125" style="207" customWidth="1"/>
    <col min="4" max="6" width="16.28125" style="203" customWidth="1"/>
    <col min="8" max="8" width="13.140625" style="0" bestFit="1" customWidth="1"/>
  </cols>
  <sheetData>
    <row r="3" spans="1:6" ht="12.75">
      <c r="A3" s="283" t="s">
        <v>313</v>
      </c>
      <c r="B3" s="283"/>
      <c r="C3" s="283"/>
      <c r="D3" s="283"/>
      <c r="E3" s="283"/>
      <c r="F3" s="283"/>
    </row>
    <row r="4" spans="1:6" ht="34.5" customHeight="1">
      <c r="A4" s="284" t="s">
        <v>311</v>
      </c>
      <c r="B4" s="284"/>
      <c r="C4" s="284"/>
      <c r="D4" s="284"/>
      <c r="E4" s="284"/>
      <c r="F4" s="284"/>
    </row>
    <row r="5" spans="1:6" ht="17.25" customHeight="1">
      <c r="A5" s="285" t="str">
        <f>RESUMO!A5</f>
        <v>BDI: 28,32% - COM DESONERAÇÃO - BDI DIFERENCIADO: 11,10% - ENCARGOS SOCIAIS: 84,59% HORISTA - 47,20% MENSALISTA</v>
      </c>
      <c r="B5" s="285"/>
      <c r="C5" s="285"/>
      <c r="D5" s="285"/>
      <c r="E5" s="285"/>
      <c r="F5" s="285"/>
    </row>
    <row r="6" spans="1:6" ht="17.25" customHeight="1">
      <c r="A6" s="285" t="str">
        <f>RESUMO!A6</f>
        <v>FONTES: SINAPI - 03/2023 - Piauí - ORSE - 03/2023 - Sergipe</v>
      </c>
      <c r="B6" s="285"/>
      <c r="C6" s="285"/>
      <c r="D6" s="285"/>
      <c r="E6" s="285"/>
      <c r="F6" s="285"/>
    </row>
    <row r="7" spans="1:10" ht="30.75" customHeight="1">
      <c r="A7" s="362" t="s">
        <v>75</v>
      </c>
      <c r="B7" s="362"/>
      <c r="C7" s="362"/>
      <c r="D7" s="362"/>
      <c r="E7" s="362"/>
      <c r="F7" s="362"/>
      <c r="G7" s="78"/>
      <c r="H7" s="78"/>
      <c r="I7" s="78"/>
      <c r="J7" s="78"/>
    </row>
    <row r="8" spans="1:6" s="204" customFormat="1" ht="30.75" customHeight="1">
      <c r="A8" s="213" t="s">
        <v>68</v>
      </c>
      <c r="B8" s="213" t="s">
        <v>69</v>
      </c>
      <c r="C8" s="215" t="s">
        <v>76</v>
      </c>
      <c r="D8" s="213" t="s">
        <v>77</v>
      </c>
      <c r="E8" s="213" t="s">
        <v>78</v>
      </c>
      <c r="F8" s="213" t="s">
        <v>79</v>
      </c>
    </row>
    <row r="9" spans="1:6" ht="18.75" customHeight="1">
      <c r="A9" s="361" t="s">
        <v>71</v>
      </c>
      <c r="B9" s="363" t="s">
        <v>213</v>
      </c>
      <c r="C9" s="358">
        <f>'PLANILHA ORÇAMENTÁRIA'!I9</f>
        <v>2995.77</v>
      </c>
      <c r="D9" s="350"/>
      <c r="E9" s="351"/>
      <c r="F9" s="352"/>
    </row>
    <row r="10" spans="1:6" ht="18.75" customHeight="1">
      <c r="A10" s="361"/>
      <c r="B10" s="363"/>
      <c r="C10" s="365"/>
      <c r="D10" s="353"/>
      <c r="E10" s="354"/>
      <c r="F10" s="355"/>
    </row>
    <row r="11" spans="1:9" ht="18.75" customHeight="1">
      <c r="A11" s="360" t="s">
        <v>88</v>
      </c>
      <c r="B11" s="370" t="s">
        <v>240</v>
      </c>
      <c r="C11" s="356">
        <f>C9</f>
        <v>2995.77</v>
      </c>
      <c r="D11" s="208">
        <f>D12*C11</f>
        <v>2995.77</v>
      </c>
      <c r="E11" s="208">
        <f>E12*C11</f>
        <v>0</v>
      </c>
      <c r="F11" s="208">
        <f>F12*C11</f>
        <v>0</v>
      </c>
      <c r="H11" s="212">
        <f>F11+E11+D11</f>
        <v>2995.77</v>
      </c>
      <c r="I11" t="str">
        <f>IF(H11=C11,"OK")</f>
        <v>OK</v>
      </c>
    </row>
    <row r="12" spans="1:6" ht="18.75" customHeight="1">
      <c r="A12" s="360"/>
      <c r="B12" s="364"/>
      <c r="C12" s="357"/>
      <c r="D12" s="209">
        <v>1</v>
      </c>
      <c r="E12" s="209">
        <v>0</v>
      </c>
      <c r="F12" s="209">
        <v>0</v>
      </c>
    </row>
    <row r="13" spans="1:9" ht="18.75" customHeight="1">
      <c r="A13" s="361" t="s">
        <v>121</v>
      </c>
      <c r="B13" s="363" t="s">
        <v>119</v>
      </c>
      <c r="C13" s="358">
        <f>'PLANILHA ORÇAMENTÁRIA'!I11</f>
        <v>23121.84</v>
      </c>
      <c r="D13" s="208">
        <f>D14*C13</f>
        <v>7706.509271999999</v>
      </c>
      <c r="E13" s="208">
        <f>E14*C13</f>
        <v>7706.509271999999</v>
      </c>
      <c r="F13" s="208">
        <f>F14*C13</f>
        <v>7708.821456</v>
      </c>
      <c r="H13" s="212">
        <f>F13+E13+D13</f>
        <v>23121.839999999997</v>
      </c>
      <c r="I13" t="str">
        <f>IF(H13=C13,"OK")</f>
        <v>OK</v>
      </c>
    </row>
    <row r="14" spans="1:6" ht="18.75" customHeight="1">
      <c r="A14" s="361"/>
      <c r="B14" s="364"/>
      <c r="C14" s="359"/>
      <c r="D14" s="209">
        <v>0.3333</v>
      </c>
      <c r="E14" s="209">
        <v>0.3333</v>
      </c>
      <c r="F14" s="209">
        <v>0.3334</v>
      </c>
    </row>
    <row r="15" spans="1:9" ht="18.75" customHeight="1">
      <c r="A15" s="361" t="s">
        <v>122</v>
      </c>
      <c r="B15" s="363" t="str">
        <f>RESUMO!D11</f>
        <v>RUA 01 - ASSENTAMENTO IRAJÁ</v>
      </c>
      <c r="C15" s="358">
        <f>RESUMO!J11</f>
        <v>371068.57999999996</v>
      </c>
      <c r="D15" s="208">
        <f>D16*C15</f>
        <v>185534.28999999998</v>
      </c>
      <c r="E15" s="208">
        <f>E16*C15</f>
        <v>185534.28999999998</v>
      </c>
      <c r="F15" s="208">
        <f>F16*C15</f>
        <v>0</v>
      </c>
      <c r="H15" s="212">
        <f>F15+E15+D15</f>
        <v>371068.57999999996</v>
      </c>
      <c r="I15" t="str">
        <f>IF(H15=C15,"OK")</f>
        <v>OK</v>
      </c>
    </row>
    <row r="16" spans="1:6" ht="18.75" customHeight="1">
      <c r="A16" s="361"/>
      <c r="B16" s="364"/>
      <c r="C16" s="359"/>
      <c r="D16" s="209">
        <v>0.5</v>
      </c>
      <c r="E16" s="209">
        <v>0.5</v>
      </c>
      <c r="F16" s="209">
        <v>0</v>
      </c>
    </row>
    <row r="17" spans="1:9" ht="18.75" customHeight="1">
      <c r="A17" s="361" t="s">
        <v>239</v>
      </c>
      <c r="B17" s="363" t="str">
        <f>RESUMO!D15</f>
        <v>RUA 01 - ASSENTAMENTO IRMÃ DOROTH</v>
      </c>
      <c r="C17" s="358">
        <f>RESUMO!J15</f>
        <v>55879.53</v>
      </c>
      <c r="D17" s="208">
        <f>D18*C17</f>
        <v>16763.859</v>
      </c>
      <c r="E17" s="208">
        <f>E18*C17</f>
        <v>11175.906</v>
      </c>
      <c r="F17" s="208">
        <f>F18*C17</f>
        <v>27939.765</v>
      </c>
      <c r="H17" s="212">
        <f>F17+E17+D17</f>
        <v>55879.53</v>
      </c>
      <c r="I17" t="str">
        <f>IF(H17=C17,"OK")</f>
        <v>OK</v>
      </c>
    </row>
    <row r="18" spans="1:6" ht="18.75" customHeight="1">
      <c r="A18" s="361"/>
      <c r="B18" s="364"/>
      <c r="C18" s="359"/>
      <c r="D18" s="209">
        <v>0.3</v>
      </c>
      <c r="E18" s="209">
        <v>0.2</v>
      </c>
      <c r="F18" s="209">
        <v>0.5</v>
      </c>
    </row>
    <row r="19" spans="1:9" ht="18.75" customHeight="1">
      <c r="A19" s="361" t="s">
        <v>281</v>
      </c>
      <c r="B19" s="363" t="str">
        <f>RESUMO!D19</f>
        <v>RUA 02 - ASSENTAMENTO IRMÃ DOROTH</v>
      </c>
      <c r="C19" s="358">
        <f>RESUMO!J19</f>
        <v>286311.72</v>
      </c>
      <c r="D19" s="208">
        <f>D20*C19</f>
        <v>57262.344</v>
      </c>
      <c r="E19" s="208">
        <f>E20*C19</f>
        <v>200418.20399999997</v>
      </c>
      <c r="F19" s="208">
        <f>F20*C19</f>
        <v>28631.172</v>
      </c>
      <c r="H19" s="212">
        <f>F19+E19+D19</f>
        <v>286311.72</v>
      </c>
      <c r="I19" t="str">
        <f>IF(H19=C19,"OK")</f>
        <v>OK</v>
      </c>
    </row>
    <row r="20" spans="1:6" ht="18.75" customHeight="1">
      <c r="A20" s="361"/>
      <c r="B20" s="364"/>
      <c r="C20" s="359"/>
      <c r="D20" s="209">
        <v>0.2</v>
      </c>
      <c r="E20" s="209">
        <v>0.7</v>
      </c>
      <c r="F20" s="209">
        <v>0.1</v>
      </c>
    </row>
    <row r="21" spans="1:6" ht="12.75">
      <c r="A21" s="368" t="s">
        <v>80</v>
      </c>
      <c r="B21" s="369"/>
      <c r="C21" s="205"/>
      <c r="D21" s="210">
        <f>D22/RESUMO!$I$26</f>
        <v>0.36552747981058226</v>
      </c>
      <c r="E21" s="210">
        <f>E22/RESUMO!$I$26</f>
        <v>0.5475348413010815</v>
      </c>
      <c r="F21" s="211">
        <f>F22/RESUMO!$I$26</f>
        <v>0.08693767888833612</v>
      </c>
    </row>
    <row r="22" spans="1:6" ht="12.75">
      <c r="A22" s="368" t="s">
        <v>81</v>
      </c>
      <c r="B22" s="369"/>
      <c r="C22" s="205"/>
      <c r="D22" s="199">
        <f>D19+D17+D15+D13+D11</f>
        <v>270262.772272</v>
      </c>
      <c r="E22" s="199">
        <f>E19+E17+E15+E13+E11</f>
        <v>404834.9092719999</v>
      </c>
      <c r="F22" s="200">
        <f>F19+F17+F15+F13+F11</f>
        <v>64279.758455999996</v>
      </c>
    </row>
    <row r="23" spans="1:6" ht="12.75">
      <c r="A23" s="368" t="s">
        <v>82</v>
      </c>
      <c r="B23" s="369"/>
      <c r="C23" s="205"/>
      <c r="D23" s="210">
        <f>D24/RESUMO!$I$26</f>
        <v>0.36552747981058226</v>
      </c>
      <c r="E23" s="210">
        <f>E24/RESUMO!$I$26</f>
        <v>0.9130623211116637</v>
      </c>
      <c r="F23" s="211">
        <f>F24/RESUMO!$I$26</f>
        <v>0.9999999999999999</v>
      </c>
    </row>
    <row r="24" spans="1:6" ht="12.75">
      <c r="A24" s="366" t="s">
        <v>83</v>
      </c>
      <c r="B24" s="367"/>
      <c r="C24" s="206"/>
      <c r="D24" s="201">
        <f>D22</f>
        <v>270262.772272</v>
      </c>
      <c r="E24" s="201">
        <f>E22+D24</f>
        <v>675097.6815439998</v>
      </c>
      <c r="F24" s="202">
        <f>F22+E24</f>
        <v>739377.4399999998</v>
      </c>
    </row>
  </sheetData>
  <sheetProtection/>
  <mergeCells count="28">
    <mergeCell ref="C17:C18"/>
    <mergeCell ref="C19:C20"/>
    <mergeCell ref="B9:B10"/>
    <mergeCell ref="B11:B12"/>
    <mergeCell ref="B13:B14"/>
    <mergeCell ref="B17:B18"/>
    <mergeCell ref="A19:A20"/>
    <mergeCell ref="A24:B24"/>
    <mergeCell ref="A21:B21"/>
    <mergeCell ref="A22:B22"/>
    <mergeCell ref="A23:B23"/>
    <mergeCell ref="B19:B20"/>
    <mergeCell ref="A17:A18"/>
    <mergeCell ref="A3:F3"/>
    <mergeCell ref="A7:F7"/>
    <mergeCell ref="A6:F6"/>
    <mergeCell ref="A5:F5"/>
    <mergeCell ref="A9:A10"/>
    <mergeCell ref="B15:B16"/>
    <mergeCell ref="C9:C10"/>
    <mergeCell ref="A15:A16"/>
    <mergeCell ref="C15:C16"/>
    <mergeCell ref="D9:F10"/>
    <mergeCell ref="A4:F4"/>
    <mergeCell ref="C11:C12"/>
    <mergeCell ref="C13:C14"/>
    <mergeCell ref="A11:A12"/>
    <mergeCell ref="A13:A14"/>
  </mergeCells>
  <printOptions horizontalCentered="1"/>
  <pageMargins left="0.4724409448818898" right="0.3937007874015748" top="1.8447916666666666" bottom="0.7874015748031497" header="0" footer="0"/>
  <pageSetup fitToHeight="0" fitToWidth="1" horizontalDpi="600" verticalDpi="600" orientation="portrait" paperSize="9" scale="69" r:id="rId2"/>
  <headerFooter alignWithMargins="0">
    <oddHeader>&amp;C
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2"/>
  <sheetViews>
    <sheetView view="pageBreakPreview" zoomScale="85" zoomScaleNormal="50" zoomScaleSheetLayoutView="85" workbookViewId="0" topLeftCell="A1">
      <selection activeCell="A7" sqref="A7:H7"/>
    </sheetView>
  </sheetViews>
  <sheetFormatPr defaultColWidth="9.140625" defaultRowHeight="12.75"/>
  <cols>
    <col min="1" max="1" width="15.7109375" style="0" customWidth="1"/>
    <col min="2" max="2" width="63.7109375" style="46" customWidth="1"/>
    <col min="3" max="3" width="36.7109375" style="46" customWidth="1"/>
    <col min="4" max="5" width="15.7109375" style="46" customWidth="1"/>
    <col min="6" max="6" width="19.28125" style="46" customWidth="1"/>
    <col min="7" max="7" width="15.7109375" style="46" customWidth="1"/>
  </cols>
  <sheetData>
    <row r="3" spans="1:8" ht="12.75">
      <c r="A3" s="373" t="s">
        <v>313</v>
      </c>
      <c r="B3" s="373"/>
      <c r="C3" s="373"/>
      <c r="D3" s="373"/>
      <c r="E3" s="373"/>
      <c r="F3" s="373"/>
      <c r="G3" s="373"/>
      <c r="H3" s="373"/>
    </row>
    <row r="4" spans="1:8" ht="34.5" customHeight="1">
      <c r="A4" s="373" t="s">
        <v>311</v>
      </c>
      <c r="B4" s="373"/>
      <c r="C4" s="373"/>
      <c r="D4" s="373"/>
      <c r="E4" s="373"/>
      <c r="F4" s="373"/>
      <c r="G4" s="373"/>
      <c r="H4" s="373"/>
    </row>
    <row r="5" spans="1:8" ht="12.75">
      <c r="A5" s="374" t="str">
        <f>RESUMO!A5</f>
        <v>BDI: 28,32% - COM DESONERAÇÃO - BDI DIFERENCIADO: 11,10% - ENCARGOS SOCIAIS: 84,59% HORISTA - 47,20% MENSALISTA</v>
      </c>
      <c r="B5" s="374"/>
      <c r="C5" s="374"/>
      <c r="D5" s="374"/>
      <c r="E5" s="374"/>
      <c r="F5" s="374"/>
      <c r="G5" s="374"/>
      <c r="H5" s="374"/>
    </row>
    <row r="6" spans="1:8" ht="12.75">
      <c r="A6" s="375" t="str">
        <f>RESUMO!A6</f>
        <v>FONTES: SINAPI - 03/2023 - Piauí - ORSE - 03/2023 - Sergipe</v>
      </c>
      <c r="B6" s="375"/>
      <c r="C6" s="375"/>
      <c r="D6" s="375"/>
      <c r="E6" s="375"/>
      <c r="F6" s="375"/>
      <c r="G6" s="375"/>
      <c r="H6" s="375"/>
    </row>
    <row r="7" spans="1:10" ht="12.75">
      <c r="A7" s="376"/>
      <c r="B7" s="376"/>
      <c r="C7" s="376"/>
      <c r="D7" s="376"/>
      <c r="E7" s="376"/>
      <c r="F7" s="376"/>
      <c r="G7" s="376"/>
      <c r="H7" s="376"/>
      <c r="I7" s="78"/>
      <c r="J7" s="78"/>
    </row>
    <row r="8" spans="1:11" ht="15">
      <c r="A8" s="111"/>
      <c r="B8" s="112"/>
      <c r="C8" s="113"/>
      <c r="D8" s="113"/>
      <c r="E8" s="113"/>
      <c r="F8" s="113"/>
      <c r="G8" s="113"/>
      <c r="H8" s="114"/>
      <c r="I8" s="115"/>
      <c r="J8" s="116"/>
      <c r="K8" s="116"/>
    </row>
    <row r="9" spans="1:11" ht="15">
      <c r="A9" s="117"/>
      <c r="B9" s="118" t="s">
        <v>153</v>
      </c>
      <c r="C9" s="119"/>
      <c r="D9" s="120">
        <f>IF(C9="x",1,0)</f>
        <v>0</v>
      </c>
      <c r="E9" s="121"/>
      <c r="F9" s="122"/>
      <c r="G9" s="123"/>
      <c r="H9" s="124">
        <f>IF(F9="x",1,0)</f>
        <v>0</v>
      </c>
      <c r="I9" s="115"/>
      <c r="J9" s="116"/>
      <c r="K9" s="116"/>
    </row>
    <row r="10" spans="1:11" ht="15">
      <c r="A10" s="117"/>
      <c r="B10" s="118" t="s">
        <v>154</v>
      </c>
      <c r="C10" s="119" t="s">
        <v>155</v>
      </c>
      <c r="D10" s="120">
        <f>IF(C10="x",1,0)</f>
        <v>1</v>
      </c>
      <c r="E10" s="125"/>
      <c r="F10" s="122"/>
      <c r="G10" s="123"/>
      <c r="H10" s="124">
        <f>IF(F10="x",1,0)</f>
        <v>0</v>
      </c>
      <c r="I10" s="115"/>
      <c r="J10" s="116"/>
      <c r="K10" s="116"/>
    </row>
    <row r="11" spans="1:11" ht="15.75" thickBot="1">
      <c r="A11" s="126"/>
      <c r="B11" s="377">
        <f>IF(D11&gt;1,"SELECIONE SOMENTE UM TIPO DE BDI",IF(D11=0,"SELECIONE UM TIPO DE BDI",""))</f>
      </c>
      <c r="C11" s="377"/>
      <c r="D11" s="127">
        <f>SUM(D9:D10)</f>
        <v>1</v>
      </c>
      <c r="E11" s="378"/>
      <c r="F11" s="378"/>
      <c r="G11" s="378"/>
      <c r="H11" s="128">
        <f>SUM(H9:H10)</f>
        <v>0</v>
      </c>
      <c r="I11" s="115"/>
      <c r="J11" s="116"/>
      <c r="K11" s="116"/>
    </row>
    <row r="12" spans="1:11" ht="14.25" thickBot="1">
      <c r="A12" s="129"/>
      <c r="B12" s="130"/>
      <c r="C12" s="130"/>
      <c r="D12" s="130"/>
      <c r="E12" s="130"/>
      <c r="F12" s="130"/>
      <c r="G12" s="131"/>
      <c r="H12" s="132"/>
      <c r="I12" s="115"/>
      <c r="J12" s="116"/>
      <c r="K12" s="116"/>
    </row>
    <row r="13" spans="1:11" ht="15">
      <c r="A13" s="390" t="s">
        <v>156</v>
      </c>
      <c r="B13" s="391"/>
      <c r="C13" s="133"/>
      <c r="D13" s="133"/>
      <c r="E13" s="133"/>
      <c r="F13" s="133"/>
      <c r="G13" s="134"/>
      <c r="H13" s="135"/>
      <c r="I13" s="115">
        <f>IF(H21&lt;&gt;0,VLOOKUP("x",G15:I20,3,FALSE),0)</f>
        <v>2</v>
      </c>
      <c r="J13" s="116"/>
      <c r="K13" s="116"/>
    </row>
    <row r="14" spans="1:11" ht="15">
      <c r="A14" s="111"/>
      <c r="B14" s="112"/>
      <c r="C14" s="113"/>
      <c r="D14" s="113"/>
      <c r="E14" s="113"/>
      <c r="F14" s="113"/>
      <c r="G14" s="136"/>
      <c r="H14" s="132"/>
      <c r="I14" s="115"/>
      <c r="J14" s="116"/>
      <c r="K14" s="116"/>
    </row>
    <row r="15" spans="1:11" ht="15">
      <c r="A15" s="137"/>
      <c r="B15" s="113"/>
      <c r="C15" s="113"/>
      <c r="D15" s="113"/>
      <c r="E15" s="113"/>
      <c r="F15" s="138" t="s">
        <v>157</v>
      </c>
      <c r="G15" s="119"/>
      <c r="H15" s="139">
        <f aca="true" t="shared" si="0" ref="H15:H20">IF(G15="x",1,0)</f>
        <v>0</v>
      </c>
      <c r="I15" s="115">
        <v>1</v>
      </c>
      <c r="J15" s="116"/>
      <c r="K15" s="116"/>
    </row>
    <row r="16" spans="1:11" ht="15">
      <c r="A16" s="137"/>
      <c r="B16" s="113"/>
      <c r="C16" s="113"/>
      <c r="D16" s="113"/>
      <c r="E16" s="113"/>
      <c r="F16" s="138" t="s">
        <v>158</v>
      </c>
      <c r="G16" s="119" t="s">
        <v>155</v>
      </c>
      <c r="H16" s="139">
        <f t="shared" si="0"/>
        <v>1</v>
      </c>
      <c r="I16" s="115">
        <v>2</v>
      </c>
      <c r="J16" s="116"/>
      <c r="K16" s="116"/>
    </row>
    <row r="17" spans="1:11" ht="15">
      <c r="A17" s="137"/>
      <c r="B17" s="113"/>
      <c r="C17" s="113"/>
      <c r="D17" s="113"/>
      <c r="E17" s="113"/>
      <c r="F17" s="138" t="s">
        <v>159</v>
      </c>
      <c r="G17" s="119"/>
      <c r="H17" s="139">
        <f t="shared" si="0"/>
        <v>0</v>
      </c>
      <c r="I17" s="115">
        <v>3</v>
      </c>
      <c r="J17" s="116"/>
      <c r="K17" s="116"/>
    </row>
    <row r="18" spans="1:11" ht="15">
      <c r="A18" s="137"/>
      <c r="B18" s="113"/>
      <c r="C18" s="113"/>
      <c r="D18" s="113"/>
      <c r="E18" s="113"/>
      <c r="F18" s="138" t="s">
        <v>160</v>
      </c>
      <c r="G18" s="119"/>
      <c r="H18" s="139">
        <f t="shared" si="0"/>
        <v>0</v>
      </c>
      <c r="I18" s="115">
        <v>4</v>
      </c>
      <c r="J18" s="116"/>
      <c r="K18" s="116"/>
    </row>
    <row r="19" spans="1:11" ht="15">
      <c r="A19" s="137"/>
      <c r="B19" s="113"/>
      <c r="C19" s="113"/>
      <c r="D19" s="113"/>
      <c r="E19" s="113"/>
      <c r="F19" s="138" t="s">
        <v>161</v>
      </c>
      <c r="G19" s="119"/>
      <c r="H19" s="139">
        <f t="shared" si="0"/>
        <v>0</v>
      </c>
      <c r="I19" s="115">
        <v>5</v>
      </c>
      <c r="J19" s="116"/>
      <c r="K19" s="116"/>
    </row>
    <row r="20" spans="1:11" ht="15">
      <c r="A20" s="137"/>
      <c r="B20" s="392">
        <f>IF(AND(C9="x",G20="x"),"NÃO HÁ DESONERAÇÃO PARA FORNECIMENTO DE MATERIAIS","")</f>
      </c>
      <c r="C20" s="392"/>
      <c r="D20" s="392"/>
      <c r="E20" s="113"/>
      <c r="F20" s="138" t="s">
        <v>162</v>
      </c>
      <c r="G20" s="119"/>
      <c r="H20" s="139">
        <f t="shared" si="0"/>
        <v>0</v>
      </c>
      <c r="I20" s="115">
        <v>6</v>
      </c>
      <c r="J20" s="116"/>
      <c r="K20" s="116"/>
    </row>
    <row r="21" spans="1:11" ht="15.75" thickBot="1">
      <c r="A21" s="126"/>
      <c r="B21" s="393">
        <f>IF(H21&gt;1,"SELECIONE SOMENTE UM TIPO DE SERVIÇO",IF(H21=0,"SELECIONE UM TIPO DE SERVIÇO",""))</f>
      </c>
      <c r="C21" s="393"/>
      <c r="D21" s="168"/>
      <c r="E21" s="168"/>
      <c r="F21" s="140"/>
      <c r="G21" s="141"/>
      <c r="H21" s="142">
        <f>SUM(H15:H20)</f>
        <v>1</v>
      </c>
      <c r="I21" s="115"/>
      <c r="J21" s="116"/>
      <c r="K21" s="116"/>
    </row>
    <row r="22" spans="1:11" ht="14.25" thickBot="1">
      <c r="A22" s="51"/>
      <c r="B22" s="52"/>
      <c r="C22" s="52"/>
      <c r="D22" s="52"/>
      <c r="E22" s="54"/>
      <c r="F22" s="54"/>
      <c r="G22" s="166"/>
      <c r="H22" s="167"/>
      <c r="I22" s="2"/>
      <c r="J22" s="3"/>
      <c r="K22" s="3"/>
    </row>
    <row r="23" spans="1:11" ht="15">
      <c r="A23" s="384" t="s">
        <v>163</v>
      </c>
      <c r="B23" s="379"/>
      <c r="C23" s="163"/>
      <c r="D23" s="163"/>
      <c r="E23" s="385"/>
      <c r="F23" s="385"/>
      <c r="G23" s="8" t="s">
        <v>164</v>
      </c>
      <c r="H23" s="55"/>
      <c r="I23" s="2"/>
      <c r="J23" s="3"/>
      <c r="K23" s="3"/>
    </row>
    <row r="24" spans="1:11" ht="15">
      <c r="A24" s="164"/>
      <c r="B24" s="165"/>
      <c r="C24" s="165"/>
      <c r="D24" s="165"/>
      <c r="E24" s="165"/>
      <c r="F24" s="165"/>
      <c r="G24" s="50"/>
      <c r="H24" s="56"/>
      <c r="I24" s="2"/>
      <c r="J24" s="3" t="s">
        <v>165</v>
      </c>
      <c r="K24" s="3" t="s">
        <v>166</v>
      </c>
    </row>
    <row r="25" spans="1:11" ht="15">
      <c r="A25" s="164"/>
      <c r="B25" s="9" t="s">
        <v>167</v>
      </c>
      <c r="C25" s="10"/>
      <c r="D25" s="10">
        <f>IF(AND(G25&gt;=J25,G25&lt;=K25),"","FORA DO LIMITE")</f>
      </c>
      <c r="E25" s="10"/>
      <c r="F25" s="11" t="s">
        <v>168</v>
      </c>
      <c r="G25" s="12">
        <v>0.04</v>
      </c>
      <c r="H25" s="56"/>
      <c r="I25" s="2"/>
      <c r="J25" s="3">
        <f>VLOOKUP($I$13,'[1]Referências'!A12:D18,2,FALSE)</f>
        <v>0.038</v>
      </c>
      <c r="K25" s="3">
        <f>VLOOKUP($I$13,'[1]Referências'!A12:D18,4,FALSE)</f>
        <v>0.0467</v>
      </c>
    </row>
    <row r="26" spans="1:11" ht="15">
      <c r="A26" s="164"/>
      <c r="B26" s="57"/>
      <c r="C26" s="165"/>
      <c r="D26" s="165"/>
      <c r="E26" s="165"/>
      <c r="F26" s="53"/>
      <c r="G26" s="58"/>
      <c r="H26" s="56"/>
      <c r="I26" s="2"/>
      <c r="J26" s="3"/>
      <c r="K26" s="3"/>
    </row>
    <row r="27" spans="1:11" ht="15">
      <c r="A27" s="164"/>
      <c r="B27" s="9" t="s">
        <v>169</v>
      </c>
      <c r="C27" s="10"/>
      <c r="D27" s="10">
        <f>IF(AND(G27&gt;=J27,G27&lt;=K27),"","FORA DO LIMITE")</f>
      </c>
      <c r="E27" s="10"/>
      <c r="F27" s="11" t="s">
        <v>170</v>
      </c>
      <c r="G27" s="13">
        <v>0.011</v>
      </c>
      <c r="H27" s="59"/>
      <c r="I27" s="2"/>
      <c r="J27" s="3">
        <f>VLOOKUP($I$13,'[1]Referências'!A39:D45,2,FALSE)</f>
        <v>0.0102</v>
      </c>
      <c r="K27" s="3">
        <f>VLOOKUP($I$13,'[1]Referências'!A39:D45,4,FALSE)</f>
        <v>0.0121</v>
      </c>
    </row>
    <row r="28" spans="1:11" ht="15">
      <c r="A28" s="164"/>
      <c r="B28" s="57"/>
      <c r="C28" s="165"/>
      <c r="D28" s="165"/>
      <c r="E28" s="165"/>
      <c r="F28" s="53"/>
      <c r="G28" s="14"/>
      <c r="H28" s="59"/>
      <c r="I28" s="2"/>
      <c r="J28" s="3"/>
      <c r="K28" s="3"/>
    </row>
    <row r="29" spans="1:11" ht="15">
      <c r="A29" s="164"/>
      <c r="B29" s="15" t="s">
        <v>171</v>
      </c>
      <c r="C29" s="16"/>
      <c r="D29" s="16"/>
      <c r="E29" s="16"/>
      <c r="F29" s="17"/>
      <c r="G29" s="18"/>
      <c r="H29" s="60"/>
      <c r="I29" s="2"/>
      <c r="J29" s="3"/>
      <c r="K29" s="3"/>
    </row>
    <row r="30" spans="1:11" ht="15">
      <c r="A30" s="164"/>
      <c r="B30" s="164"/>
      <c r="C30" s="165"/>
      <c r="D30" s="165">
        <f>IF(AND(G30&gt;=J30,G30&lt;=K30),"","FORA DO LIMITE")</f>
      </c>
      <c r="E30" s="165"/>
      <c r="F30" s="53" t="s">
        <v>172</v>
      </c>
      <c r="G30" s="19">
        <v>0.005</v>
      </c>
      <c r="H30" s="61"/>
      <c r="I30" s="2"/>
      <c r="J30" s="3">
        <f>VLOOKUP($I$13,'[1]Referências'!A21:D27,2,FALSE)</f>
        <v>0.0032</v>
      </c>
      <c r="K30" s="3">
        <f>VLOOKUP($I$13,'[1]Referências'!A21:D27,4,FALSE)</f>
        <v>0.0074</v>
      </c>
    </row>
    <row r="31" spans="1:11" ht="15">
      <c r="A31" s="164"/>
      <c r="B31" s="20"/>
      <c r="C31" s="21"/>
      <c r="D31" s="21">
        <f>IF(AND(G31&gt;=J31,G31&lt;=K31),"","FORA DO LIMITE")</f>
      </c>
      <c r="E31" s="21"/>
      <c r="F31" s="22" t="s">
        <v>173</v>
      </c>
      <c r="G31" s="23">
        <v>0.007</v>
      </c>
      <c r="H31" s="56"/>
      <c r="I31" s="2"/>
      <c r="J31" s="3">
        <f>VLOOKUP($I$13,'[1]Referências'!A30:D36,2,FALSE)</f>
        <v>0.005</v>
      </c>
      <c r="K31" s="3">
        <f>VLOOKUP($I$13,'[1]Referências'!A30:D36,4,FALSE)</f>
        <v>0.0097</v>
      </c>
    </row>
    <row r="32" spans="1:11" ht="15">
      <c r="A32" s="164"/>
      <c r="B32" s="165"/>
      <c r="C32" s="165"/>
      <c r="D32" s="165"/>
      <c r="E32" s="165"/>
      <c r="F32" s="53"/>
      <c r="G32" s="14"/>
      <c r="H32" s="61"/>
      <c r="I32" s="2"/>
      <c r="J32" s="3"/>
      <c r="K32" s="3"/>
    </row>
    <row r="33" spans="1:11" ht="15">
      <c r="A33" s="164"/>
      <c r="B33" s="4" t="s">
        <v>174</v>
      </c>
      <c r="C33" s="10"/>
      <c r="D33" s="10">
        <f>IF(AND(G33&gt;=J33,G33&lt;=K33),"","FORA DO LIMITE")</f>
      </c>
      <c r="E33" s="10"/>
      <c r="F33" s="11" t="s">
        <v>175</v>
      </c>
      <c r="G33" s="13">
        <v>0.072</v>
      </c>
      <c r="H33" s="61"/>
      <c r="I33" s="2"/>
      <c r="J33" s="3">
        <f>VLOOKUP($I$13,'[1]Referências'!A48:D54,2,FALSE)</f>
        <v>0.0664</v>
      </c>
      <c r="K33" s="3">
        <f>VLOOKUP($I$13,'[1]Referências'!A48:D54,4,FALSE)</f>
        <v>0.0869</v>
      </c>
    </row>
    <row r="34" spans="1:11" ht="15">
      <c r="A34" s="164"/>
      <c r="B34" s="165"/>
      <c r="C34" s="165"/>
      <c r="D34" s="165"/>
      <c r="E34" s="165"/>
      <c r="F34" s="53"/>
      <c r="G34" s="14"/>
      <c r="H34" s="61"/>
      <c r="I34" s="2"/>
      <c r="J34" s="3"/>
      <c r="K34" s="3"/>
    </row>
    <row r="35" spans="1:11" ht="15">
      <c r="A35" s="164"/>
      <c r="B35" s="15" t="s">
        <v>176</v>
      </c>
      <c r="C35" s="16"/>
      <c r="D35" s="16"/>
      <c r="E35" s="16"/>
      <c r="F35" s="17"/>
      <c r="G35" s="18"/>
      <c r="H35" s="61"/>
      <c r="I35" s="2"/>
      <c r="J35" s="3"/>
      <c r="K35" s="3"/>
    </row>
    <row r="36" spans="1:11" ht="15">
      <c r="A36" s="164"/>
      <c r="B36" s="24"/>
      <c r="C36" s="165"/>
      <c r="D36" s="165"/>
      <c r="E36" s="165"/>
      <c r="F36" s="53" t="s">
        <v>320</v>
      </c>
      <c r="G36" s="19">
        <v>0.045</v>
      </c>
      <c r="H36" s="62"/>
      <c r="I36" s="2"/>
      <c r="J36" s="3">
        <v>0</v>
      </c>
      <c r="K36" s="3">
        <v>0.045</v>
      </c>
    </row>
    <row r="37" spans="1:11" ht="15">
      <c r="A37" s="164"/>
      <c r="B37" s="386">
        <f>IF(AND(G37&lt;&gt;"",I13=6),"APAGUE O PERCENTUAL DESTA LINHA","")</f>
      </c>
      <c r="C37" s="387"/>
      <c r="D37" s="165">
        <f>IF(B37="APAGUE O PERCENTUAL DESTA LINHA","",IF(AND(G37&gt;=J37,G37&lt;=K37),"","FORA DO LIMITE"))</f>
      </c>
      <c r="E37" s="165"/>
      <c r="F37" s="53" t="str">
        <f>IF(I13=6,"","ISSQN =")</f>
        <v>ISSQN =</v>
      </c>
      <c r="G37" s="19">
        <v>0.03</v>
      </c>
      <c r="H37" s="62"/>
      <c r="I37" s="2"/>
      <c r="J37" s="3">
        <v>0.012</v>
      </c>
      <c r="K37" s="3">
        <v>0.03</v>
      </c>
    </row>
    <row r="38" spans="1:11" ht="15">
      <c r="A38" s="164"/>
      <c r="B38" s="164"/>
      <c r="C38" s="165"/>
      <c r="D38" s="165">
        <f>IF(AND(G38&gt;=J38,G38&lt;=K38),"","FORA DO LIMITE")</f>
      </c>
      <c r="E38" s="165"/>
      <c r="F38" s="53" t="s">
        <v>177</v>
      </c>
      <c r="G38" s="25">
        <f>J38</f>
        <v>0.0065</v>
      </c>
      <c r="H38" s="62"/>
      <c r="I38" s="2"/>
      <c r="J38" s="3">
        <v>0.0065</v>
      </c>
      <c r="K38" s="3">
        <v>0.0065</v>
      </c>
    </row>
    <row r="39" spans="1:11" ht="15">
      <c r="A39" s="164"/>
      <c r="B39" s="164"/>
      <c r="C39" s="165"/>
      <c r="D39" s="165">
        <f>IF(AND(G39&gt;=J39,G39&lt;=K39),"","FORA DO LIMITE")</f>
      </c>
      <c r="E39" s="165"/>
      <c r="F39" s="53" t="s">
        <v>178</v>
      </c>
      <c r="G39" s="25">
        <f>J39</f>
        <v>0.03</v>
      </c>
      <c r="H39" s="62"/>
      <c r="I39" s="2"/>
      <c r="J39" s="3">
        <v>0.03</v>
      </c>
      <c r="K39" s="3">
        <v>0.03</v>
      </c>
    </row>
    <row r="40" spans="1:11" ht="15">
      <c r="A40" s="164"/>
      <c r="B40" s="20"/>
      <c r="C40" s="21"/>
      <c r="D40" s="21"/>
      <c r="E40" s="21"/>
      <c r="F40" s="22" t="s">
        <v>179</v>
      </c>
      <c r="G40" s="26">
        <f>SUM(G36:G39)</f>
        <v>0.1115</v>
      </c>
      <c r="H40" s="61"/>
      <c r="I40" s="2"/>
      <c r="J40" s="3"/>
      <c r="K40" s="3"/>
    </row>
    <row r="41" spans="1:11" ht="15.75" thickBot="1">
      <c r="A41" s="63"/>
      <c r="B41" s="5"/>
      <c r="C41" s="5"/>
      <c r="D41" s="5"/>
      <c r="E41" s="5"/>
      <c r="F41" s="27"/>
      <c r="G41" s="28"/>
      <c r="H41" s="64"/>
      <c r="I41" s="2"/>
      <c r="J41" s="3"/>
      <c r="K41" s="3"/>
    </row>
    <row r="42" spans="1:11" ht="14.25" thickBot="1">
      <c r="A42" s="65"/>
      <c r="B42" s="54"/>
      <c r="C42" s="54"/>
      <c r="D42" s="54"/>
      <c r="E42" s="54"/>
      <c r="F42" s="29"/>
      <c r="G42" s="30"/>
      <c r="H42" s="66"/>
      <c r="I42" s="2"/>
      <c r="J42" s="3"/>
      <c r="K42" s="3"/>
    </row>
    <row r="43" spans="1:11" ht="15">
      <c r="A43" s="384" t="s">
        <v>180</v>
      </c>
      <c r="B43" s="379"/>
      <c r="C43" s="163"/>
      <c r="D43" s="163"/>
      <c r="E43" s="163"/>
      <c r="F43" s="163"/>
      <c r="G43" s="8"/>
      <c r="H43" s="55"/>
      <c r="I43" s="2"/>
      <c r="J43" s="3" t="s">
        <v>181</v>
      </c>
      <c r="K43" s="3"/>
    </row>
    <row r="44" spans="1:11" ht="15">
      <c r="A44" s="164"/>
      <c r="B44" s="165"/>
      <c r="C44" s="165"/>
      <c r="D44" s="165"/>
      <c r="E44" s="165"/>
      <c r="F44" s="165"/>
      <c r="G44" s="50"/>
      <c r="H44" s="56"/>
      <c r="I44" s="2"/>
      <c r="J44" s="31">
        <v>1</v>
      </c>
      <c r="K44" s="3" t="str">
        <f>IF(OR(B11="SELECIONE UM TIPO DE BDI",B11="SELECIONE SOMENTE UM TIPO DE BDI"),"VER TIPO DE BDI","OK")</f>
        <v>OK</v>
      </c>
    </row>
    <row r="45" spans="1:11" ht="15">
      <c r="A45" s="164"/>
      <c r="B45" s="165"/>
      <c r="C45" s="165"/>
      <c r="D45" s="165"/>
      <c r="E45" s="165"/>
      <c r="F45" s="165"/>
      <c r="G45" s="50"/>
      <c r="H45" s="56"/>
      <c r="I45" s="2"/>
      <c r="J45" s="31">
        <v>2</v>
      </c>
      <c r="K45" s="3" t="str">
        <f>IF(OR(B21="SELECIONE SOMENTE UM TIPO DE SERVIÇO",B21="SELECIONE UM TIPO DE SERVIÇO",B20="NÃO HÁ DESONERAÇÃO PARA FORNECIMENTO DE MATERIAIS"),"VER TIPO DE SERVIÇO","OK")</f>
        <v>OK</v>
      </c>
    </row>
    <row r="46" spans="1:11" ht="15">
      <c r="A46" s="164"/>
      <c r="B46" s="165"/>
      <c r="C46" s="165"/>
      <c r="D46" s="165"/>
      <c r="E46" s="165"/>
      <c r="F46" s="165"/>
      <c r="G46" s="50"/>
      <c r="H46" s="56"/>
      <c r="I46" s="2"/>
      <c r="J46" s="31">
        <v>3</v>
      </c>
      <c r="K46" s="3" t="str">
        <f>IF(OR(B22="SELECIONE SOMENTE UM TIPO DE SERVIÇO",B22="SELECIONE UM TIPO DE SERVIÇO",B21="NÃO HÁ DESONERAÇÃO PARA FORNECIMENTO DE MATERIAIS"),"VER TIPO DE SERVIÇO","OK")</f>
        <v>OK</v>
      </c>
    </row>
    <row r="47" spans="1:11" ht="15">
      <c r="A47" s="164"/>
      <c r="B47" s="165"/>
      <c r="C47" s="165"/>
      <c r="D47" s="165"/>
      <c r="E47" s="165"/>
      <c r="F47" s="165"/>
      <c r="G47" s="50"/>
      <c r="H47" s="56"/>
      <c r="I47" s="2"/>
      <c r="J47" s="31">
        <v>4</v>
      </c>
      <c r="K47" s="3" t="str">
        <f>IF(OR(B23="SELECIONE SOMENTE UM TIPO DE SERVIÇO",B23="SELECIONE UM TIPO DE SERVIÇO",B22="NÃO HÁ DESONERAÇÃO PARA FORNECIMENTO DE MATERIAIS"),"VER TIPO DE SERVIÇO","OK")</f>
        <v>OK</v>
      </c>
    </row>
    <row r="48" spans="1:11" ht="15">
      <c r="A48" s="164"/>
      <c r="B48" s="165"/>
      <c r="C48" s="165"/>
      <c r="D48" s="165"/>
      <c r="E48" s="165"/>
      <c r="F48" s="165"/>
      <c r="G48" s="50"/>
      <c r="H48" s="56"/>
      <c r="I48" s="2"/>
      <c r="J48" s="31"/>
      <c r="K48" s="3"/>
    </row>
    <row r="49" spans="1:11" ht="15">
      <c r="A49" s="164"/>
      <c r="B49" s="165"/>
      <c r="C49" s="165"/>
      <c r="D49" s="165"/>
      <c r="E49" s="165"/>
      <c r="F49" s="165"/>
      <c r="G49" s="50"/>
      <c r="H49" s="56"/>
      <c r="I49" s="2"/>
      <c r="J49" s="3"/>
      <c r="K49" s="3"/>
    </row>
    <row r="50" spans="1:11" ht="15">
      <c r="A50" s="164"/>
      <c r="B50" s="165"/>
      <c r="C50" s="165"/>
      <c r="D50" s="165"/>
      <c r="E50" s="165"/>
      <c r="F50" s="165"/>
      <c r="G50" s="50"/>
      <c r="H50" s="56"/>
      <c r="I50" s="2"/>
      <c r="J50" s="3"/>
      <c r="K50" s="3"/>
    </row>
    <row r="51" spans="1:11" ht="15">
      <c r="A51" s="164" t="s">
        <v>182</v>
      </c>
      <c r="B51" s="49" t="s">
        <v>183</v>
      </c>
      <c r="C51" s="165"/>
      <c r="D51" s="165"/>
      <c r="E51" s="165"/>
      <c r="F51" s="165"/>
      <c r="G51" s="50"/>
      <c r="H51" s="56"/>
      <c r="I51" s="2"/>
      <c r="J51" s="3"/>
      <c r="K51" s="3"/>
    </row>
    <row r="52" spans="1:11" ht="15">
      <c r="A52" s="164" t="s">
        <v>184</v>
      </c>
      <c r="B52" s="49" t="s">
        <v>185</v>
      </c>
      <c r="C52" s="165"/>
      <c r="D52" s="165"/>
      <c r="E52" s="165"/>
      <c r="F52" s="165"/>
      <c r="G52" s="50"/>
      <c r="H52" s="56"/>
      <c r="I52" s="2"/>
      <c r="J52" s="3"/>
      <c r="K52" s="3"/>
    </row>
    <row r="53" spans="1:11" ht="15">
      <c r="A53" s="164" t="s">
        <v>186</v>
      </c>
      <c r="B53" s="49" t="s">
        <v>187</v>
      </c>
      <c r="C53" s="165"/>
      <c r="D53" s="165"/>
      <c r="E53" s="165"/>
      <c r="F53" s="165"/>
      <c r="G53" s="50"/>
      <c r="H53" s="56"/>
      <c r="I53" s="2"/>
      <c r="J53" s="3"/>
      <c r="K53" s="3"/>
    </row>
    <row r="54" spans="1:11" ht="15">
      <c r="A54" s="164" t="s">
        <v>170</v>
      </c>
      <c r="B54" s="49" t="s">
        <v>188</v>
      </c>
      <c r="C54" s="165"/>
      <c r="D54" s="165"/>
      <c r="E54" s="165"/>
      <c r="F54" s="165"/>
      <c r="G54" s="50"/>
      <c r="H54" s="56"/>
      <c r="I54" s="2"/>
      <c r="J54" s="3"/>
      <c r="K54" s="3"/>
    </row>
    <row r="55" spans="1:11" ht="15">
      <c r="A55" s="164" t="s">
        <v>175</v>
      </c>
      <c r="B55" s="49" t="s">
        <v>189</v>
      </c>
      <c r="C55" s="165"/>
      <c r="D55" s="165"/>
      <c r="E55" s="165"/>
      <c r="F55" s="165"/>
      <c r="G55" s="50"/>
      <c r="H55" s="56"/>
      <c r="I55" s="2"/>
      <c r="J55" s="3"/>
      <c r="K55" s="3"/>
    </row>
    <row r="56" spans="1:11" ht="15">
      <c r="A56" s="164" t="s">
        <v>190</v>
      </c>
      <c r="B56" s="49" t="s">
        <v>191</v>
      </c>
      <c r="C56" s="165"/>
      <c r="D56" s="165"/>
      <c r="E56" s="165"/>
      <c r="F56" s="165"/>
      <c r="G56" s="50"/>
      <c r="H56" s="56"/>
      <c r="I56" s="2"/>
      <c r="J56" s="3"/>
      <c r="K56" s="3"/>
    </row>
    <row r="57" spans="1:11" ht="15.75" thickBot="1">
      <c r="A57" s="63"/>
      <c r="B57" s="32"/>
      <c r="C57" s="5"/>
      <c r="D57" s="5"/>
      <c r="E57" s="5"/>
      <c r="F57" s="5"/>
      <c r="G57" s="33"/>
      <c r="H57" s="67"/>
      <c r="I57" s="2"/>
      <c r="J57" s="3"/>
      <c r="K57" s="3"/>
    </row>
    <row r="58" spans="1:11" ht="14.25" thickBot="1">
      <c r="A58" s="65"/>
      <c r="B58" s="68"/>
      <c r="C58" s="54"/>
      <c r="D58" s="54"/>
      <c r="E58" s="54"/>
      <c r="F58" s="54"/>
      <c r="G58" s="166"/>
      <c r="H58" s="167"/>
      <c r="I58" s="2"/>
      <c r="J58" s="3"/>
      <c r="K58" s="3"/>
    </row>
    <row r="59" spans="1:11" ht="15">
      <c r="A59" s="384" t="s">
        <v>192</v>
      </c>
      <c r="B59" s="379"/>
      <c r="C59" s="34"/>
      <c r="D59" s="34"/>
      <c r="E59" s="379" t="s">
        <v>193</v>
      </c>
      <c r="F59" s="379"/>
      <c r="G59" s="8"/>
      <c r="H59" s="55"/>
      <c r="I59" s="35">
        <f>SUM(1+G25,G30,G31)</f>
        <v>1.0519999999999998</v>
      </c>
      <c r="J59" s="3"/>
      <c r="K59" s="3"/>
    </row>
    <row r="60" spans="1:11" ht="15">
      <c r="A60" s="47"/>
      <c r="B60" s="48"/>
      <c r="C60" s="165"/>
      <c r="D60" s="165"/>
      <c r="E60" s="165"/>
      <c r="F60" s="165"/>
      <c r="G60" s="50"/>
      <c r="H60" s="56"/>
      <c r="I60" s="2">
        <f>1+G27</f>
        <v>1.011</v>
      </c>
      <c r="J60" s="3"/>
      <c r="K60" s="3"/>
    </row>
    <row r="61" spans="1:11" ht="15">
      <c r="A61" s="164"/>
      <c r="B61" s="36" t="s">
        <v>194</v>
      </c>
      <c r="C61" s="37">
        <f>IF(C10="X",VLOOKUP(I13,'[1]Referências'!A57:D63,2,FALSE),VLOOKUP(I13,'[1]Referências'!A57:D63,2,FALSE))</f>
        <v>0.196</v>
      </c>
      <c r="D61" s="57">
        <f>IF(AND(C61&gt;I64,C10="X"),"BDI ABAIXO","")</f>
      </c>
      <c r="E61" s="36" t="s">
        <v>194</v>
      </c>
      <c r="F61" s="37">
        <f>IF(C9="X",VLOOKUP(I13,'[1]Referências'!A66:D72,2,FALSE),VLOOKUP(I13,'[1]Referências'!A66:D72,2,FALSE))</f>
        <v>0.256</v>
      </c>
      <c r="G61" s="57">
        <f>IF(AND(F61&gt;I64,C9="X"),"BDI ABAIXO","")</f>
      </c>
      <c r="H61" s="56"/>
      <c r="I61" s="2">
        <f>1+G33</f>
        <v>1.072</v>
      </c>
      <c r="J61" s="3"/>
      <c r="K61" s="3"/>
    </row>
    <row r="62" spans="1:11" ht="15">
      <c r="A62" s="164"/>
      <c r="B62" s="36" t="s">
        <v>195</v>
      </c>
      <c r="C62" s="37">
        <f>IF(C10="X",VLOOKUP(I13,'[1]Referências'!A57:D63,4,FALSE),VLOOKUP(I13,'[1]Referências'!A57:D63,4,FALSE))</f>
        <v>0.2423</v>
      </c>
      <c r="D62" s="57"/>
      <c r="E62" s="36" t="s">
        <v>195</v>
      </c>
      <c r="F62" s="37">
        <f>IF(C9="X",VLOOKUP(I13,'[1]Referências'!A66:D72,4,FALSE),VLOOKUP(I13,'[1]Referências'!A66:D72,4,FALSE))</f>
        <v>0.3052</v>
      </c>
      <c r="G62" s="57">
        <f>IF(AND(F62&lt;L65,F10="X"),"BDI ACIMA","")</f>
      </c>
      <c r="H62" s="56"/>
      <c r="I62" s="2">
        <f>1-G40</f>
        <v>0.8885</v>
      </c>
      <c r="J62" s="3"/>
      <c r="K62" s="3"/>
    </row>
    <row r="63" spans="1:11" ht="15.75" thickBot="1">
      <c r="A63" s="63"/>
      <c r="B63" s="32"/>
      <c r="C63" s="5"/>
      <c r="D63" s="38"/>
      <c r="E63" s="5"/>
      <c r="F63" s="38"/>
      <c r="G63" s="33"/>
      <c r="H63" s="67"/>
      <c r="I63" s="2">
        <f>I59*I60*I61/I62</f>
        <v>1.2832292447945974</v>
      </c>
      <c r="J63" s="3"/>
      <c r="K63" s="3"/>
    </row>
    <row r="64" spans="1:11" ht="14.25" thickBot="1">
      <c r="A64" s="65"/>
      <c r="B64" s="54"/>
      <c r="C64" s="54"/>
      <c r="D64" s="54"/>
      <c r="E64" s="54"/>
      <c r="F64" s="54"/>
      <c r="G64" s="166"/>
      <c r="H64" s="167"/>
      <c r="I64" s="2">
        <f>ROUND(I63-1,4)</f>
        <v>0.2832</v>
      </c>
      <c r="J64" s="3"/>
      <c r="K64" s="3"/>
    </row>
    <row r="65" spans="1:11" ht="14.25" thickBot="1">
      <c r="A65" s="65"/>
      <c r="B65" s="54"/>
      <c r="C65" s="54"/>
      <c r="D65" s="39"/>
      <c r="E65" s="380" t="s">
        <v>196</v>
      </c>
      <c r="F65" s="381"/>
      <c r="G65" s="40">
        <f>IF(AND(K44="OK",K45="OK",K46="OK",K47="OK"),I64,IF(K44="VER TIPO DE BDI","VER TIPO DE BDI",IF(K45="VER TIPO DE SERVIÇO","VER TIPO DE SERVIÇO",IF(K46="VER PERCENTUAIS","VER PERCENTUAIS",IF(K47="BDI FORA DO LIMITE","BDI FORA DO LIMITE","VÁRIOS ERROS")))))</f>
        <v>0.2832</v>
      </c>
      <c r="H65" s="69">
        <f>IF(AND(M65&gt;=P65,M65&lt;=Q65),"","FORA DO LIMITE")</f>
      </c>
      <c r="I65" s="41">
        <f>G71</f>
        <v>0.2832</v>
      </c>
      <c r="J65" s="3"/>
      <c r="K65" s="3"/>
    </row>
    <row r="66" spans="1:11" ht="13.5">
      <c r="A66" s="65"/>
      <c r="B66" s="54"/>
      <c r="C66" s="54"/>
      <c r="D66" s="54"/>
      <c r="E66" s="52"/>
      <c r="F66" s="52"/>
      <c r="G66" s="42"/>
      <c r="H66" s="70"/>
      <c r="I66" s="43"/>
      <c r="J66" s="3"/>
      <c r="K66" s="3"/>
    </row>
    <row r="67" spans="1:11" ht="15">
      <c r="A67" s="51"/>
      <c r="B67" s="48" t="s">
        <v>197</v>
      </c>
      <c r="C67" s="52"/>
      <c r="D67" s="52"/>
      <c r="E67" s="54"/>
      <c r="F67" s="54"/>
      <c r="G67" s="54"/>
      <c r="H67" s="71"/>
      <c r="I67" s="43"/>
      <c r="J67" s="3"/>
      <c r="K67" s="3"/>
    </row>
    <row r="68" spans="1:11" ht="15">
      <c r="A68" s="72"/>
      <c r="B68" s="73" t="s">
        <v>198</v>
      </c>
      <c r="C68" s="74"/>
      <c r="D68" s="74"/>
      <c r="E68" s="54"/>
      <c r="F68" s="54"/>
      <c r="G68" s="382"/>
      <c r="H68" s="383"/>
      <c r="I68" s="2"/>
      <c r="J68" s="3"/>
      <c r="K68" s="3"/>
    </row>
    <row r="69" spans="1:11" ht="15">
      <c r="A69" s="65"/>
      <c r="B69" s="73" t="s">
        <v>199</v>
      </c>
      <c r="C69" s="75"/>
      <c r="D69" s="54"/>
      <c r="E69" s="54"/>
      <c r="F69" s="54"/>
      <c r="G69" s="388"/>
      <c r="H69" s="389"/>
      <c r="I69" s="2"/>
      <c r="J69" s="3"/>
      <c r="K69" s="3"/>
    </row>
    <row r="70" spans="1:11" ht="15">
      <c r="A70" s="65"/>
      <c r="B70" s="73" t="s">
        <v>200</v>
      </c>
      <c r="C70" s="54"/>
      <c r="D70" s="54"/>
      <c r="E70" s="54"/>
      <c r="F70" s="162"/>
      <c r="G70" s="166"/>
      <c r="H70" s="167"/>
      <c r="I70" s="2"/>
      <c r="J70" s="3"/>
      <c r="K70" s="3"/>
    </row>
    <row r="71" spans="1:11" ht="15">
      <c r="A71" s="76"/>
      <c r="B71" s="77"/>
      <c r="C71" s="77"/>
      <c r="D71" s="77"/>
      <c r="E71" s="77"/>
      <c r="F71" s="44" t="s">
        <v>201</v>
      </c>
      <c r="G71" s="371">
        <f>I64</f>
        <v>0.2832</v>
      </c>
      <c r="H71" s="372"/>
      <c r="I71" s="2"/>
      <c r="J71" s="3"/>
      <c r="K71" s="3"/>
    </row>
    <row r="72" spans="1:11" ht="13.5">
      <c r="A72" s="6"/>
      <c r="B72" s="6"/>
      <c r="C72" s="6"/>
      <c r="D72" s="6"/>
      <c r="E72" s="6"/>
      <c r="F72" s="6"/>
      <c r="G72" s="7"/>
      <c r="H72" s="7"/>
      <c r="I72" s="7"/>
      <c r="J72" s="45"/>
      <c r="K72" s="45"/>
    </row>
  </sheetData>
  <sheetProtection/>
  <mergeCells count="20">
    <mergeCell ref="G68:H68"/>
    <mergeCell ref="A59:B59"/>
    <mergeCell ref="E23:F23"/>
    <mergeCell ref="B37:C37"/>
    <mergeCell ref="G69:H69"/>
    <mergeCell ref="A13:B13"/>
    <mergeCell ref="B20:D20"/>
    <mergeCell ref="B21:C21"/>
    <mergeCell ref="A23:B23"/>
    <mergeCell ref="A43:B43"/>
    <mergeCell ref="G71:H71"/>
    <mergeCell ref="A3:H3"/>
    <mergeCell ref="A4:H4"/>
    <mergeCell ref="A5:H5"/>
    <mergeCell ref="A6:H6"/>
    <mergeCell ref="A7:H7"/>
    <mergeCell ref="B11:C11"/>
    <mergeCell ref="E11:G11"/>
    <mergeCell ref="E59:F59"/>
    <mergeCell ref="E65:F65"/>
  </mergeCells>
  <conditionalFormatting sqref="B21">
    <cfRule type="cellIs" priority="26" dxfId="4" operator="equal">
      <formula>"SELECIONE SOMENTE UM TIPO DE SERVIÇO"</formula>
    </cfRule>
  </conditionalFormatting>
  <conditionalFormatting sqref="D25 D37:D39">
    <cfRule type="cellIs" priority="25" dxfId="4" operator="equal">
      <formula>"FORA DO LIMITE"</formula>
    </cfRule>
  </conditionalFormatting>
  <conditionalFormatting sqref="D27">
    <cfRule type="cellIs" priority="24" dxfId="4" operator="equal">
      <formula>"FORA DO LIMITE"</formula>
    </cfRule>
  </conditionalFormatting>
  <conditionalFormatting sqref="D30">
    <cfRule type="cellIs" priority="23" dxfId="4" operator="equal">
      <formula>"FORA DO LIMITE"</formula>
    </cfRule>
  </conditionalFormatting>
  <conditionalFormatting sqref="D33">
    <cfRule type="cellIs" priority="21" dxfId="4" operator="equal">
      <formula>"FORA DO LIMITE"</formula>
    </cfRule>
  </conditionalFormatting>
  <conditionalFormatting sqref="D31">
    <cfRule type="cellIs" priority="22" dxfId="4" operator="equal">
      <formula>"FORA DO LIMITE"</formula>
    </cfRule>
  </conditionalFormatting>
  <conditionalFormatting sqref="B11">
    <cfRule type="cellIs" priority="20" dxfId="16" operator="equal">
      <formula>"SELECIONE SOMENTE UM TIPO DE BDI"</formula>
    </cfRule>
  </conditionalFormatting>
  <conditionalFormatting sqref="B37:C37">
    <cfRule type="cellIs" priority="19" dxfId="0" operator="equal">
      <formula>"APAGUE O PERCENTUAL DESTA LINHA"</formula>
    </cfRule>
  </conditionalFormatting>
  <conditionalFormatting sqref="G65:H66">
    <cfRule type="cellIs" priority="2" dxfId="0" operator="equal">
      <formula>"VER PERCENTUAIS"</formula>
    </cfRule>
    <cfRule type="cellIs" priority="14" dxfId="0" operator="equal">
      <formula>"VÁRIOS ERROS"</formula>
    </cfRule>
    <cfRule type="cellIs" priority="15" dxfId="0" operator="equal">
      <formula>"BDI FORA DO LIMITE"</formula>
    </cfRule>
    <cfRule type="cellIs" priority="16" dxfId="0" operator="equal">
      <formula>"VER TIPO DE BDI"</formula>
    </cfRule>
    <cfRule type="cellIs" priority="18" dxfId="0" operator="equal">
      <formula>"VER TIPO DE SERVIÇO"</formula>
    </cfRule>
  </conditionalFormatting>
  <conditionalFormatting sqref="C9:C10 G15:G20 G25 G27 G30:G31 G33 G38:G39">
    <cfRule type="cellIs" priority="17" dxfId="7" operator="equal">
      <formula>0</formula>
    </cfRule>
  </conditionalFormatting>
  <conditionalFormatting sqref="E11">
    <cfRule type="cellIs" priority="13" dxfId="4" operator="equal">
      <formula>"SELECIONE SOMENTE UM TIPO DE BDI"</formula>
    </cfRule>
  </conditionalFormatting>
  <conditionalFormatting sqref="E11:G11">
    <cfRule type="cellIs" priority="8" dxfId="0" operator="equal">
      <formula>"SOMENTE HÁ DESONERAÇÃO PARA OBRAS"</formula>
    </cfRule>
    <cfRule type="cellIs" priority="12" dxfId="0" operator="equal">
      <formula>"NÃO HÁ PROJETO PARA FORNECIMENTO"</formula>
    </cfRule>
  </conditionalFormatting>
  <conditionalFormatting sqref="G36:G37">
    <cfRule type="cellIs" priority="11" dxfId="7" operator="equal">
      <formula>0</formula>
    </cfRule>
  </conditionalFormatting>
  <conditionalFormatting sqref="B11:C11 E11:G11">
    <cfRule type="cellIs" priority="10" dxfId="0" operator="equal">
      <formula>"SELECIONE UM TIPO DE BDI"</formula>
    </cfRule>
  </conditionalFormatting>
  <conditionalFormatting sqref="B21:C21">
    <cfRule type="cellIs" priority="9" dxfId="0" operator="equal">
      <formula>"SELECIONE UM TIPO DE SERVIÇO"</formula>
    </cfRule>
  </conditionalFormatting>
  <conditionalFormatting sqref="B20">
    <cfRule type="cellIs" priority="7" dxfId="4" operator="equal">
      <formula>"NÃO HÁ DESONERAÇÃO PARA FORNECIMENTO DE MATERIAIS"</formula>
    </cfRule>
  </conditionalFormatting>
  <conditionalFormatting sqref="D61">
    <cfRule type="cellIs" priority="6" dxfId="0" operator="equal">
      <formula>"BDI ABAIXO"</formula>
    </cfRule>
  </conditionalFormatting>
  <conditionalFormatting sqref="D62">
    <cfRule type="cellIs" priority="5" dxfId="0" operator="equal">
      <formula>"BDI ACIMA"</formula>
    </cfRule>
  </conditionalFormatting>
  <conditionalFormatting sqref="G61">
    <cfRule type="cellIs" priority="4" dxfId="0" operator="equal">
      <formula>"BDI ABAIXO"</formula>
    </cfRule>
  </conditionalFormatting>
  <conditionalFormatting sqref="G62">
    <cfRule type="cellIs" priority="1" dxfId="0" operator="equal">
      <formula>"BDI ACIMA"</formula>
    </cfRule>
  </conditionalFormatting>
  <dataValidations count="3">
    <dataValidation allowBlank="1" promptTitle="Alerta" prompt="Digite somente 'X'" sqref="F9:F10"/>
    <dataValidation type="decimal" allowBlank="1" showInputMessage="1" showErrorMessage="1" sqref="G25:G40">
      <formula1>0</formula1>
      <formula2>100</formula2>
    </dataValidation>
    <dataValidation type="list" allowBlank="1" showInputMessage="1" showErrorMessage="1" promptTitle="Alerta" prompt="Digite somente 'X'" sqref="G15:G20 C9:C10">
      <formula1>"x,X"</formula1>
    </dataValidation>
  </dataValidations>
  <printOptions horizontalCentered="1"/>
  <pageMargins left="0.4724409448818898" right="0.3937007874015748" top="1.8447916666666666" bottom="0.7874015748031497" header="0" footer="0"/>
  <pageSetup fitToHeight="0" fitToWidth="1" horizontalDpi="600" verticalDpi="600" orientation="portrait" paperSize="9" scale="50" r:id="rId2"/>
  <headerFooter alignWithMargins="0">
    <oddHeader>&amp;C
&amp;G</oddHeader>
  </headerFooter>
  <colBreaks count="1" manualBreakCount="1">
    <brk id="8" max="65535" man="1"/>
  </col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view="pageBreakPreview" zoomScale="115" zoomScaleSheetLayoutView="115" workbookViewId="0" topLeftCell="A1">
      <selection activeCell="A7" sqref="A7:C7"/>
    </sheetView>
  </sheetViews>
  <sheetFormatPr defaultColWidth="9.140625" defaultRowHeight="12.75"/>
  <cols>
    <col min="1" max="1" width="54.140625" style="0" customWidth="1"/>
    <col min="2" max="2" width="15.7109375" style="0" customWidth="1"/>
    <col min="3" max="3" width="25.7109375" style="0" customWidth="1"/>
  </cols>
  <sheetData>
    <row r="3" spans="1:4" ht="12.75">
      <c r="A3" s="373" t="s">
        <v>313</v>
      </c>
      <c r="B3" s="373"/>
      <c r="C3" s="373"/>
      <c r="D3" s="99"/>
    </row>
    <row r="4" spans="1:4" ht="34.5" customHeight="1">
      <c r="A4" s="374" t="s">
        <v>311</v>
      </c>
      <c r="B4" s="374"/>
      <c r="C4" s="374"/>
      <c r="D4" s="98"/>
    </row>
    <row r="5" spans="1:4" ht="28.5" customHeight="1">
      <c r="A5" s="374" t="str">
        <f>RESUMO!A5</f>
        <v>BDI: 28,32% - COM DESONERAÇÃO - BDI DIFERENCIADO: 11,10% - ENCARGOS SOCIAIS: 84,59% HORISTA - 47,20% MENSALISTA</v>
      </c>
      <c r="B5" s="374"/>
      <c r="C5" s="374"/>
      <c r="D5" s="98"/>
    </row>
    <row r="6" spans="1:4" ht="12.75">
      <c r="A6" s="373" t="str">
        <f>RESUMO!A6</f>
        <v>FONTES: SINAPI - 03/2023 - Piauí - ORSE - 03/2023 - Sergipe</v>
      </c>
      <c r="B6" s="373"/>
      <c r="C6" s="373"/>
      <c r="D6" s="99"/>
    </row>
    <row r="7" spans="1:3" ht="15">
      <c r="A7" s="394" t="s">
        <v>265</v>
      </c>
      <c r="B7" s="395"/>
      <c r="C7" s="396"/>
    </row>
    <row r="8" spans="1:10" ht="14.25">
      <c r="A8" s="397" t="s">
        <v>250</v>
      </c>
      <c r="B8" s="398"/>
      <c r="C8" s="399"/>
      <c r="D8" s="100"/>
      <c r="E8" s="100"/>
      <c r="F8" s="100"/>
      <c r="G8" s="100"/>
      <c r="H8" s="100"/>
      <c r="I8" s="100"/>
      <c r="J8" s="100"/>
    </row>
    <row r="9" spans="1:10" ht="15">
      <c r="A9" s="101" t="s">
        <v>251</v>
      </c>
      <c r="B9" s="102"/>
      <c r="C9" s="103">
        <f>C10</f>
        <v>0.037</v>
      </c>
      <c r="D9" s="100"/>
      <c r="E9" s="100"/>
      <c r="F9" s="100"/>
      <c r="G9" s="100"/>
      <c r="H9" s="100"/>
      <c r="I9" s="100"/>
      <c r="J9" s="100"/>
    </row>
    <row r="10" spans="1:10" ht="15">
      <c r="A10" s="104" t="s">
        <v>252</v>
      </c>
      <c r="B10" s="105" t="s">
        <v>36</v>
      </c>
      <c r="C10" s="106">
        <v>0.037</v>
      </c>
      <c r="D10" s="100"/>
      <c r="E10" s="100"/>
      <c r="F10" s="100"/>
      <c r="G10" s="100"/>
      <c r="H10" s="100"/>
      <c r="I10" s="100"/>
      <c r="J10" s="100"/>
    </row>
    <row r="11" spans="1:10" ht="15">
      <c r="A11" s="107"/>
      <c r="B11" s="108"/>
      <c r="C11" s="106"/>
      <c r="D11" s="100"/>
      <c r="E11" s="100"/>
      <c r="F11" s="100"/>
      <c r="G11" s="100"/>
      <c r="H11" s="100"/>
      <c r="I11" s="100"/>
      <c r="J11" s="100"/>
    </row>
    <row r="12" spans="1:10" ht="15">
      <c r="A12" s="107" t="s">
        <v>253</v>
      </c>
      <c r="B12" s="105" t="s">
        <v>254</v>
      </c>
      <c r="C12" s="106">
        <f>SUM(C13:C15)</f>
        <v>0.032100000000000004</v>
      </c>
      <c r="D12" s="100"/>
      <c r="E12" s="100"/>
      <c r="F12" s="100"/>
      <c r="G12" s="100"/>
      <c r="H12" s="100"/>
      <c r="I12" s="100"/>
      <c r="J12" s="100"/>
    </row>
    <row r="13" spans="1:10" ht="15">
      <c r="A13" s="107" t="s">
        <v>255</v>
      </c>
      <c r="B13" s="108"/>
      <c r="C13" s="106">
        <v>0.015</v>
      </c>
      <c r="D13" s="100"/>
      <c r="E13" s="100"/>
      <c r="F13" s="100"/>
      <c r="G13" s="100"/>
      <c r="H13" s="100"/>
      <c r="I13" s="100"/>
      <c r="J13" s="100"/>
    </row>
    <row r="14" spans="1:10" ht="15">
      <c r="A14" s="107" t="s">
        <v>256</v>
      </c>
      <c r="B14" s="108"/>
      <c r="C14" s="106">
        <v>0.0086</v>
      </c>
      <c r="D14" s="100"/>
      <c r="E14" s="100"/>
      <c r="F14" s="100"/>
      <c r="G14" s="100"/>
      <c r="H14" s="100"/>
      <c r="I14" s="100"/>
      <c r="J14" s="100"/>
    </row>
    <row r="15" spans="1:10" ht="15">
      <c r="A15" s="107" t="s">
        <v>257</v>
      </c>
      <c r="B15" s="108"/>
      <c r="C15" s="106">
        <v>0.0085</v>
      </c>
      <c r="D15" s="100"/>
      <c r="E15" s="100"/>
      <c r="F15" s="100"/>
      <c r="G15" s="100"/>
      <c r="H15" s="100"/>
      <c r="I15" s="100"/>
      <c r="J15" s="100"/>
    </row>
    <row r="16" spans="1:10" ht="15">
      <c r="A16" s="107"/>
      <c r="B16" s="108"/>
      <c r="C16" s="106"/>
      <c r="D16" s="100"/>
      <c r="E16" s="100"/>
      <c r="F16" s="100"/>
      <c r="G16" s="100"/>
      <c r="H16" s="100"/>
      <c r="I16" s="100"/>
      <c r="J16" s="100"/>
    </row>
    <row r="17" spans="1:10" ht="15">
      <c r="A17" s="107" t="s">
        <v>258</v>
      </c>
      <c r="B17" s="105" t="s">
        <v>259</v>
      </c>
      <c r="C17" s="106">
        <f>SUM(C18:C21)</f>
        <v>0.0365</v>
      </c>
      <c r="D17" s="100"/>
      <c r="E17" s="100"/>
      <c r="F17" s="100"/>
      <c r="G17" s="100"/>
      <c r="H17" s="100"/>
      <c r="I17" s="100"/>
      <c r="J17" s="100"/>
    </row>
    <row r="18" spans="1:10" ht="15">
      <c r="A18" s="107" t="s">
        <v>260</v>
      </c>
      <c r="B18" s="108"/>
      <c r="C18" s="106">
        <v>0.006500000000000001</v>
      </c>
      <c r="D18" s="100"/>
      <c r="E18" s="100"/>
      <c r="F18" s="100"/>
      <c r="G18" s="100"/>
      <c r="H18" s="100"/>
      <c r="I18" s="100"/>
      <c r="J18" s="100"/>
    </row>
    <row r="19" spans="1:10" ht="15">
      <c r="A19" s="107" t="s">
        <v>261</v>
      </c>
      <c r="B19" s="108"/>
      <c r="C19" s="106">
        <v>0</v>
      </c>
      <c r="D19" s="100"/>
      <c r="E19" s="100"/>
      <c r="F19" s="100"/>
      <c r="G19" s="100"/>
      <c r="H19" s="100"/>
      <c r="I19" s="100"/>
      <c r="J19" s="100"/>
    </row>
    <row r="20" spans="1:10" ht="15">
      <c r="A20" s="107" t="s">
        <v>262</v>
      </c>
      <c r="B20" s="108"/>
      <c r="C20" s="106">
        <v>0.03</v>
      </c>
      <c r="D20" s="100"/>
      <c r="E20" s="100"/>
      <c r="F20" s="100"/>
      <c r="G20" s="100"/>
      <c r="H20" s="100"/>
      <c r="I20" s="100"/>
      <c r="J20" s="100"/>
    </row>
    <row r="21" spans="1:10" ht="30.75">
      <c r="A21" s="109" t="s">
        <v>263</v>
      </c>
      <c r="B21" s="110"/>
      <c r="C21" s="106">
        <v>0</v>
      </c>
      <c r="D21" s="100"/>
      <c r="E21" s="100"/>
      <c r="F21" s="100"/>
      <c r="G21" s="100"/>
      <c r="H21" s="100"/>
      <c r="I21" s="100"/>
      <c r="J21" s="100"/>
    </row>
    <row r="22" spans="1:3" ht="15">
      <c r="A22" s="107"/>
      <c r="B22" s="108"/>
      <c r="C22" s="106"/>
    </row>
    <row r="23" spans="1:3" ht="15">
      <c r="A23" s="107"/>
      <c r="B23" s="107"/>
      <c r="C23" s="151">
        <f>((((1+C13+C14)*(1+C15)*(1+C9))/(1-C17))-1)</f>
        <v>0.11104901110534482</v>
      </c>
    </row>
    <row r="24" spans="1:3" ht="15">
      <c r="A24" s="400" t="s">
        <v>264</v>
      </c>
      <c r="B24" s="401"/>
      <c r="C24" s="402"/>
    </row>
    <row r="25" spans="1:3" ht="12.75">
      <c r="A25" s="90"/>
      <c r="B25" s="91"/>
      <c r="C25" s="92"/>
    </row>
    <row r="26" spans="1:3" ht="12.75">
      <c r="A26" s="93"/>
      <c r="C26" s="94"/>
    </row>
    <row r="27" spans="1:3" ht="12.75">
      <c r="A27" s="93"/>
      <c r="C27" s="94"/>
    </row>
    <row r="28" spans="1:3" ht="12.75">
      <c r="A28" s="95"/>
      <c r="B28" s="96"/>
      <c r="C28" s="97"/>
    </row>
  </sheetData>
  <sheetProtection/>
  <mergeCells count="7">
    <mergeCell ref="A6:C6"/>
    <mergeCell ref="A7:C7"/>
    <mergeCell ref="A8:C8"/>
    <mergeCell ref="A24:C24"/>
    <mergeCell ref="A3:C3"/>
    <mergeCell ref="A4:C4"/>
    <mergeCell ref="A5:C5"/>
  </mergeCells>
  <printOptions horizontalCentered="1"/>
  <pageMargins left="0.4724409448818898" right="0.3937007874015748" top="1.8447916666666666" bottom="0.7874015748031497" header="0" footer="0"/>
  <pageSetup fitToHeight="0" fitToWidth="1" horizontalDpi="600" verticalDpi="600" orientation="portrait" paperSize="9" r:id="rId2"/>
  <headerFooter alignWithMargins="0">
    <oddHeader>&amp;C
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view="pageBreakPreview" zoomScale="60" zoomScaleNormal="70" zoomScalePageLayoutView="0" workbookViewId="0" topLeftCell="A1">
      <selection activeCell="M1" sqref="M1:S16384"/>
    </sheetView>
  </sheetViews>
  <sheetFormatPr defaultColWidth="9.140625" defaultRowHeight="12.75"/>
  <cols>
    <col min="1" max="3" width="13.8515625" style="262" bestFit="1" customWidth="1"/>
    <col min="4" max="4" width="55.57421875" style="262" bestFit="1" customWidth="1"/>
    <col min="5" max="10" width="17.57421875" style="262" bestFit="1" customWidth="1"/>
    <col min="11" max="11" width="12.00390625" style="262" bestFit="1" customWidth="1"/>
    <col min="12" max="12" width="33.28125" style="262" bestFit="1" customWidth="1"/>
    <col min="13" max="16384" width="8.8515625" style="262" customWidth="1"/>
  </cols>
  <sheetData>
    <row r="1" spans="1:10" ht="14.25">
      <c r="A1" s="414" t="str">
        <f>CIDADE</f>
        <v>MUNICÍPIO DE CURRALINHOS - PI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14.25">
      <c r="A2" s="414" t="str">
        <f>OBRA</f>
        <v>EXECUÇÃO DE PAVIMENTAÇÃO EM PARALELEPÍPEDO NO MUNICÍPIO DE CURRALINHOS - PI. COM ÁREA TOTAL DE 5.204,70 M²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14.25">
      <c r="A3" s="414" t="s">
        <v>336</v>
      </c>
      <c r="B3" s="414"/>
      <c r="C3" s="414"/>
      <c r="D3" s="414"/>
      <c r="E3" s="414"/>
      <c r="F3" s="414"/>
      <c r="G3" s="414"/>
      <c r="H3" s="414"/>
      <c r="I3" s="414"/>
      <c r="J3" s="414"/>
    </row>
    <row r="5" spans="1:10" ht="14.25">
      <c r="A5" s="261" t="s">
        <v>322</v>
      </c>
      <c r="B5" s="263" t="str">
        <f>FONTE&amp;FOLHA</f>
        <v>SINAPI PI 03/2024, ORSE SE 03/2024, COM DESONERAÇÃO</v>
      </c>
      <c r="C5" s="271"/>
      <c r="D5" s="271"/>
      <c r="E5" s="271"/>
      <c r="F5" s="271"/>
      <c r="G5" s="272" t="s">
        <v>323</v>
      </c>
      <c r="H5" s="264">
        <f>LEI</f>
        <v>84.59</v>
      </c>
      <c r="I5" s="261" t="s">
        <v>324</v>
      </c>
      <c r="J5" s="264">
        <f>BDI</f>
        <v>28.32</v>
      </c>
    </row>
    <row r="6" spans="1:10" ht="14.25">
      <c r="A6" s="265" t="s">
        <v>337</v>
      </c>
      <c r="B6" s="265" t="s">
        <v>4</v>
      </c>
      <c r="C6" s="265" t="s">
        <v>338</v>
      </c>
      <c r="D6" s="265" t="s">
        <v>5</v>
      </c>
      <c r="E6" s="265" t="s">
        <v>339</v>
      </c>
      <c r="F6" s="265" t="s">
        <v>340</v>
      </c>
      <c r="G6" s="408" t="s">
        <v>341</v>
      </c>
      <c r="H6" s="409"/>
      <c r="I6" s="408" t="s">
        <v>342</v>
      </c>
      <c r="J6" s="409"/>
    </row>
    <row r="7" spans="1:12" ht="14.25">
      <c r="A7" s="273" t="s">
        <v>343</v>
      </c>
      <c r="B7" s="273" t="s">
        <v>344</v>
      </c>
      <c r="C7" s="273" t="str">
        <f>VLOOKUP(B7,'[3]S'!$A:$G,2,FALSE)</f>
        <v>PRÓPRIA</v>
      </c>
      <c r="D7" s="274" t="str">
        <f>VLOOKUP(B7,'[3]S'!$A:$G,3,FALSE)</f>
        <v>PLACA DE OBRA EM CHAPA DE AÇO GALVANIZADA</v>
      </c>
      <c r="E7" s="273" t="str">
        <f>VLOOKUP(B7,'[3]S'!$A:$G,4,FALSE)</f>
        <v>M²</v>
      </c>
      <c r="F7" s="273"/>
      <c r="G7" s="410">
        <f>I15</f>
        <v>360.28</v>
      </c>
      <c r="H7" s="411"/>
      <c r="I7" s="410"/>
      <c r="J7" s="411"/>
      <c r="K7" s="275">
        <f>VLOOKUP(B7,'[3]S'!A:G,5,FALSE)</f>
        <v>0</v>
      </c>
      <c r="L7" s="273" t="s">
        <v>345</v>
      </c>
    </row>
    <row r="8" spans="1:10" ht="30" customHeight="1">
      <c r="A8" s="266" t="s">
        <v>346</v>
      </c>
      <c r="B8" s="266">
        <v>88262</v>
      </c>
      <c r="C8" s="266" t="str">
        <f>VLOOKUP(B8,IF(A8="COMPOSICAO",'[3]S'!$A:$E,'[3]I'!$A:$E),2,FALSE)</f>
        <v>SINAPI</v>
      </c>
      <c r="D8" s="276" t="str">
        <f>VLOOKUP(B8,IF(A8="COMPOSICAO",'[3]S'!$A:$E,'[3]I'!$A:$E),3,FALSE)</f>
        <v>CARPINTEIRO DE FORMAS COM ENCARGOS COMPLEMENTARES</v>
      </c>
      <c r="E8" s="266" t="str">
        <f>VLOOKUP(B8,IF(A8="COMPOSICAO",'[3]S'!$A:$E,'[3]I'!$A:$E),4,FALSE)</f>
        <v>H</v>
      </c>
      <c r="F8" s="266">
        <f>1/pcf</f>
        <v>1</v>
      </c>
      <c r="G8" s="406">
        <f>IF(A8="COMPOSICAO",VLOOKUP("TOTAL SEM BDI - "&amp;B8,'[3]CPUAUX1'!$A:$J,9,FALSE),VLOOKUP(B8,'[3]I'!$A:$E,5,FALSE))</f>
        <v>22.93</v>
      </c>
      <c r="H8" s="407"/>
      <c r="I8" s="406">
        <f aca="true" t="shared" si="0" ref="I8:I14">TRUNC(F8*G8,2)</f>
        <v>22.93</v>
      </c>
      <c r="J8" s="407"/>
    </row>
    <row r="9" spans="1:10" ht="14.25">
      <c r="A9" s="266" t="s">
        <v>346</v>
      </c>
      <c r="B9" s="266">
        <v>88316</v>
      </c>
      <c r="C9" s="266" t="str">
        <f>VLOOKUP(B9,IF(A9="COMPOSICAO",'[3]S'!$A:$E,'[3]I'!$A:$E),2,FALSE)</f>
        <v>SINAPI</v>
      </c>
      <c r="D9" s="276" t="str">
        <f>VLOOKUP(B9,IF(A9="COMPOSICAO",'[3]S'!$A:$E,'[3]I'!$A:$E),3,FALSE)</f>
        <v>SERVENTE COM ENCARGOS COMPLEMENTARES</v>
      </c>
      <c r="E9" s="266" t="str">
        <f>VLOOKUP(B9,IF(A9="COMPOSICAO",'[3]S'!$A:$E,'[3]I'!$A:$E),4,FALSE)</f>
        <v>H</v>
      </c>
      <c r="F9" s="266">
        <f>2/pcf</f>
        <v>2</v>
      </c>
      <c r="G9" s="406">
        <f>IF(A9="COMPOSICAO",VLOOKUP("TOTAL SEM BDI - "&amp;B9,'[3]CPUAUX1'!$A:$J,9,FALSE),VLOOKUP(B9,'[3]I'!$A:$E,5,FALSE))</f>
        <v>18.64</v>
      </c>
      <c r="H9" s="407"/>
      <c r="I9" s="406">
        <f t="shared" si="0"/>
        <v>37.28</v>
      </c>
      <c r="J9" s="407"/>
    </row>
    <row r="10" spans="1:10" ht="60" customHeight="1">
      <c r="A10" s="266" t="s">
        <v>346</v>
      </c>
      <c r="B10" s="266">
        <v>94962</v>
      </c>
      <c r="C10" s="266" t="str">
        <f>VLOOKUP(B10,IF(A10="COMPOSICAO",'[3]S'!$A:$E,'[3]I'!$A:$E),2,FALSE)</f>
        <v>SINAPI</v>
      </c>
      <c r="D10" s="276" t="str">
        <f>VLOOKUP(B10,IF(A10="COMPOSICAO",'[3]S'!$A:$E,'[3]I'!$A:$E),3,FALSE)</f>
        <v>CONCRETO MAGRO PARA LASTRO, TRAÇO 1:4,5:4,5 (EM MASSA SECA DE CIMENTO/ AREIA MÉDIA/ BRITA 1) - PREPARO MECÂNICO COM BETONEIRA 400 L. AF_05/2021</v>
      </c>
      <c r="E10" s="266" t="str">
        <f>VLOOKUP(B10,IF(A10="COMPOSICAO",'[3]S'!$A:$E,'[3]I'!$A:$E),4,FALSE)</f>
        <v>M3</v>
      </c>
      <c r="F10" s="266">
        <v>0.01</v>
      </c>
      <c r="G10" s="406">
        <f>IF(A10="COMPOSICAO",VLOOKUP("TOTAL SEM BDI - "&amp;B10,'[3]CPUAUX1'!$A:$J,9,FALSE),VLOOKUP(B10,'[3]I'!$A:$E,5,FALSE))</f>
        <v>504.72999999999996</v>
      </c>
      <c r="H10" s="407"/>
      <c r="I10" s="406">
        <f t="shared" si="0"/>
        <v>5.04</v>
      </c>
      <c r="J10" s="407"/>
    </row>
    <row r="11" spans="1:10" ht="45" customHeight="1">
      <c r="A11" s="266" t="s">
        <v>347</v>
      </c>
      <c r="B11" s="266">
        <v>4417</v>
      </c>
      <c r="C11" s="266" t="str">
        <f>VLOOKUP(B11,IF(A11="COMPOSICAO",'[3]S'!$A:$E,'[3]I'!$A:$E),2,FALSE)</f>
        <v>SINAPI</v>
      </c>
      <c r="D11" s="276" t="str">
        <f>VLOOKUP(B11,IF(A11="COMPOSICAO",'[3]S'!$A:$E,'[3]I'!$A:$E),3,FALSE)</f>
        <v>SARRAFO NAO APARELHADO *2,5 X 7* CM, EM MACARANDUBA/MASSARANDUBA, ANGELIM, PEROBA-ROSA OU EQUIVALENTE DA REGIAO - BRUTA</v>
      </c>
      <c r="E11" s="266" t="str">
        <f>VLOOKUP(B11,IF(A11="COMPOSICAO",'[3]S'!$A:$E,'[3]I'!$A:$E),4,FALSE)</f>
        <v>M</v>
      </c>
      <c r="F11" s="266">
        <v>1</v>
      </c>
      <c r="G11" s="406">
        <f>IF(A11="COMPOSICAO",VLOOKUP("TOTAL SEM BDI - "&amp;B11,'[3]CPUAUX1'!$A:$J,9,FALSE),VLOOKUP(B11,'[3]I'!$A:$E,5,FALSE))</f>
        <v>4.35</v>
      </c>
      <c r="H11" s="407"/>
      <c r="I11" s="406">
        <f t="shared" si="0"/>
        <v>4.35</v>
      </c>
      <c r="J11" s="407"/>
    </row>
    <row r="12" spans="1:10" ht="30" customHeight="1">
      <c r="A12" s="266" t="s">
        <v>347</v>
      </c>
      <c r="B12" s="266">
        <v>4491</v>
      </c>
      <c r="C12" s="266" t="str">
        <f>VLOOKUP(B12,IF(A12="COMPOSICAO",'[3]S'!$A:$E,'[3]I'!$A:$E),2,FALSE)</f>
        <v>SINAPI</v>
      </c>
      <c r="D12" s="276" t="str">
        <f>VLOOKUP(B12,IF(A12="COMPOSICAO",'[3]S'!$A:$E,'[3]I'!$A:$E),3,FALSE)</f>
        <v>PONTALETE *7,5 X 7,5* CM EM PINUS, MISTA OU EQUIVALENTE DA REGIAO - BRUTA</v>
      </c>
      <c r="E12" s="266" t="str">
        <f>VLOOKUP(B12,IF(A12="COMPOSICAO",'[3]S'!$A:$E,'[3]I'!$A:$E),4,FALSE)</f>
        <v>M</v>
      </c>
      <c r="F12" s="266">
        <v>4</v>
      </c>
      <c r="G12" s="406">
        <f>IF(A12="COMPOSICAO",VLOOKUP("TOTAL SEM BDI - "&amp;B12,'[3]CPUAUX1'!$A:$J,9,FALSE),VLOOKUP(B12,'[3]I'!$A:$E,5,FALSE))</f>
        <v>9.59</v>
      </c>
      <c r="H12" s="407"/>
      <c r="I12" s="406">
        <f t="shared" si="0"/>
        <v>38.36</v>
      </c>
      <c r="J12" s="407"/>
    </row>
    <row r="13" spans="1:10" ht="45" customHeight="1">
      <c r="A13" s="266" t="s">
        <v>347</v>
      </c>
      <c r="B13" s="266">
        <v>4813</v>
      </c>
      <c r="C13" s="266" t="str">
        <f>VLOOKUP(B13,IF(A13="COMPOSICAO",'[3]S'!$A:$E,'[3]I'!$A:$E),2,FALSE)</f>
        <v>SINAPI</v>
      </c>
      <c r="D13" s="276" t="str">
        <f>VLOOKUP(B13,IF(A13="COMPOSICAO",'[3]S'!$A:$E,'[3]I'!$A:$E),3,FALSE)</f>
        <v>PLACA DE OBRA (PARA CONSTRUCAO CIVIL) EM CHAPA GALVANIZADA *N. 22*, ADESIVADA, DE *2,4 X 1,2* M (SEM POSTES PARA FIXACAO)</v>
      </c>
      <c r="E13" s="266" t="str">
        <f>VLOOKUP(B13,IF(A13="COMPOSICAO",'[3]S'!$A:$E,'[3]I'!$A:$E),4,FALSE)</f>
        <v>M2</v>
      </c>
      <c r="F13" s="266">
        <v>1</v>
      </c>
      <c r="G13" s="406">
        <f>IF(A13="COMPOSICAO",VLOOKUP("TOTAL SEM BDI - "&amp;B13,'[3]CPUAUX1'!$A:$J,9,FALSE),VLOOKUP(B13,'[3]I'!$A:$E,5,FALSE))</f>
        <v>250</v>
      </c>
      <c r="H13" s="407"/>
      <c r="I13" s="406">
        <f t="shared" si="0"/>
        <v>250</v>
      </c>
      <c r="J13" s="407"/>
    </row>
    <row r="14" spans="1:10" ht="30" customHeight="1">
      <c r="A14" s="266" t="s">
        <v>347</v>
      </c>
      <c r="B14" s="266">
        <v>5075</v>
      </c>
      <c r="C14" s="266" t="str">
        <f>VLOOKUP(B14,IF(A14="COMPOSICAO",'[3]S'!$A:$E,'[3]I'!$A:$E),2,FALSE)</f>
        <v>SINAPI</v>
      </c>
      <c r="D14" s="276" t="str">
        <f>VLOOKUP(B14,IF(A14="COMPOSICAO",'[3]S'!$A:$E,'[3]I'!$A:$E),3,FALSE)</f>
        <v>PREGO DE ACO POLIDO COM CABECA 18 X 30 (2 3/4 X 10)</v>
      </c>
      <c r="E14" s="266" t="str">
        <f>VLOOKUP(B14,IF(A14="COMPOSICAO",'[3]S'!$A:$E,'[3]I'!$A:$E),4,FALSE)</f>
        <v>KG</v>
      </c>
      <c r="F14" s="266">
        <v>0.11</v>
      </c>
      <c r="G14" s="406">
        <f>IF(A14="COMPOSICAO",VLOOKUP("TOTAL SEM BDI - "&amp;B14,'[3]CPUAUX1'!$A:$J,9,FALSE),VLOOKUP(B14,'[3]I'!$A:$E,5,FALSE))</f>
        <v>21.14</v>
      </c>
      <c r="H14" s="407"/>
      <c r="I14" s="406">
        <f t="shared" si="0"/>
        <v>2.32</v>
      </c>
      <c r="J14" s="407"/>
    </row>
    <row r="15" spans="1:10" ht="14.25">
      <c r="A15" s="403" t="str">
        <f>"TOTAL SEM BDI - "&amp;B7</f>
        <v>TOTAL SEM BDI - COMPSADA01</v>
      </c>
      <c r="B15" s="404"/>
      <c r="C15" s="404"/>
      <c r="D15" s="404"/>
      <c r="E15" s="404"/>
      <c r="F15" s="404"/>
      <c r="G15" s="404"/>
      <c r="H15" s="405"/>
      <c r="I15" s="406">
        <f>SUM(I7:I14)</f>
        <v>360.28</v>
      </c>
      <c r="J15" s="407"/>
    </row>
    <row r="16" spans="1:10" ht="14.25">
      <c r="A16" s="403" t="str">
        <f>"TAXA DE BDI ("&amp;TEXT(BDI,"00,00")&amp;" %)"</f>
        <v>TAXA DE BDI (28,32 %)</v>
      </c>
      <c r="B16" s="404"/>
      <c r="C16" s="404"/>
      <c r="D16" s="404"/>
      <c r="E16" s="404"/>
      <c r="F16" s="404"/>
      <c r="G16" s="404"/>
      <c r="H16" s="405"/>
      <c r="I16" s="406">
        <f>ROUND(I15*(BDI/100),2)</f>
        <v>102.03</v>
      </c>
      <c r="J16" s="407"/>
    </row>
    <row r="17" spans="1:10" ht="14.25">
      <c r="A17" s="403" t="str">
        <f>"TOTAL COM BDI - "&amp;B7</f>
        <v>TOTAL COM BDI - COMPSADA01</v>
      </c>
      <c r="B17" s="404"/>
      <c r="C17" s="404"/>
      <c r="D17" s="404"/>
      <c r="E17" s="404"/>
      <c r="F17" s="404"/>
      <c r="G17" s="404"/>
      <c r="H17" s="405"/>
      <c r="I17" s="406">
        <f>SUM(I15:I16)</f>
        <v>462.30999999999995</v>
      </c>
      <c r="J17" s="407"/>
    </row>
    <row r="19" spans="1:10" ht="14.25">
      <c r="A19" s="265" t="s">
        <v>337</v>
      </c>
      <c r="B19" s="265" t="s">
        <v>4</v>
      </c>
      <c r="C19" s="265" t="s">
        <v>338</v>
      </c>
      <c r="D19" s="265" t="s">
        <v>5</v>
      </c>
      <c r="E19" s="265" t="s">
        <v>339</v>
      </c>
      <c r="F19" s="265" t="s">
        <v>340</v>
      </c>
      <c r="G19" s="408" t="s">
        <v>341</v>
      </c>
      <c r="H19" s="409"/>
      <c r="I19" s="408" t="s">
        <v>342</v>
      </c>
      <c r="J19" s="409"/>
    </row>
    <row r="20" spans="1:12" ht="14.25">
      <c r="A20" s="273" t="s">
        <v>348</v>
      </c>
      <c r="B20" s="273" t="s">
        <v>349</v>
      </c>
      <c r="C20" s="273" t="str">
        <f>VLOOKUP(B20,'[3]S'!$A:$G,2,FALSE)</f>
        <v>PRÓPRIA</v>
      </c>
      <c r="D20" s="274" t="str">
        <f>VLOOKUP(B20,'[3]S'!$A:$G,3,FALSE)</f>
        <v>ADMINISTRAÇÃO LOCAL DA OBRA</v>
      </c>
      <c r="E20" s="273" t="str">
        <f>VLOOKUP(B20,'[3]S'!$A:$G,4,FALSE)</f>
        <v>MÊS</v>
      </c>
      <c r="F20" s="273"/>
      <c r="G20" s="410">
        <f>I24</f>
        <v>6006.299999999999</v>
      </c>
      <c r="H20" s="411"/>
      <c r="I20" s="410"/>
      <c r="J20" s="411"/>
      <c r="K20" s="275">
        <f>VLOOKUP(B20,'[3]S'!A:G,5,FALSE)</f>
        <v>0</v>
      </c>
      <c r="L20" s="273" t="s">
        <v>345</v>
      </c>
    </row>
    <row r="21" spans="1:10" ht="30" customHeight="1">
      <c r="A21" s="266" t="s">
        <v>346</v>
      </c>
      <c r="B21" s="266">
        <v>90777</v>
      </c>
      <c r="C21" s="266" t="str">
        <f>VLOOKUP(B21,IF(A21="COMPOSICAO",'[3]S'!$A:$E,'[3]I'!$A:$E),2,FALSE)</f>
        <v>SINAPI</v>
      </c>
      <c r="D21" s="276" t="str">
        <f>VLOOKUP(B21,IF(A21="COMPOSICAO",'[3]S'!$A:$E,'[3]I'!$A:$E),3,FALSE)</f>
        <v>ENGENHEIRO CIVIL DE OBRA JUNIOR COM ENCARGOS COMPLEMENTARES</v>
      </c>
      <c r="E21" s="266" t="str">
        <f>VLOOKUP(B21,IF(A21="COMPOSICAO",'[3]S'!$A:$E,'[3]I'!$A:$E),4,FALSE)</f>
        <v>H</v>
      </c>
      <c r="F21" s="266">
        <v>30</v>
      </c>
      <c r="G21" s="406">
        <f>IF(A21="COMPOSICAO",VLOOKUP("TOTAL SEM BDI - "&amp;B21,'[3]CPUAUX1'!$A:$J,9,FALSE),VLOOKUP(B21,'[3]I'!$A:$E,5,FALSE))</f>
        <v>104.53</v>
      </c>
      <c r="H21" s="407"/>
      <c r="I21" s="406">
        <f>TRUNC(F21*G21,2)</f>
        <v>3135.9</v>
      </c>
      <c r="J21" s="407"/>
    </row>
    <row r="22" spans="1:10" ht="15" customHeight="1">
      <c r="A22" s="266" t="s">
        <v>346</v>
      </c>
      <c r="B22" s="266">
        <v>90776</v>
      </c>
      <c r="C22" s="266" t="str">
        <f>VLOOKUP(B22,IF(A22="COMPOSICAO",'[3]S'!$A:$E,'[3]I'!$A:$E),2,FALSE)</f>
        <v>SINAPI</v>
      </c>
      <c r="D22" s="276" t="str">
        <f>VLOOKUP(B22,IF(A22="COMPOSICAO",'[3]S'!$A:$E,'[3]I'!$A:$E),3,FALSE)</f>
        <v>ENCARREGADO GERAL COM ENCARGOS COMPLEMENTARES</v>
      </c>
      <c r="E22" s="266" t="str">
        <f>VLOOKUP(B22,IF(A22="COMPOSICAO",'[3]S'!$A:$E,'[3]I'!$A:$E),4,FALSE)</f>
        <v>H</v>
      </c>
      <c r="F22" s="266">
        <v>60</v>
      </c>
      <c r="G22" s="406">
        <f>IF(A22="COMPOSICAO",VLOOKUP("TOTAL SEM BDI - "&amp;B22,'[3]CPUAUX1'!$A:$J,9,FALSE),VLOOKUP(B22,'[3]I'!$A:$E,5,FALSE))</f>
        <v>29.1</v>
      </c>
      <c r="H22" s="407"/>
      <c r="I22" s="406">
        <f>TRUNC(F22*G22,2)</f>
        <v>1746</v>
      </c>
      <c r="J22" s="407"/>
    </row>
    <row r="23" spans="1:10" ht="14.25">
      <c r="A23" s="266" t="s">
        <v>346</v>
      </c>
      <c r="B23" s="266">
        <v>90766</v>
      </c>
      <c r="C23" s="266" t="str">
        <f>VLOOKUP(B23,IF(A23="COMPOSICAO",'[3]S'!$A:$E,'[3]I'!$A:$E),2,FALSE)</f>
        <v>SINAPI</v>
      </c>
      <c r="D23" s="276" t="str">
        <f>VLOOKUP(B23,IF(A23="COMPOSICAO",'[3]S'!$A:$E,'[3]I'!$A:$E),3,FALSE)</f>
        <v>ALMOXARIFE COM ENCARGOS COMPLEMENTARES</v>
      </c>
      <c r="E23" s="266" t="str">
        <f>VLOOKUP(B23,IF(A23="COMPOSICAO",'[3]S'!$A:$E,'[3]I'!$A:$E),4,FALSE)</f>
        <v>H</v>
      </c>
      <c r="F23" s="266">
        <v>60</v>
      </c>
      <c r="G23" s="406">
        <f>IF(A23="COMPOSICAO",VLOOKUP("TOTAL SEM BDI - "&amp;B23,'[3]CPUAUX1'!$A:$J,9,FALSE),VLOOKUP(B23,'[3]I'!$A:$E,5,FALSE))</f>
        <v>18.74</v>
      </c>
      <c r="H23" s="407"/>
      <c r="I23" s="406">
        <f>TRUNC(F23*G23,2)</f>
        <v>1124.4</v>
      </c>
      <c r="J23" s="407"/>
    </row>
    <row r="24" spans="1:10" ht="14.25">
      <c r="A24" s="403" t="str">
        <f>"TOTAL SEM BDI - "&amp;B20</f>
        <v>TOTAL SEM BDI - COMPSADA02</v>
      </c>
      <c r="B24" s="404"/>
      <c r="C24" s="404"/>
      <c r="D24" s="404"/>
      <c r="E24" s="404"/>
      <c r="F24" s="404"/>
      <c r="G24" s="404"/>
      <c r="H24" s="405"/>
      <c r="I24" s="406">
        <f>SUM(I20:I23)</f>
        <v>6006.299999999999</v>
      </c>
      <c r="J24" s="407"/>
    </row>
    <row r="25" spans="1:10" ht="14.25">
      <c r="A25" s="403" t="str">
        <f>"TAXA DE BDI ("&amp;TEXT(BDI,"00,00")&amp;" %)"</f>
        <v>TAXA DE BDI (28,32 %)</v>
      </c>
      <c r="B25" s="404"/>
      <c r="C25" s="404"/>
      <c r="D25" s="404"/>
      <c r="E25" s="404"/>
      <c r="F25" s="404"/>
      <c r="G25" s="404"/>
      <c r="H25" s="405"/>
      <c r="I25" s="406">
        <f>ROUND(I24*(BDI/100),2)</f>
        <v>1700.98</v>
      </c>
      <c r="J25" s="407"/>
    </row>
    <row r="26" spans="1:10" ht="14.25">
      <c r="A26" s="403" t="str">
        <f>"TOTAL COM BDI - "&amp;B20</f>
        <v>TOTAL COM BDI - COMPSADA02</v>
      </c>
      <c r="B26" s="404"/>
      <c r="C26" s="404"/>
      <c r="D26" s="404"/>
      <c r="E26" s="404"/>
      <c r="F26" s="404"/>
      <c r="G26" s="404"/>
      <c r="H26" s="405"/>
      <c r="I26" s="406">
        <f>SUM(I24:I25)</f>
        <v>7707.279999999999</v>
      </c>
      <c r="J26" s="407"/>
    </row>
    <row r="28" spans="1:10" ht="14.25">
      <c r="A28" s="265" t="s">
        <v>337</v>
      </c>
      <c r="B28" s="265" t="s">
        <v>4</v>
      </c>
      <c r="C28" s="265" t="s">
        <v>338</v>
      </c>
      <c r="D28" s="265" t="s">
        <v>5</v>
      </c>
      <c r="E28" s="265" t="s">
        <v>339</v>
      </c>
      <c r="F28" s="265" t="s">
        <v>340</v>
      </c>
      <c r="G28" s="408" t="s">
        <v>341</v>
      </c>
      <c r="H28" s="409"/>
      <c r="I28" s="408" t="s">
        <v>342</v>
      </c>
      <c r="J28" s="409"/>
    </row>
    <row r="29" spans="1:12" ht="30" customHeight="1">
      <c r="A29" s="273" t="s">
        <v>350</v>
      </c>
      <c r="B29" s="273">
        <v>100575</v>
      </c>
      <c r="C29" s="273" t="str">
        <f>VLOOKUP(B29,'[3]S'!$A:$G,2,FALSE)</f>
        <v>SINAPI</v>
      </c>
      <c r="D29" s="274" t="str">
        <f>VLOOKUP(B29,'[3]S'!$A:$G,3,FALSE)</f>
        <v>REGULARIZAÇÃO DE SUPERFÍCIES COM MOTONIVELADORA. AF_11/2019</v>
      </c>
      <c r="E29" s="273" t="str">
        <f>VLOOKUP(B29,'[3]S'!$A:$G,4,FALSE)</f>
        <v>M2</v>
      </c>
      <c r="F29" s="273"/>
      <c r="G29" s="410">
        <f>I33</f>
        <v>0.12</v>
      </c>
      <c r="H29" s="411"/>
      <c r="I29" s="410"/>
      <c r="J29" s="411"/>
      <c r="K29" s="275">
        <f>VLOOKUP(B29,'[3]S'!A:G,5,FALSE)</f>
        <v>0.12</v>
      </c>
      <c r="L29" s="273" t="str">
        <f>IF(K29=G29,"OK, CONFORME TABELA",IF(G29&gt;K29,"ACIMA DA TABELA: ","ABAIXO DA TABELA: ")&amp;TRUNC((G29*100)/K29,2)&amp;" %")</f>
        <v>OK, CONFORME TABELA</v>
      </c>
    </row>
    <row r="30" spans="1:10" ht="60" customHeight="1">
      <c r="A30" s="266" t="s">
        <v>346</v>
      </c>
      <c r="B30" s="266">
        <v>5932</v>
      </c>
      <c r="C30" s="266" t="str">
        <f>VLOOKUP(B30,IF(A30="COMPOSICAO",'[3]S'!$A:$E,'[3]I'!$A:$E),2,FALSE)</f>
        <v>SINAPI</v>
      </c>
      <c r="D30" s="276" t="str">
        <f>VLOOKUP(B30,IF(A30="COMPOSICAO",'[3]S'!$A:$E,'[3]I'!$A:$E),3,FALSE)</f>
        <v>MOTONIVELADORA POTÊNCIA BÁSICA LÍQUIDA (PRIMEIRA MARCHA) 125 HP, PESO BRUTO 13032 KG, LARGURA DA LÂMINA DE 3,7 M - CHP DIURNO. AF_06/2014</v>
      </c>
      <c r="E30" s="266" t="str">
        <f>VLOOKUP(B30,IF(A30="COMPOSICAO",'[3]S'!$A:$E,'[3]I'!$A:$E),4,FALSE)</f>
        <v>CHP</v>
      </c>
      <c r="F30" s="266">
        <v>0.0001</v>
      </c>
      <c r="G30" s="406">
        <f>IF(A30="COMPOSICAO",VLOOKUP("TOTAL SEM BDI - "&amp;B30,'[3]CPUAUX1'!$A:$J,9,FALSE),VLOOKUP(B30,'[3]I'!$A:$E,5,FALSE))</f>
        <v>250.52</v>
      </c>
      <c r="H30" s="407"/>
      <c r="I30" s="406">
        <f>TRUNC(F30*G30,2)</f>
        <v>0.02</v>
      </c>
      <c r="J30" s="407"/>
    </row>
    <row r="31" spans="1:10" ht="60" customHeight="1">
      <c r="A31" s="266" t="s">
        <v>346</v>
      </c>
      <c r="B31" s="266">
        <v>5934</v>
      </c>
      <c r="C31" s="266" t="str">
        <f>VLOOKUP(B31,IF(A31="COMPOSICAO",'[3]S'!$A:$E,'[3]I'!$A:$E),2,FALSE)</f>
        <v>SINAPI</v>
      </c>
      <c r="D31" s="276" t="str">
        <f>VLOOKUP(B31,IF(A31="COMPOSICAO",'[3]S'!$A:$E,'[3]I'!$A:$E),3,FALSE)</f>
        <v>MOTONIVELADORA POTÊNCIA BÁSICA LÍQUIDA (PRIMEIRA MARCHA) 125 HP, PESO BRUTO 13032 KG, LARGURA DA LÂMINA DE 3,7 M - CHI DIURNO. AF_06/2014</v>
      </c>
      <c r="E31" s="266" t="str">
        <f>VLOOKUP(B31,IF(A31="COMPOSICAO",'[3]S'!$A:$E,'[3]I'!$A:$E),4,FALSE)</f>
        <v>CHI</v>
      </c>
      <c r="F31" s="266">
        <v>0.001</v>
      </c>
      <c r="G31" s="406">
        <f>IF(A31="COMPOSICAO",VLOOKUP("TOTAL SEM BDI - "&amp;B31,'[3]CPUAUX1'!$A:$J,9,FALSE),VLOOKUP(B31,'[3]I'!$A:$E,5,FALSE))</f>
        <v>97.31</v>
      </c>
      <c r="H31" s="407"/>
      <c r="I31" s="406">
        <f>TRUNC(F31*G31,2)</f>
        <v>0.09</v>
      </c>
      <c r="J31" s="407"/>
    </row>
    <row r="32" spans="1:10" ht="14.25">
      <c r="A32" s="266" t="s">
        <v>346</v>
      </c>
      <c r="B32" s="266">
        <v>88316</v>
      </c>
      <c r="C32" s="266" t="str">
        <f>VLOOKUP(B32,IF(A32="COMPOSICAO",'[3]S'!$A:$E,'[3]I'!$A:$E),2,FALSE)</f>
        <v>SINAPI</v>
      </c>
      <c r="D32" s="276" t="str">
        <f>VLOOKUP(B32,IF(A32="COMPOSICAO",'[3]S'!$A:$E,'[3]I'!$A:$E),3,FALSE)</f>
        <v>SERVENTE COM ENCARGOS COMPLEMENTARES</v>
      </c>
      <c r="E32" s="266" t="str">
        <f>VLOOKUP(B32,IF(A32="COMPOSICAO",'[3]S'!$A:$E,'[3]I'!$A:$E),4,FALSE)</f>
        <v>H</v>
      </c>
      <c r="F32" s="266">
        <f>0.001/pcf</f>
        <v>0.001</v>
      </c>
      <c r="G32" s="406">
        <f>IF(A32="COMPOSICAO",VLOOKUP("TOTAL SEM BDI - "&amp;B32,'[3]CPUAUX1'!$A:$J,9,FALSE),VLOOKUP(B32,'[3]I'!$A:$E,5,FALSE))</f>
        <v>18.64</v>
      </c>
      <c r="H32" s="407"/>
      <c r="I32" s="406">
        <f>TRUNC(F32*G32,2)</f>
        <v>0.01</v>
      </c>
      <c r="J32" s="407"/>
    </row>
    <row r="33" spans="1:10" ht="14.25">
      <c r="A33" s="403" t="str">
        <f>"TOTAL SEM BDI - "&amp;B29</f>
        <v>TOTAL SEM BDI - 100575</v>
      </c>
      <c r="B33" s="404"/>
      <c r="C33" s="404"/>
      <c r="D33" s="404"/>
      <c r="E33" s="404"/>
      <c r="F33" s="404"/>
      <c r="G33" s="404"/>
      <c r="H33" s="405"/>
      <c r="I33" s="406">
        <f>SUM(I29:I32)</f>
        <v>0.12</v>
      </c>
      <c r="J33" s="407"/>
    </row>
    <row r="34" spans="1:10" ht="14.25">
      <c r="A34" s="403" t="str">
        <f>"TAXA DE BDI ("&amp;TEXT(BDI,"00,00")&amp;" %)"</f>
        <v>TAXA DE BDI (28,32 %)</v>
      </c>
      <c r="B34" s="404"/>
      <c r="C34" s="404"/>
      <c r="D34" s="404"/>
      <c r="E34" s="404"/>
      <c r="F34" s="404"/>
      <c r="G34" s="404"/>
      <c r="H34" s="405"/>
      <c r="I34" s="406">
        <f>ROUND(I33*(BDI/100),2)</f>
        <v>0.03</v>
      </c>
      <c r="J34" s="407"/>
    </row>
    <row r="35" spans="1:10" ht="14.25">
      <c r="A35" s="403" t="str">
        <f>"TOTAL COM BDI - "&amp;B29</f>
        <v>TOTAL COM BDI - 100575</v>
      </c>
      <c r="B35" s="404"/>
      <c r="C35" s="404"/>
      <c r="D35" s="404"/>
      <c r="E35" s="404"/>
      <c r="F35" s="404"/>
      <c r="G35" s="404"/>
      <c r="H35" s="405"/>
      <c r="I35" s="406">
        <f>SUM(I33:I34)</f>
        <v>0.15</v>
      </c>
      <c r="J35" s="407"/>
    </row>
    <row r="37" spans="1:10" ht="14.25">
      <c r="A37" s="265" t="s">
        <v>337</v>
      </c>
      <c r="B37" s="265" t="s">
        <v>4</v>
      </c>
      <c r="C37" s="265" t="s">
        <v>338</v>
      </c>
      <c r="D37" s="265" t="s">
        <v>5</v>
      </c>
      <c r="E37" s="265" t="s">
        <v>339</v>
      </c>
      <c r="F37" s="265" t="s">
        <v>340</v>
      </c>
      <c r="G37" s="408" t="s">
        <v>341</v>
      </c>
      <c r="H37" s="409"/>
      <c r="I37" s="408" t="s">
        <v>342</v>
      </c>
      <c r="J37" s="409"/>
    </row>
    <row r="38" spans="1:12" ht="45" customHeight="1">
      <c r="A38" s="273" t="s">
        <v>350</v>
      </c>
      <c r="B38" s="273" t="s">
        <v>351</v>
      </c>
      <c r="C38" s="273" t="str">
        <f>VLOOKUP(B38,'[3]S'!$A:$G,2,FALSE)</f>
        <v>PRÓPRIA</v>
      </c>
      <c r="D38" s="274" t="str">
        <f>VLOOKUP(B38,'[3]S'!$A:$G,3,FALSE)</f>
        <v>EXECUÇÃO DE PAVIMENTO EM PARALELEPÍPEDOS, REJUNTAMENTO COM ARGAMASSA TRAÇO 1:3 (CIMENTO E AREIA). AF_05/2020</v>
      </c>
      <c r="E38" s="273" t="str">
        <f>VLOOKUP(B38,'[3]S'!$A:$G,4,FALSE)</f>
        <v>M²</v>
      </c>
      <c r="F38" s="273"/>
      <c r="G38" s="410">
        <f>I44</f>
        <v>96.97</v>
      </c>
      <c r="H38" s="411"/>
      <c r="I38" s="410"/>
      <c r="J38" s="411"/>
      <c r="K38" s="275">
        <f>VLOOKUP(B38,'[3]S'!A:G,5,FALSE)</f>
        <v>0</v>
      </c>
      <c r="L38" s="273" t="s">
        <v>345</v>
      </c>
    </row>
    <row r="39" spans="1:12" ht="14.25">
      <c r="A39" s="266" t="s">
        <v>346</v>
      </c>
      <c r="B39" s="266">
        <v>88260</v>
      </c>
      <c r="C39" s="266" t="str">
        <f>VLOOKUP(B39,IF(A39="COMPOSICAO",'[3]S'!$A:$E,'[3]I'!$A:$E),2,FALSE)</f>
        <v>SINAPI</v>
      </c>
      <c r="D39" s="276" t="str">
        <f>VLOOKUP(B39,IF(A39="COMPOSICAO",'[3]S'!$A:$E,'[3]I'!$A:$E),3,FALSE)</f>
        <v>CALCETEIRO COM ENCARGOS COMPLEMENTARES</v>
      </c>
      <c r="E39" s="266" t="str">
        <f>VLOOKUP(B39,IF(A39="COMPOSICAO",'[3]S'!$A:$E,'[3]I'!$A:$E),4,FALSE)</f>
        <v>H</v>
      </c>
      <c r="F39" s="266">
        <f>0.4021/pcf</f>
        <v>0.4021</v>
      </c>
      <c r="G39" s="406">
        <f>IF(A39="COMPOSICAO",VLOOKUP("TOTAL SEM BDI - "&amp;B39,'[3]CPUAUX1'!$A:$J,9,FALSE),VLOOKUP(B39,'[3]I'!$A:$E,5,FALSE))</f>
        <v>23.07</v>
      </c>
      <c r="H39" s="407"/>
      <c r="I39" s="406">
        <f>TRUNC(F39*G39,2)</f>
        <v>9.27</v>
      </c>
      <c r="J39" s="407"/>
      <c r="K39" s="262" t="s">
        <v>352</v>
      </c>
      <c r="L39" s="277">
        <f>SUM(I39:J40)</f>
        <v>16.759999999999998</v>
      </c>
    </row>
    <row r="40" spans="1:12" ht="14.25">
      <c r="A40" s="266" t="s">
        <v>346</v>
      </c>
      <c r="B40" s="266">
        <v>88316</v>
      </c>
      <c r="C40" s="266" t="str">
        <f>VLOOKUP(B40,IF(A40="COMPOSICAO",'[3]S'!$A:$E,'[3]I'!$A:$E),2,FALSE)</f>
        <v>SINAPI</v>
      </c>
      <c r="D40" s="276" t="str">
        <f>VLOOKUP(B40,IF(A40="COMPOSICAO",'[3]S'!$A:$E,'[3]I'!$A:$E),3,FALSE)</f>
        <v>SERVENTE COM ENCARGOS COMPLEMENTARES</v>
      </c>
      <c r="E40" s="266" t="str">
        <f>VLOOKUP(B40,IF(A40="COMPOSICAO",'[3]S'!$A:$E,'[3]I'!$A:$E),4,FALSE)</f>
        <v>H</v>
      </c>
      <c r="F40" s="266">
        <f>0.4021/pcf</f>
        <v>0.4021</v>
      </c>
      <c r="G40" s="406">
        <f>IF(A40="COMPOSICAO",VLOOKUP("TOTAL SEM BDI - "&amp;B40,'[3]CPUAUX1'!$A:$J,9,FALSE),VLOOKUP(B40,'[3]I'!$A:$E,5,FALSE))</f>
        <v>18.64</v>
      </c>
      <c r="H40" s="407"/>
      <c r="I40" s="406">
        <f>TRUNC(F40*G40,2)</f>
        <v>7.49</v>
      </c>
      <c r="J40" s="407"/>
      <c r="K40" s="262" t="s">
        <v>353</v>
      </c>
      <c r="L40" s="277">
        <f>SUM(I41:J42)</f>
        <v>23.34</v>
      </c>
    </row>
    <row r="41" spans="1:12" ht="45" customHeight="1">
      <c r="A41" s="266" t="s">
        <v>346</v>
      </c>
      <c r="B41" s="266">
        <v>88628</v>
      </c>
      <c r="C41" s="266" t="str">
        <f>VLOOKUP(B41,IF(A41="COMPOSICAO",'[3]S'!$A:$E,'[3]I'!$A:$E),2,FALSE)</f>
        <v>SINAPI</v>
      </c>
      <c r="D41" s="276" t="str">
        <f>VLOOKUP(B41,IF(A41="COMPOSICAO",'[3]S'!$A:$E,'[3]I'!$A:$E),3,FALSE)</f>
        <v>ARGAMASSA TRAÇO 1:3 (EM VOLUME DE CIMENTO E AREIA MÉDIA ÚMIDA), PREPARO MECÂNICO COM BETONEIRA 400 L. AF_08/2019</v>
      </c>
      <c r="E41" s="266" t="str">
        <f>VLOOKUP(B41,IF(A41="COMPOSICAO",'[3]S'!$A:$E,'[3]I'!$A:$E),4,FALSE)</f>
        <v>M3</v>
      </c>
      <c r="F41" s="266">
        <v>0.0204</v>
      </c>
      <c r="G41" s="406">
        <f>IF(A41="COMPOSICAO",VLOOKUP("TOTAL SEM BDI - "&amp;B41,'[3]CPUAUX1'!$A:$J,9,FALSE),VLOOKUP(B41,'[3]I'!$A:$E,5,FALSE))</f>
        <v>663.6</v>
      </c>
      <c r="H41" s="407"/>
      <c r="I41" s="406">
        <f>TRUNC(F41*G41,2)</f>
        <v>13.53</v>
      </c>
      <c r="J41" s="407"/>
      <c r="K41" s="262" t="s">
        <v>354</v>
      </c>
      <c r="L41" s="277">
        <f>SUM(L39:L40)</f>
        <v>40.099999999999994</v>
      </c>
    </row>
    <row r="42" spans="1:12" ht="30" customHeight="1">
      <c r="A42" s="266" t="s">
        <v>347</v>
      </c>
      <c r="B42" s="266">
        <v>367</v>
      </c>
      <c r="C42" s="266" t="str">
        <f>VLOOKUP(B42,IF(A42="COMPOSICAO",'[3]S'!$A:$E,'[3]I'!$A:$E),2,FALSE)</f>
        <v>SINAPI</v>
      </c>
      <c r="D42" s="276" t="str">
        <f>VLOOKUP(B42,IF(A42="COMPOSICAO",'[3]S'!$A:$E,'[3]I'!$A:$E),3,FALSE)</f>
        <v>AREIA GROSSA - POSTO JAZIDA/FORNECEDOR (RETIRADO NA JAZIDA, SEM TRANSPORTE)</v>
      </c>
      <c r="E42" s="266" t="str">
        <f>VLOOKUP(B42,IF(A42="COMPOSICAO",'[3]S'!$A:$E,'[3]I'!$A:$E),4,FALSE)</f>
        <v>M3</v>
      </c>
      <c r="F42" s="266">
        <v>0.114</v>
      </c>
      <c r="G42" s="406">
        <f>IF(A42="COMPOSICAO",VLOOKUP("TOTAL SEM BDI - "&amp;B42,'[3]CPUAUX1'!$A:$J,9,FALSE),VLOOKUP(B42,'[3]I'!$A:$E,5,FALSE))</f>
        <v>86.11</v>
      </c>
      <c r="H42" s="407"/>
      <c r="I42" s="406">
        <f>TRUNC(F42*G42,2)</f>
        <v>9.81</v>
      </c>
      <c r="J42" s="407"/>
      <c r="K42" s="262" t="s">
        <v>355</v>
      </c>
      <c r="L42" s="262">
        <f>L41*0.2832</f>
        <v>11.356319999999998</v>
      </c>
    </row>
    <row r="43" spans="1:12" ht="14.25">
      <c r="A43" s="278" t="s">
        <v>347</v>
      </c>
      <c r="B43" s="278" t="s">
        <v>356</v>
      </c>
      <c r="C43" s="278" t="str">
        <f>VLOOKUP(B43,IF(A43="COMPOSICAO",'[3]S'!$A:$E,'[3]I'!$A:$E),2,FALSE)</f>
        <v>ORSE</v>
      </c>
      <c r="D43" s="279" t="str">
        <f>VLOOKUP(B43,IF(A43="COMPOSICAO",'[3]S'!$A:$E,'[3]I'!$A:$E),3,FALSE)</f>
        <v>PARALELEPÍPEDO GRANITICO (COM FRETE)</v>
      </c>
      <c r="E43" s="278" t="str">
        <f>VLOOKUP(B43,IF(A43="COMPOSICAO",'[3]S'!$A:$E,'[3]I'!$A:$E),4,FALSE)</f>
        <v>MIL</v>
      </c>
      <c r="F43" s="278">
        <v>0.033</v>
      </c>
      <c r="G43" s="412">
        <f>IF(A43="COMPOSICAO",VLOOKUP("TOTAL SEM BDI - "&amp;B43,'[3]CPUAUX1'!$A:$J,9,FALSE),VLOOKUP(B43,'[3]I'!$A:$E,5,FALSE))</f>
        <v>1723.39</v>
      </c>
      <c r="H43" s="413"/>
      <c r="I43" s="412">
        <f>TRUNC(F43*G43,2)</f>
        <v>56.87</v>
      </c>
      <c r="J43" s="413"/>
      <c r="K43" s="262" t="s">
        <v>357</v>
      </c>
      <c r="L43" s="262">
        <f>I43*0.111</f>
        <v>6.31257</v>
      </c>
    </row>
    <row r="44" spans="1:12" ht="14.25">
      <c r="A44" s="403" t="str">
        <f>"TOTAL SEM BDI - "&amp;B38</f>
        <v>TOTAL SEM BDI - COMPSADA03</v>
      </c>
      <c r="B44" s="404"/>
      <c r="C44" s="404"/>
      <c r="D44" s="404"/>
      <c r="E44" s="404"/>
      <c r="F44" s="404"/>
      <c r="G44" s="404"/>
      <c r="H44" s="405"/>
      <c r="I44" s="406">
        <f>SUM(I39:J43)</f>
        <v>96.97</v>
      </c>
      <c r="J44" s="407"/>
      <c r="L44" s="277"/>
    </row>
    <row r="45" spans="1:12" ht="14.25">
      <c r="A45" s="403" t="str">
        <f>"TAXA DE BDI ("&amp;TEXT(BDI,"00,00")&amp;" %)"</f>
        <v>TAXA DE BDI (28,32 %)</v>
      </c>
      <c r="B45" s="404"/>
      <c r="C45" s="404"/>
      <c r="D45" s="404"/>
      <c r="E45" s="404"/>
      <c r="F45" s="404"/>
      <c r="G45" s="404"/>
      <c r="H45" s="405"/>
      <c r="I45" s="406">
        <f>L42+L43</f>
        <v>17.668889999999998</v>
      </c>
      <c r="J45" s="407"/>
      <c r="L45" s="277"/>
    </row>
    <row r="46" spans="1:10" ht="14.25">
      <c r="A46" s="403" t="str">
        <f>"TOTAL COM BDI - "&amp;B38</f>
        <v>TOTAL COM BDI - COMPSADA03</v>
      </c>
      <c r="B46" s="404"/>
      <c r="C46" s="404"/>
      <c r="D46" s="404"/>
      <c r="E46" s="404"/>
      <c r="F46" s="404"/>
      <c r="G46" s="404"/>
      <c r="H46" s="405"/>
      <c r="I46" s="406">
        <f>SUM(I44:I45)</f>
        <v>114.63889</v>
      </c>
      <c r="J46" s="407"/>
    </row>
    <row r="48" spans="1:10" ht="14.25">
      <c r="A48" s="265" t="s">
        <v>337</v>
      </c>
      <c r="B48" s="265" t="s">
        <v>4</v>
      </c>
      <c r="C48" s="265" t="s">
        <v>338</v>
      </c>
      <c r="D48" s="265" t="s">
        <v>5</v>
      </c>
      <c r="E48" s="265" t="s">
        <v>339</v>
      </c>
      <c r="F48" s="265" t="s">
        <v>340</v>
      </c>
      <c r="G48" s="408" t="s">
        <v>341</v>
      </c>
      <c r="H48" s="409"/>
      <c r="I48" s="408" t="s">
        <v>342</v>
      </c>
      <c r="J48" s="409"/>
    </row>
    <row r="49" spans="1:12" ht="75" customHeight="1">
      <c r="A49" s="273" t="s">
        <v>358</v>
      </c>
      <c r="B49" s="273">
        <v>94273</v>
      </c>
      <c r="C49" s="273" t="str">
        <f>VLOOKUP(B49,'[3]S'!$A:$G,2,FALSE)</f>
        <v>SINAPI</v>
      </c>
      <c r="D49" s="274" t="str">
        <f>VLOOKUP(B49,'[3]S'!$A:$G,3,FALSE)</f>
        <v>ASSENTAMENTO DE GUIA (MEIO-FIO) EM TRECHO RETO, CONFECCIONADA EM CONCRETO PRÉ-FABRICADO, DIMENSÕES 100X15X13X30 CM (COMPRIMENTO X BASE INFERIOR X BASE SUPERIOR X ALTURA). AF_01/2024</v>
      </c>
      <c r="E49" s="273" t="str">
        <f>VLOOKUP(B49,'[3]S'!$A:$G,4,FALSE)</f>
        <v>M</v>
      </c>
      <c r="F49" s="273"/>
      <c r="G49" s="410">
        <f>I55</f>
        <v>37.16</v>
      </c>
      <c r="H49" s="411"/>
      <c r="I49" s="410"/>
      <c r="J49" s="411"/>
      <c r="K49" s="275">
        <f>VLOOKUP(B49,'[3]S'!A:G,5,FALSE)</f>
        <v>37.16</v>
      </c>
      <c r="L49" s="273" t="str">
        <f>IF(K49=G49,"OK, CONFORME TABELA",IF(G49&gt;K49,"ACIMA DA TABELA: ","ABAIXO DA TABELA: ")&amp;TRUNC((G49*100)/K49,2)&amp;" %")</f>
        <v>OK, CONFORME TABELA</v>
      </c>
    </row>
    <row r="50" spans="1:10" ht="30" customHeight="1">
      <c r="A50" s="266" t="s">
        <v>347</v>
      </c>
      <c r="B50" s="266">
        <v>370</v>
      </c>
      <c r="C50" s="266" t="str">
        <f>VLOOKUP(B50,IF(A50="COMPOSICAO",'[3]S'!$A:$E,'[3]I'!$A:$E),2,FALSE)</f>
        <v>SINAPI</v>
      </c>
      <c r="D50" s="276" t="str">
        <f>VLOOKUP(B50,IF(A50="COMPOSICAO",'[3]S'!$A:$E,'[3]I'!$A:$E),3,FALSE)</f>
        <v>AREIA MEDIA - POSTO JAZIDA/FORNECEDOR (RETIRADO NA JAZIDA, SEM TRANSPORTE)</v>
      </c>
      <c r="E50" s="266" t="str">
        <f>VLOOKUP(B50,IF(A50="COMPOSICAO",'[3]S'!$A:$E,'[3]I'!$A:$E),4,FALSE)</f>
        <v>M3</v>
      </c>
      <c r="F50" s="266">
        <v>0.0066</v>
      </c>
      <c r="G50" s="406">
        <f>IF(A50="COMPOSICAO",VLOOKUP("TOTAL SEM BDI - "&amp;B50,'[3]CPUAUX1'!$A:$J,9,FALSE),VLOOKUP(B50,'[3]I'!$A:$E,5,FALSE))</f>
        <v>85</v>
      </c>
      <c r="H50" s="407"/>
      <c r="I50" s="406">
        <f>TRUNC(F50*G50,2)</f>
        <v>0.56</v>
      </c>
      <c r="J50" s="407"/>
    </row>
    <row r="51" spans="1:10" ht="30" customHeight="1">
      <c r="A51" s="266" t="s">
        <v>347</v>
      </c>
      <c r="B51" s="266">
        <v>4059</v>
      </c>
      <c r="C51" s="266" t="str">
        <f>VLOOKUP(B51,IF(A51="COMPOSICAO",'[3]S'!$A:$E,'[3]I'!$A:$E),2,FALSE)</f>
        <v>SINAPI</v>
      </c>
      <c r="D51" s="276" t="str">
        <f>VLOOKUP(B51,IF(A51="COMPOSICAO",'[3]S'!$A:$E,'[3]I'!$A:$E),3,FALSE)</f>
        <v>MEIO-FIO OU GUIA DE CONCRETO, PRE-MOLDADO, COMP 1 M, *30 X 12/15* CM (H X L1/L2)</v>
      </c>
      <c r="E51" s="266" t="str">
        <f>VLOOKUP(B51,IF(A51="COMPOSICAO",'[3]S'!$A:$E,'[3]I'!$A:$E),4,FALSE)</f>
        <v>M</v>
      </c>
      <c r="F51" s="266">
        <v>1.005</v>
      </c>
      <c r="G51" s="406">
        <f>IF(A51="COMPOSICAO",VLOOKUP("TOTAL SEM BDI - "&amp;B51,'[3]CPUAUX1'!$A:$J,9,FALSE),VLOOKUP(B51,'[3]I'!$A:$E,5,FALSE))</f>
        <v>25.54</v>
      </c>
      <c r="H51" s="407"/>
      <c r="I51" s="406">
        <f>TRUNC(F51*G51,2)</f>
        <v>25.66</v>
      </c>
      <c r="J51" s="407"/>
    </row>
    <row r="52" spans="1:10" ht="14.25">
      <c r="A52" s="266" t="s">
        <v>346</v>
      </c>
      <c r="B52" s="266">
        <v>88309</v>
      </c>
      <c r="C52" s="266" t="str">
        <f>VLOOKUP(B52,IF(A52="COMPOSICAO",'[3]S'!$A:$E,'[3]I'!$A:$E),2,FALSE)</f>
        <v>SINAPI</v>
      </c>
      <c r="D52" s="276" t="str">
        <f>VLOOKUP(B52,IF(A52="COMPOSICAO",'[3]S'!$A:$E,'[3]I'!$A:$E),3,FALSE)</f>
        <v>PEDREIRO COM ENCARGOS COMPLEMENTARES</v>
      </c>
      <c r="E52" s="266" t="str">
        <f>VLOOKUP(B52,IF(A52="COMPOSICAO",'[3]S'!$A:$E,'[3]I'!$A:$E),4,FALSE)</f>
        <v>H</v>
      </c>
      <c r="F52" s="266">
        <f>0.2296/pcf</f>
        <v>0.2296</v>
      </c>
      <c r="G52" s="406">
        <f>IF(A52="COMPOSICAO",VLOOKUP("TOTAL SEM BDI - "&amp;B52,'[3]CPUAUX1'!$A:$J,9,FALSE),VLOOKUP(B52,'[3]I'!$A:$E,5,FALSE))</f>
        <v>23.259999999999998</v>
      </c>
      <c r="H52" s="407"/>
      <c r="I52" s="406">
        <f>TRUNC(F52*G52,2)</f>
        <v>5.34</v>
      </c>
      <c r="J52" s="407"/>
    </row>
    <row r="53" spans="1:10" ht="14.25">
      <c r="A53" s="266" t="s">
        <v>346</v>
      </c>
      <c r="B53" s="266">
        <v>88316</v>
      </c>
      <c r="C53" s="266" t="str">
        <f>VLOOKUP(B53,IF(A53="COMPOSICAO",'[3]S'!$A:$E,'[3]I'!$A:$E),2,FALSE)</f>
        <v>SINAPI</v>
      </c>
      <c r="D53" s="276" t="str">
        <f>VLOOKUP(B53,IF(A53="COMPOSICAO",'[3]S'!$A:$E,'[3]I'!$A:$E),3,FALSE)</f>
        <v>SERVENTE COM ENCARGOS COMPLEMENTARES</v>
      </c>
      <c r="E53" s="266" t="str">
        <f>VLOOKUP(B53,IF(A53="COMPOSICAO",'[3]S'!$A:$E,'[3]I'!$A:$E),4,FALSE)</f>
        <v>H</v>
      </c>
      <c r="F53" s="266">
        <f>0.2296/pcf</f>
        <v>0.2296</v>
      </c>
      <c r="G53" s="406">
        <f>IF(A53="COMPOSICAO",VLOOKUP("TOTAL SEM BDI - "&amp;B53,'[3]CPUAUX1'!$A:$J,9,FALSE),VLOOKUP(B53,'[3]I'!$A:$E,5,FALSE))</f>
        <v>18.64</v>
      </c>
      <c r="H53" s="407"/>
      <c r="I53" s="406">
        <f>TRUNC(F53*G53,2)</f>
        <v>4.27</v>
      </c>
      <c r="J53" s="407"/>
    </row>
    <row r="54" spans="1:10" ht="45" customHeight="1">
      <c r="A54" s="266" t="s">
        <v>346</v>
      </c>
      <c r="B54" s="266">
        <v>88629</v>
      </c>
      <c r="C54" s="266" t="str">
        <f>VLOOKUP(B54,IF(A54="COMPOSICAO",'[3]S'!$A:$E,'[3]I'!$A:$E),2,FALSE)</f>
        <v>SINAPI</v>
      </c>
      <c r="D54" s="276" t="str">
        <f>VLOOKUP(B54,IF(A54="COMPOSICAO",'[3]S'!$A:$E,'[3]I'!$A:$E),3,FALSE)</f>
        <v>ARGAMASSA TRAÇO 1:3 (EM VOLUME DE CIMENTO E AREIA MÉDIA ÚMIDA), PREPARO MANUAL. AF_08/2019</v>
      </c>
      <c r="E54" s="266" t="str">
        <f>VLOOKUP(B54,IF(A54="COMPOSICAO",'[3]S'!$A:$E,'[3]I'!$A:$E),4,FALSE)</f>
        <v>M3</v>
      </c>
      <c r="F54" s="266">
        <v>0.0018</v>
      </c>
      <c r="G54" s="406">
        <f>IF(A54="COMPOSICAO",VLOOKUP("TOTAL SEM BDI - "&amp;B54,'[3]CPUAUX1'!$A:$J,9,FALSE),VLOOKUP(B54,'[3]I'!$A:$E,5,FALSE))</f>
        <v>743.3000000000001</v>
      </c>
      <c r="H54" s="407"/>
      <c r="I54" s="406">
        <f>TRUNC(F54*G54,2)</f>
        <v>1.33</v>
      </c>
      <c r="J54" s="407"/>
    </row>
    <row r="55" spans="1:10" ht="14.25">
      <c r="A55" s="403" t="str">
        <f>"TOTAL SEM BDI - "&amp;B49</f>
        <v>TOTAL SEM BDI - 94273</v>
      </c>
      <c r="B55" s="404"/>
      <c r="C55" s="404"/>
      <c r="D55" s="404"/>
      <c r="E55" s="404"/>
      <c r="F55" s="404"/>
      <c r="G55" s="404"/>
      <c r="H55" s="405"/>
      <c r="I55" s="406">
        <f>SUM(I49:I54)</f>
        <v>37.16</v>
      </c>
      <c r="J55" s="407"/>
    </row>
    <row r="56" spans="1:10" ht="14.25">
      <c r="A56" s="403" t="str">
        <f>"TAXA DE BDI ("&amp;TEXT(BDI,"00,00")&amp;" %)"</f>
        <v>TAXA DE BDI (28,32 %)</v>
      </c>
      <c r="B56" s="404"/>
      <c r="C56" s="404"/>
      <c r="D56" s="404"/>
      <c r="E56" s="404"/>
      <c r="F56" s="404"/>
      <c r="G56" s="404"/>
      <c r="H56" s="405"/>
      <c r="I56" s="406">
        <f>ROUND(I55*(BDI/100),2)</f>
        <v>10.52</v>
      </c>
      <c r="J56" s="407"/>
    </row>
    <row r="57" spans="1:10" ht="14.25">
      <c r="A57" s="403" t="str">
        <f>"TOTAL COM BDI - "&amp;B49</f>
        <v>TOTAL COM BDI - 94273</v>
      </c>
      <c r="B57" s="404"/>
      <c r="C57" s="404"/>
      <c r="D57" s="404"/>
      <c r="E57" s="404"/>
      <c r="F57" s="404"/>
      <c r="G57" s="404"/>
      <c r="H57" s="405"/>
      <c r="I57" s="406">
        <f>SUM(I55:I56)</f>
        <v>47.67999999999999</v>
      </c>
      <c r="J57" s="407"/>
    </row>
    <row r="59" spans="1:10" ht="14.25">
      <c r="A59" s="265" t="s">
        <v>337</v>
      </c>
      <c r="B59" s="265" t="s">
        <v>4</v>
      </c>
      <c r="C59" s="265" t="s">
        <v>338</v>
      </c>
      <c r="D59" s="265" t="s">
        <v>5</v>
      </c>
      <c r="E59" s="265" t="s">
        <v>339</v>
      </c>
      <c r="F59" s="265" t="s">
        <v>340</v>
      </c>
      <c r="G59" s="408" t="s">
        <v>341</v>
      </c>
      <c r="H59" s="409"/>
      <c r="I59" s="408" t="s">
        <v>342</v>
      </c>
      <c r="J59" s="409"/>
    </row>
    <row r="60" spans="1:12" ht="60" customHeight="1">
      <c r="A60" s="273" t="s">
        <v>358</v>
      </c>
      <c r="B60" s="273" t="s">
        <v>359</v>
      </c>
      <c r="C60" s="273" t="str">
        <f>VLOOKUP(B60,'[3]S'!$A:$G,2,FALSE)</f>
        <v>PRÓPRIA</v>
      </c>
      <c r="D60" s="274" t="str">
        <f>VLOOKUP(B60,'[3]S'!$A:$G,3,FALSE)</f>
        <v>REFERÊNCIA SINAPI (94287) - EXECUÇÃO DE SARJETA DE CONCRETO USINADO, MOLDADA IN LOCO EM TRECHO RETO, 30 CM BASE X 3 CM ALTURA. AF_06/2016</v>
      </c>
      <c r="E60" s="273" t="str">
        <f>VLOOKUP(B60,'[3]S'!$A:$G,4,FALSE)</f>
        <v>M</v>
      </c>
      <c r="F60" s="273"/>
      <c r="G60" s="410">
        <f>I67</f>
        <v>12.1</v>
      </c>
      <c r="H60" s="411"/>
      <c r="I60" s="410"/>
      <c r="J60" s="411"/>
      <c r="K60" s="275">
        <f>VLOOKUP(B60,'[3]S'!A:G,5,FALSE)</f>
        <v>0</v>
      </c>
      <c r="L60" s="273" t="s">
        <v>345</v>
      </c>
    </row>
    <row r="61" spans="1:10" ht="14.25">
      <c r="A61" s="266" t="s">
        <v>346</v>
      </c>
      <c r="B61" s="266">
        <v>88309</v>
      </c>
      <c r="C61" s="266" t="str">
        <f>VLOOKUP(B61,IF(A61="COMPOSICAO",'[3]S'!$A:$E,'[3]I'!$A:$E),2,FALSE)</f>
        <v>SINAPI</v>
      </c>
      <c r="D61" s="276" t="str">
        <f>VLOOKUP(B61,IF(A61="COMPOSICAO",'[3]S'!$A:$E,'[3]I'!$A:$E),3,FALSE)</f>
        <v>PEDREIRO COM ENCARGOS COMPLEMENTARES</v>
      </c>
      <c r="E61" s="266" t="str">
        <f>VLOOKUP(B61,IF(A61="COMPOSICAO",'[3]S'!$A:$E,'[3]I'!$A:$E),4,FALSE)</f>
        <v>H</v>
      </c>
      <c r="F61" s="266">
        <f>0.1362/pcf</f>
        <v>0.1362</v>
      </c>
      <c r="G61" s="406">
        <f>IF(A61="COMPOSICAO",VLOOKUP("TOTAL SEM BDI - "&amp;B61,'[3]CPUAUX1'!$A:$J,9,FALSE),VLOOKUP(B61,'[3]I'!$A:$E,5,FALSE))</f>
        <v>23.259999999999998</v>
      </c>
      <c r="H61" s="407"/>
      <c r="I61" s="406">
        <f aca="true" t="shared" si="1" ref="I61:I66">TRUNC(F61*G61,2)</f>
        <v>3.16</v>
      </c>
      <c r="J61" s="407"/>
    </row>
    <row r="62" spans="1:10" ht="14.25">
      <c r="A62" s="266" t="s">
        <v>346</v>
      </c>
      <c r="B62" s="266">
        <v>88316</v>
      </c>
      <c r="C62" s="266" t="str">
        <f>VLOOKUP(B62,IF(A62="COMPOSICAO",'[3]S'!$A:$E,'[3]I'!$A:$E),2,FALSE)</f>
        <v>SINAPI</v>
      </c>
      <c r="D62" s="276" t="str">
        <f>VLOOKUP(B62,IF(A62="COMPOSICAO",'[3]S'!$A:$E,'[3]I'!$A:$E),3,FALSE)</f>
        <v>SERVENTE COM ENCARGOS COMPLEMENTARES</v>
      </c>
      <c r="E62" s="266" t="str">
        <f>VLOOKUP(B62,IF(A62="COMPOSICAO",'[3]S'!$A:$E,'[3]I'!$A:$E),4,FALSE)</f>
        <v>H</v>
      </c>
      <c r="F62" s="266">
        <f>0.1362/pcf</f>
        <v>0.1362</v>
      </c>
      <c r="G62" s="406">
        <f>IF(A62="COMPOSICAO",VLOOKUP("TOTAL SEM BDI - "&amp;B62,'[3]CPUAUX1'!$A:$J,9,FALSE),VLOOKUP(B62,'[3]I'!$A:$E,5,FALSE))</f>
        <v>18.64</v>
      </c>
      <c r="H62" s="407"/>
      <c r="I62" s="406">
        <f t="shared" si="1"/>
        <v>2.53</v>
      </c>
      <c r="J62" s="407"/>
    </row>
    <row r="63" spans="1:10" ht="30" customHeight="1">
      <c r="A63" s="266" t="s">
        <v>347</v>
      </c>
      <c r="B63" s="266">
        <v>370</v>
      </c>
      <c r="C63" s="266" t="str">
        <f>VLOOKUP(B63,IF(A63="COMPOSICAO",'[3]S'!$A:$E,'[3]I'!$A:$E),2,FALSE)</f>
        <v>SINAPI</v>
      </c>
      <c r="D63" s="276" t="str">
        <f>VLOOKUP(B63,IF(A63="COMPOSICAO",'[3]S'!$A:$E,'[3]I'!$A:$E),3,FALSE)</f>
        <v>AREIA MEDIA - POSTO JAZIDA/FORNECEDOR (RETIRADO NA JAZIDA, SEM TRANSPORTE)</v>
      </c>
      <c r="E63" s="266" t="str">
        <f>VLOOKUP(B63,IF(A63="COMPOSICAO",'[3]S'!$A:$E,'[3]I'!$A:$E),4,FALSE)</f>
        <v>M3</v>
      </c>
      <c r="F63" s="266">
        <v>0.003</v>
      </c>
      <c r="G63" s="406">
        <f>IF(A63="COMPOSICAO",VLOOKUP("TOTAL SEM BDI - "&amp;B63,'[3]CPUAUX1'!$A:$J,9,FALSE),VLOOKUP(B63,'[3]I'!$A:$E,5,FALSE))</f>
        <v>85</v>
      </c>
      <c r="H63" s="407"/>
      <c r="I63" s="406">
        <f t="shared" si="1"/>
        <v>0.25</v>
      </c>
      <c r="J63" s="407"/>
    </row>
    <row r="64" spans="1:10" ht="30" customHeight="1">
      <c r="A64" s="266" t="s">
        <v>347</v>
      </c>
      <c r="B64" s="266">
        <v>4517</v>
      </c>
      <c r="C64" s="266" t="str">
        <f>VLOOKUP(B64,IF(A64="COMPOSICAO",'[3]S'!$A:$E,'[3]I'!$A:$E),2,FALSE)</f>
        <v>SINAPI</v>
      </c>
      <c r="D64" s="276" t="str">
        <f>VLOOKUP(B64,IF(A64="COMPOSICAO",'[3]S'!$A:$E,'[3]I'!$A:$E),3,FALSE)</f>
        <v>SARRAFO *2,5 X 7,5* CM EM PINUS, MISTA OU EQUIVALENTE DA REGIAO - BRUTA</v>
      </c>
      <c r="E64" s="266" t="str">
        <f>VLOOKUP(B64,IF(A64="COMPOSICAO",'[3]S'!$A:$E,'[3]I'!$A:$E),4,FALSE)</f>
        <v>M</v>
      </c>
      <c r="F64" s="266">
        <v>0.06</v>
      </c>
      <c r="G64" s="406">
        <f>IF(A64="COMPOSICAO",VLOOKUP("TOTAL SEM BDI - "&amp;B64,'[3]CPUAUX1'!$A:$J,9,FALSE),VLOOKUP(B64,'[3]I'!$A:$E,5,FALSE))</f>
        <v>3.35</v>
      </c>
      <c r="H64" s="407"/>
      <c r="I64" s="406">
        <f t="shared" si="1"/>
        <v>0.2</v>
      </c>
      <c r="J64" s="407"/>
    </row>
    <row r="65" spans="1:10" ht="45" customHeight="1">
      <c r="A65" s="266" t="s">
        <v>347</v>
      </c>
      <c r="B65" s="266">
        <v>6189</v>
      </c>
      <c r="C65" s="266" t="str">
        <f>VLOOKUP(B65,IF(A65="COMPOSICAO",'[3]S'!$A:$E,'[3]I'!$A:$E),2,FALSE)</f>
        <v>SINAPI</v>
      </c>
      <c r="D65" s="276" t="str">
        <f>VLOOKUP(B65,IF(A65="COMPOSICAO",'[3]S'!$A:$E,'[3]I'!$A:$E),3,FALSE)</f>
        <v>TABUA NAO APARELHADA *2,5 X 30* CM, EM MACARANDUBA/MASSARANDUBA, ANGELIM OU EQUIVALENTE DA REGIAO - BRUTA</v>
      </c>
      <c r="E65" s="266" t="str">
        <f>VLOOKUP(B65,IF(A65="COMPOSICAO",'[3]S'!$A:$E,'[3]I'!$A:$E),4,FALSE)</f>
        <v>M</v>
      </c>
      <c r="F65" s="266">
        <v>0.025</v>
      </c>
      <c r="G65" s="406">
        <f>IF(A65="COMPOSICAO",VLOOKUP("TOTAL SEM BDI - "&amp;B65,'[3]CPUAUX1'!$A:$J,9,FALSE),VLOOKUP(B65,'[3]I'!$A:$E,5,FALSE))</f>
        <v>16.5</v>
      </c>
      <c r="H65" s="407"/>
      <c r="I65" s="406">
        <f t="shared" si="1"/>
        <v>0.41</v>
      </c>
      <c r="J65" s="407"/>
    </row>
    <row r="66" spans="1:10" ht="45" customHeight="1">
      <c r="A66" s="266" t="s">
        <v>347</v>
      </c>
      <c r="B66" s="266">
        <v>34492</v>
      </c>
      <c r="C66" s="266" t="str">
        <f>VLOOKUP(B66,IF(A66="COMPOSICAO",'[3]S'!$A:$E,'[3]I'!$A:$E),2,FALSE)</f>
        <v>SINAPI</v>
      </c>
      <c r="D66" s="276" t="str">
        <f>VLOOKUP(B66,IF(A66="COMPOSICAO",'[3]S'!$A:$E,'[3]I'!$A:$E),3,FALSE)</f>
        <v>CONCRETO USINADO BOMBEAVEL, CLASSE DE RESISTENCIA C20, COM BRITA 0 E 1, SLUMP = 100 +/- 20 MM, EXCLUI SERVICO DE BOMBEAMENTO (NBR 8953)</v>
      </c>
      <c r="E66" s="266" t="str">
        <f>VLOOKUP(B66,IF(A66="COMPOSICAO",'[3]S'!$A:$E,'[3]I'!$A:$E),4,FALSE)</f>
        <v>M3</v>
      </c>
      <c r="F66" s="266">
        <v>0.0111</v>
      </c>
      <c r="G66" s="406">
        <f>IF(A66="COMPOSICAO",VLOOKUP("TOTAL SEM BDI - "&amp;B66,'[3]CPUAUX1'!$A:$J,9,FALSE),VLOOKUP(B66,'[3]I'!$A:$E,5,FALSE))</f>
        <v>500</v>
      </c>
      <c r="H66" s="407"/>
      <c r="I66" s="406">
        <f t="shared" si="1"/>
        <v>5.55</v>
      </c>
      <c r="J66" s="407"/>
    </row>
    <row r="67" spans="1:10" ht="14.25">
      <c r="A67" s="403" t="str">
        <f>"TOTAL SEM BDI - "&amp;B60</f>
        <v>TOTAL SEM BDI - COMPSADA04</v>
      </c>
      <c r="B67" s="404"/>
      <c r="C67" s="404"/>
      <c r="D67" s="404"/>
      <c r="E67" s="404"/>
      <c r="F67" s="404"/>
      <c r="G67" s="404"/>
      <c r="H67" s="405"/>
      <c r="I67" s="406">
        <f>SUM(I60:I66)</f>
        <v>12.1</v>
      </c>
      <c r="J67" s="407"/>
    </row>
    <row r="68" spans="1:10" ht="14.25">
      <c r="A68" s="403" t="str">
        <f>"TAXA DE BDI ("&amp;TEXT(BDI,"00,00")&amp;" %)"</f>
        <v>TAXA DE BDI (28,32 %)</v>
      </c>
      <c r="B68" s="404"/>
      <c r="C68" s="404"/>
      <c r="D68" s="404"/>
      <c r="E68" s="404"/>
      <c r="F68" s="404"/>
      <c r="G68" s="404"/>
      <c r="H68" s="405"/>
      <c r="I68" s="406">
        <f>ROUND(I67*(BDI/100),2)</f>
        <v>3.43</v>
      </c>
      <c r="J68" s="407"/>
    </row>
    <row r="69" spans="1:10" ht="14.25">
      <c r="A69" s="403" t="str">
        <f>"TOTAL COM BDI - "&amp;B60</f>
        <v>TOTAL COM BDI - COMPSADA04</v>
      </c>
      <c r="B69" s="404"/>
      <c r="C69" s="404"/>
      <c r="D69" s="404"/>
      <c r="E69" s="404"/>
      <c r="F69" s="404"/>
      <c r="G69" s="404"/>
      <c r="H69" s="405"/>
      <c r="I69" s="406">
        <f>SUM(I67:I68)</f>
        <v>15.53</v>
      </c>
      <c r="J69" s="407"/>
    </row>
  </sheetData>
  <sheetProtection/>
  <mergeCells count="121">
    <mergeCell ref="A1:J1"/>
    <mergeCell ref="A2:J2"/>
    <mergeCell ref="A3:J3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A15:H15"/>
    <mergeCell ref="I15:J15"/>
    <mergeCell ref="A16:H16"/>
    <mergeCell ref="I16:J16"/>
    <mergeCell ref="A17:H17"/>
    <mergeCell ref="I17:J17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A24:H24"/>
    <mergeCell ref="I24:J24"/>
    <mergeCell ref="A25:H25"/>
    <mergeCell ref="I25:J25"/>
    <mergeCell ref="A26:H26"/>
    <mergeCell ref="I26:J26"/>
    <mergeCell ref="G28:H28"/>
    <mergeCell ref="I28:J28"/>
    <mergeCell ref="G29:H29"/>
    <mergeCell ref="I29:J29"/>
    <mergeCell ref="G30:H30"/>
    <mergeCell ref="I30:J30"/>
    <mergeCell ref="G31:H31"/>
    <mergeCell ref="I31:J31"/>
    <mergeCell ref="G32:H32"/>
    <mergeCell ref="I32:J32"/>
    <mergeCell ref="A33:H33"/>
    <mergeCell ref="I33:J33"/>
    <mergeCell ref="A34:H34"/>
    <mergeCell ref="I34:J34"/>
    <mergeCell ref="A35:H35"/>
    <mergeCell ref="I35:J35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42:H42"/>
    <mergeCell ref="I42:J42"/>
    <mergeCell ref="G43:H43"/>
    <mergeCell ref="I43:J43"/>
    <mergeCell ref="A44:H44"/>
    <mergeCell ref="I44:J44"/>
    <mergeCell ref="A45:H45"/>
    <mergeCell ref="I45:J45"/>
    <mergeCell ref="A46:H46"/>
    <mergeCell ref="I46:J46"/>
    <mergeCell ref="G48:H48"/>
    <mergeCell ref="I48:J48"/>
    <mergeCell ref="G49:H49"/>
    <mergeCell ref="I49:J49"/>
    <mergeCell ref="G50:H50"/>
    <mergeCell ref="I50:J50"/>
    <mergeCell ref="G51:H51"/>
    <mergeCell ref="I51:J51"/>
    <mergeCell ref="G52:H52"/>
    <mergeCell ref="I52:J52"/>
    <mergeCell ref="G53:H53"/>
    <mergeCell ref="I53:J53"/>
    <mergeCell ref="G54:H54"/>
    <mergeCell ref="I54:J54"/>
    <mergeCell ref="A55:H55"/>
    <mergeCell ref="I55:J55"/>
    <mergeCell ref="A56:H56"/>
    <mergeCell ref="I56:J56"/>
    <mergeCell ref="A57:H57"/>
    <mergeCell ref="I57:J57"/>
    <mergeCell ref="G59:H59"/>
    <mergeCell ref="I59:J59"/>
    <mergeCell ref="G60:H60"/>
    <mergeCell ref="I60:J60"/>
    <mergeCell ref="G61:H61"/>
    <mergeCell ref="I61:J61"/>
    <mergeCell ref="G62:H62"/>
    <mergeCell ref="I62:J62"/>
    <mergeCell ref="G63:H63"/>
    <mergeCell ref="I63:J63"/>
    <mergeCell ref="G64:H64"/>
    <mergeCell ref="I64:J64"/>
    <mergeCell ref="A68:H68"/>
    <mergeCell ref="I68:J68"/>
    <mergeCell ref="A69:H69"/>
    <mergeCell ref="I69:J69"/>
    <mergeCell ref="G65:H65"/>
    <mergeCell ref="I65:J65"/>
    <mergeCell ref="G66:H66"/>
    <mergeCell ref="I66:J66"/>
    <mergeCell ref="A67:H67"/>
    <mergeCell ref="I67:J67"/>
  </mergeCells>
  <printOptions/>
  <pageMargins left="0.7874015748031497" right="0.3937007874015748" top="1.1811023622047243" bottom="0.7874015748031497" header="0.31496062992125984" footer="0.31496062992125984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Gabriel Baptista</dc:creator>
  <cp:keywords/>
  <dc:description/>
  <cp:lastModifiedBy>Débora Borba</cp:lastModifiedBy>
  <cp:lastPrinted>2024-05-15T00:56:13Z</cp:lastPrinted>
  <dcterms:created xsi:type="dcterms:W3CDTF">2002-09-14T11:13:34Z</dcterms:created>
  <dcterms:modified xsi:type="dcterms:W3CDTF">2024-05-15T01:23:15Z</dcterms:modified>
  <cp:category/>
  <cp:version/>
  <cp:contentType/>
  <cp:contentStatus/>
</cp:coreProperties>
</file>