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A127FCAC-02D9-4476-BCEE-E03603C0B97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GERAL" sheetId="18" r:id="rId1"/>
    <sheet name="RESUMO" sheetId="2" r:id="rId2"/>
    <sheet name="ORÇAMENTO" sheetId="11" r:id="rId3"/>
    <sheet name="MEMORIAL DE CALCULO" sheetId="17" r:id="rId4"/>
    <sheet name="DMTS" sheetId="4" r:id="rId5"/>
    <sheet name="MOBILIZAÇÃO E DESMOB." sheetId="6" r:id="rId6"/>
    <sheet name="COMPOSIÇÃO UNIT." sheetId="7" r:id="rId7"/>
    <sheet name="CRONOGRAMA" sheetId="13" r:id="rId8"/>
    <sheet name="BDI" sheetId="9" r:id="rId9"/>
    <sheet name="LEIS SOCIAIS" sheetId="10" r:id="rId10"/>
  </sheets>
  <externalReferences>
    <externalReference r:id="rId11"/>
    <externalReference r:id="rId12"/>
  </externalReferences>
  <definedNames>
    <definedName name="_xlnm.Print_Area" localSheetId="8">BDI!$A$1:$H$72</definedName>
    <definedName name="_xlnm.Print_Area" localSheetId="6">'COMPOSIÇÃO UNIT.'!$A$1:$J$280</definedName>
    <definedName name="_xlnm.Print_Area" localSheetId="7">CRONOGRAMA!$A$1:$I$22</definedName>
    <definedName name="_xlnm.Print_Area" localSheetId="4">DMTS!$A$1:$I$19</definedName>
    <definedName name="_xlnm.Print_Area" localSheetId="0">GERAL!$A$1:$H$25</definedName>
    <definedName name="_xlnm.Print_Area" localSheetId="9">'LEIS SOCIAIS'!$A$1:$F$47</definedName>
    <definedName name="_xlnm.Print_Area" localSheetId="3">'MEMORIAL DE CALCULO'!$A$1:$F$111</definedName>
    <definedName name="_xlnm.Print_Area" localSheetId="5">'MOBILIZAÇÃO E DESMOB.'!$A$1:$H$44</definedName>
    <definedName name="_xlnm.Print_Area" localSheetId="2">ORÇAMENTO!$A$1:$J$34</definedName>
    <definedName name="_xlnm.Print_Area" localSheetId="1">RESUMO!$A$1:$H$15</definedName>
    <definedName name="_xlnm.Print_Titles" localSheetId="6">'COMPOSIÇÃO UNIT.'!$1:$5</definedName>
    <definedName name="_xlnm.Print_Titles" localSheetId="3">'MEMORIAL DE CALCULO'!$1:$5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8" l="1"/>
  <c r="D23" i="18"/>
  <c r="C7" i="18"/>
  <c r="H5" i="18"/>
  <c r="H4" i="18"/>
  <c r="G22" i="13" l="1"/>
  <c r="H22" i="13" s="1"/>
  <c r="I22" i="13" s="1"/>
  <c r="F22" i="13"/>
  <c r="G21" i="13"/>
  <c r="H21" i="13" s="1"/>
  <c r="I21" i="13" s="1"/>
  <c r="F21" i="13"/>
  <c r="F19" i="13"/>
  <c r="G19" i="13"/>
  <c r="H19" i="13"/>
  <c r="I19" i="13"/>
  <c r="F20" i="13"/>
  <c r="G20" i="13"/>
  <c r="H20" i="13"/>
  <c r="I20" i="13"/>
  <c r="E20" i="13"/>
  <c r="F17" i="13"/>
  <c r="G17" i="13"/>
  <c r="H17" i="13"/>
  <c r="I17" i="13"/>
  <c r="E17" i="13"/>
  <c r="F15" i="13"/>
  <c r="G15" i="13"/>
  <c r="H15" i="13"/>
  <c r="I15" i="13"/>
  <c r="E15" i="13"/>
  <c r="F13" i="13"/>
  <c r="G13" i="13"/>
  <c r="H13" i="13"/>
  <c r="I13" i="13"/>
  <c r="E13" i="13"/>
  <c r="F11" i="13"/>
  <c r="G11" i="13"/>
  <c r="H11" i="13"/>
  <c r="I11" i="13"/>
  <c r="E11" i="13"/>
  <c r="F9" i="13"/>
  <c r="G9" i="13"/>
  <c r="H9" i="13"/>
  <c r="I9" i="13"/>
  <c r="E9" i="13"/>
  <c r="F7" i="13"/>
  <c r="G7" i="13"/>
  <c r="H7" i="13"/>
  <c r="I7" i="13"/>
  <c r="E7" i="13"/>
  <c r="F8" i="13"/>
  <c r="I8" i="13" s="1"/>
  <c r="E18" i="13"/>
  <c r="I18" i="13" s="1"/>
  <c r="G16" i="13"/>
  <c r="E16" i="13"/>
  <c r="I16" i="13" s="1"/>
  <c r="G14" i="13"/>
  <c r="F14" i="13"/>
  <c r="E14" i="13"/>
  <c r="I14" i="13" s="1"/>
  <c r="E12" i="13"/>
  <c r="I12" i="13" s="1"/>
  <c r="H10" i="13"/>
  <c r="E10" i="13"/>
  <c r="G10" i="13" s="1"/>
  <c r="D17" i="13"/>
  <c r="B17" i="13"/>
  <c r="C8" i="18"/>
  <c r="J14" i="2"/>
  <c r="H14" i="2"/>
  <c r="H12" i="2" s="1"/>
  <c r="G12" i="2"/>
  <c r="B12" i="2"/>
  <c r="E157" i="7"/>
  <c r="J157" i="7" s="1"/>
  <c r="F27" i="11"/>
  <c r="F25" i="11"/>
  <c r="I25" i="11" s="1"/>
  <c r="F26" i="11"/>
  <c r="E105" i="17"/>
  <c r="F105" i="17"/>
  <c r="E103" i="17"/>
  <c r="E100" i="17"/>
  <c r="E97" i="17"/>
  <c r="F100" i="17"/>
  <c r="E94" i="17"/>
  <c r="F94" i="17"/>
  <c r="G29" i="11"/>
  <c r="G27" i="11"/>
  <c r="G26" i="11"/>
  <c r="G25" i="11"/>
  <c r="G24" i="11"/>
  <c r="H29" i="11"/>
  <c r="H27" i="11"/>
  <c r="H26" i="11"/>
  <c r="H25" i="11"/>
  <c r="H24" i="11"/>
  <c r="F29" i="11"/>
  <c r="I29" i="11" s="1"/>
  <c r="I28" i="11" s="1"/>
  <c r="F24" i="11"/>
  <c r="F109" i="17"/>
  <c r="C108" i="17"/>
  <c r="C107" i="17"/>
  <c r="B108" i="17"/>
  <c r="A108" i="17"/>
  <c r="A107" i="17"/>
  <c r="F103" i="17"/>
  <c r="C102" i="17"/>
  <c r="B102" i="17"/>
  <c r="A102" i="17"/>
  <c r="C96" i="17"/>
  <c r="A96" i="17"/>
  <c r="B96" i="17"/>
  <c r="C91" i="17"/>
  <c r="B91" i="17"/>
  <c r="A91" i="17"/>
  <c r="F89" i="17"/>
  <c r="C88" i="17"/>
  <c r="B88" i="17"/>
  <c r="A88" i="17"/>
  <c r="C87" i="17"/>
  <c r="A87" i="17"/>
  <c r="H8" i="13" l="1"/>
  <c r="I10" i="13"/>
  <c r="G8" i="13"/>
  <c r="F10" i="13"/>
  <c r="F18" i="13"/>
  <c r="F16" i="13"/>
  <c r="G18" i="13"/>
  <c r="H18" i="13"/>
  <c r="H16" i="13"/>
  <c r="H14" i="13"/>
  <c r="F12" i="13"/>
  <c r="G12" i="13"/>
  <c r="H12" i="13"/>
  <c r="I27" i="11"/>
  <c r="I24" i="11"/>
  <c r="I26" i="11"/>
  <c r="I23" i="11"/>
  <c r="J19" i="7"/>
  <c r="J20" i="7"/>
  <c r="J21" i="7"/>
  <c r="J22" i="7"/>
  <c r="J23" i="7"/>
  <c r="J24" i="7"/>
  <c r="J18" i="7"/>
  <c r="E68" i="17"/>
  <c r="A6" i="4"/>
  <c r="E11" i="4"/>
  <c r="G10" i="4"/>
  <c r="G9" i="4"/>
  <c r="F10" i="4"/>
  <c r="E10" i="4"/>
  <c r="D10" i="4"/>
  <c r="I9" i="4"/>
  <c r="F9" i="4"/>
  <c r="D9" i="4"/>
  <c r="E9" i="4"/>
  <c r="B4" i="18"/>
  <c r="B13" i="18"/>
  <c r="J17" i="7" l="1"/>
  <c r="I17" i="7" s="1"/>
  <c r="I10" i="4"/>
  <c r="C10" i="4"/>
  <c r="C9" i="4"/>
  <c r="B11" i="2" l="1"/>
  <c r="B15" i="13" s="1"/>
  <c r="K12" i="7" l="1"/>
  <c r="H12" i="7" s="1"/>
  <c r="K11" i="7"/>
  <c r="H11" i="7" s="1"/>
  <c r="K10" i="7"/>
  <c r="H10" i="7" s="1"/>
  <c r="K9" i="7"/>
  <c r="H9" i="7" s="1"/>
  <c r="K8" i="7"/>
  <c r="H8" i="7" s="1"/>
  <c r="G11" i="2" l="1"/>
  <c r="F20" i="11"/>
  <c r="F11" i="11"/>
  <c r="F10" i="11"/>
  <c r="F8" i="11"/>
  <c r="E15" i="17"/>
  <c r="F9" i="11" s="1"/>
  <c r="D15" i="13" l="1"/>
  <c r="J48" i="4" l="1"/>
  <c r="J47" i="4" l="1"/>
  <c r="A35" i="4"/>
  <c r="A48" i="4" s="1"/>
  <c r="A20" i="4"/>
  <c r="A47" i="4" s="1"/>
  <c r="A46" i="4"/>
  <c r="A19" i="18" l="1"/>
  <c r="A24" i="18" s="1"/>
  <c r="A18" i="18"/>
  <c r="A23" i="18" s="1"/>
  <c r="F5" i="18"/>
  <c r="F4" i="18"/>
  <c r="A4" i="2"/>
  <c r="A3" i="2"/>
  <c r="C11" i="18"/>
  <c r="E24" i="17"/>
  <c r="A2" i="2"/>
  <c r="A1" i="2"/>
  <c r="H3" i="18" l="1"/>
  <c r="H2" i="18"/>
  <c r="F23" i="18" l="1"/>
  <c r="F24" i="18"/>
  <c r="H14" i="11"/>
  <c r="J9" i="7" l="1"/>
  <c r="J10" i="7"/>
  <c r="J11" i="7"/>
  <c r="J12" i="7"/>
  <c r="J8" i="7"/>
  <c r="J30" i="7"/>
  <c r="J29" i="7" l="1"/>
  <c r="G11" i="11" s="1"/>
  <c r="J7" i="7"/>
  <c r="I154" i="7" l="1"/>
  <c r="I7" i="7"/>
  <c r="I29" i="7"/>
  <c r="K7" i="7"/>
  <c r="J154" i="7"/>
  <c r="G20" i="11" s="1"/>
  <c r="A4" i="17"/>
  <c r="K4" i="11"/>
  <c r="H22" i="11"/>
  <c r="G22" i="11"/>
  <c r="H19" i="11"/>
  <c r="G19" i="11"/>
  <c r="H17" i="11"/>
  <c r="G17" i="11"/>
  <c r="H16" i="11"/>
  <c r="G16" i="11"/>
  <c r="H15" i="11"/>
  <c r="G15" i="11"/>
  <c r="G14" i="11"/>
  <c r="H13" i="11"/>
  <c r="G13" i="11"/>
  <c r="H9" i="11"/>
  <c r="G9" i="11"/>
  <c r="G8" i="11"/>
  <c r="E36" i="17"/>
  <c r="E59" i="17" s="1"/>
  <c r="E28" i="17"/>
  <c r="E34" i="17" s="1"/>
  <c r="A3" i="17"/>
  <c r="A2" i="17"/>
  <c r="A1" i="17"/>
  <c r="H45" i="10"/>
  <c r="G45" i="10"/>
  <c r="J33" i="7" l="1"/>
  <c r="H11" i="11" s="1"/>
  <c r="I11" i="11" s="1"/>
  <c r="J14" i="7"/>
  <c r="H8" i="11" s="1"/>
  <c r="I8" i="11" s="1"/>
  <c r="J160" i="7"/>
  <c r="H20" i="11" s="1"/>
  <c r="E37" i="17"/>
  <c r="F14" i="11" s="1"/>
  <c r="E58" i="17"/>
  <c r="E62" i="17" s="1"/>
  <c r="F17" i="11" s="1"/>
  <c r="E31" i="17"/>
  <c r="F13" i="11" s="1"/>
  <c r="E31" i="4"/>
  <c r="E30" i="4"/>
  <c r="E29" i="4"/>
  <c r="D29" i="4"/>
  <c r="D30" i="4" s="1"/>
  <c r="C29" i="4"/>
  <c r="C30" i="4" s="1"/>
  <c r="C31" i="4" s="1"/>
  <c r="C15" i="4"/>
  <c r="C16" i="4" s="1"/>
  <c r="E16" i="4"/>
  <c r="E15" i="4"/>
  <c r="D15" i="4"/>
  <c r="F15" i="4" l="1"/>
  <c r="G15" i="4" s="1"/>
  <c r="E73" i="17"/>
  <c r="E75" i="17" s="1"/>
  <c r="C19" i="18"/>
  <c r="I13" i="11"/>
  <c r="D31" i="4"/>
  <c r="F31" i="4" s="1"/>
  <c r="G31" i="4" s="1"/>
  <c r="E61" i="17"/>
  <c r="E48" i="17"/>
  <c r="E50" i="17" s="1"/>
  <c r="F15" i="11" s="1"/>
  <c r="E66" i="17"/>
  <c r="F30" i="4"/>
  <c r="G30" i="4" s="1"/>
  <c r="F29" i="4"/>
  <c r="G29" i="4" s="1"/>
  <c r="I30" i="4"/>
  <c r="I15" i="4"/>
  <c r="D16" i="4"/>
  <c r="F16" i="4" s="1"/>
  <c r="G16" i="4" s="1"/>
  <c r="I14" i="11" l="1"/>
  <c r="D18" i="18" s="1"/>
  <c r="C18" i="18"/>
  <c r="C23" i="18" s="1"/>
  <c r="G23" i="18" s="1"/>
  <c r="E85" i="17"/>
  <c r="F22" i="11" s="1"/>
  <c r="I15" i="11"/>
  <c r="C24" i="18"/>
  <c r="G24" i="18" s="1"/>
  <c r="G19" i="18"/>
  <c r="I29" i="4"/>
  <c r="I17" i="11"/>
  <c r="D19" i="18" s="1"/>
  <c r="K17" i="11"/>
  <c r="E53" i="17"/>
  <c r="E55" i="17" s="1"/>
  <c r="F16" i="11" s="1"/>
  <c r="I31" i="4"/>
  <c r="I33" i="4" s="1"/>
  <c r="E32" i="4" s="1"/>
  <c r="I16" i="4"/>
  <c r="A2" i="10"/>
  <c r="A3" i="10"/>
  <c r="A4" i="10"/>
  <c r="A1" i="10"/>
  <c r="A2" i="7"/>
  <c r="A3" i="7"/>
  <c r="A4" i="7"/>
  <c r="A1" i="7"/>
  <c r="A2" i="9"/>
  <c r="A3" i="9"/>
  <c r="A4" i="9"/>
  <c r="A1" i="9"/>
  <c r="A2" i="13"/>
  <c r="A3" i="13"/>
  <c r="A4" i="13"/>
  <c r="A1" i="13"/>
  <c r="A2" i="6"/>
  <c r="A3" i="6"/>
  <c r="A4" i="6"/>
  <c r="A1" i="6"/>
  <c r="A2" i="4"/>
  <c r="A3" i="4"/>
  <c r="A4" i="4"/>
  <c r="A1" i="4"/>
  <c r="A2" i="11"/>
  <c r="A3" i="11"/>
  <c r="A4" i="11"/>
  <c r="A1" i="11"/>
  <c r="G18" i="18" l="1"/>
  <c r="I22" i="11"/>
  <c r="I21" i="11" s="1"/>
  <c r="I16" i="11"/>
  <c r="I12" i="11" s="1"/>
  <c r="I20" i="11"/>
  <c r="I18" i="4"/>
  <c r="E17" i="4" s="1"/>
  <c r="E76" i="17" s="1"/>
  <c r="E77" i="17" s="1"/>
  <c r="F45" i="10"/>
  <c r="E45" i="10"/>
  <c r="F40" i="10"/>
  <c r="E40" i="10"/>
  <c r="F32" i="10"/>
  <c r="E32" i="10"/>
  <c r="F19" i="10"/>
  <c r="E19" i="10"/>
  <c r="G10" i="2" l="1"/>
  <c r="G8" i="2"/>
  <c r="E47" i="10"/>
  <c r="F47" i="10"/>
  <c r="D9" i="13" l="1"/>
  <c r="D13" i="13"/>
  <c r="I12" i="4" l="1"/>
  <c r="J46" i="4" l="1"/>
  <c r="K47" i="4" s="1"/>
  <c r="E70" i="17" s="1"/>
  <c r="F19" i="11" s="1"/>
  <c r="I19" i="11" l="1"/>
  <c r="I9" i="11"/>
  <c r="I18" i="11" l="1"/>
  <c r="H66" i="9"/>
  <c r="I62" i="9"/>
  <c r="I61" i="9"/>
  <c r="I60" i="9"/>
  <c r="K48" i="9"/>
  <c r="G40" i="9"/>
  <c r="D40" i="9" s="1"/>
  <c r="G39" i="9"/>
  <c r="D39" i="9" s="1"/>
  <c r="H21" i="9"/>
  <c r="B21" i="9"/>
  <c r="H20" i="9"/>
  <c r="H19" i="9"/>
  <c r="H18" i="9"/>
  <c r="H17" i="9"/>
  <c r="H16" i="9"/>
  <c r="H11" i="9"/>
  <c r="D11" i="9"/>
  <c r="H10" i="9"/>
  <c r="D10" i="9"/>
  <c r="C36" i="6"/>
  <c r="E40" i="6" s="1"/>
  <c r="E27" i="6"/>
  <c r="F27" i="6" s="1"/>
  <c r="C19" i="6"/>
  <c r="C24" i="6" s="1"/>
  <c r="D40" i="6" s="1"/>
  <c r="G9" i="2" l="1"/>
  <c r="H27" i="6"/>
  <c r="F40" i="6"/>
  <c r="D12" i="9"/>
  <c r="B12" i="9" s="1"/>
  <c r="K45" i="9" s="1"/>
  <c r="H22" i="9"/>
  <c r="B22" i="9" s="1"/>
  <c r="H12" i="9"/>
  <c r="E28" i="6"/>
  <c r="F28" i="6" s="1"/>
  <c r="H28" i="6" s="1"/>
  <c r="F29" i="6"/>
  <c r="H29" i="6" s="1"/>
  <c r="E29" i="6"/>
  <c r="D11" i="13" l="1"/>
  <c r="I14" i="9"/>
  <c r="F38" i="9" s="1"/>
  <c r="K46" i="9"/>
  <c r="K47" i="9"/>
  <c r="H30" i="6"/>
  <c r="E41" i="6" s="1"/>
  <c r="B38" i="9" l="1"/>
  <c r="D38" i="9" s="1"/>
  <c r="K34" i="9"/>
  <c r="K32" i="9"/>
  <c r="F37" i="9"/>
  <c r="C62" i="9"/>
  <c r="J32" i="9"/>
  <c r="F62" i="9"/>
  <c r="C63" i="9"/>
  <c r="J26" i="9"/>
  <c r="J28" i="9"/>
  <c r="K26" i="9"/>
  <c r="J31" i="9"/>
  <c r="G37" i="9"/>
  <c r="G41" i="9" s="1"/>
  <c r="I63" i="9" s="1"/>
  <c r="I64" i="9" s="1"/>
  <c r="I65" i="9" s="1"/>
  <c r="G72" i="9" s="1"/>
  <c r="I66" i="9" s="1"/>
  <c r="K31" i="9"/>
  <c r="J34" i="9"/>
  <c r="K28" i="9"/>
  <c r="F63" i="9"/>
  <c r="F41" i="6"/>
  <c r="F43" i="6" s="1"/>
  <c r="F44" i="6" s="1"/>
  <c r="G10" i="11" s="1"/>
  <c r="H10" i="11" s="1"/>
  <c r="I10" i="11" s="1"/>
  <c r="K33" i="11" s="1"/>
  <c r="I7" i="11" l="1"/>
  <c r="H33" i="11" s="1"/>
  <c r="D32" i="9"/>
  <c r="D34" i="9"/>
  <c r="D31" i="9"/>
  <c r="D63" i="9"/>
  <c r="D28" i="9"/>
  <c r="D26" i="9"/>
  <c r="G66" i="9"/>
  <c r="G62" i="9"/>
  <c r="D62" i="9"/>
  <c r="G63" i="9"/>
  <c r="J26" i="11" l="1"/>
  <c r="J27" i="11"/>
  <c r="J29" i="11"/>
  <c r="J28" i="11" s="1"/>
  <c r="J25" i="11"/>
  <c r="J24" i="11"/>
  <c r="G7" i="2"/>
  <c r="J8" i="11"/>
  <c r="J23" i="11" l="1"/>
  <c r="K34" i="11"/>
  <c r="J11" i="11"/>
  <c r="J19" i="11"/>
  <c r="J14" i="11"/>
  <c r="J21" i="11"/>
  <c r="J18" i="11"/>
  <c r="J16" i="11"/>
  <c r="J17" i="11"/>
  <c r="J12" i="11"/>
  <c r="J22" i="11"/>
  <c r="J13" i="11"/>
  <c r="J15" i="11"/>
  <c r="J20" i="11"/>
  <c r="J9" i="11"/>
  <c r="J10" i="11"/>
  <c r="D7" i="13"/>
  <c r="D22" i="13" s="1"/>
  <c r="H11" i="2"/>
  <c r="L33" i="11" l="1"/>
  <c r="K12" i="11"/>
  <c r="K18" i="11"/>
  <c r="B7" i="18"/>
  <c r="B8" i="18" s="1"/>
  <c r="J7" i="11"/>
  <c r="L34" i="11" s="1"/>
  <c r="H7" i="2"/>
  <c r="H8" i="2"/>
  <c r="I14" i="2"/>
  <c r="D23" i="13"/>
  <c r="H10" i="2"/>
  <c r="H9" i="2"/>
  <c r="F18" i="18" l="1"/>
  <c r="F19" i="18"/>
  <c r="E22" i="13"/>
  <c r="E19" i="13"/>
  <c r="E21" i="13" s="1"/>
  <c r="D24" i="13"/>
</calcChain>
</file>

<file path=xl/sharedStrings.xml><?xml version="1.0" encoding="utf-8"?>
<sst xmlns="http://schemas.openxmlformats.org/spreadsheetml/2006/main" count="1468" uniqueCount="522">
  <si>
    <t>Cálculo da DMT das jazidas (MATERIAL)</t>
  </si>
  <si>
    <t>Jazidas</t>
  </si>
  <si>
    <t>Km</t>
  </si>
  <si>
    <t>Km a Ré</t>
  </si>
  <si>
    <t>Km a Vante</t>
  </si>
  <si>
    <t>DMT jazida</t>
  </si>
  <si>
    <t>DIST. FIXA</t>
  </si>
  <si>
    <t>EXTENSÃO</t>
  </si>
  <si>
    <t>J1</t>
  </si>
  <si>
    <t>Quantidade Jazidas:</t>
  </si>
  <si>
    <t xml:space="preserve">DMT/Km </t>
  </si>
  <si>
    <t>TOTAL:</t>
  </si>
  <si>
    <t>A1</t>
  </si>
  <si>
    <t>A2</t>
  </si>
  <si>
    <t>A3</t>
  </si>
  <si>
    <t>Quantidade Água:</t>
  </si>
  <si>
    <t>1.0</t>
  </si>
  <si>
    <t>SERVIÇOS PRELIMINARES</t>
  </si>
  <si>
    <t>1.1</t>
  </si>
  <si>
    <t>Mobilização e desmobilização de equipamentos</t>
  </si>
  <si>
    <t>Quantidade:</t>
  </si>
  <si>
    <t>und</t>
  </si>
  <si>
    <t>1.2</t>
  </si>
  <si>
    <t>Comprimento:</t>
  </si>
  <si>
    <t>m</t>
  </si>
  <si>
    <t>Altura:</t>
  </si>
  <si>
    <t>Nº de Placas:</t>
  </si>
  <si>
    <t>m²</t>
  </si>
  <si>
    <t>2.0</t>
  </si>
  <si>
    <t>Extensão:</t>
  </si>
  <si>
    <t>km</t>
  </si>
  <si>
    <t>Largura:</t>
  </si>
  <si>
    <t>2.1</t>
  </si>
  <si>
    <t>Lados:</t>
  </si>
  <si>
    <t>Área total de roçada:</t>
  </si>
  <si>
    <t>2.2</t>
  </si>
  <si>
    <t>2.3</t>
  </si>
  <si>
    <t>Volume de Revest. Primário:</t>
  </si>
  <si>
    <t>m³</t>
  </si>
  <si>
    <t>Limpeza mecanizada da camada vegetal</t>
  </si>
  <si>
    <t>Área de limpeza camada vegetal:</t>
  </si>
  <si>
    <t>2.4</t>
  </si>
  <si>
    <t>Expurgo de jazida</t>
  </si>
  <si>
    <t>Espessura:</t>
  </si>
  <si>
    <t>Volume do expurgo:</t>
  </si>
  <si>
    <t>2.5</t>
  </si>
  <si>
    <t>Extensão :</t>
  </si>
  <si>
    <t>Volume:</t>
  </si>
  <si>
    <r>
      <t>m</t>
    </r>
    <r>
      <rPr>
        <i/>
        <sz val="12"/>
        <rFont val="Arial"/>
        <family val="2"/>
      </rPr>
      <t>³</t>
    </r>
  </si>
  <si>
    <t>3.0</t>
  </si>
  <si>
    <t>3.1</t>
  </si>
  <si>
    <t>Densidade:</t>
  </si>
  <si>
    <t>t/m³</t>
  </si>
  <si>
    <t>DMT:</t>
  </si>
  <si>
    <t>Transporte de material:</t>
  </si>
  <si>
    <t>t.km</t>
  </si>
  <si>
    <t>3.2</t>
  </si>
  <si>
    <t>4.0</t>
  </si>
  <si>
    <t>Área de jazida</t>
  </si>
  <si>
    <t>SERVIÇOS DE TERRAPLANAGEM</t>
  </si>
  <si>
    <t>Desmatamento, destocamento, limpeza de área e estocagem do material de limpeza com árvores de diâmetro até 0,15 m</t>
  </si>
  <si>
    <t>Sicro 5501700</t>
  </si>
  <si>
    <t>Sicro 5502985</t>
  </si>
  <si>
    <t>Sicro 5502986</t>
  </si>
  <si>
    <t>Sicro 4915611</t>
  </si>
  <si>
    <t>Sicro 5914374</t>
  </si>
  <si>
    <t>Sicro 5915467</t>
  </si>
  <si>
    <t>Transporte de água com caminhão tanque de 10.000 l - rodovia em revestimento primário</t>
  </si>
  <si>
    <t>Administração local</t>
  </si>
  <si>
    <t>Código</t>
  </si>
  <si>
    <t>Item</t>
  </si>
  <si>
    <t>Preço Total</t>
  </si>
  <si>
    <t>1.3</t>
  </si>
  <si>
    <t>Talude (2,00 x 0,30)</t>
  </si>
  <si>
    <t>Largura média:</t>
  </si>
  <si>
    <t>SERVIÇOS DE MEIO AMBIENTE</t>
  </si>
  <si>
    <t>Composição 01</t>
  </si>
  <si>
    <t>Composição 02</t>
  </si>
  <si>
    <t>Composição 03</t>
  </si>
  <si>
    <t>Composição 04</t>
  </si>
  <si>
    <t>Descrição</t>
  </si>
  <si>
    <t>Total</t>
  </si>
  <si>
    <t>A - Equipamentos</t>
  </si>
  <si>
    <t>A1 - Equipamentos Pesados transportados pelo cavalo mecânico com reboque</t>
  </si>
  <si>
    <t>Quant</t>
  </si>
  <si>
    <t>E9540</t>
  </si>
  <si>
    <t>Trator sobre esteiras com lâmina - 127 kW</t>
  </si>
  <si>
    <t>E9524</t>
  </si>
  <si>
    <t>Motoniveladora - (93 kw)</t>
  </si>
  <si>
    <t>E9762</t>
  </si>
  <si>
    <t xml:space="preserve">Total </t>
  </si>
  <si>
    <t>Ida e Volta (2x) =</t>
  </si>
  <si>
    <t>Mobilização e Desmobilização =</t>
  </si>
  <si>
    <t>Distância total =</t>
  </si>
  <si>
    <t>A2 - Equipamentos Leves</t>
  </si>
  <si>
    <t>Veloc. (km/h)</t>
  </si>
  <si>
    <t>Distância ida e volta (km)</t>
  </si>
  <si>
    <t>Horas</t>
  </si>
  <si>
    <t>Custo Horário</t>
  </si>
  <si>
    <t>Valor</t>
  </si>
  <si>
    <t>E9579</t>
  </si>
  <si>
    <t>Caminhão Basculante - 10 m³ - 15 t (188 kw)</t>
  </si>
  <si>
    <t>E9571</t>
  </si>
  <si>
    <t>Caminhão tanque com capacidade de 10.000 l - 188 kW</t>
  </si>
  <si>
    <t>E9605</t>
  </si>
  <si>
    <t>Caminhão tanque com capacidade de 6.000 l - 136 kW</t>
  </si>
  <si>
    <t>Custo total</t>
  </si>
  <si>
    <t>B1 - Cálculo do Preço por km do transporte comercial com cavalo mecânico com reboque</t>
  </si>
  <si>
    <t>Custo Operativo</t>
  </si>
  <si>
    <t>E9666</t>
  </si>
  <si>
    <t>Cavalo Mecânico com  Semi Reboque 30 t</t>
  </si>
  <si>
    <t>R$/h</t>
  </si>
  <si>
    <t>Velocidade Média:</t>
  </si>
  <si>
    <t>km/h</t>
  </si>
  <si>
    <t>Custo por km:</t>
  </si>
  <si>
    <t>R$/km</t>
  </si>
  <si>
    <t>C - Mobilização e Desmobilização de equipamentos</t>
  </si>
  <si>
    <t>unidade</t>
  </si>
  <si>
    <t>Preço Unit.</t>
  </si>
  <si>
    <t>C1</t>
  </si>
  <si>
    <t>Transporte de Equipamentos pesados</t>
  </si>
  <si>
    <t>C2</t>
  </si>
  <si>
    <t>Transporte de Equipamentos leves</t>
  </si>
  <si>
    <t>Custo Total</t>
  </si>
  <si>
    <t>Custo</t>
  </si>
  <si>
    <t>E9541</t>
  </si>
  <si>
    <t>t</t>
  </si>
  <si>
    <t>COMPOSIÇÃO DA PARCELA DE BDI (BONIFICAÇÃO E DESPESAS INDIRETAS)</t>
  </si>
  <si>
    <t>TIPO DE BDI</t>
  </si>
  <si>
    <t>COM DESONERAÇÃO</t>
  </si>
  <si>
    <t>X</t>
  </si>
  <si>
    <t>SEM DESONERAÇÃO</t>
  </si>
  <si>
    <t>TIPO DE SERVIÇO</t>
  </si>
  <si>
    <t>CONSTRUÇÃO DE EDIFICAÇÕES</t>
  </si>
  <si>
    <t>CONSTRUÇÃO DE RODOVIAS E FERROVIAS</t>
  </si>
  <si>
    <t>CONSTRUÇÃO DE REDES DE ABASTECIMENTO DE ÁGUA, COLETA DE ESGOTO E CONSTRUÇÕES DE CORRELATAS</t>
  </si>
  <si>
    <t>CONSTRUÇÃO E MANUTENÇÃO DE ESTAÇÕES E REDES DE DISTRIBUIÇÃO DE ENERGIA ELÉTRICA</t>
  </si>
  <si>
    <t>OBRAS PORTUÁRIAS, MARÍTIMAS E FLUVIAIS</t>
  </si>
  <si>
    <t>FORNECIMENTO DE MATERIAIS</t>
  </si>
  <si>
    <t>ÍNDICES PERCENTUAIS</t>
  </si>
  <si>
    <t>%</t>
  </si>
  <si>
    <t>min</t>
  </si>
  <si>
    <t>max</t>
  </si>
  <si>
    <t>ADMINISTRAÇÃO CENTRAL</t>
  </si>
  <si>
    <t>A =</t>
  </si>
  <si>
    <t>DESPESAS FINANCEIRAS</t>
  </si>
  <si>
    <t>DF =</t>
  </si>
  <si>
    <t>SEGURO, GARANTIA E RISCOS</t>
  </si>
  <si>
    <t>SEGURO + GARANTIA  (S + G) =</t>
  </si>
  <si>
    <t>RISCO (R) =</t>
  </si>
  <si>
    <t>LUCRO</t>
  </si>
  <si>
    <t>L =</t>
  </si>
  <si>
    <t>IMPOSTOS</t>
  </si>
  <si>
    <t>PIS =</t>
  </si>
  <si>
    <t>COFINS =</t>
  </si>
  <si>
    <t xml:space="preserve">T = </t>
  </si>
  <si>
    <t>CÁLCULO</t>
  </si>
  <si>
    <t>LISTA DE ERROS</t>
  </si>
  <si>
    <t>AC =</t>
  </si>
  <si>
    <t>TAXA DE RATEIO DA ADMINISTRAÇÃO CENTRAL</t>
  </si>
  <si>
    <t>S + G =</t>
  </si>
  <si>
    <t>SEGURO E GARANTIA DO EMPREENDIMENTO</t>
  </si>
  <si>
    <t>R =</t>
  </si>
  <si>
    <t>TAXA DE RISCO</t>
  </si>
  <si>
    <t>TAXA DE DESPESAS FINANCEIRAS</t>
  </si>
  <si>
    <t>TAXA DE LUCRO</t>
  </si>
  <si>
    <t>T =</t>
  </si>
  <si>
    <t>TAXA DE TRIBUTOS</t>
  </si>
  <si>
    <t>BDI DE REFERÊNCIAS S/ INSS</t>
  </si>
  <si>
    <t>BDI DE REFERÊNCIAS C/ INSS</t>
  </si>
  <si>
    <t>MÍNIMO</t>
  </si>
  <si>
    <t>MÁXIMO</t>
  </si>
  <si>
    <t>BDI CALCULADO  =</t>
  </si>
  <si>
    <t>DE ACORDO COM:</t>
  </si>
  <si>
    <t>LEI Nº 12.546, DE 14 DE DEZEMBRO DE 2011</t>
  </si>
  <si>
    <t>LEI Nº 13.161, DE 31 DE AGOSTO DE 2015</t>
  </si>
  <si>
    <t>ACÓRDÃO Nº 2622/2013 – TCU – Plenário</t>
  </si>
  <si>
    <t>BDI CALCULADO</t>
  </si>
  <si>
    <t>CÓDIGO</t>
  </si>
  <si>
    <t>DESCRIÇÃO</t>
  </si>
  <si>
    <t>HORISTA %</t>
  </si>
  <si>
    <t>MENSALISTA %</t>
  </si>
  <si>
    <t>GRUPO A</t>
  </si>
  <si>
    <t>INSS</t>
  </si>
  <si>
    <t xml:space="preserve"> SESI</t>
  </si>
  <si>
    <t>SENAI</t>
  </si>
  <si>
    <t>A4</t>
  </si>
  <si>
    <t>INCRA</t>
  </si>
  <si>
    <t>A5</t>
  </si>
  <si>
    <t>SEBRAE</t>
  </si>
  <si>
    <t>A6</t>
  </si>
  <si>
    <t>Salário-Educação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</si>
  <si>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</si>
  <si>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</si>
  <si>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</si>
  <si>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</si>
  <si>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</si>
  <si>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</si>
  <si>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</si>
  <si>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</t>
  </si>
  <si>
    <t>GRUPO B</t>
  </si>
  <si>
    <t>B1</t>
  </si>
  <si>
    <t>Repouso Semanal Remunerado</t>
  </si>
  <si>
    <t>B2</t>
  </si>
  <si>
    <t>Feriados</t>
  </si>
  <si>
    <t>B3</t>
  </si>
  <si>
    <t>Auxilio - enfermidade</t>
  </si>
  <si>
    <t>B4</t>
  </si>
  <si>
    <t xml:space="preserve"> 13º salário</t>
  </si>
  <si>
    <t>B5</t>
  </si>
  <si>
    <t>Licença Paternidade</t>
  </si>
  <si>
    <t>B6</t>
  </si>
  <si>
    <t>Faltas justificadas</t>
  </si>
  <si>
    <t>B7</t>
  </si>
  <si>
    <t>Dias de chuva</t>
  </si>
  <si>
    <t>B8</t>
  </si>
  <si>
    <t>Auxilio acidete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</si>
  <si>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</si>
  <si>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</si>
  <si>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</si>
  <si>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</si>
  <si>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</si>
  <si>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</si>
  <si>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</si>
  <si>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Aviso Prévio Indenizado</t>
  </si>
  <si>
    <t>Aviso Prévio Trabalhado</t>
  </si>
  <si>
    <t>C3</t>
  </si>
  <si>
    <t>Férias Idenizadas</t>
  </si>
  <si>
    <t>C4</t>
  </si>
  <si>
    <t>Depósito rescisão sem Justa Causa</t>
  </si>
  <si>
    <t>C5</t>
  </si>
  <si>
    <t>Idenização Adicional</t>
  </si>
  <si>
    <t>C</t>
  </si>
  <si>
    <t>Total dos Encargos Sociais que não recebem incidências globais de A</t>
  </si>
  <si>
    <t>GRUPO D</t>
  </si>
  <si>
    <t>D1</t>
  </si>
  <si>
    <t>Reincidência de Grupo A sobre Grupo B</t>
  </si>
  <si>
    <t>D2</t>
  </si>
  <si>
    <t>Reincidência de Grupo A sobre Aviso Prévio Trabalhado e Reincidência doFGTSsobre Aviso Prévio Indenizado</t>
  </si>
  <si>
    <t>D</t>
  </si>
  <si>
    <t>Total das Taxas incidências e reincidências</t>
  </si>
  <si>
    <t>TOTAL (A+B+C+D)</t>
  </si>
  <si>
    <t>Fator</t>
  </si>
  <si>
    <t>TRANSPORTE</t>
  </si>
  <si>
    <t>Trator de esteiras com lâmina - 259 kW</t>
  </si>
  <si>
    <t>Rolo compactador de pneus autopropelido de 27 t - 85 Kw</t>
  </si>
  <si>
    <t>ENCARGOS SOCIAIS SOBRE A MÃO DE OBRA - SEM DESONERAÇÃO</t>
  </si>
  <si>
    <t>E9576</t>
  </si>
  <si>
    <t>Escavadeira Hidráulica de longo alcance sobre esteiras (103 kw)</t>
  </si>
  <si>
    <t>Placa da obra (3,60m x 1,80m)</t>
  </si>
  <si>
    <t>Volume de material a ser compactado (s/ empolamento)</t>
  </si>
  <si>
    <t>Tolenada de água necessaria para compactação</t>
  </si>
  <si>
    <t>Distância média de transporte - DMT</t>
  </si>
  <si>
    <t>t x km</t>
  </si>
  <si>
    <t>Área:</t>
  </si>
  <si>
    <t>Km total do trecho</t>
  </si>
  <si>
    <t>Ponto d'água</t>
  </si>
  <si>
    <t>Km - localização da A1 no trecho</t>
  </si>
  <si>
    <t>Consumo</t>
  </si>
  <si>
    <t>Peso (%)</t>
  </si>
  <si>
    <t xml:space="preserve"> 1 </t>
  </si>
  <si>
    <t xml:space="preserve"> 2 </t>
  </si>
  <si>
    <t xml:space="preserve"> 3 </t>
  </si>
  <si>
    <t xml:space="preserve"> 4 </t>
  </si>
  <si>
    <t>Total Geral</t>
  </si>
  <si>
    <t>Banco</t>
  </si>
  <si>
    <t>Und</t>
  </si>
  <si>
    <t>Quant.</t>
  </si>
  <si>
    <t>Valor Unit</t>
  </si>
  <si>
    <t>Valor Unit com BDI</t>
  </si>
  <si>
    <t xml:space="preserve"> 1.1 </t>
  </si>
  <si>
    <t xml:space="preserve"> 1.2 </t>
  </si>
  <si>
    <t xml:space="preserve"> 1.3 </t>
  </si>
  <si>
    <t>UND</t>
  </si>
  <si>
    <t xml:space="preserve"> 2.1 </t>
  </si>
  <si>
    <t xml:space="preserve"> 5501700 </t>
  </si>
  <si>
    <t xml:space="preserve"> 2.2 </t>
  </si>
  <si>
    <t xml:space="preserve"> 2.3 </t>
  </si>
  <si>
    <t xml:space="preserve"> 5502985 </t>
  </si>
  <si>
    <t xml:space="preserve"> 2.4 </t>
  </si>
  <si>
    <t xml:space="preserve"> 5502986 </t>
  </si>
  <si>
    <t xml:space="preserve"> 2.5 </t>
  </si>
  <si>
    <t xml:space="preserve"> 4915611 </t>
  </si>
  <si>
    <t xml:space="preserve"> 3.1 </t>
  </si>
  <si>
    <t xml:space="preserve"> 5914374 </t>
  </si>
  <si>
    <t>tkm</t>
  </si>
  <si>
    <t xml:space="preserve"> 3.2 </t>
  </si>
  <si>
    <t xml:space="preserve"> 4.1 </t>
  </si>
  <si>
    <t/>
  </si>
  <si>
    <t>Porcentagem</t>
  </si>
  <si>
    <t>Porcentagem Acumulado</t>
  </si>
  <si>
    <t>Custo Acumulado</t>
  </si>
  <si>
    <t>Cronograma Físico e Financeiro</t>
  </si>
  <si>
    <t>Cálculo da DMT</t>
  </si>
  <si>
    <t>Mobilização e Desmobilização de equipamentos</t>
  </si>
  <si>
    <t>Tipo</t>
  </si>
  <si>
    <t>Composição</t>
  </si>
  <si>
    <t>SERP - SERVIÇOS PRELIMINARES</t>
  </si>
  <si>
    <t>Composição Auxiliar</t>
  </si>
  <si>
    <t>SEDI - SERVIÇOS DIVERSOS</t>
  </si>
  <si>
    <t>H</t>
  </si>
  <si>
    <t>Valor com BDI =&gt;</t>
  </si>
  <si>
    <t xml:space="preserve"> 88316 </t>
  </si>
  <si>
    <t>SERVENTE COM ENCARGOS COMPLEMENTARES</t>
  </si>
  <si>
    <t xml:space="preserve"> 88262 </t>
  </si>
  <si>
    <t>CARPINTEIRO DE FORMAS COM ENCARGOS COMPLEMENTARES</t>
  </si>
  <si>
    <t xml:space="preserve"> 94962 </t>
  </si>
  <si>
    <t>CONCRETO MAGRO PARA LASTRO, TRAÇO 1:4,5:4,5 (EM MASSA SECA DE CIMENTO/ AREIA MÉDIA/ BRITA 1) - PREPARO MECÂNICO COM BETONEIRA 400 L. AF_05/2021</t>
  </si>
  <si>
    <t>FUES - FUNDAÇÕES E ESTRUTURAS</t>
  </si>
  <si>
    <t>Insumo</t>
  </si>
  <si>
    <t xml:space="preserve"> 00004417 </t>
  </si>
  <si>
    <t>SARRAFO NAO APARELHADO *2,5 X 7* CM, EM MACARANDUBA, ANGELIM OU EQUIVALENTE DA REGIAO -  BRUTA</t>
  </si>
  <si>
    <t>Material</t>
  </si>
  <si>
    <t>M</t>
  </si>
  <si>
    <t xml:space="preserve"> 00004491 </t>
  </si>
  <si>
    <t>PONTALETE *7,5 X 7,5* CM EM PINUS, MISTA OU EQUIVALENTE DA REGIAO - BRUTA</t>
  </si>
  <si>
    <t xml:space="preserve"> 00004813 </t>
  </si>
  <si>
    <t>PLACA DE OBRA (PARA CONSTRUCAO CIVIL) EM CHAPA GALVANIZADA *N. 22*, ADESIVADA, DE *2,0 X 1,125* M</t>
  </si>
  <si>
    <t xml:space="preserve"> 00005075 </t>
  </si>
  <si>
    <t>PREGO DE ACO POLIDO COM CABECA 18 X 30 (2 3/4 X 10)</t>
  </si>
  <si>
    <t>KG</t>
  </si>
  <si>
    <t>Equipamentos</t>
  </si>
  <si>
    <t>Quantidade</t>
  </si>
  <si>
    <t>Utilização</t>
  </si>
  <si>
    <t>Custo Operacional</t>
  </si>
  <si>
    <t>Operativa</t>
  </si>
  <si>
    <t>Improdutiva</t>
  </si>
  <si>
    <t>Trator sobre esteiras com lâmina - 259 kW</t>
  </si>
  <si>
    <t>Custo Horário de Equipamentos =&gt;</t>
  </si>
  <si>
    <t>Mão de Obra</t>
  </si>
  <si>
    <t>Salário Hora</t>
  </si>
  <si>
    <t>P9824</t>
  </si>
  <si>
    <t>Servente</t>
  </si>
  <si>
    <t>Custo Horário da Mão de Obra =&gt;</t>
  </si>
  <si>
    <t>Custo Horário de Execução =&gt;</t>
  </si>
  <si>
    <t>Fator de Influencia da Chuva - FIC =&gt;</t>
  </si>
  <si>
    <t>Custo do FIC =&gt;</t>
  </si>
  <si>
    <t>Produção de Equipe =&gt;</t>
  </si>
  <si>
    <t>Custo Unitário de Execução =&gt;</t>
  </si>
  <si>
    <t>Motoniveladora - 93 kW</t>
  </si>
  <si>
    <t>Rolo compactador de pneus autopropelido de 27 t - 85 kW</t>
  </si>
  <si>
    <t>E9577</t>
  </si>
  <si>
    <t>Trator agrícola sobre pneus - 77 kW</t>
  </si>
  <si>
    <t>Atividades Auxiliares</t>
  </si>
  <si>
    <t>Unidade</t>
  </si>
  <si>
    <t>Preço Unitário</t>
  </si>
  <si>
    <t>Atividade Auxiliar</t>
  </si>
  <si>
    <t>Escavação e carga de material de jazida com escavadeira hidráulica de 1,56 m³</t>
  </si>
  <si>
    <t>Custo Total das Atividades =&gt;</t>
  </si>
  <si>
    <t>E</t>
  </si>
  <si>
    <t>Tempos Fixos</t>
  </si>
  <si>
    <t>Tempo Fixo</t>
  </si>
  <si>
    <t>Custo Total dos Tempos Fixos =&gt;</t>
  </si>
  <si>
    <t>Caminhão basculante com capacidade de 10 m³ - 188 kW</t>
  </si>
  <si>
    <t>Composições Analíticas com Preço Unitário</t>
  </si>
  <si>
    <t>Escavadeira hidráulica sobre esteiras com caçamba com capacidade de 1,56 m³ - 118 kW</t>
  </si>
  <si>
    <t>Resumo</t>
  </si>
  <si>
    <t>Orçamento</t>
  </si>
  <si>
    <t>Limpeza mecanizada da camada vegetal da jazida</t>
  </si>
  <si>
    <t>Recomposição de revestimento primário com material de jazida, material para pista de rolamento</t>
  </si>
  <si>
    <t>Transporte com caminhão basculante de 10 m³ - rodovia em revestimento primário, para pista de rolamento</t>
  </si>
  <si>
    <t>Reparação de danos físicos ao meio ambiente, jazida</t>
  </si>
  <si>
    <t>mês</t>
  </si>
  <si>
    <t>MOVT - MOVIMENTO DE TERRA</t>
  </si>
  <si>
    <t>E9515</t>
  </si>
  <si>
    <t>Próprio</t>
  </si>
  <si>
    <t>SINAPI</t>
  </si>
  <si>
    <t>Km - localização da Jazida no trecho</t>
  </si>
  <si>
    <t xml:space="preserve">DIST. FIXA </t>
  </si>
  <si>
    <t>4.1</t>
  </si>
  <si>
    <t>Reparação de danos físicos ao meio ambiente</t>
  </si>
  <si>
    <t>Carga, manobra e descarga de agregados ou solos em caminhão basculante de 6 m³ - carga com escavadeira de 1,56 m³(exclusa) e descarga livre</t>
  </si>
  <si>
    <t>Sicro 4915598</t>
  </si>
  <si>
    <t>Reconformação da plataforma</t>
  </si>
  <si>
    <t>Área de Reconformação:</t>
  </si>
  <si>
    <t xml:space="preserve">Cálculo da DMT da (ÁGUA) </t>
  </si>
  <si>
    <t>Transporte de água:</t>
  </si>
  <si>
    <t>Placa da obra (3,60m X 1,80m)</t>
  </si>
  <si>
    <t>Adc.M.O. - Ferramentas (0,0%) =&gt;</t>
  </si>
  <si>
    <t xml:space="preserve"> COMPOSIÇÃO 03 - SADA</t>
  </si>
  <si>
    <t>SICRO</t>
  </si>
  <si>
    <t xml:space="preserve"> COMPOSIÇÃO 01 - SADA</t>
  </si>
  <si>
    <t xml:space="preserve"> COMPOSIÇÃO 02 - SADA</t>
  </si>
  <si>
    <t xml:space="preserve"> COMPOSIÇÃO 04 - SADA</t>
  </si>
  <si>
    <t>SICRO3</t>
  </si>
  <si>
    <t>Desmatamento, destocamento e limpeza de área com árvores de diâmetro até 0,15 m</t>
  </si>
  <si>
    <t>Recomposição de revestimento primário com material de jazida</t>
  </si>
  <si>
    <t>Transporte com caminhão basculante de 10 m³ - rodovia em revestimento primário</t>
  </si>
  <si>
    <t>0,00310</t>
  </si>
  <si>
    <t>MAIOR RELEVANCIA</t>
  </si>
  <si>
    <t>1.4</t>
  </si>
  <si>
    <t>Apoio para administração da obra e funcionários</t>
  </si>
  <si>
    <t xml:space="preserve"> 1.4</t>
  </si>
  <si>
    <t xml:space="preserve"> P9946 </t>
  </si>
  <si>
    <t>Engenheiro auxiliar</t>
  </si>
  <si>
    <t xml:space="preserve"> P9884 </t>
  </si>
  <si>
    <t>Encarregado de terraplenagem</t>
  </si>
  <si>
    <t xml:space="preserve"> P9827 </t>
  </si>
  <si>
    <t>Vigia</t>
  </si>
  <si>
    <t xml:space="preserve"> P9803 </t>
  </si>
  <si>
    <t>Almoxarife</t>
  </si>
  <si>
    <t xml:space="preserve"> E9093 </t>
  </si>
  <si>
    <t>Veículo leve - 53 kW (sem motorista)</t>
  </si>
  <si>
    <t xml:space="preserve"> COMPOSIÇÃO 06 - SADA</t>
  </si>
  <si>
    <t>Composição 05</t>
  </si>
  <si>
    <t xml:space="preserve"> COMPOSIÇÃO 05 - SADA</t>
  </si>
  <si>
    <t>Regularização do subleito</t>
  </si>
  <si>
    <t xml:space="preserve"> 4011209 </t>
  </si>
  <si>
    <t>E9518</t>
  </si>
  <si>
    <t>Grade de 24 discos rebocável de D = 60 cm (24”)</t>
  </si>
  <si>
    <t>E9685</t>
  </si>
  <si>
    <t>Rolo compactador pé de carneiro vibratório autopropelido por pneus de 11,6 t - 82 kW</t>
  </si>
  <si>
    <t>DATA BASE</t>
  </si>
  <si>
    <t>OBRA</t>
  </si>
  <si>
    <t>SINAPI SEM DESONERAÇÃO</t>
  </si>
  <si>
    <t>SINAPI COM DESONERAÇÃO</t>
  </si>
  <si>
    <t>MUNICÍPIO</t>
  </si>
  <si>
    <t>LOCALIDADE</t>
  </si>
  <si>
    <t>BDI</t>
  </si>
  <si>
    <t>ZONA</t>
  </si>
  <si>
    <t>LEIS SOCIAIS</t>
  </si>
  <si>
    <t>VALOR TOTAL</t>
  </si>
  <si>
    <t>ÁREA</t>
  </si>
  <si>
    <t>PARCELA DE RELEVÂNCIA SEM DESONERAÇÃO</t>
  </si>
  <si>
    <t>SERVIÇO</t>
  </si>
  <si>
    <t>QUANTIDADE</t>
  </si>
  <si>
    <t>PARCELA DE RELEVÂNCIA COM DESONERAÇÃO</t>
  </si>
  <si>
    <t>EXIGÊNCIA MÁX.</t>
  </si>
  <si>
    <t>SICRO SEM DESONERAÇÃO</t>
  </si>
  <si>
    <t>SICRO COM DESONERAÇÃO</t>
  </si>
  <si>
    <t>TRECHO</t>
  </si>
  <si>
    <t>RECUPERAÇÃO DE ESTRADA VICINAL</t>
  </si>
  <si>
    <t>RURAL</t>
  </si>
  <si>
    <t xml:space="preserve">EXTENSÃO TOTAL </t>
  </si>
  <si>
    <t>VALOR (Km)</t>
  </si>
  <si>
    <t>Distância (Teresina/PI - Local da Obra) =</t>
  </si>
  <si>
    <t>Observações: Memória de cálculo referente à quantidade de horas trabalhada:
44,00 x 4,00 = 176,00 (horas trabalhadas por semana x quantidade de semanas no mês = horas trabalhadas em um mês)
176,00 x (Quantidade de meses) = Resultado (horas trabalhadas em um mês x quantidade de meses previsto em projeto = horas trabalhadas previstas em projeto)</t>
  </si>
  <si>
    <t xml:space="preserve">Memória de Cálculo </t>
  </si>
  <si>
    <t>DMT GERAL</t>
  </si>
  <si>
    <t>Trecho</t>
  </si>
  <si>
    <t>Extensão (Km)</t>
  </si>
  <si>
    <t>DMT das jazidas (Km)</t>
  </si>
  <si>
    <t>Média Ponderada (Km)</t>
  </si>
  <si>
    <t>EXTENSÃO TOTAL</t>
  </si>
  <si>
    <t>Total Geral.:</t>
  </si>
  <si>
    <t>5.1</t>
  </si>
  <si>
    <t>OBRAS DE ARTE</t>
  </si>
  <si>
    <t>NOVA SANTA RITA - PI</t>
  </si>
  <si>
    <t>10/2023</t>
  </si>
  <si>
    <t>J2</t>
  </si>
  <si>
    <t>POVOADO JATOBAZEIRO AO POVOADO QUINTAS - POVOADO SACO AO POVOADO CABOCLO</t>
  </si>
  <si>
    <t>Boca de BSTC D = 1,00 m - esconsidade 0° - areia e brita comerciais - alas retas</t>
  </si>
  <si>
    <t xml:space="preserve"> 0804121 </t>
  </si>
  <si>
    <t xml:space="preserve"> 0804036 </t>
  </si>
  <si>
    <t>Corpo de BSTC D = 1,00 m PA1 - areia extraída e brita e pedra de mão produzidas</t>
  </si>
  <si>
    <t xml:space="preserve"> 4805757 </t>
  </si>
  <si>
    <t>Escavação mecânica de vala em material de 1ª categoria</t>
  </si>
  <si>
    <t xml:space="preserve"> 4815671 </t>
  </si>
  <si>
    <t>Reaterro e compactação com soquete vibratório</t>
  </si>
  <si>
    <t xml:space="preserve"> SADA 07 </t>
  </si>
  <si>
    <t>Placas de advertência em chapa de aço num 16 com pintura retrorrefletiva 0,80x0,80m</t>
  </si>
  <si>
    <t>5.2</t>
  </si>
  <si>
    <t>5.3</t>
  </si>
  <si>
    <t>5.4</t>
  </si>
  <si>
    <t>SINALIZAÇÃO</t>
  </si>
  <si>
    <t>6.1</t>
  </si>
  <si>
    <t xml:space="preserve"> 5.1 </t>
  </si>
  <si>
    <t>un</t>
  </si>
  <si>
    <t>Concreto fck = 20 MPa - confecção em betoneira e lançamento manual - areia e brita comerciais</t>
  </si>
  <si>
    <t>Fôrmas de tábuas de pinho para dispositivos de drenagem - utilização de 3 vezes - confecção, instalação e retirada</t>
  </si>
  <si>
    <t xml:space="preserve"> 5.2 </t>
  </si>
  <si>
    <t>E9686</t>
  </si>
  <si>
    <t>Caminhão carroceria com guindauto com capacidade de 20 t.m - 136 kW</t>
  </si>
  <si>
    <t>M2175</t>
  </si>
  <si>
    <t>Tubo de concreto armado PA1 - D = 1,00 m</t>
  </si>
  <si>
    <t>Custo Total do Material =&gt;</t>
  </si>
  <si>
    <t>Argamassa de cimento e areia 1:4 - confecção em betoneira e lançamento manual - areia extraída</t>
  </si>
  <si>
    <t>Concreto ciclópico fck = 20 MPa - confecção em betoneira e lançamento manual - areia extraída, brita e pedra de mãoproduzidas</t>
  </si>
  <si>
    <t>F</t>
  </si>
  <si>
    <t>Momento de Transporte</t>
  </si>
  <si>
    <t>Distância Média de Transporte (DMT)</t>
  </si>
  <si>
    <t>LN</t>
  </si>
  <si>
    <t>RP</t>
  </si>
  <si>
    <t>P</t>
  </si>
  <si>
    <t>Tubo de concreto armado PA1 - D = 1,00 m - Caminhão carroceria com guindauto com capacidade de 20 t.m - 136 kW</t>
  </si>
  <si>
    <t>5914584
0,000
R$ 2,66</t>
  </si>
  <si>
    <t>5914599
0,000
R$ 2,12</t>
  </si>
  <si>
    <t>5914614
0,000
R$ 1,74</t>
  </si>
  <si>
    <t>Custo total dos Momentos de Transportes =&gt;</t>
  </si>
  <si>
    <t xml:space="preserve"> 5.3 </t>
  </si>
  <si>
    <t>E9526</t>
  </si>
  <si>
    <t>Retroescavadeira de pneus - capacidade da caçamba da pá-carregadeira de 0,76 m³ e da</t>
  </si>
  <si>
    <t xml:space="preserve"> 5.4 </t>
  </si>
  <si>
    <t>E9647</t>
  </si>
  <si>
    <t>Compactador manual com soquete vibratório - 4,10 kW</t>
  </si>
  <si>
    <t xml:space="preserve"> 6 </t>
  </si>
  <si>
    <t xml:space="preserve"> 6.1 </t>
  </si>
  <si>
    <t>ASTU - ASSENTAMENTO DE TUBOS E PECAS</t>
  </si>
  <si>
    <t xml:space="preserve"> 4805749 </t>
  </si>
  <si>
    <t>Escavação manual de vala em material de 1ª categoria</t>
  </si>
  <si>
    <t xml:space="preserve"> 1106057 </t>
  </si>
  <si>
    <t>Concreto magro - confecção em betoneira e lançamento manual - areia e brita comerciais</t>
  </si>
  <si>
    <t xml:space="preserve"> 5213414 </t>
  </si>
  <si>
    <t>Placa em aço nº 16 galvanizado com película retrorrefletiva tipo I + SI - confecção</t>
  </si>
  <si>
    <t xml:space="preserve"> P9824 </t>
  </si>
  <si>
    <t>h</t>
  </si>
  <si>
    <t xml:space="preserve"> P9808 </t>
  </si>
  <si>
    <t>Carpinteiro</t>
  </si>
  <si>
    <t xml:space="preserve"> 00004382 </t>
  </si>
  <si>
    <t>PARAFUSO ZINCADO, SEXTAVADO, COM ROSCA SOBERBA, DIAMETRO 5/16", COMPRIMENTO 80 MM</t>
  </si>
  <si>
    <t>UN</t>
  </si>
  <si>
    <t xml:space="preserve"> 00011962 </t>
  </si>
  <si>
    <t>PARAFUSO ZINCADO, SEXTAVADO, COM ROSCA INTEIRA, DIAMETRO 1/4", COMPRIMENTO 1/2"</t>
  </si>
  <si>
    <t xml:space="preserve"> 00004513 </t>
  </si>
  <si>
    <t>CAIBRO 5 X 5 CM EM PINUS, MISTA OU EQUIVALENTE DA REGIAO - BRUTA</t>
  </si>
  <si>
    <t>Quantidade bueiros:</t>
  </si>
  <si>
    <t>Largura</t>
  </si>
  <si>
    <t>Escavação:</t>
  </si>
  <si>
    <t>Material:</t>
  </si>
  <si>
    <t xml:space="preserve"> 00010775 </t>
  </si>
  <si>
    <t>LOCACAO DE CONTAINER 2,30 X 6,00 M, ALT. 2,50 M, COM 1 SANITARIO, PARA ESCRITORIO, COMPLETO, SEM DIVISORIAS INTERNAS (NAO INCLUI MOBILIZACAO/DESMOBILIZACAO)</t>
  </si>
  <si>
    <t>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</si>
</sst>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"/>
    <numFmt numFmtId="165" formatCode="_(* #,##0.00_);_(* \(#,##0.00\);_(* &quot;-&quot;??_);_(@_)"/>
    <numFmt numFmtId="166" formatCode="_(* #,##0.00_);_(* \(#,##0.00\);_(* \-??_);_(@_)"/>
    <numFmt numFmtId="167" formatCode="_-* #,##0.0000_-;\-* #,##0.0000_-;_-* &quot;-&quot;??_-;_-@_-"/>
    <numFmt numFmtId="168" formatCode="0.0000"/>
    <numFmt numFmtId="169" formatCode="0.0000%"/>
    <numFmt numFmtId="170" formatCode="_(* #,##0.000_);_(* \(#,##0.000\);_(* \-??_);_(@_)"/>
    <numFmt numFmtId="171" formatCode="#,##0.00\ %"/>
    <numFmt numFmtId="172" formatCode="#,##0.0000000"/>
    <numFmt numFmtId="173" formatCode="#,##0.0000"/>
    <numFmt numFmtId="174" formatCode="General\ &quot;m²&quot;"/>
    <numFmt numFmtId="175" formatCode="#,##0.000"/>
    <numFmt numFmtId="176" formatCode="_-* #,##0.000_-;\-* #,##0.000_-;_-* &quot;-&quot;??_-;_-@_-"/>
    <numFmt numFmtId="177" formatCode="_-* #,##0.000_-;\-* #,##0.000_-;_-* &quot;-&quot;?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1"/>
      <color rgb="FFFF0000"/>
      <name val="Calibri"/>
      <family val="2"/>
      <scheme val="minor"/>
    </font>
    <font>
      <sz val="11"/>
      <name val="Arial"/>
      <family val="1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10"/>
      <color rgb="FFFF0000"/>
      <name val="Arial"/>
      <family val="1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166" fontId="4" fillId="0" borderId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9" fontId="19" fillId="0" borderId="0" applyFill="0" applyBorder="0" applyAlignment="0" applyProtection="0"/>
    <xf numFmtId="44" fontId="4" fillId="0" borderId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26" fillId="0" borderId="0"/>
  </cellStyleXfs>
  <cellXfs count="682">
    <xf numFmtId="0" fontId="0" fillId="0" borderId="0" xfId="0"/>
    <xf numFmtId="0" fontId="3" fillId="0" borderId="0" xfId="0" applyFont="1"/>
    <xf numFmtId="2" fontId="3" fillId="0" borderId="0" xfId="0" applyNumberFormat="1" applyFont="1"/>
    <xf numFmtId="2" fontId="3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2" fillId="0" borderId="1" xfId="1" quotePrefix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vertical="center"/>
    </xf>
    <xf numFmtId="0" fontId="3" fillId="0" borderId="1" xfId="0" applyFont="1" applyBorder="1"/>
    <xf numFmtId="43" fontId="5" fillId="0" borderId="1" xfId="1" applyFont="1" applyFill="1" applyBorder="1" applyAlignment="1">
      <alignment horizontal="right" vertical="center"/>
    </xf>
    <xf numFmtId="2" fontId="6" fillId="0" borderId="1" xfId="0" applyNumberFormat="1" applyFont="1" applyBorder="1"/>
    <xf numFmtId="0" fontId="5" fillId="0" borderId="0" xfId="3" applyFont="1" applyAlignment="1">
      <alignment vertical="center" wrapText="1"/>
    </xf>
    <xf numFmtId="0" fontId="5" fillId="3" borderId="1" xfId="4" applyFont="1" applyFill="1" applyBorder="1" applyAlignment="1">
      <alignment horizontal="center" vertical="center"/>
    </xf>
    <xf numFmtId="43" fontId="5" fillId="0" borderId="1" xfId="5" applyNumberFormat="1" applyFont="1" applyBorder="1" applyAlignment="1">
      <alignment horizontal="right"/>
    </xf>
    <xf numFmtId="4" fontId="2" fillId="0" borderId="1" xfId="5" applyNumberFormat="1" applyFont="1" applyBorder="1" applyAlignment="1">
      <alignment horizontal="right"/>
    </xf>
    <xf numFmtId="4" fontId="5" fillId="0" borderId="1" xfId="5" applyNumberFormat="1" applyFont="1" applyBorder="1" applyAlignment="1">
      <alignment horizontal="right"/>
    </xf>
    <xf numFmtId="0" fontId="0" fillId="0" borderId="1" xfId="0" applyBorder="1"/>
    <xf numFmtId="0" fontId="5" fillId="0" borderId="1" xfId="3" applyFont="1" applyBorder="1" applyAlignment="1">
      <alignment horizontal="left" vertical="center" wrapText="1"/>
    </xf>
    <xf numFmtId="166" fontId="2" fillId="0" borderId="1" xfId="7" applyFont="1" applyFill="1" applyBorder="1" applyAlignment="1" applyProtection="1">
      <alignment horizontal="right"/>
    </xf>
    <xf numFmtId="166" fontId="5" fillId="0" borderId="1" xfId="7" applyFont="1" applyFill="1" applyBorder="1" applyAlignment="1" applyProtection="1">
      <alignment horizontal="right"/>
    </xf>
    <xf numFmtId="166" fontId="2" fillId="0" borderId="1" xfId="6" applyNumberFormat="1" applyFont="1" applyBorder="1" applyAlignment="1">
      <alignment horizontal="right"/>
    </xf>
    <xf numFmtId="4" fontId="5" fillId="0" borderId="1" xfId="7" applyNumberFormat="1" applyFont="1" applyFill="1" applyBorder="1" applyAlignment="1" applyProtection="1">
      <alignment horizontal="right"/>
    </xf>
    <xf numFmtId="0" fontId="8" fillId="0" borderId="0" xfId="5" applyFont="1"/>
    <xf numFmtId="0" fontId="8" fillId="0" borderId="0" xfId="5" applyFont="1" applyAlignment="1">
      <alignment horizontal="right"/>
    </xf>
    <xf numFmtId="166" fontId="5" fillId="0" borderId="1" xfId="7" applyFont="1" applyFill="1" applyBorder="1" applyAlignment="1" applyProtection="1"/>
    <xf numFmtId="0" fontId="5" fillId="0" borderId="1" xfId="5" applyFont="1" applyBorder="1" applyAlignment="1">
      <alignment horizontal="left"/>
    </xf>
    <xf numFmtId="0" fontId="5" fillId="0" borderId="12" xfId="6" applyFont="1" applyBorder="1" applyAlignment="1">
      <alignment horizontal="left"/>
    </xf>
    <xf numFmtId="0" fontId="5" fillId="0" borderId="11" xfId="6" applyFont="1" applyBorder="1" applyAlignment="1">
      <alignment horizontal="left"/>
    </xf>
    <xf numFmtId="0" fontId="5" fillId="0" borderId="14" xfId="6" applyFont="1" applyBorder="1" applyAlignment="1">
      <alignment horizontal="left"/>
    </xf>
    <xf numFmtId="0" fontId="5" fillId="0" borderId="15" xfId="6" applyFont="1" applyBorder="1" applyAlignment="1">
      <alignment horizontal="left"/>
    </xf>
    <xf numFmtId="0" fontId="5" fillId="0" borderId="0" xfId="6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8" xfId="4" applyFont="1" applyBorder="1" applyAlignment="1">
      <alignment vertical="center"/>
    </xf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43" fontId="3" fillId="0" borderId="1" xfId="10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43" fontId="3" fillId="0" borderId="1" xfId="4" applyNumberFormat="1" applyFont="1" applyBorder="1" applyAlignment="1">
      <alignment vertical="center"/>
    </xf>
    <xf numFmtId="43" fontId="3" fillId="0" borderId="0" xfId="10" applyFont="1" applyFill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vertical="top" wrapText="1"/>
    </xf>
    <xf numFmtId="43" fontId="3" fillId="0" borderId="1" xfId="10" applyFont="1" applyFill="1" applyBorder="1" applyAlignment="1">
      <alignment horizontal="center" vertical="center"/>
    </xf>
    <xf numFmtId="0" fontId="3" fillId="0" borderId="1" xfId="4" applyFont="1" applyBorder="1" applyAlignment="1">
      <alignment horizontal="right" vertical="center"/>
    </xf>
    <xf numFmtId="43" fontId="3" fillId="0" borderId="1" xfId="4" applyNumberFormat="1" applyFont="1" applyBorder="1" applyAlignment="1">
      <alignment horizontal="center" vertical="center"/>
    </xf>
    <xf numFmtId="0" fontId="3" fillId="0" borderId="0" xfId="4" applyFont="1" applyAlignment="1">
      <alignment horizontal="right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43" fontId="2" fillId="0" borderId="1" xfId="10" applyFont="1" applyFill="1" applyBorder="1" applyAlignment="1">
      <alignment vertical="center"/>
    </xf>
    <xf numFmtId="43" fontId="3" fillId="0" borderId="1" xfId="4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12" fillId="0" borderId="0" xfId="13" applyFont="1" applyAlignment="1" applyProtection="1">
      <alignment horizontal="center" vertical="center"/>
      <protection hidden="1"/>
    </xf>
    <xf numFmtId="2" fontId="13" fillId="0" borderId="0" xfId="13" applyNumberFormat="1" applyFont="1" applyAlignment="1" applyProtection="1">
      <alignment horizontal="center" vertical="center"/>
      <protection hidden="1"/>
    </xf>
    <xf numFmtId="10" fontId="13" fillId="0" borderId="0" xfId="13" applyNumberFormat="1" applyFont="1" applyAlignment="1" applyProtection="1">
      <alignment horizontal="center" vertical="center"/>
      <protection hidden="1"/>
    </xf>
    <xf numFmtId="0" fontId="13" fillId="0" borderId="0" xfId="13" applyFont="1" applyAlignment="1" applyProtection="1">
      <alignment vertical="center"/>
      <protection hidden="1"/>
    </xf>
    <xf numFmtId="2" fontId="14" fillId="0" borderId="28" xfId="13" applyNumberFormat="1" applyFont="1" applyBorder="1" applyAlignment="1" applyProtection="1">
      <alignment horizontal="center" vertical="center"/>
      <protection hidden="1"/>
    </xf>
    <xf numFmtId="2" fontId="14" fillId="0" borderId="26" xfId="13" applyNumberFormat="1" applyFont="1" applyBorder="1" applyAlignment="1" applyProtection="1">
      <alignment horizontal="center" vertical="center"/>
      <protection hidden="1"/>
    </xf>
    <xf numFmtId="2" fontId="12" fillId="0" borderId="0" xfId="13" applyNumberFormat="1" applyFont="1" applyAlignment="1" applyProtection="1">
      <alignment horizontal="center" vertical="center"/>
      <protection hidden="1"/>
    </xf>
    <xf numFmtId="2" fontId="12" fillId="0" borderId="23" xfId="13" applyNumberFormat="1" applyFont="1" applyBorder="1" applyAlignment="1" applyProtection="1">
      <alignment horizontal="center" vertical="center"/>
      <protection hidden="1"/>
    </xf>
    <xf numFmtId="2" fontId="12" fillId="0" borderId="28" xfId="13" applyNumberFormat="1" applyFont="1" applyBorder="1" applyAlignment="1" applyProtection="1">
      <alignment horizontal="center" vertical="center"/>
      <protection hidden="1"/>
    </xf>
    <xf numFmtId="0" fontId="13" fillId="0" borderId="0" xfId="13" applyFont="1" applyAlignment="1" applyProtection="1">
      <alignment horizontal="center" vertical="center"/>
      <protection hidden="1"/>
    </xf>
    <xf numFmtId="165" fontId="13" fillId="0" borderId="0" xfId="8" applyFont="1" applyFill="1" applyBorder="1" applyAlignment="1" applyProtection="1">
      <alignment horizontal="center" vertical="center"/>
      <protection hidden="1"/>
    </xf>
    <xf numFmtId="2" fontId="13" fillId="0" borderId="0" xfId="8" applyNumberFormat="1" applyFont="1" applyFill="1" applyBorder="1" applyAlignment="1" applyProtection="1">
      <alignment horizontal="center" vertical="center"/>
      <protection hidden="1"/>
    </xf>
    <xf numFmtId="2" fontId="12" fillId="0" borderId="0" xfId="8" applyNumberFormat="1" applyFont="1" applyFill="1" applyBorder="1" applyAlignment="1" applyProtection="1">
      <alignment horizontal="center" vertical="center"/>
      <protection hidden="1"/>
    </xf>
    <xf numFmtId="1" fontId="13" fillId="0" borderId="0" xfId="13" applyNumberFormat="1" applyFont="1" applyAlignment="1" applyProtection="1">
      <alignment horizontal="center" vertical="center"/>
      <protection hidden="1"/>
    </xf>
    <xf numFmtId="168" fontId="13" fillId="0" borderId="0" xfId="13" applyNumberFormat="1" applyFont="1" applyAlignment="1" applyProtection="1">
      <alignment horizontal="center" vertical="center"/>
      <protection hidden="1"/>
    </xf>
    <xf numFmtId="0" fontId="13" fillId="0" borderId="28" xfId="13" applyFont="1" applyBorder="1" applyAlignment="1" applyProtection="1">
      <alignment horizontal="center" vertical="center"/>
      <protection hidden="1"/>
    </xf>
    <xf numFmtId="10" fontId="12" fillId="0" borderId="4" xfId="8" applyNumberFormat="1" applyFont="1" applyFill="1" applyBorder="1" applyAlignment="1" applyProtection="1">
      <alignment horizontal="center" vertical="center"/>
      <protection hidden="1"/>
    </xf>
    <xf numFmtId="10" fontId="12" fillId="0" borderId="5" xfId="8" applyNumberFormat="1" applyFont="1" applyFill="1" applyBorder="1" applyAlignment="1" applyProtection="1">
      <alignment horizontal="center" vertical="center"/>
      <protection hidden="1"/>
    </xf>
    <xf numFmtId="169" fontId="13" fillId="0" borderId="0" xfId="13" applyNumberFormat="1" applyFont="1" applyAlignment="1" applyProtection="1">
      <alignment horizontal="center" vertical="center"/>
      <protection hidden="1"/>
    </xf>
    <xf numFmtId="10" fontId="12" fillId="0" borderId="0" xfId="8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169" fontId="13" fillId="0" borderId="0" xfId="13" applyNumberFormat="1" applyFont="1" applyAlignment="1" applyProtection="1">
      <alignment horizontal="center" vertical="center"/>
      <protection locked="0" hidden="1"/>
    </xf>
    <xf numFmtId="0" fontId="8" fillId="0" borderId="0" xfId="13" applyFont="1" applyAlignment="1" applyProtection="1">
      <alignment horizontal="center" vertical="center"/>
      <protection hidden="1"/>
    </xf>
    <xf numFmtId="2" fontId="8" fillId="0" borderId="0" xfId="13" applyNumberFormat="1" applyFont="1" applyAlignment="1" applyProtection="1">
      <alignment horizontal="center" vertical="center"/>
      <protection hidden="1"/>
    </xf>
    <xf numFmtId="10" fontId="8" fillId="0" borderId="0" xfId="13" applyNumberFormat="1" applyFont="1" applyAlignment="1" applyProtection="1">
      <alignment horizontal="center" vertical="center"/>
      <protection hidden="1"/>
    </xf>
    <xf numFmtId="0" fontId="5" fillId="0" borderId="22" xfId="13" applyFont="1" applyBorder="1" applyAlignment="1" applyProtection="1">
      <alignment horizontal="center" vertical="center"/>
      <protection hidden="1"/>
    </xf>
    <xf numFmtId="2" fontId="5" fillId="0" borderId="22" xfId="13" applyNumberFormat="1" applyFont="1" applyBorder="1" applyAlignment="1" applyProtection="1">
      <alignment horizontal="center" vertical="center"/>
      <protection hidden="1"/>
    </xf>
    <xf numFmtId="0" fontId="5" fillId="0" borderId="27" xfId="13" applyFont="1" applyBorder="1" applyAlignment="1" applyProtection="1">
      <alignment horizontal="left" vertical="center"/>
      <protection hidden="1"/>
    </xf>
    <xf numFmtId="0" fontId="5" fillId="0" borderId="0" xfId="13" applyFont="1" applyAlignment="1" applyProtection="1">
      <alignment horizontal="left" vertical="center"/>
      <protection hidden="1"/>
    </xf>
    <xf numFmtId="0" fontId="5" fillId="0" borderId="0" xfId="13" applyFont="1" applyAlignment="1" applyProtection="1">
      <alignment horizontal="center" vertical="center"/>
      <protection hidden="1"/>
    </xf>
    <xf numFmtId="2" fontId="5" fillId="0" borderId="0" xfId="13" applyNumberFormat="1" applyFont="1" applyAlignment="1" applyProtection="1">
      <alignment horizontal="center" vertical="center"/>
      <protection hidden="1"/>
    </xf>
    <xf numFmtId="0" fontId="5" fillId="0" borderId="27" xfId="13" applyFont="1" applyBorder="1" applyAlignment="1" applyProtection="1">
      <alignment horizontal="center" vertical="center"/>
      <protection hidden="1"/>
    </xf>
    <xf numFmtId="0" fontId="2" fillId="0" borderId="0" xfId="13" applyFont="1" applyAlignment="1" applyProtection="1">
      <alignment horizontal="right" vertical="center"/>
      <protection hidden="1"/>
    </xf>
    <xf numFmtId="2" fontId="5" fillId="0" borderId="1" xfId="13" applyNumberFormat="1" applyFont="1" applyBorder="1" applyAlignment="1" applyProtection="1">
      <alignment horizontal="center" vertical="center"/>
      <protection locked="0" hidden="1"/>
    </xf>
    <xf numFmtId="0" fontId="5" fillId="0" borderId="24" xfId="13" applyFont="1" applyBorder="1" applyAlignment="1" applyProtection="1">
      <alignment horizontal="center" vertical="center"/>
      <protection hidden="1"/>
    </xf>
    <xf numFmtId="0" fontId="5" fillId="0" borderId="25" xfId="13" applyFont="1" applyBorder="1" applyAlignment="1" applyProtection="1">
      <alignment horizontal="center" vertical="center"/>
      <protection hidden="1"/>
    </xf>
    <xf numFmtId="0" fontId="2" fillId="0" borderId="25" xfId="13" applyFont="1" applyBorder="1" applyAlignment="1" applyProtection="1">
      <alignment horizontal="center" vertical="center"/>
      <protection hidden="1"/>
    </xf>
    <xf numFmtId="2" fontId="5" fillId="0" borderId="16" xfId="13" applyNumberFormat="1" applyFont="1" applyBorder="1" applyAlignment="1" applyProtection="1">
      <alignment horizontal="center" vertical="center"/>
      <protection hidden="1"/>
    </xf>
    <xf numFmtId="0" fontId="5" fillId="0" borderId="28" xfId="13" applyFont="1" applyBorder="1" applyAlignment="1" applyProtection="1">
      <alignment horizontal="center" vertical="center"/>
      <protection hidden="1"/>
    </xf>
    <xf numFmtId="0" fontId="5" fillId="0" borderId="27" xfId="13" applyFont="1" applyBorder="1" applyAlignment="1" applyProtection="1">
      <alignment vertical="center"/>
      <protection hidden="1"/>
    </xf>
    <xf numFmtId="0" fontId="2" fillId="0" borderId="6" xfId="13" applyFont="1" applyBorder="1" applyAlignment="1" applyProtection="1">
      <alignment vertical="center"/>
      <protection hidden="1"/>
    </xf>
    <xf numFmtId="2" fontId="16" fillId="0" borderId="0" xfId="13" applyNumberFormat="1" applyFont="1" applyAlignment="1" applyProtection="1">
      <alignment horizontal="center" vertical="center"/>
      <protection hidden="1"/>
    </xf>
    <xf numFmtId="0" fontId="2" fillId="0" borderId="0" xfId="13" applyFont="1" applyAlignment="1" applyProtection="1">
      <alignment vertical="center"/>
      <protection hidden="1"/>
    </xf>
    <xf numFmtId="2" fontId="5" fillId="0" borderId="0" xfId="13" applyNumberFormat="1" applyFont="1" applyAlignment="1" applyProtection="1">
      <alignment horizontal="center" vertical="center"/>
      <protection locked="0" hidden="1"/>
    </xf>
    <xf numFmtId="2" fontId="2" fillId="0" borderId="0" xfId="13" applyNumberFormat="1" applyFont="1" applyAlignment="1" applyProtection="1">
      <alignment horizontal="center" vertical="center"/>
      <protection hidden="1"/>
    </xf>
    <xf numFmtId="2" fontId="16" fillId="0" borderId="28" xfId="13" applyNumberFormat="1" applyFont="1" applyBorder="1" applyAlignment="1" applyProtection="1">
      <alignment horizontal="center" vertical="center"/>
      <protection hidden="1"/>
    </xf>
    <xf numFmtId="0" fontId="2" fillId="0" borderId="0" xfId="13" applyFont="1" applyAlignment="1" applyProtection="1">
      <alignment vertical="center" wrapText="1"/>
      <protection hidden="1"/>
    </xf>
    <xf numFmtId="2" fontId="16" fillId="0" borderId="25" xfId="13" applyNumberFormat="1" applyFont="1" applyBorder="1" applyAlignment="1" applyProtection="1">
      <alignment horizontal="center" vertical="center"/>
      <protection hidden="1"/>
    </xf>
    <xf numFmtId="2" fontId="16" fillId="0" borderId="26" xfId="13" applyNumberFormat="1" applyFont="1" applyBorder="1" applyAlignment="1" applyProtection="1">
      <alignment horizontal="center" vertical="center"/>
      <protection hidden="1"/>
    </xf>
    <xf numFmtId="2" fontId="2" fillId="0" borderId="22" xfId="13" applyNumberFormat="1" applyFont="1" applyBorder="1" applyAlignment="1" applyProtection="1">
      <alignment horizontal="center" vertical="center"/>
      <protection hidden="1"/>
    </xf>
    <xf numFmtId="2" fontId="2" fillId="0" borderId="23" xfId="13" applyNumberFormat="1" applyFont="1" applyBorder="1" applyAlignment="1" applyProtection="1">
      <alignment horizontal="center" vertical="center"/>
      <protection hidden="1"/>
    </xf>
    <xf numFmtId="0" fontId="2" fillId="0" borderId="27" xfId="13" applyFont="1" applyBorder="1" applyAlignment="1" applyProtection="1">
      <alignment horizontal="center" vertical="center"/>
      <protection hidden="1"/>
    </xf>
    <xf numFmtId="0" fontId="2" fillId="0" borderId="0" xfId="13" applyFont="1" applyAlignment="1" applyProtection="1">
      <alignment horizontal="center" vertical="center"/>
      <protection hidden="1"/>
    </xf>
    <xf numFmtId="2" fontId="2" fillId="0" borderId="28" xfId="13" applyNumberFormat="1" applyFont="1" applyBorder="1" applyAlignment="1" applyProtection="1">
      <alignment horizontal="center" vertical="center"/>
      <protection hidden="1"/>
    </xf>
    <xf numFmtId="0" fontId="2" fillId="0" borderId="6" xfId="13" applyFont="1" applyBorder="1" applyAlignment="1" applyProtection="1">
      <alignment horizontal="left" vertical="center"/>
      <protection hidden="1"/>
    </xf>
    <xf numFmtId="0" fontId="2" fillId="0" borderId="9" xfId="13" applyFont="1" applyBorder="1" applyAlignment="1" applyProtection="1">
      <alignment horizontal="center" vertical="center"/>
      <protection hidden="1"/>
    </xf>
    <xf numFmtId="0" fontId="2" fillId="0" borderId="9" xfId="13" applyFont="1" applyBorder="1" applyAlignment="1" applyProtection="1">
      <alignment horizontal="right" vertical="center"/>
      <protection hidden="1"/>
    </xf>
    <xf numFmtId="10" fontId="2" fillId="0" borderId="7" xfId="13" applyNumberFormat="1" applyFont="1" applyBorder="1" applyAlignment="1" applyProtection="1">
      <alignment horizontal="center" vertical="center"/>
      <protection locked="0"/>
    </xf>
    <xf numFmtId="0" fontId="2" fillId="0" borderId="0" xfId="13" applyFont="1" applyAlignment="1" applyProtection="1">
      <alignment horizontal="left" vertical="center"/>
      <protection hidden="1"/>
    </xf>
    <xf numFmtId="10" fontId="2" fillId="0" borderId="0" xfId="13" applyNumberFormat="1" applyFont="1" applyAlignment="1" applyProtection="1">
      <alignment horizontal="center" vertical="center"/>
      <protection hidden="1"/>
    </xf>
    <xf numFmtId="10" fontId="2" fillId="0" borderId="7" xfId="8" applyNumberFormat="1" applyFont="1" applyFill="1" applyBorder="1" applyAlignment="1" applyProtection="1">
      <alignment horizontal="center" vertical="center"/>
      <protection locked="0"/>
    </xf>
    <xf numFmtId="168" fontId="2" fillId="0" borderId="28" xfId="8" applyNumberFormat="1" applyFont="1" applyFill="1" applyBorder="1" applyAlignment="1" applyProtection="1">
      <alignment horizontal="center" vertical="center"/>
      <protection hidden="1"/>
    </xf>
    <xf numFmtId="10" fontId="2" fillId="0" borderId="0" xfId="8" applyNumberFormat="1" applyFont="1" applyFill="1" applyBorder="1" applyAlignment="1" applyProtection="1">
      <alignment horizontal="center" vertical="center"/>
      <protection hidden="1"/>
    </xf>
    <xf numFmtId="0" fontId="2" fillId="0" borderId="10" xfId="13" applyFont="1" applyBorder="1" applyAlignment="1" applyProtection="1">
      <alignment vertical="center"/>
      <protection hidden="1"/>
    </xf>
    <xf numFmtId="0" fontId="2" fillId="0" borderId="12" xfId="13" applyFont="1" applyBorder="1" applyAlignment="1" applyProtection="1">
      <alignment horizontal="center" vertical="center"/>
      <protection hidden="1"/>
    </xf>
    <xf numFmtId="0" fontId="2" fillId="0" borderId="12" xfId="13" applyFont="1" applyBorder="1" applyAlignment="1" applyProtection="1">
      <alignment horizontal="right" vertical="center"/>
      <protection hidden="1"/>
    </xf>
    <xf numFmtId="10" fontId="2" fillId="0" borderId="11" xfId="8" applyNumberFormat="1" applyFont="1" applyFill="1" applyBorder="1" applyAlignment="1" applyProtection="1">
      <alignment horizontal="center" vertical="center"/>
      <protection hidden="1"/>
    </xf>
    <xf numFmtId="168" fontId="5" fillId="0" borderId="28" xfId="8" applyNumberFormat="1" applyFont="1" applyFill="1" applyBorder="1" applyAlignment="1" applyProtection="1">
      <alignment horizontal="center" vertical="center"/>
      <protection hidden="1"/>
    </xf>
    <xf numFmtId="0" fontId="2" fillId="0" borderId="18" xfId="13" applyFont="1" applyBorder="1" applyAlignment="1" applyProtection="1">
      <alignment horizontal="center" vertical="center"/>
      <protection hidden="1"/>
    </xf>
    <xf numFmtId="10" fontId="2" fillId="0" borderId="19" xfId="8" applyNumberFormat="1" applyFont="1" applyFill="1" applyBorder="1" applyAlignment="1" applyProtection="1">
      <alignment horizontal="center" vertical="center"/>
      <protection locked="0"/>
    </xf>
    <xf numFmtId="2" fontId="5" fillId="0" borderId="28" xfId="8" applyNumberFormat="1" applyFont="1" applyFill="1" applyBorder="1" applyAlignment="1" applyProtection="1">
      <alignment horizontal="center" vertical="center"/>
      <protection hidden="1"/>
    </xf>
    <xf numFmtId="0" fontId="2" fillId="0" borderId="13" xfId="13" applyFont="1" applyBorder="1" applyAlignment="1" applyProtection="1">
      <alignment horizontal="center" vertical="center"/>
      <protection hidden="1"/>
    </xf>
    <xf numFmtId="0" fontId="2" fillId="0" borderId="14" xfId="13" applyFont="1" applyBorder="1" applyAlignment="1" applyProtection="1">
      <alignment horizontal="center" vertical="center"/>
      <protection hidden="1"/>
    </xf>
    <xf numFmtId="0" fontId="2" fillId="0" borderId="14" xfId="13" applyFont="1" applyBorder="1" applyAlignment="1" applyProtection="1">
      <alignment horizontal="right" vertical="center"/>
      <protection hidden="1"/>
    </xf>
    <xf numFmtId="10" fontId="2" fillId="0" borderId="15" xfId="13" applyNumberFormat="1" applyFont="1" applyBorder="1" applyAlignment="1" applyProtection="1">
      <alignment horizontal="center" vertical="center"/>
      <protection locked="0"/>
    </xf>
    <xf numFmtId="0" fontId="2" fillId="0" borderId="18" xfId="13" applyFont="1" applyBorder="1" applyAlignment="1" applyProtection="1">
      <alignment vertical="center"/>
      <protection hidden="1"/>
    </xf>
    <xf numFmtId="10" fontId="2" fillId="0" borderId="19" xfId="8" applyNumberFormat="1" applyFont="1" applyFill="1" applyBorder="1" applyAlignment="1" applyProtection="1">
      <alignment horizontal="center" vertical="center"/>
      <protection hidden="1"/>
    </xf>
    <xf numFmtId="2" fontId="2" fillId="0" borderId="28" xfId="8" applyNumberFormat="1" applyFont="1" applyFill="1" applyBorder="1" applyAlignment="1" applyProtection="1">
      <alignment horizontal="center" vertical="center"/>
      <protection hidden="1"/>
    </xf>
    <xf numFmtId="10" fontId="2" fillId="0" borderId="19" xfId="8" applyNumberFormat="1" applyFont="1" applyFill="1" applyBorder="1" applyAlignment="1" applyProtection="1">
      <alignment horizontal="center" vertical="center"/>
    </xf>
    <xf numFmtId="10" fontId="2" fillId="0" borderId="15" xfId="8" applyNumberFormat="1" applyFont="1" applyFill="1" applyBorder="1" applyAlignment="1" applyProtection="1">
      <alignment horizontal="center" vertical="center"/>
      <protection hidden="1"/>
    </xf>
    <xf numFmtId="0" fontId="2" fillId="0" borderId="24" xfId="13" applyFont="1" applyBorder="1" applyAlignment="1" applyProtection="1">
      <alignment horizontal="center" vertical="center"/>
      <protection hidden="1"/>
    </xf>
    <xf numFmtId="165" fontId="2" fillId="0" borderId="25" xfId="8" applyFont="1" applyFill="1" applyBorder="1" applyAlignment="1" applyProtection="1">
      <alignment horizontal="center" vertical="center"/>
      <protection hidden="1"/>
    </xf>
    <xf numFmtId="2" fontId="2" fillId="0" borderId="25" xfId="8" applyNumberFormat="1" applyFont="1" applyFill="1" applyBorder="1" applyAlignment="1" applyProtection="1">
      <alignment horizontal="center" vertical="center"/>
      <protection hidden="1"/>
    </xf>
    <xf numFmtId="2" fontId="5" fillId="0" borderId="26" xfId="8" applyNumberFormat="1" applyFont="1" applyFill="1" applyBorder="1" applyAlignment="1" applyProtection="1">
      <alignment horizontal="center" vertical="center"/>
      <protection hidden="1"/>
    </xf>
    <xf numFmtId="0" fontId="2" fillId="0" borderId="25" xfId="13" applyFont="1" applyBorder="1" applyAlignment="1" applyProtection="1">
      <alignment vertical="center"/>
      <protection hidden="1"/>
    </xf>
    <xf numFmtId="2" fontId="2" fillId="0" borderId="25" xfId="13" applyNumberFormat="1" applyFont="1" applyBorder="1" applyAlignment="1" applyProtection="1">
      <alignment horizontal="center" vertical="center"/>
      <protection hidden="1"/>
    </xf>
    <xf numFmtId="2" fontId="2" fillId="0" borderId="26" xfId="13" applyNumberFormat="1" applyFont="1" applyBorder="1" applyAlignment="1" applyProtection="1">
      <alignment horizontal="center" vertical="center"/>
      <protection hidden="1"/>
    </xf>
    <xf numFmtId="0" fontId="2" fillId="0" borderId="22" xfId="13" applyFont="1" applyBorder="1" applyAlignment="1" applyProtection="1">
      <alignment horizontal="center" vertical="center"/>
      <protection hidden="1"/>
    </xf>
    <xf numFmtId="0" fontId="2" fillId="0" borderId="1" xfId="13" applyFont="1" applyBorder="1" applyAlignment="1" applyProtection="1">
      <alignment horizontal="center" vertical="center"/>
      <protection hidden="1"/>
    </xf>
    <xf numFmtId="10" fontId="2" fillId="0" borderId="1" xfId="13" applyNumberFormat="1" applyFont="1" applyBorder="1" applyAlignment="1" applyProtection="1">
      <alignment horizontal="center" vertical="center"/>
      <protection hidden="1"/>
    </xf>
    <xf numFmtId="10" fontId="2" fillId="0" borderId="25" xfId="13" applyNumberFormat="1" applyFont="1" applyBorder="1" applyAlignment="1" applyProtection="1">
      <alignment horizontal="center" vertical="center"/>
      <protection hidden="1"/>
    </xf>
    <xf numFmtId="0" fontId="0" fillId="6" borderId="0" xfId="0" applyFill="1"/>
    <xf numFmtId="0" fontId="17" fillId="0" borderId="0" xfId="14" applyFont="1" applyAlignment="1">
      <alignment horizontal="center"/>
    </xf>
    <xf numFmtId="2" fontId="17" fillId="0" borderId="0" xfId="14" applyNumberFormat="1" applyFont="1" applyAlignment="1">
      <alignment horizontal="center"/>
    </xf>
    <xf numFmtId="10" fontId="3" fillId="0" borderId="1" xfId="2" applyNumberFormat="1" applyFont="1" applyBorder="1" applyAlignment="1">
      <alignment horizontal="center" vertical="center"/>
    </xf>
    <xf numFmtId="0" fontId="0" fillId="0" borderId="0" xfId="0" applyBorder="1"/>
    <xf numFmtId="0" fontId="2" fillId="0" borderId="6" xfId="13" applyFont="1" applyBorder="1" applyAlignment="1" applyProtection="1">
      <alignment horizontal="center" vertical="center"/>
      <protection hidden="1"/>
    </xf>
    <xf numFmtId="0" fontId="5" fillId="3" borderId="1" xfId="5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10" fontId="6" fillId="3" borderId="1" xfId="2" applyNumberFormat="1" applyFont="1" applyFill="1" applyBorder="1" applyAlignment="1">
      <alignment horizontal="center" vertical="center"/>
    </xf>
    <xf numFmtId="10" fontId="6" fillId="3" borderId="1" xfId="2" applyNumberFormat="1" applyFont="1" applyFill="1" applyBorder="1" applyAlignment="1">
      <alignment horizontal="center"/>
    </xf>
    <xf numFmtId="0" fontId="3" fillId="0" borderId="1" xfId="14" applyFont="1" applyBorder="1" applyAlignment="1">
      <alignment horizontal="center" vertical="center"/>
    </xf>
    <xf numFmtId="0" fontId="6" fillId="3" borderId="1" xfId="14" applyFont="1" applyFill="1" applyBorder="1" applyAlignment="1">
      <alignment horizontal="center"/>
    </xf>
    <xf numFmtId="10" fontId="5" fillId="3" borderId="1" xfId="2" applyNumberFormat="1" applyFont="1" applyFill="1" applyBorder="1" applyAlignment="1">
      <alignment horizontal="center"/>
    </xf>
    <xf numFmtId="0" fontId="5" fillId="0" borderId="13" xfId="6" applyFont="1" applyBorder="1" applyAlignment="1">
      <alignment horizontal="left"/>
    </xf>
    <xf numFmtId="0" fontId="5" fillId="0" borderId="19" xfId="6" applyFont="1" applyBorder="1" applyAlignment="1">
      <alignment horizontal="left"/>
    </xf>
    <xf numFmtId="0" fontId="5" fillId="0" borderId="18" xfId="6" applyFont="1" applyBorder="1" applyAlignment="1">
      <alignment horizontal="left"/>
    </xf>
    <xf numFmtId="43" fontId="3" fillId="4" borderId="1" xfId="10" applyFont="1" applyFill="1" applyBorder="1" applyAlignment="1">
      <alignment vertical="center"/>
    </xf>
    <xf numFmtId="0" fontId="3" fillId="4" borderId="29" xfId="4" applyFont="1" applyFill="1" applyBorder="1" applyAlignment="1">
      <alignment horizontal="left" vertical="center"/>
    </xf>
    <xf numFmtId="170" fontId="2" fillId="0" borderId="1" xfId="7" applyNumberFormat="1" applyFont="1" applyFill="1" applyBorder="1" applyAlignment="1" applyProtection="1">
      <alignment horizontal="right"/>
    </xf>
    <xf numFmtId="2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/>
    <xf numFmtId="0" fontId="22" fillId="5" borderId="0" xfId="0" applyFont="1" applyFill="1" applyAlignment="1">
      <alignment horizontal="center" vertical="top" wrapText="1"/>
    </xf>
    <xf numFmtId="0" fontId="22" fillId="5" borderId="0" xfId="0" applyFont="1" applyFill="1" applyAlignment="1">
      <alignment horizontal="left" vertical="top" wrapText="1"/>
    </xf>
    <xf numFmtId="0" fontId="23" fillId="5" borderId="1" xfId="0" applyFont="1" applyFill="1" applyBorder="1" applyAlignment="1">
      <alignment vertical="top" wrapText="1"/>
    </xf>
    <xf numFmtId="4" fontId="23" fillId="5" borderId="1" xfId="0" applyNumberFormat="1" applyFont="1" applyFill="1" applyBorder="1" applyAlignment="1">
      <alignment vertical="top" wrapText="1"/>
    </xf>
    <xf numFmtId="43" fontId="0" fillId="0" borderId="0" xfId="1" applyFont="1"/>
    <xf numFmtId="0" fontId="23" fillId="5" borderId="0" xfId="0" applyFont="1" applyFill="1" applyAlignment="1">
      <alignment horizontal="center" vertical="top" wrapText="1"/>
    </xf>
    <xf numFmtId="0" fontId="0" fillId="0" borderId="0" xfId="0" applyAlignment="1"/>
    <xf numFmtId="0" fontId="22" fillId="5" borderId="0" xfId="0" applyFont="1" applyFill="1" applyAlignment="1">
      <alignment vertical="top" wrapText="1"/>
    </xf>
    <xf numFmtId="0" fontId="5" fillId="0" borderId="0" xfId="13" applyFont="1" applyBorder="1" applyAlignment="1" applyProtection="1">
      <alignment horizontal="center" vertical="center"/>
      <protection hidden="1"/>
    </xf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12" fillId="0" borderId="13" xfId="13" applyFont="1" applyBorder="1" applyAlignment="1" applyProtection="1">
      <alignment horizontal="center" vertical="center"/>
      <protection hidden="1"/>
    </xf>
    <xf numFmtId="0" fontId="12" fillId="0" borderId="14" xfId="13" applyFont="1" applyBorder="1" applyAlignment="1" applyProtection="1">
      <alignment horizontal="center" vertical="center"/>
      <protection hidden="1"/>
    </xf>
    <xf numFmtId="0" fontId="12" fillId="0" borderId="15" xfId="13" applyFont="1" applyBorder="1" applyAlignment="1" applyProtection="1">
      <alignment horizontal="center" vertical="center"/>
      <protection hidden="1"/>
    </xf>
    <xf numFmtId="0" fontId="0" fillId="0" borderId="0" xfId="0"/>
    <xf numFmtId="0" fontId="3" fillId="4" borderId="1" xfId="4" applyFont="1" applyFill="1" applyBorder="1" applyAlignment="1">
      <alignment vertical="center" wrapText="1"/>
    </xf>
    <xf numFmtId="0" fontId="3" fillId="4" borderId="7" xfId="4" applyFont="1" applyFill="1" applyBorder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166" fontId="5" fillId="0" borderId="1" xfId="7" applyNumberFormat="1" applyFont="1" applyFill="1" applyBorder="1" applyAlignment="1" applyProtection="1">
      <alignment horizontal="right"/>
    </xf>
    <xf numFmtId="0" fontId="0" fillId="0" borderId="0" xfId="0"/>
    <xf numFmtId="0" fontId="20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right" vertical="top" wrapText="1"/>
    </xf>
    <xf numFmtId="0" fontId="21" fillId="4" borderId="1" xfId="0" applyFont="1" applyFill="1" applyBorder="1" applyAlignment="1">
      <alignment horizontal="left" vertical="top" wrapText="1"/>
    </xf>
    <xf numFmtId="4" fontId="21" fillId="4" borderId="1" xfId="0" applyNumberFormat="1" applyFont="1" applyFill="1" applyBorder="1" applyAlignment="1">
      <alignment horizontal="right" vertical="top" wrapText="1"/>
    </xf>
    <xf numFmtId="171" fontId="21" fillId="4" borderId="1" xfId="0" applyNumberFormat="1" applyFont="1" applyFill="1" applyBorder="1" applyAlignment="1">
      <alignment horizontal="right" vertical="top" wrapText="1"/>
    </xf>
    <xf numFmtId="0" fontId="20" fillId="4" borderId="1" xfId="0" applyFont="1" applyFill="1" applyBorder="1" applyAlignment="1">
      <alignment horizontal="center" vertical="top" wrapText="1"/>
    </xf>
    <xf numFmtId="43" fontId="20" fillId="4" borderId="1" xfId="1" applyFont="1" applyFill="1" applyBorder="1" applyAlignment="1">
      <alignment horizontal="right" vertical="top" wrapText="1"/>
    </xf>
    <xf numFmtId="43" fontId="21" fillId="4" borderId="1" xfId="1" applyFont="1" applyFill="1" applyBorder="1" applyAlignment="1">
      <alignment horizontal="right" vertical="top" wrapText="1"/>
    </xf>
    <xf numFmtId="0" fontId="24" fillId="4" borderId="1" xfId="0" applyFont="1" applyFill="1" applyBorder="1" applyAlignment="1">
      <alignment horizontal="left" vertical="top" wrapText="1"/>
    </xf>
    <xf numFmtId="0" fontId="24" fillId="4" borderId="1" xfId="0" applyFont="1" applyFill="1" applyBorder="1" applyAlignment="1">
      <alignment horizontal="right" vertical="top" wrapText="1"/>
    </xf>
    <xf numFmtId="0" fontId="24" fillId="4" borderId="1" xfId="0" applyFont="1" applyFill="1" applyBorder="1" applyAlignment="1">
      <alignment horizontal="center" vertical="top" wrapText="1"/>
    </xf>
    <xf numFmtId="43" fontId="24" fillId="4" borderId="1" xfId="1" applyFont="1" applyFill="1" applyBorder="1" applyAlignment="1">
      <alignment horizontal="right" vertical="top" wrapText="1"/>
    </xf>
    <xf numFmtId="4" fontId="24" fillId="4" borderId="1" xfId="0" applyNumberFormat="1" applyFont="1" applyFill="1" applyBorder="1" applyAlignment="1">
      <alignment horizontal="right" vertical="top" wrapText="1"/>
    </xf>
    <xf numFmtId="0" fontId="23" fillId="5" borderId="11" xfId="0" applyFont="1" applyFill="1" applyBorder="1" applyAlignment="1">
      <alignment horizontal="left" vertical="top" wrapText="1"/>
    </xf>
    <xf numFmtId="0" fontId="23" fillId="5" borderId="19" xfId="0" applyFont="1" applyFill="1" applyBorder="1" applyAlignment="1">
      <alignment horizontal="left" vertical="top" wrapText="1"/>
    </xf>
    <xf numFmtId="0" fontId="23" fillId="5" borderId="15" xfId="0" applyFont="1" applyFill="1" applyBorder="1" applyAlignment="1">
      <alignment horizontal="left" vertical="top" wrapText="1"/>
    </xf>
    <xf numFmtId="0" fontId="0" fillId="4" borderId="0" xfId="0" applyFill="1"/>
    <xf numFmtId="0" fontId="0" fillId="0" borderId="0" xfId="0" applyAlignment="1">
      <alignment vertical="center"/>
    </xf>
    <xf numFmtId="0" fontId="21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  <xf numFmtId="0" fontId="23" fillId="5" borderId="0" xfId="0" applyFont="1" applyFill="1" applyAlignment="1">
      <alignment horizontal="right" vertical="top" wrapText="1"/>
    </xf>
    <xf numFmtId="0" fontId="22" fillId="4" borderId="0" xfId="0" applyFont="1" applyFill="1" applyAlignment="1">
      <alignment horizontal="center" vertical="top" wrapText="1"/>
    </xf>
    <xf numFmtId="0" fontId="22" fillId="4" borderId="0" xfId="0" applyFont="1" applyFill="1" applyAlignment="1">
      <alignment horizontal="left" vertical="top" wrapText="1"/>
    </xf>
    <xf numFmtId="43" fontId="22" fillId="4" borderId="0" xfId="1" applyFont="1" applyFill="1" applyAlignment="1">
      <alignment horizontal="center" vertical="top" wrapText="1"/>
    </xf>
    <xf numFmtId="0" fontId="23" fillId="4" borderId="0" xfId="0" applyFont="1" applyFill="1" applyAlignment="1">
      <alignment horizontal="right" vertical="top" wrapText="1"/>
    </xf>
    <xf numFmtId="0" fontId="5" fillId="3" borderId="1" xfId="14" applyFont="1" applyFill="1" applyBorder="1" applyAlignment="1">
      <alignment horizontal="center" vertical="center"/>
    </xf>
    <xf numFmtId="0" fontId="6" fillId="3" borderId="1" xfId="14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left" vertical="top" wrapText="1"/>
    </xf>
    <xf numFmtId="0" fontId="21" fillId="4" borderId="7" xfId="0" applyFont="1" applyFill="1" applyBorder="1" applyAlignment="1">
      <alignment horizontal="left" vertical="top" wrapText="1"/>
    </xf>
    <xf numFmtId="0" fontId="2" fillId="0" borderId="1" xfId="5" applyFont="1" applyBorder="1" applyAlignment="1">
      <alignment horizontal="left"/>
    </xf>
    <xf numFmtId="0" fontId="2" fillId="0" borderId="7" xfId="6" applyFont="1" applyBorder="1" applyAlignment="1">
      <alignment horizontal="left"/>
    </xf>
    <xf numFmtId="0" fontId="2" fillId="0" borderId="1" xfId="6" applyFont="1" applyBorder="1" applyAlignment="1">
      <alignment horizontal="left"/>
    </xf>
    <xf numFmtId="0" fontId="2" fillId="0" borderId="9" xfId="6" applyFont="1" applyBorder="1" applyAlignment="1">
      <alignment horizontal="left"/>
    </xf>
    <xf numFmtId="0" fontId="5" fillId="0" borderId="1" xfId="6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7" borderId="0" xfId="0" applyFill="1"/>
    <xf numFmtId="2" fontId="0" fillId="0" borderId="0" xfId="0" applyNumberFormat="1"/>
    <xf numFmtId="164" fontId="0" fillId="0" borderId="0" xfId="0" applyNumberFormat="1"/>
    <xf numFmtId="10" fontId="0" fillId="0" borderId="32" xfId="0" applyNumberFormat="1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>
      <alignment horizontal="left" vertical="top" wrapText="1"/>
    </xf>
    <xf numFmtId="0" fontId="20" fillId="0" borderId="20" xfId="0" applyFont="1" applyFill="1" applyBorder="1" applyAlignment="1">
      <alignment horizontal="right" vertical="top" wrapText="1"/>
    </xf>
    <xf numFmtId="0" fontId="20" fillId="0" borderId="20" xfId="0" applyFont="1" applyFill="1" applyBorder="1" applyAlignment="1">
      <alignment horizontal="center" vertical="top" wrapText="1"/>
    </xf>
    <xf numFmtId="0" fontId="0" fillId="0" borderId="0" xfId="0" applyFill="1"/>
    <xf numFmtId="0" fontId="24" fillId="0" borderId="20" xfId="0" applyFont="1" applyFill="1" applyBorder="1" applyAlignment="1">
      <alignment horizontal="left" vertical="top" wrapText="1"/>
    </xf>
    <xf numFmtId="0" fontId="24" fillId="0" borderId="20" xfId="0" applyFont="1" applyFill="1" applyBorder="1" applyAlignment="1">
      <alignment horizontal="right" vertical="top" wrapText="1"/>
    </xf>
    <xf numFmtId="0" fontId="24" fillId="0" borderId="20" xfId="0" applyFont="1" applyFill="1" applyBorder="1" applyAlignment="1">
      <alignment horizontal="center" vertical="top" wrapText="1"/>
    </xf>
    <xf numFmtId="172" fontId="24" fillId="0" borderId="20" xfId="0" applyNumberFormat="1" applyFont="1" applyFill="1" applyBorder="1" applyAlignment="1">
      <alignment horizontal="right" vertical="top" wrapText="1"/>
    </xf>
    <xf numFmtId="4" fontId="24" fillId="0" borderId="20" xfId="25" applyNumberFormat="1" applyFont="1" applyFill="1" applyBorder="1" applyAlignment="1">
      <alignment horizontal="right" vertical="top" wrapText="1"/>
    </xf>
    <xf numFmtId="0" fontId="22" fillId="0" borderId="20" xfId="0" applyFont="1" applyFill="1" applyBorder="1" applyAlignment="1">
      <alignment horizontal="left" vertical="top" wrapText="1"/>
    </xf>
    <xf numFmtId="0" fontId="22" fillId="0" borderId="20" xfId="0" applyFont="1" applyFill="1" applyBorder="1" applyAlignment="1">
      <alignment horizontal="right" vertical="top" wrapText="1"/>
    </xf>
    <xf numFmtId="0" fontId="22" fillId="0" borderId="20" xfId="0" applyFont="1" applyFill="1" applyBorder="1" applyAlignment="1">
      <alignment horizontal="center" vertical="top" wrapText="1"/>
    </xf>
    <xf numFmtId="172" fontId="22" fillId="0" borderId="20" xfId="0" applyNumberFormat="1" applyFont="1" applyFill="1" applyBorder="1" applyAlignment="1">
      <alignment horizontal="right" vertical="top" wrapText="1"/>
    </xf>
    <xf numFmtId="4" fontId="22" fillId="0" borderId="20" xfId="25" applyNumberFormat="1" applyFont="1" applyFill="1" applyBorder="1" applyAlignment="1">
      <alignment horizontal="right" vertical="top" wrapText="1"/>
    </xf>
    <xf numFmtId="0" fontId="22" fillId="0" borderId="0" xfId="0" applyFont="1" applyFill="1" applyAlignment="1">
      <alignment horizontal="right" vertical="top" wrapText="1"/>
    </xf>
    <xf numFmtId="0" fontId="22" fillId="0" borderId="0" xfId="25" applyFont="1" applyFill="1" applyAlignment="1">
      <alignment horizontal="right" vertical="top" wrapText="1"/>
    </xf>
    <xf numFmtId="4" fontId="22" fillId="0" borderId="0" xfId="25" applyNumberFormat="1" applyFont="1" applyFill="1" applyAlignment="1">
      <alignment horizontal="right" vertical="top" wrapText="1"/>
    </xf>
    <xf numFmtId="0" fontId="24" fillId="0" borderId="31" xfId="0" applyFont="1" applyFill="1" applyBorder="1" applyAlignment="1">
      <alignment horizontal="left" vertical="top" wrapText="1"/>
    </xf>
    <xf numFmtId="0" fontId="24" fillId="0" borderId="20" xfId="25" applyFont="1" applyFill="1" applyBorder="1" applyAlignment="1">
      <alignment horizontal="right" vertical="top" wrapText="1"/>
    </xf>
    <xf numFmtId="0" fontId="24" fillId="0" borderId="20" xfId="25" applyFont="1" applyFill="1" applyBorder="1" applyAlignment="1">
      <alignment horizontal="center" vertical="top" wrapText="1"/>
    </xf>
    <xf numFmtId="172" fontId="24" fillId="0" borderId="20" xfId="25" applyNumberFormat="1" applyFont="1" applyFill="1" applyBorder="1" applyAlignment="1">
      <alignment horizontal="right" vertical="top" wrapText="1"/>
    </xf>
    <xf numFmtId="0" fontId="22" fillId="0" borderId="20" xfId="25" applyFont="1" applyFill="1" applyBorder="1" applyAlignment="1">
      <alignment horizontal="right" vertical="top" wrapText="1"/>
    </xf>
    <xf numFmtId="172" fontId="22" fillId="0" borderId="20" xfId="25" applyNumberFormat="1" applyFont="1" applyFill="1" applyBorder="1" applyAlignment="1">
      <alignment horizontal="right" vertical="top" wrapText="1"/>
    </xf>
    <xf numFmtId="173" fontId="23" fillId="0" borderId="0" xfId="25" applyNumberFormat="1" applyFont="1" applyFill="1" applyAlignment="1">
      <alignment horizontal="right" vertical="top" wrapText="1"/>
    </xf>
    <xf numFmtId="0" fontId="22" fillId="0" borderId="20" xfId="25" applyFont="1" applyFill="1" applyBorder="1" applyAlignment="1">
      <alignment horizontal="center" vertical="top" wrapText="1"/>
    </xf>
    <xf numFmtId="4" fontId="24" fillId="0" borderId="20" xfId="0" applyNumberFormat="1" applyFont="1" applyFill="1" applyBorder="1" applyAlignment="1">
      <alignment horizontal="right" vertical="top" wrapText="1"/>
    </xf>
    <xf numFmtId="173" fontId="22" fillId="0" borderId="20" xfId="0" applyNumberFormat="1" applyFont="1" applyFill="1" applyBorder="1" applyAlignment="1">
      <alignment horizontal="right" vertical="top" wrapText="1"/>
    </xf>
    <xf numFmtId="173" fontId="23" fillId="0" borderId="0" xfId="0" applyNumberFormat="1" applyFont="1" applyFill="1" applyAlignment="1">
      <alignment horizontal="right" vertical="top" wrapText="1"/>
    </xf>
    <xf numFmtId="4" fontId="22" fillId="0" borderId="0" xfId="0" applyNumberFormat="1" applyFont="1" applyFill="1" applyAlignment="1">
      <alignment horizontal="right" vertical="top" wrapText="1"/>
    </xf>
    <xf numFmtId="44" fontId="21" fillId="8" borderId="1" xfId="24" applyFont="1" applyFill="1" applyBorder="1" applyAlignment="1">
      <alignment horizontal="right" vertical="top" wrapText="1"/>
    </xf>
    <xf numFmtId="4" fontId="0" fillId="0" borderId="0" xfId="0" applyNumberFormat="1"/>
    <xf numFmtId="10" fontId="21" fillId="8" borderId="1" xfId="2" applyNumberFormat="1" applyFont="1" applyFill="1" applyBorder="1" applyAlignment="1">
      <alignment horizontal="right" vertical="top" wrapText="1"/>
    </xf>
    <xf numFmtId="10" fontId="24" fillId="4" borderId="1" xfId="2" applyNumberFormat="1" applyFont="1" applyFill="1" applyBorder="1" applyAlignment="1">
      <alignment horizontal="right" vertical="top" wrapText="1"/>
    </xf>
    <xf numFmtId="4" fontId="25" fillId="0" borderId="0" xfId="0" applyNumberFormat="1" applyFont="1"/>
    <xf numFmtId="10" fontId="0" fillId="0" borderId="0" xfId="0" applyNumberFormat="1"/>
    <xf numFmtId="10" fontId="25" fillId="0" borderId="0" xfId="0" applyNumberFormat="1" applyFont="1"/>
    <xf numFmtId="4" fontId="23" fillId="5" borderId="0" xfId="0" applyNumberFormat="1" applyFont="1" applyFill="1" applyAlignment="1">
      <alignment horizontal="center" vertical="top" wrapText="1"/>
    </xf>
    <xf numFmtId="4" fontId="25" fillId="0" borderId="0" xfId="0" applyNumberFormat="1" applyFont="1" applyAlignment="1"/>
    <xf numFmtId="44" fontId="21" fillId="4" borderId="7" xfId="24" applyFont="1" applyFill="1" applyBorder="1" applyAlignment="1">
      <alignment horizontal="left" vertical="top" wrapText="1"/>
    </xf>
    <xf numFmtId="44" fontId="24" fillId="4" borderId="1" xfId="24" applyFont="1" applyFill="1" applyBorder="1" applyAlignment="1">
      <alignment horizontal="right" vertical="top" wrapText="1"/>
    </xf>
    <xf numFmtId="44" fontId="23" fillId="5" borderId="1" xfId="0" applyNumberFormat="1" applyFont="1" applyFill="1" applyBorder="1" applyAlignment="1">
      <alignment horizontal="right" vertical="top" wrapText="1"/>
    </xf>
    <xf numFmtId="44" fontId="25" fillId="0" borderId="0" xfId="0" applyNumberFormat="1" applyFont="1" applyAlignment="1"/>
    <xf numFmtId="10" fontId="23" fillId="5" borderId="1" xfId="2" applyNumberFormat="1" applyFont="1" applyFill="1" applyBorder="1" applyAlignment="1">
      <alignment horizontal="right" vertical="top" wrapText="1"/>
    </xf>
    <xf numFmtId="0" fontId="21" fillId="4" borderId="11" xfId="0" applyFont="1" applyFill="1" applyBorder="1" applyAlignment="1">
      <alignment horizontal="left" vertical="top" wrapText="1"/>
    </xf>
    <xf numFmtId="44" fontId="21" fillId="4" borderId="11" xfId="24" applyFont="1" applyFill="1" applyBorder="1" applyAlignment="1">
      <alignment horizontal="left" vertical="top" wrapText="1"/>
    </xf>
    <xf numFmtId="4" fontId="23" fillId="5" borderId="15" xfId="0" applyNumberFormat="1" applyFont="1" applyFill="1" applyBorder="1" applyAlignment="1">
      <alignment horizontal="center" vertical="top" wrapText="1"/>
    </xf>
    <xf numFmtId="0" fontId="2" fillId="0" borderId="1" xfId="6" applyFont="1" applyFill="1" applyBorder="1" applyAlignment="1">
      <alignment horizontal="left"/>
    </xf>
    <xf numFmtId="0" fontId="5" fillId="0" borderId="1" xfId="5" applyFont="1" applyFill="1" applyBorder="1" applyAlignment="1">
      <alignment horizontal="left"/>
    </xf>
    <xf numFmtId="0" fontId="5" fillId="0" borderId="1" xfId="6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2" fontId="3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6" fillId="3" borderId="1" xfId="4" applyFont="1" applyFill="1" applyBorder="1" applyAlignment="1">
      <alignment horizontal="center" vertical="center" wrapText="1"/>
    </xf>
    <xf numFmtId="2" fontId="5" fillId="0" borderId="1" xfId="3" applyNumberFormat="1" applyFont="1" applyFill="1" applyBorder="1" applyAlignment="1">
      <alignment horizontal="right" vertical="center" wrapText="1"/>
    </xf>
    <xf numFmtId="166" fontId="5" fillId="0" borderId="12" xfId="7" applyFont="1" applyFill="1" applyBorder="1" applyAlignment="1" applyProtection="1">
      <alignment horizontal="right"/>
    </xf>
    <xf numFmtId="166" fontId="5" fillId="0" borderId="0" xfId="7" applyFont="1" applyFill="1" applyBorder="1" applyAlignment="1" applyProtection="1">
      <alignment horizontal="right"/>
    </xf>
    <xf numFmtId="166" fontId="5" fillId="0" borderId="14" xfId="7" applyFont="1" applyFill="1" applyBorder="1" applyAlignment="1" applyProtection="1">
      <alignment horizontal="right"/>
    </xf>
    <xf numFmtId="4" fontId="2" fillId="0" borderId="1" xfId="5" applyNumberFormat="1" applyFont="1" applyFill="1" applyBorder="1" applyAlignment="1">
      <alignment horizontal="right"/>
    </xf>
    <xf numFmtId="0" fontId="25" fillId="0" borderId="0" xfId="0" applyFont="1"/>
    <xf numFmtId="43" fontId="0" fillId="0" borderId="0" xfId="0" applyNumberFormat="1" applyAlignment="1">
      <alignment vertical="center"/>
    </xf>
    <xf numFmtId="43" fontId="25" fillId="0" borderId="0" xfId="0" applyNumberFormat="1" applyFont="1" applyAlignment="1">
      <alignment vertical="center"/>
    </xf>
    <xf numFmtId="0" fontId="24" fillId="0" borderId="20" xfId="25" applyFont="1" applyFill="1" applyBorder="1" applyAlignment="1">
      <alignment horizontal="left" vertical="top" wrapText="1"/>
    </xf>
    <xf numFmtId="0" fontId="20" fillId="0" borderId="20" xfId="25" applyFont="1" applyFill="1" applyBorder="1" applyAlignment="1">
      <alignment horizontal="right" vertical="top" wrapText="1"/>
    </xf>
    <xf numFmtId="0" fontId="22" fillId="0" borderId="0" xfId="25" applyFont="1" applyFill="1" applyAlignment="1">
      <alignment horizontal="right" vertical="top" wrapText="1"/>
    </xf>
    <xf numFmtId="0" fontId="20" fillId="0" borderId="20" xfId="0" applyFont="1" applyFill="1" applyBorder="1" applyAlignment="1">
      <alignment horizontal="left" vertical="top" wrapText="1"/>
    </xf>
    <xf numFmtId="0" fontId="22" fillId="0" borderId="20" xfId="25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right" vertical="top" wrapText="1"/>
    </xf>
    <xf numFmtId="0" fontId="20" fillId="0" borderId="20" xfId="0" applyFont="1" applyFill="1" applyBorder="1" applyAlignment="1">
      <alignment horizontal="right" vertical="top" wrapText="1"/>
    </xf>
    <xf numFmtId="0" fontId="24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center" vertical="top" wrapText="1"/>
    </xf>
    <xf numFmtId="43" fontId="24" fillId="0" borderId="1" xfId="1" applyFont="1" applyFill="1" applyBorder="1" applyAlignment="1">
      <alignment horizontal="right" vertical="top" wrapText="1"/>
    </xf>
    <xf numFmtId="4" fontId="22" fillId="0" borderId="0" xfId="25" applyNumberFormat="1" applyFont="1" applyFill="1" applyBorder="1" applyAlignment="1">
      <alignment horizontal="right" vertical="top" wrapText="1"/>
    </xf>
    <xf numFmtId="0" fontId="24" fillId="0" borderId="1" xfId="0" applyFont="1" applyFill="1" applyBorder="1" applyAlignment="1">
      <alignment horizontal="right" vertical="top" wrapText="1"/>
    </xf>
    <xf numFmtId="4" fontId="24" fillId="0" borderId="1" xfId="0" applyNumberFormat="1" applyFont="1" applyFill="1" applyBorder="1" applyAlignment="1">
      <alignment horizontal="right" vertical="top" wrapText="1"/>
    </xf>
    <xf numFmtId="10" fontId="24" fillId="0" borderId="1" xfId="2" applyNumberFormat="1" applyFont="1" applyFill="1" applyBorder="1" applyAlignment="1">
      <alignment horizontal="right" vertical="top" wrapText="1"/>
    </xf>
    <xf numFmtId="0" fontId="22" fillId="0" borderId="0" xfId="25" applyFont="1" applyFill="1" applyBorder="1" applyAlignment="1">
      <alignment horizontal="left" vertical="top" wrapText="1"/>
    </xf>
    <xf numFmtId="0" fontId="22" fillId="0" borderId="0" xfId="25" applyFont="1" applyFill="1" applyBorder="1" applyAlignment="1">
      <alignment horizontal="right" vertical="top" wrapText="1"/>
    </xf>
    <xf numFmtId="172" fontId="22" fillId="0" borderId="0" xfId="25" applyNumberFormat="1" applyFont="1" applyFill="1" applyBorder="1" applyAlignment="1">
      <alignment horizontal="right" vertical="top" wrapText="1"/>
    </xf>
    <xf numFmtId="173" fontId="22" fillId="0" borderId="0" xfId="25" applyNumberFormat="1" applyFont="1" applyFill="1" applyBorder="1" applyAlignment="1">
      <alignment horizontal="right" vertical="top" wrapText="1"/>
    </xf>
    <xf numFmtId="0" fontId="0" fillId="4" borderId="21" xfId="0" applyFill="1" applyBorder="1"/>
    <xf numFmtId="0" fontId="0" fillId="4" borderId="22" xfId="0" applyFill="1" applyBorder="1"/>
    <xf numFmtId="0" fontId="9" fillId="6" borderId="29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center" vertical="center"/>
    </xf>
    <xf numFmtId="0" fontId="9" fillId="0" borderId="27" xfId="0" applyFont="1" applyBorder="1"/>
    <xf numFmtId="0" fontId="28" fillId="4" borderId="0" xfId="0" applyFont="1" applyFill="1" applyAlignment="1">
      <alignment horizontal="center"/>
    </xf>
    <xf numFmtId="0" fontId="0" fillId="4" borderId="28" xfId="0" applyFill="1" applyBorder="1"/>
    <xf numFmtId="0" fontId="9" fillId="6" borderId="40" xfId="0" applyFont="1" applyFill="1" applyBorder="1"/>
    <xf numFmtId="174" fontId="0" fillId="4" borderId="0" xfId="0" applyNumberFormat="1" applyFill="1"/>
    <xf numFmtId="0" fontId="0" fillId="4" borderId="27" xfId="0" applyFill="1" applyBorder="1"/>
    <xf numFmtId="0" fontId="9" fillId="6" borderId="29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9" fontId="9" fillId="6" borderId="1" xfId="0" applyNumberFormat="1" applyFont="1" applyFill="1" applyBorder="1" applyAlignment="1">
      <alignment horizontal="center"/>
    </xf>
    <xf numFmtId="44" fontId="9" fillId="9" borderId="42" xfId="0" applyNumberFormat="1" applyFont="1" applyFill="1" applyBorder="1" applyAlignment="1">
      <alignment horizontal="left"/>
    </xf>
    <xf numFmtId="10" fontId="0" fillId="9" borderId="39" xfId="0" applyNumberFormat="1" applyFill="1" applyBorder="1" applyAlignment="1">
      <alignment horizontal="center" vertical="center"/>
    </xf>
    <xf numFmtId="0" fontId="0" fillId="4" borderId="0" xfId="0" applyFill="1" applyAlignment="1">
      <alignment horizontal="right"/>
    </xf>
    <xf numFmtId="174" fontId="0" fillId="0" borderId="0" xfId="0" applyNumberFormat="1" applyFill="1" applyBorder="1" applyAlignment="1">
      <alignment horizontal="right"/>
    </xf>
    <xf numFmtId="174" fontId="0" fillId="0" borderId="0" xfId="0" applyNumberForma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4" fontId="9" fillId="6" borderId="7" xfId="0" applyNumberFormat="1" applyFont="1" applyFill="1" applyBorder="1" applyAlignment="1">
      <alignment horizontal="left"/>
    </xf>
    <xf numFmtId="49" fontId="0" fillId="4" borderId="39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4" fontId="9" fillId="0" borderId="41" xfId="0" applyNumberFormat="1" applyFont="1" applyFill="1" applyBorder="1"/>
    <xf numFmtId="10" fontId="0" fillId="9" borderId="1" xfId="2" applyNumberFormat="1" applyFont="1" applyFill="1" applyBorder="1" applyAlignment="1">
      <alignment horizontal="center"/>
    </xf>
    <xf numFmtId="10" fontId="0" fillId="0" borderId="1" xfId="2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4" fontId="24" fillId="9" borderId="20" xfId="25" applyNumberFormat="1" applyFont="1" applyFill="1" applyBorder="1" applyAlignment="1">
      <alignment horizontal="right" vertical="top" wrapText="1"/>
    </xf>
    <xf numFmtId="0" fontId="0" fillId="9" borderId="0" xfId="0" applyFill="1"/>
    <xf numFmtId="172" fontId="22" fillId="9" borderId="20" xfId="0" applyNumberFormat="1" applyFont="1" applyFill="1" applyBorder="1" applyAlignment="1">
      <alignment horizontal="right" vertical="top" wrapText="1"/>
    </xf>
    <xf numFmtId="4" fontId="22" fillId="9" borderId="20" xfId="25" applyNumberFormat="1" applyFont="1" applyFill="1" applyBorder="1" applyAlignment="1">
      <alignment horizontal="right" vertical="top" wrapText="1"/>
    </xf>
    <xf numFmtId="4" fontId="24" fillId="9" borderId="1" xfId="0" applyNumberFormat="1" applyFont="1" applyFill="1" applyBorder="1" applyAlignment="1">
      <alignment horizontal="right" vertical="top" wrapText="1"/>
    </xf>
    <xf numFmtId="0" fontId="21" fillId="0" borderId="1" xfId="0" applyFont="1" applyFill="1" applyBorder="1" applyAlignment="1">
      <alignment horizontal="left" vertical="top" wrapText="1"/>
    </xf>
    <xf numFmtId="10" fontId="0" fillId="0" borderId="0" xfId="0" applyNumberFormat="1" applyAlignment="1">
      <alignment vertical="center"/>
    </xf>
    <xf numFmtId="171" fontId="25" fillId="0" borderId="0" xfId="0" applyNumberFormat="1" applyFont="1"/>
    <xf numFmtId="44" fontId="25" fillId="0" borderId="0" xfId="24" applyFont="1"/>
    <xf numFmtId="164" fontId="5" fillId="0" borderId="1" xfId="3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6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5" fillId="0" borderId="1" xfId="6" applyFont="1" applyBorder="1" applyAlignment="1">
      <alignment horizontal="left"/>
    </xf>
    <xf numFmtId="0" fontId="22" fillId="0" borderId="20" xfId="0" applyFont="1" applyFill="1" applyBorder="1" applyAlignment="1">
      <alignment horizontal="left" vertical="top" wrapText="1"/>
    </xf>
    <xf numFmtId="0" fontId="24" fillId="0" borderId="20" xfId="0" applyFont="1" applyFill="1" applyBorder="1" applyAlignment="1">
      <alignment horizontal="left" vertical="top" wrapText="1"/>
    </xf>
    <xf numFmtId="176" fontId="5" fillId="0" borderId="1" xfId="1" applyNumberFormat="1" applyFont="1" applyFill="1" applyBorder="1" applyAlignment="1">
      <alignment horizontal="right" vertical="center"/>
    </xf>
    <xf numFmtId="164" fontId="3" fillId="0" borderId="1" xfId="0" applyNumberFormat="1" applyFont="1" applyBorder="1"/>
    <xf numFmtId="167" fontId="3" fillId="9" borderId="1" xfId="10" applyNumberFormat="1" applyFont="1" applyFill="1" applyBorder="1" applyAlignment="1">
      <alignment vertical="center"/>
    </xf>
    <xf numFmtId="0" fontId="2" fillId="0" borderId="1" xfId="5" applyFont="1" applyBorder="1" applyAlignment="1">
      <alignment horizontal="left"/>
    </xf>
    <xf numFmtId="0" fontId="22" fillId="0" borderId="0" xfId="25" applyFont="1" applyFill="1" applyAlignment="1">
      <alignment horizontal="right" vertical="top" wrapText="1"/>
    </xf>
    <xf numFmtId="43" fontId="8" fillId="0" borderId="0" xfId="5" applyNumberFormat="1" applyFont="1"/>
    <xf numFmtId="166" fontId="8" fillId="0" borderId="0" xfId="5" applyNumberFormat="1" applyFont="1"/>
    <xf numFmtId="0" fontId="8" fillId="0" borderId="0" xfId="5" applyFont="1" applyAlignment="1">
      <alignment horizontal="center"/>
    </xf>
    <xf numFmtId="43" fontId="25" fillId="0" borderId="0" xfId="0" applyNumberFormat="1" applyFont="1"/>
    <xf numFmtId="4" fontId="8" fillId="0" borderId="0" xfId="5" applyNumberFormat="1" applyFont="1"/>
    <xf numFmtId="177" fontId="0" fillId="0" borderId="0" xfId="0" applyNumberFormat="1"/>
    <xf numFmtId="177" fontId="25" fillId="0" borderId="0" xfId="0" applyNumberFormat="1" applyFont="1"/>
    <xf numFmtId="172" fontId="29" fillId="9" borderId="20" xfId="0" applyNumberFormat="1" applyFont="1" applyFill="1" applyBorder="1" applyAlignment="1">
      <alignment horizontal="right" vertical="top" wrapText="1"/>
    </xf>
    <xf numFmtId="0" fontId="22" fillId="0" borderId="0" xfId="25" applyFont="1" applyFill="1" applyAlignment="1">
      <alignment horizontal="right" vertical="top" wrapText="1"/>
    </xf>
    <xf numFmtId="0" fontId="20" fillId="0" borderId="20" xfId="25" applyFont="1" applyFill="1" applyBorder="1" applyAlignment="1">
      <alignment horizontal="right" vertical="top" wrapText="1"/>
    </xf>
    <xf numFmtId="0" fontId="20" fillId="0" borderId="20" xfId="25" applyFont="1" applyFill="1" applyBorder="1" applyAlignment="1">
      <alignment horizontal="left" vertical="top" wrapText="1"/>
    </xf>
    <xf numFmtId="0" fontId="20" fillId="0" borderId="20" xfId="25" applyFont="1" applyFill="1" applyBorder="1" applyAlignment="1">
      <alignment horizontal="center" vertical="top" wrapText="1"/>
    </xf>
    <xf numFmtId="0" fontId="24" fillId="0" borderId="20" xfId="25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right" vertical="top" wrapText="1"/>
    </xf>
    <xf numFmtId="173" fontId="22" fillId="0" borderId="20" xfId="25" applyNumberFormat="1" applyFont="1" applyFill="1" applyBorder="1" applyAlignment="1">
      <alignment horizontal="right" vertical="top" wrapText="1"/>
    </xf>
    <xf numFmtId="0" fontId="22" fillId="0" borderId="20" xfId="25" applyFont="1" applyFill="1" applyBorder="1" applyAlignment="1">
      <alignment horizontal="left" vertical="top" wrapText="1"/>
    </xf>
    <xf numFmtId="0" fontId="2" fillId="0" borderId="1" xfId="5" applyFont="1" applyBorder="1" applyAlignment="1">
      <alignment horizontal="left"/>
    </xf>
    <xf numFmtId="0" fontId="2" fillId="0" borderId="6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5" fillId="0" borderId="1" xfId="6" applyFont="1" applyBorder="1" applyAlignment="1">
      <alignment horizontal="left"/>
    </xf>
    <xf numFmtId="0" fontId="20" fillId="0" borderId="20" xfId="25" applyFont="1" applyFill="1" applyBorder="1" applyAlignment="1">
      <alignment horizontal="right" vertical="top" wrapText="1"/>
    </xf>
    <xf numFmtId="0" fontId="20" fillId="0" borderId="20" xfId="0" applyFont="1" applyFill="1" applyBorder="1" applyAlignment="1">
      <alignment horizontal="left" vertical="top" wrapText="1"/>
    </xf>
    <xf numFmtId="0" fontId="24" fillId="0" borderId="20" xfId="25" applyFont="1" applyFill="1" applyBorder="1" applyAlignment="1">
      <alignment horizontal="left" vertical="top" wrapText="1"/>
    </xf>
    <xf numFmtId="173" fontId="22" fillId="0" borderId="20" xfId="25" applyNumberFormat="1" applyFont="1" applyFill="1" applyBorder="1" applyAlignment="1">
      <alignment horizontal="right" vertical="top" wrapText="1"/>
    </xf>
    <xf numFmtId="0" fontId="22" fillId="0" borderId="20" xfId="25" applyFont="1" applyFill="1" applyBorder="1" applyAlignment="1">
      <alignment horizontal="left" vertical="top" wrapText="1"/>
    </xf>
    <xf numFmtId="0" fontId="24" fillId="0" borderId="20" xfId="0" applyFont="1" applyFill="1" applyBorder="1" applyAlignment="1">
      <alignment horizontal="left" vertical="top" wrapText="1"/>
    </xf>
    <xf numFmtId="0" fontId="22" fillId="0" borderId="2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right" vertical="top" wrapText="1"/>
    </xf>
    <xf numFmtId="0" fontId="23" fillId="0" borderId="0" xfId="0" applyFont="1" applyFill="1" applyAlignment="1">
      <alignment horizontal="right" vertical="top" wrapText="1"/>
    </xf>
    <xf numFmtId="0" fontId="20" fillId="0" borderId="20" xfId="0" applyFont="1" applyFill="1" applyBorder="1" applyAlignment="1">
      <alignment horizontal="right" vertical="top" wrapText="1"/>
    </xf>
    <xf numFmtId="0" fontId="0" fillId="0" borderId="29" xfId="0" applyFill="1" applyBorder="1" applyAlignment="1">
      <alignment wrapText="1"/>
    </xf>
    <xf numFmtId="175" fontId="9" fillId="6" borderId="6" xfId="0" applyNumberFormat="1" applyFont="1" applyFill="1" applyBorder="1" applyAlignment="1">
      <alignment horizontal="right"/>
    </xf>
    <xf numFmtId="173" fontId="0" fillId="0" borderId="6" xfId="0" applyNumberFormat="1" applyFill="1" applyBorder="1" applyAlignment="1">
      <alignment horizontal="right" vertical="center"/>
    </xf>
    <xf numFmtId="174" fontId="0" fillId="0" borderId="15" xfId="0" applyNumberFormat="1" applyFill="1" applyBorder="1" applyAlignment="1">
      <alignment horizontal="left" vertical="center"/>
    </xf>
    <xf numFmtId="43" fontId="3" fillId="9" borderId="1" xfId="10" applyFont="1" applyFill="1" applyBorder="1" applyAlignment="1">
      <alignment vertical="center"/>
    </xf>
    <xf numFmtId="4" fontId="22" fillId="9" borderId="0" xfId="25" applyNumberFormat="1" applyFont="1" applyFill="1" applyAlignment="1">
      <alignment horizontal="right" vertical="top" wrapText="1"/>
    </xf>
    <xf numFmtId="173" fontId="24" fillId="0" borderId="20" xfId="0" applyNumberFormat="1" applyFont="1" applyFill="1" applyBorder="1" applyAlignment="1">
      <alignment horizontal="right" vertical="top" wrapText="1"/>
    </xf>
    <xf numFmtId="173" fontId="23" fillId="5" borderId="0" xfId="25" applyNumberFormat="1" applyFont="1" applyFill="1" applyAlignment="1">
      <alignment horizontal="right" vertical="top" wrapText="1"/>
    </xf>
    <xf numFmtId="4" fontId="23" fillId="5" borderId="0" xfId="0" applyNumberFormat="1" applyFont="1" applyFill="1" applyAlignment="1">
      <alignment horizontal="right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right" vertical="top" wrapText="1"/>
    </xf>
    <xf numFmtId="0" fontId="24" fillId="0" borderId="0" xfId="0" applyFont="1" applyFill="1" applyBorder="1" applyAlignment="1">
      <alignment horizontal="center" vertical="top" wrapText="1"/>
    </xf>
    <xf numFmtId="43" fontId="24" fillId="0" borderId="0" xfId="1" applyFont="1" applyFill="1" applyBorder="1" applyAlignment="1">
      <alignment horizontal="right" vertical="top" wrapText="1"/>
    </xf>
    <xf numFmtId="4" fontId="24" fillId="0" borderId="0" xfId="0" applyNumberFormat="1" applyFont="1" applyFill="1" applyBorder="1" applyAlignment="1">
      <alignment horizontal="right" vertical="top" wrapText="1"/>
    </xf>
    <xf numFmtId="10" fontId="24" fillId="0" borderId="0" xfId="2" applyNumberFormat="1" applyFont="1" applyFill="1" applyBorder="1" applyAlignment="1">
      <alignment horizontal="right" vertical="top" wrapText="1"/>
    </xf>
    <xf numFmtId="0" fontId="20" fillId="5" borderId="20" xfId="0" applyFont="1" applyFill="1" applyBorder="1" applyAlignment="1">
      <alignment horizontal="left" vertical="top" wrapText="1"/>
    </xf>
    <xf numFmtId="0" fontId="20" fillId="5" borderId="20" xfId="0" applyFont="1" applyFill="1" applyBorder="1" applyAlignment="1">
      <alignment horizontal="right" vertical="top" wrapText="1"/>
    </xf>
    <xf numFmtId="0" fontId="20" fillId="5" borderId="20" xfId="0" applyFont="1" applyFill="1" applyBorder="1" applyAlignment="1">
      <alignment horizontal="center" vertical="top" wrapText="1"/>
    </xf>
    <xf numFmtId="172" fontId="23" fillId="0" borderId="0" xfId="0" applyNumberFormat="1" applyFont="1" applyFill="1" applyAlignment="1">
      <alignment horizontal="right" vertical="top" wrapText="1"/>
    </xf>
    <xf numFmtId="4" fontId="23" fillId="0" borderId="0" xfId="0" applyNumberFormat="1" applyFont="1" applyFill="1" applyAlignment="1">
      <alignment horizontal="right" vertical="top" wrapText="1"/>
    </xf>
    <xf numFmtId="4" fontId="22" fillId="0" borderId="20" xfId="0" applyNumberFormat="1" applyFont="1" applyFill="1" applyBorder="1" applyAlignment="1">
      <alignment horizontal="right" vertical="top" wrapText="1"/>
    </xf>
    <xf numFmtId="0" fontId="21" fillId="0" borderId="20" xfId="0" applyFont="1" applyFill="1" applyBorder="1" applyAlignment="1">
      <alignment horizontal="left" vertical="top" wrapText="1"/>
    </xf>
    <xf numFmtId="0" fontId="21" fillId="0" borderId="20" xfId="0" applyFont="1" applyFill="1" applyBorder="1" applyAlignment="1">
      <alignment horizontal="right" vertical="top" wrapText="1"/>
    </xf>
    <xf numFmtId="4" fontId="21" fillId="0" borderId="20" xfId="0" applyNumberFormat="1" applyFont="1" applyFill="1" applyBorder="1" applyAlignment="1">
      <alignment horizontal="right" vertical="top" wrapText="1"/>
    </xf>
    <xf numFmtId="173" fontId="22" fillId="9" borderId="20" xfId="0" applyNumberFormat="1" applyFont="1" applyFill="1" applyBorder="1" applyAlignment="1">
      <alignment horizontal="right" vertical="top" wrapText="1"/>
    </xf>
    <xf numFmtId="0" fontId="20" fillId="9" borderId="20" xfId="0" applyFont="1" applyFill="1" applyBorder="1" applyAlignment="1">
      <alignment horizontal="left" vertical="top" wrapText="1"/>
    </xf>
    <xf numFmtId="0" fontId="20" fillId="9" borderId="20" xfId="0" applyFont="1" applyFill="1" applyBorder="1" applyAlignment="1">
      <alignment horizontal="right" vertical="top" wrapText="1"/>
    </xf>
    <xf numFmtId="0" fontId="20" fillId="9" borderId="20" xfId="0" applyFont="1" applyFill="1" applyBorder="1" applyAlignment="1">
      <alignment horizontal="center" vertical="top" wrapText="1"/>
    </xf>
    <xf numFmtId="0" fontId="24" fillId="9" borderId="1" xfId="0" applyFont="1" applyFill="1" applyBorder="1" applyAlignment="1">
      <alignment horizontal="left" vertical="top" wrapText="1"/>
    </xf>
    <xf numFmtId="0" fontId="24" fillId="9" borderId="1" xfId="0" applyFont="1" applyFill="1" applyBorder="1" applyAlignment="1">
      <alignment horizontal="right" vertical="top" wrapText="1"/>
    </xf>
    <xf numFmtId="0" fontId="21" fillId="9" borderId="1" xfId="0" applyFont="1" applyFill="1" applyBorder="1" applyAlignment="1">
      <alignment horizontal="left" vertical="top" wrapText="1"/>
    </xf>
    <xf numFmtId="4" fontId="21" fillId="9" borderId="1" xfId="0" applyNumberFormat="1" applyFont="1" applyFill="1" applyBorder="1" applyAlignment="1">
      <alignment horizontal="right" vertical="top" wrapText="1"/>
    </xf>
    <xf numFmtId="171" fontId="21" fillId="9" borderId="1" xfId="0" applyNumberFormat="1" applyFont="1" applyFill="1" applyBorder="1" applyAlignment="1">
      <alignment horizontal="right" vertical="top" wrapText="1"/>
    </xf>
    <xf numFmtId="10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top" wrapText="1"/>
    </xf>
    <xf numFmtId="10" fontId="0" fillId="0" borderId="1" xfId="0" applyNumberFormat="1" applyBorder="1"/>
    <xf numFmtId="44" fontId="21" fillId="9" borderId="7" xfId="24" applyFont="1" applyFill="1" applyBorder="1" applyAlignment="1">
      <alignment horizontal="left" vertical="top" wrapText="1"/>
    </xf>
    <xf numFmtId="44" fontId="24" fillId="9" borderId="1" xfId="24" applyFont="1" applyFill="1" applyBorder="1" applyAlignment="1">
      <alignment horizontal="right" vertical="top" wrapText="1"/>
    </xf>
    <xf numFmtId="0" fontId="21" fillId="9" borderId="6" xfId="0" applyFont="1" applyFill="1" applyBorder="1" applyAlignment="1">
      <alignment horizontal="left" vertical="top" wrapText="1"/>
    </xf>
    <xf numFmtId="0" fontId="21" fillId="9" borderId="11" xfId="0" applyFont="1" applyFill="1" applyBorder="1" applyAlignment="1">
      <alignment horizontal="left" vertical="top" wrapText="1"/>
    </xf>
    <xf numFmtId="44" fontId="21" fillId="9" borderId="11" xfId="24" applyFont="1" applyFill="1" applyBorder="1" applyAlignment="1">
      <alignment horizontal="left" vertical="top" wrapText="1"/>
    </xf>
    <xf numFmtId="10" fontId="0" fillId="0" borderId="1" xfId="2" applyNumberFormat="1" applyFont="1" applyBorder="1"/>
    <xf numFmtId="44" fontId="17" fillId="0" borderId="1" xfId="0" applyNumberFormat="1" applyFont="1" applyBorder="1"/>
    <xf numFmtId="10" fontId="9" fillId="0" borderId="1" xfId="0" applyNumberFormat="1" applyFont="1" applyBorder="1"/>
    <xf numFmtId="0" fontId="9" fillId="4" borderId="37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9" fillId="10" borderId="29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0" fillId="0" borderId="29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9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/>
    </xf>
    <xf numFmtId="0" fontId="9" fillId="10" borderId="7" xfId="0" applyFont="1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9" fillId="6" borderId="43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44" fontId="0" fillId="0" borderId="6" xfId="24" applyFont="1" applyFill="1" applyBorder="1" applyAlignment="1">
      <alignment horizontal="center"/>
    </xf>
    <xf numFmtId="44" fontId="0" fillId="0" borderId="7" xfId="24" applyFont="1" applyFill="1" applyBorder="1" applyAlignment="1">
      <alignment horizontal="center"/>
    </xf>
    <xf numFmtId="44" fontId="0" fillId="9" borderId="6" xfId="24" applyFont="1" applyFill="1" applyBorder="1" applyAlignment="1">
      <alignment horizontal="center"/>
    </xf>
    <xf numFmtId="44" fontId="0" fillId="9" borderId="7" xfId="24" applyFont="1" applyFill="1" applyBorder="1" applyAlignment="1">
      <alignment horizontal="center"/>
    </xf>
    <xf numFmtId="44" fontId="0" fillId="9" borderId="6" xfId="0" applyNumberFormat="1" applyFill="1" applyBorder="1" applyAlignment="1">
      <alignment horizontal="center"/>
    </xf>
    <xf numFmtId="44" fontId="0" fillId="9" borderId="7" xfId="0" applyNumberFormat="1" applyFill="1" applyBorder="1" applyAlignment="1">
      <alignment horizontal="center"/>
    </xf>
    <xf numFmtId="0" fontId="21" fillId="9" borderId="6" xfId="0" applyFont="1" applyFill="1" applyBorder="1" applyAlignment="1">
      <alignment horizontal="left" vertical="top" wrapText="1"/>
    </xf>
    <xf numFmtId="0" fontId="21" fillId="9" borderId="9" xfId="0" applyFont="1" applyFill="1" applyBorder="1" applyAlignment="1">
      <alignment horizontal="left" vertical="top" wrapText="1"/>
    </xf>
    <xf numFmtId="0" fontId="21" fillId="9" borderId="7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6" fillId="9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left" vertical="top" wrapText="1"/>
    </xf>
    <xf numFmtId="0" fontId="21" fillId="4" borderId="9" xfId="0" applyFont="1" applyFill="1" applyBorder="1" applyAlignment="1">
      <alignment horizontal="left" vertical="top" wrapText="1"/>
    </xf>
    <xf numFmtId="0" fontId="21" fillId="4" borderId="7" xfId="0" applyFont="1" applyFill="1" applyBorder="1" applyAlignment="1">
      <alignment horizontal="left" vertical="top" wrapText="1"/>
    </xf>
    <xf numFmtId="0" fontId="20" fillId="4" borderId="6" xfId="0" applyFont="1" applyFill="1" applyBorder="1" applyAlignment="1">
      <alignment horizontal="left" vertical="top" wrapText="1"/>
    </xf>
    <xf numFmtId="0" fontId="20" fillId="4" borderId="9" xfId="0" applyFont="1" applyFill="1" applyBorder="1" applyAlignment="1">
      <alignment horizontal="left" vertical="top" wrapText="1"/>
    </xf>
    <xf numFmtId="0" fontId="20" fillId="4" borderId="7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23" fillId="4" borderId="0" xfId="0" applyFont="1" applyFill="1" applyAlignment="1">
      <alignment horizontal="right" vertical="top" wrapText="1"/>
    </xf>
    <xf numFmtId="0" fontId="23" fillId="8" borderId="1" xfId="0" applyFont="1" applyFill="1" applyBorder="1" applyAlignment="1">
      <alignment horizontal="center" vertical="top" wrapText="1"/>
    </xf>
    <xf numFmtId="4" fontId="23" fillId="8" borderId="1" xfId="0" applyNumberFormat="1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2" borderId="6" xfId="3" applyFont="1" applyFill="1" applyBorder="1" applyAlignment="1">
      <alignment horizontal="center" vertical="center"/>
    </xf>
    <xf numFmtId="0" fontId="5" fillId="2" borderId="9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" xfId="5" applyFont="1" applyBorder="1" applyAlignment="1">
      <alignment horizontal="left"/>
    </xf>
    <xf numFmtId="9" fontId="5" fillId="0" borderId="6" xfId="5" applyNumberFormat="1" applyFont="1" applyBorder="1" applyAlignment="1">
      <alignment horizontal="left"/>
    </xf>
    <xf numFmtId="9" fontId="5" fillId="0" borderId="7" xfId="5" applyNumberFormat="1" applyFont="1" applyBorder="1" applyAlignment="1">
      <alignment horizontal="left"/>
    </xf>
    <xf numFmtId="0" fontId="3" fillId="0" borderId="30" xfId="0" applyFont="1" applyBorder="1" applyAlignment="1">
      <alignment horizontal="center" vertical="center"/>
    </xf>
    <xf numFmtId="0" fontId="2" fillId="0" borderId="30" xfId="5" applyFont="1" applyBorder="1" applyAlignment="1">
      <alignment horizontal="center" vertical="center"/>
    </xf>
    <xf numFmtId="14" fontId="2" fillId="0" borderId="2" xfId="6" applyNumberFormat="1" applyFont="1" applyBorder="1" applyAlignment="1">
      <alignment horizontal="center" vertical="center"/>
    </xf>
    <xf numFmtId="14" fontId="2" fillId="0" borderId="30" xfId="6" applyNumberFormat="1" applyFont="1" applyBorder="1" applyAlignment="1">
      <alignment horizontal="center" vertical="center"/>
    </xf>
    <xf numFmtId="14" fontId="2" fillId="0" borderId="8" xfId="6" applyNumberFormat="1" applyFont="1" applyBorder="1" applyAlignment="1">
      <alignment horizontal="center" vertical="center"/>
    </xf>
    <xf numFmtId="0" fontId="2" fillId="0" borderId="7" xfId="6" applyFont="1" applyBorder="1" applyAlignment="1">
      <alignment horizontal="left"/>
    </xf>
    <xf numFmtId="0" fontId="2" fillId="0" borderId="1" xfId="6" applyFont="1" applyBorder="1" applyAlignment="1">
      <alignment horizontal="left"/>
    </xf>
    <xf numFmtId="0" fontId="2" fillId="0" borderId="9" xfId="6" applyFont="1" applyBorder="1" applyAlignment="1">
      <alignment horizontal="left"/>
    </xf>
    <xf numFmtId="0" fontId="5" fillId="0" borderId="9" xfId="6" applyFont="1" applyBorder="1" applyAlignment="1">
      <alignment horizontal="left"/>
    </xf>
    <xf numFmtId="0" fontId="5" fillId="0" borderId="7" xfId="6" applyFont="1" applyBorder="1" applyAlignment="1">
      <alignment horizontal="left"/>
    </xf>
    <xf numFmtId="0" fontId="5" fillId="3" borderId="8" xfId="4" applyFont="1" applyFill="1" applyBorder="1" applyAlignment="1">
      <alignment horizontal="left" vertical="center"/>
    </xf>
    <xf numFmtId="0" fontId="5" fillId="0" borderId="6" xfId="3" applyFont="1" applyBorder="1" applyAlignment="1">
      <alignment horizontal="left" vertical="center" wrapText="1"/>
    </xf>
    <xf numFmtId="0" fontId="5" fillId="0" borderId="7" xfId="3" applyFont="1" applyBorder="1" applyAlignment="1">
      <alignment horizontal="left" vertical="center" wrapText="1"/>
    </xf>
    <xf numFmtId="0" fontId="2" fillId="0" borderId="1" xfId="6" applyFont="1" applyBorder="1" applyAlignment="1">
      <alignment horizontal="left" vertical="center" wrapText="1"/>
    </xf>
    <xf numFmtId="0" fontId="2" fillId="0" borderId="6" xfId="6" applyFont="1" applyBorder="1" applyAlignment="1">
      <alignment horizontal="left"/>
    </xf>
    <xf numFmtId="0" fontId="5" fillId="0" borderId="6" xfId="6" applyFont="1" applyBorder="1" applyAlignment="1">
      <alignment horizontal="left"/>
    </xf>
    <xf numFmtId="14" fontId="2" fillId="0" borderId="1" xfId="6" applyNumberFormat="1" applyFont="1" applyBorder="1" applyAlignment="1">
      <alignment horizontal="left"/>
    </xf>
    <xf numFmtId="0" fontId="5" fillId="0" borderId="1" xfId="6" applyFont="1" applyBorder="1" applyAlignment="1">
      <alignment horizontal="left"/>
    </xf>
    <xf numFmtId="0" fontId="2" fillId="0" borderId="1" xfId="6" applyFont="1" applyBorder="1" applyAlignment="1">
      <alignment horizontal="left" vertical="top" wrapText="1"/>
    </xf>
    <xf numFmtId="0" fontId="2" fillId="0" borderId="6" xfId="5" applyFont="1" applyBorder="1" applyAlignment="1">
      <alignment horizontal="left"/>
    </xf>
    <xf numFmtId="0" fontId="2" fillId="0" borderId="7" xfId="5" applyFont="1" applyBorder="1" applyAlignment="1">
      <alignment horizontal="left"/>
    </xf>
    <xf numFmtId="14" fontId="5" fillId="0" borderId="6" xfId="6" applyNumberFormat="1" applyFont="1" applyBorder="1" applyAlignment="1">
      <alignment horizontal="left"/>
    </xf>
    <xf numFmtId="14" fontId="5" fillId="0" borderId="7" xfId="6" applyNumberFormat="1" applyFont="1" applyBorder="1" applyAlignment="1">
      <alignment horizontal="left"/>
    </xf>
    <xf numFmtId="2" fontId="2" fillId="0" borderId="2" xfId="5" applyNumberFormat="1" applyFont="1" applyFill="1" applyBorder="1" applyAlignment="1">
      <alignment horizontal="center" vertical="center"/>
    </xf>
    <xf numFmtId="2" fontId="2" fillId="0" borderId="30" xfId="5" applyNumberFormat="1" applyFont="1" applyFill="1" applyBorder="1" applyAlignment="1">
      <alignment horizontal="center" vertical="center"/>
    </xf>
    <xf numFmtId="2" fontId="2" fillId="0" borderId="8" xfId="5" applyNumberFormat="1" applyFont="1" applyFill="1" applyBorder="1" applyAlignment="1">
      <alignment horizontal="center" vertical="center"/>
    </xf>
    <xf numFmtId="0" fontId="2" fillId="0" borderId="6" xfId="5" applyFont="1" applyFill="1" applyBorder="1" applyAlignment="1">
      <alignment horizontal="left" vertical="center" wrapText="1"/>
    </xf>
    <xf numFmtId="0" fontId="2" fillId="0" borderId="9" xfId="5" applyFont="1" applyFill="1" applyBorder="1" applyAlignment="1">
      <alignment horizontal="left" vertical="center" wrapText="1"/>
    </xf>
    <xf numFmtId="0" fontId="2" fillId="0" borderId="7" xfId="5" applyFont="1" applyFill="1" applyBorder="1" applyAlignment="1">
      <alignment horizontal="left" vertical="center" wrapText="1"/>
    </xf>
    <xf numFmtId="0" fontId="2" fillId="0" borderId="6" xfId="6" applyFont="1" applyFill="1" applyBorder="1" applyAlignment="1">
      <alignment horizontal="left"/>
    </xf>
    <xf numFmtId="0" fontId="2" fillId="0" borderId="7" xfId="6" applyFont="1" applyFill="1" applyBorder="1" applyAlignment="1">
      <alignment horizontal="left"/>
    </xf>
    <xf numFmtId="0" fontId="5" fillId="0" borderId="1" xfId="6" applyFont="1" applyFill="1" applyBorder="1" applyAlignment="1">
      <alignment horizontal="left" vertical="center"/>
    </xf>
    <xf numFmtId="0" fontId="5" fillId="3" borderId="6" xfId="4" applyFont="1" applyFill="1" applyBorder="1" applyAlignment="1">
      <alignment horizontal="left" vertical="center"/>
    </xf>
    <xf numFmtId="0" fontId="5" fillId="3" borderId="9" xfId="4" applyFont="1" applyFill="1" applyBorder="1" applyAlignment="1">
      <alignment horizontal="left" vertical="center"/>
    </xf>
    <xf numFmtId="0" fontId="5" fillId="3" borderId="7" xfId="4" applyFont="1" applyFill="1" applyBorder="1" applyAlignment="1">
      <alignment horizontal="left" vertical="center"/>
    </xf>
    <xf numFmtId="0" fontId="2" fillId="0" borderId="2" xfId="5" applyFont="1" applyFill="1" applyBorder="1" applyAlignment="1">
      <alignment horizontal="center" vertical="center"/>
    </xf>
    <xf numFmtId="0" fontId="2" fillId="0" borderId="30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left"/>
    </xf>
    <xf numFmtId="0" fontId="5" fillId="0" borderId="7" xfId="5" applyFont="1" applyFill="1" applyBorder="1" applyAlignment="1">
      <alignment horizontal="left"/>
    </xf>
    <xf numFmtId="0" fontId="5" fillId="0" borderId="6" xfId="5" applyFont="1" applyBorder="1" applyAlignment="1">
      <alignment horizontal="left"/>
    </xf>
    <xf numFmtId="0" fontId="5" fillId="0" borderId="7" xfId="5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5" fillId="0" borderId="1" xfId="6" applyFont="1" applyBorder="1" applyAlignment="1">
      <alignment horizontal="center"/>
    </xf>
    <xf numFmtId="2" fontId="2" fillId="0" borderId="2" xfId="5" applyNumberFormat="1" applyFont="1" applyBorder="1" applyAlignment="1">
      <alignment horizontal="center" vertical="center"/>
    </xf>
    <xf numFmtId="2" fontId="2" fillId="0" borderId="8" xfId="5" applyNumberFormat="1" applyFont="1" applyBorder="1" applyAlignment="1">
      <alignment horizontal="center" vertical="center"/>
    </xf>
    <xf numFmtId="0" fontId="2" fillId="0" borderId="6" xfId="5" applyFont="1" applyBorder="1" applyAlignment="1">
      <alignment horizontal="left" vertical="center" wrapText="1"/>
    </xf>
    <xf numFmtId="0" fontId="2" fillId="0" borderId="9" xfId="5" applyFont="1" applyBorder="1" applyAlignment="1">
      <alignment horizontal="left" vertical="center" wrapText="1"/>
    </xf>
    <xf numFmtId="0" fontId="2" fillId="0" borderId="7" xfId="5" applyFont="1" applyBorder="1" applyAlignment="1">
      <alignment horizontal="left" vertical="center" wrapText="1"/>
    </xf>
    <xf numFmtId="0" fontId="5" fillId="12" borderId="1" xfId="6" applyFont="1" applyFill="1" applyBorder="1" applyAlignment="1">
      <alignment horizontal="left" vertical="center"/>
    </xf>
    <xf numFmtId="0" fontId="2" fillId="0" borderId="6" xfId="5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0" fontId="2" fillId="0" borderId="7" xfId="5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6" fillId="8" borderId="10" xfId="0" applyNumberFormat="1" applyFont="1" applyFill="1" applyBorder="1" applyAlignment="1">
      <alignment horizontal="center" vertical="center"/>
    </xf>
    <xf numFmtId="2" fontId="6" fillId="8" borderId="11" xfId="0" applyNumberFormat="1" applyFont="1" applyFill="1" applyBorder="1" applyAlignment="1">
      <alignment horizontal="center" vertical="center"/>
    </xf>
    <xf numFmtId="2" fontId="6" fillId="8" borderId="18" xfId="0" applyNumberFormat="1" applyFont="1" applyFill="1" applyBorder="1" applyAlignment="1">
      <alignment horizontal="center" vertical="center"/>
    </xf>
    <xf numFmtId="2" fontId="6" fillId="8" borderId="19" xfId="0" applyNumberFormat="1" applyFont="1" applyFill="1" applyBorder="1" applyAlignment="1">
      <alignment horizontal="center" vertical="center"/>
    </xf>
    <xf numFmtId="2" fontId="6" fillId="8" borderId="13" xfId="0" applyNumberFormat="1" applyFont="1" applyFill="1" applyBorder="1" applyAlignment="1">
      <alignment horizontal="center" vertical="center"/>
    </xf>
    <xf numFmtId="2" fontId="6" fillId="8" borderId="15" xfId="0" applyNumberFormat="1" applyFont="1" applyFill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3" fillId="0" borderId="6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2" borderId="27" xfId="3" applyFont="1" applyFill="1" applyBorder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5" fillId="2" borderId="28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6" xfId="4" applyFont="1" applyBorder="1" applyAlignment="1">
      <alignment horizontal="left" vertical="center"/>
    </xf>
    <xf numFmtId="0" fontId="3" fillId="0" borderId="7" xfId="4" applyFont="1" applyBorder="1" applyAlignment="1">
      <alignment horizontal="left" vertical="center"/>
    </xf>
    <xf numFmtId="0" fontId="11" fillId="3" borderId="6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5" fillId="2" borderId="16" xfId="9" applyFont="1" applyFill="1" applyBorder="1" applyAlignment="1">
      <alignment horizontal="left" vertical="center"/>
    </xf>
    <xf numFmtId="0" fontId="5" fillId="2" borderId="17" xfId="9" applyFont="1" applyFill="1" applyBorder="1" applyAlignment="1">
      <alignment horizontal="left" vertical="center"/>
    </xf>
    <xf numFmtId="0" fontId="3" fillId="0" borderId="1" xfId="4" applyFont="1" applyBorder="1" applyAlignment="1">
      <alignment horizontal="left" vertical="center" wrapText="1"/>
    </xf>
    <xf numFmtId="43" fontId="3" fillId="0" borderId="18" xfId="10" applyFont="1" applyFill="1" applyBorder="1" applyAlignment="1">
      <alignment horizontal="left" vertical="center"/>
    </xf>
    <xf numFmtId="43" fontId="3" fillId="0" borderId="0" xfId="10" applyFont="1" applyFill="1" applyBorder="1" applyAlignment="1">
      <alignment horizontal="left" vertical="center"/>
    </xf>
    <xf numFmtId="0" fontId="3" fillId="0" borderId="9" xfId="4" applyFont="1" applyBorder="1" applyAlignment="1">
      <alignment horizontal="left" vertical="center"/>
    </xf>
    <xf numFmtId="0" fontId="20" fillId="0" borderId="20" xfId="25" applyFont="1" applyFill="1" applyBorder="1" applyAlignment="1">
      <alignment horizontal="right" vertical="top" wrapText="1"/>
    </xf>
    <xf numFmtId="0" fontId="23" fillId="0" borderId="0" xfId="25" applyFont="1" applyFill="1" applyAlignment="1">
      <alignment horizontal="right" vertical="top" wrapText="1"/>
    </xf>
    <xf numFmtId="0" fontId="20" fillId="0" borderId="20" xfId="0" applyFont="1" applyFill="1" applyBorder="1" applyAlignment="1">
      <alignment horizontal="left" vertical="top" wrapText="1"/>
    </xf>
    <xf numFmtId="0" fontId="22" fillId="0" borderId="0" xfId="25" applyFont="1" applyFill="1" applyAlignment="1">
      <alignment horizontal="right" vertical="top" wrapText="1"/>
    </xf>
    <xf numFmtId="0" fontId="20" fillId="0" borderId="20" xfId="25" applyFont="1" applyFill="1" applyBorder="1" applyAlignment="1">
      <alignment horizontal="left" vertical="top" wrapText="1"/>
    </xf>
    <xf numFmtId="0" fontId="20" fillId="0" borderId="20" xfId="25" applyFont="1" applyFill="1" applyBorder="1" applyAlignment="1">
      <alignment horizontal="center" vertical="top" wrapText="1"/>
    </xf>
    <xf numFmtId="0" fontId="24" fillId="0" borderId="20" xfId="25" applyFont="1" applyFill="1" applyBorder="1" applyAlignment="1">
      <alignment horizontal="left" vertical="top" wrapText="1"/>
    </xf>
    <xf numFmtId="0" fontId="22" fillId="0" borderId="20" xfId="0" applyFont="1" applyFill="1" applyBorder="1" applyAlignment="1">
      <alignment horizontal="left" vertical="top" wrapText="1"/>
    </xf>
    <xf numFmtId="0" fontId="20" fillId="9" borderId="20" xfId="0" applyFont="1" applyFill="1" applyBorder="1" applyAlignment="1">
      <alignment horizontal="left" vertical="top" wrapText="1"/>
    </xf>
    <xf numFmtId="0" fontId="24" fillId="0" borderId="20" xfId="0" applyFont="1" applyFill="1" applyBorder="1" applyAlignment="1">
      <alignment horizontal="left" vertical="top" wrapText="1"/>
    </xf>
    <xf numFmtId="0" fontId="27" fillId="0" borderId="0" xfId="0" applyFont="1" applyFill="1" applyAlignment="1">
      <alignment horizontal="center" vertical="top" wrapText="1"/>
    </xf>
    <xf numFmtId="0" fontId="22" fillId="9" borderId="0" xfId="25" applyFont="1" applyFill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20" fillId="0" borderId="35" xfId="0" applyFont="1" applyFill="1" applyBorder="1" applyAlignment="1">
      <alignment horizontal="right" vertical="top" wrapText="1"/>
    </xf>
    <xf numFmtId="0" fontId="20" fillId="0" borderId="36" xfId="0" applyFont="1" applyFill="1" applyBorder="1" applyAlignment="1">
      <alignment horizontal="right" vertical="top" wrapText="1"/>
    </xf>
    <xf numFmtId="0" fontId="20" fillId="0" borderId="20" xfId="0" applyFont="1" applyFill="1" applyBorder="1" applyAlignment="1">
      <alignment horizontal="right" vertical="top" wrapText="1"/>
    </xf>
    <xf numFmtId="0" fontId="23" fillId="0" borderId="0" xfId="0" applyFont="1" applyFill="1" applyAlignment="1">
      <alignment horizontal="right" vertical="top" wrapText="1"/>
    </xf>
    <xf numFmtId="0" fontId="20" fillId="0" borderId="35" xfId="0" applyFont="1" applyFill="1" applyBorder="1" applyAlignment="1">
      <alignment horizontal="left" vertical="top" wrapText="1"/>
    </xf>
    <xf numFmtId="0" fontId="20" fillId="0" borderId="36" xfId="0" applyFont="1" applyFill="1" applyBorder="1" applyAlignment="1">
      <alignment horizontal="left" vertical="top" wrapText="1"/>
    </xf>
    <xf numFmtId="0" fontId="20" fillId="0" borderId="33" xfId="0" applyFont="1" applyFill="1" applyBorder="1" applyAlignment="1">
      <alignment horizontal="center" vertical="top" wrapText="1"/>
    </xf>
    <xf numFmtId="0" fontId="20" fillId="0" borderId="34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right" vertical="top" wrapText="1"/>
    </xf>
    <xf numFmtId="0" fontId="24" fillId="0" borderId="33" xfId="0" applyFont="1" applyFill="1" applyBorder="1" applyAlignment="1">
      <alignment horizontal="left" vertical="top" wrapText="1"/>
    </xf>
    <xf numFmtId="0" fontId="24" fillId="0" borderId="34" xfId="0" applyFont="1" applyFill="1" applyBorder="1" applyAlignment="1">
      <alignment horizontal="left" vertical="top" wrapText="1"/>
    </xf>
    <xf numFmtId="0" fontId="22" fillId="11" borderId="0" xfId="25" applyFont="1" applyFill="1" applyAlignment="1">
      <alignment horizontal="center" vertical="top" wrapText="1"/>
    </xf>
    <xf numFmtId="173" fontId="22" fillId="0" borderId="20" xfId="25" applyNumberFormat="1" applyFont="1" applyFill="1" applyBorder="1" applyAlignment="1">
      <alignment horizontal="right" vertical="top" wrapText="1"/>
    </xf>
    <xf numFmtId="0" fontId="22" fillId="0" borderId="20" xfId="25" applyFont="1" applyFill="1" applyBorder="1" applyAlignment="1">
      <alignment horizontal="left" vertical="top" wrapText="1"/>
    </xf>
    <xf numFmtId="173" fontId="22" fillId="0" borderId="20" xfId="0" applyNumberFormat="1" applyFont="1" applyFill="1" applyBorder="1" applyAlignment="1">
      <alignment horizontal="right" vertical="top" wrapText="1"/>
    </xf>
    <xf numFmtId="0" fontId="20" fillId="5" borderId="20" xfId="0" applyFont="1" applyFill="1" applyBorder="1" applyAlignment="1">
      <alignment horizontal="left" vertical="top" wrapText="1"/>
    </xf>
    <xf numFmtId="0" fontId="20" fillId="0" borderId="20" xfId="0" applyFont="1" applyFill="1" applyBorder="1" applyAlignment="1">
      <alignment horizontal="center" vertical="top" wrapText="1"/>
    </xf>
    <xf numFmtId="0" fontId="21" fillId="0" borderId="20" xfId="0" applyFont="1" applyFill="1" applyBorder="1" applyAlignment="1">
      <alignment horizontal="left" vertical="top" wrapText="1"/>
    </xf>
    <xf numFmtId="0" fontId="23" fillId="5" borderId="18" xfId="0" applyFont="1" applyFill="1" applyBorder="1" applyAlignment="1">
      <alignment horizontal="left" vertical="top" wrapText="1"/>
    </xf>
    <xf numFmtId="0" fontId="23" fillId="5" borderId="0" xfId="0" applyFont="1" applyFill="1" applyBorder="1" applyAlignment="1">
      <alignment horizontal="left" vertical="top" wrapText="1"/>
    </xf>
    <xf numFmtId="0" fontId="23" fillId="5" borderId="13" xfId="0" applyFont="1" applyFill="1" applyBorder="1" applyAlignment="1">
      <alignment horizontal="left" vertical="top" wrapText="1"/>
    </xf>
    <xf numFmtId="0" fontId="23" fillId="5" borderId="14" xfId="0" applyFont="1" applyFill="1" applyBorder="1" applyAlignment="1">
      <alignment horizontal="left" vertical="top" wrapText="1"/>
    </xf>
    <xf numFmtId="0" fontId="23" fillId="5" borderId="10" xfId="0" applyFont="1" applyFill="1" applyBorder="1" applyAlignment="1">
      <alignment horizontal="left" vertical="top" wrapText="1"/>
    </xf>
    <xf numFmtId="0" fontId="23" fillId="5" borderId="1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3" applyFont="1" applyFill="1" applyBorder="1" applyAlignment="1">
      <alignment horizontal="center" vertical="center"/>
    </xf>
    <xf numFmtId="0" fontId="5" fillId="0" borderId="16" xfId="13" applyFont="1" applyBorder="1" applyAlignment="1" applyProtection="1">
      <alignment horizontal="left" vertical="center"/>
      <protection hidden="1"/>
    </xf>
    <xf numFmtId="0" fontId="5" fillId="0" borderId="25" xfId="13" applyFont="1" applyBorder="1" applyAlignment="1" applyProtection="1">
      <alignment horizontal="left" vertical="center"/>
      <protection hidden="1"/>
    </xf>
    <xf numFmtId="169" fontId="2" fillId="0" borderId="9" xfId="13" applyNumberFormat="1" applyFont="1" applyBorder="1" applyAlignment="1" applyProtection="1">
      <alignment horizontal="center" vertical="center"/>
      <protection hidden="1"/>
    </xf>
    <xf numFmtId="169" fontId="2" fillId="0" borderId="7" xfId="13" applyNumberFormat="1" applyFont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0" borderId="21" xfId="13" applyFont="1" applyBorder="1" applyAlignment="1" applyProtection="1">
      <alignment horizontal="left" vertical="center"/>
      <protection hidden="1"/>
    </xf>
    <xf numFmtId="0" fontId="5" fillId="0" borderId="22" xfId="13" applyFont="1" applyBorder="1" applyAlignment="1" applyProtection="1">
      <alignment horizontal="left" vertical="center"/>
      <protection hidden="1"/>
    </xf>
    <xf numFmtId="0" fontId="12" fillId="0" borderId="3" xfId="13" applyFont="1" applyBorder="1" applyAlignment="1" applyProtection="1">
      <alignment horizontal="right" vertical="center"/>
      <protection hidden="1"/>
    </xf>
    <xf numFmtId="0" fontId="12" fillId="0" borderId="4" xfId="13" applyFont="1" applyBorder="1" applyAlignment="1" applyProtection="1">
      <alignment horizontal="right" vertical="center"/>
      <protection hidden="1"/>
    </xf>
    <xf numFmtId="169" fontId="13" fillId="0" borderId="0" xfId="13" applyNumberFormat="1" applyFont="1" applyAlignment="1" applyProtection="1">
      <alignment horizontal="center" vertical="center"/>
      <protection hidden="1"/>
    </xf>
    <xf numFmtId="2" fontId="13" fillId="0" borderId="0" xfId="13" applyNumberFormat="1" applyFont="1" applyAlignment="1" applyProtection="1">
      <alignment horizontal="center" vertical="center"/>
      <protection hidden="1"/>
    </xf>
    <xf numFmtId="0" fontId="2" fillId="0" borderId="0" xfId="13" applyFont="1" applyAlignment="1" applyProtection="1">
      <alignment horizontal="center" vertical="center"/>
      <protection hidden="1"/>
    </xf>
    <xf numFmtId="0" fontId="5" fillId="0" borderId="25" xfId="13" applyFont="1" applyBorder="1" applyAlignment="1" applyProtection="1">
      <alignment horizontal="center" vertical="center"/>
      <protection hidden="1"/>
    </xf>
    <xf numFmtId="0" fontId="5" fillId="0" borderId="22" xfId="13" applyFont="1" applyBorder="1" applyAlignment="1" applyProtection="1">
      <alignment horizontal="center" vertical="center"/>
      <protection hidden="1"/>
    </xf>
    <xf numFmtId="0" fontId="2" fillId="0" borderId="18" xfId="13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>
      <alignment horizontal="center"/>
    </xf>
    <xf numFmtId="0" fontId="5" fillId="0" borderId="27" xfId="13" applyFont="1" applyBorder="1" applyAlignment="1" applyProtection="1">
      <alignment horizontal="left" vertical="center"/>
      <protection hidden="1"/>
    </xf>
    <xf numFmtId="0" fontId="5" fillId="0" borderId="0" xfId="13" applyFont="1" applyBorder="1" applyAlignment="1" applyProtection="1">
      <alignment horizontal="left" vertical="center"/>
      <protection hidden="1"/>
    </xf>
    <xf numFmtId="0" fontId="17" fillId="0" borderId="6" xfId="14" applyFont="1" applyBorder="1" applyAlignment="1">
      <alignment horizontal="center" vertical="center"/>
    </xf>
    <xf numFmtId="0" fontId="17" fillId="0" borderId="9" xfId="14" applyFont="1" applyBorder="1" applyAlignment="1">
      <alignment horizontal="center" vertical="center"/>
    </xf>
    <xf numFmtId="0" fontId="17" fillId="0" borderId="7" xfId="14" applyFont="1" applyBorder="1" applyAlignment="1">
      <alignment horizontal="center" vertical="center"/>
    </xf>
    <xf numFmtId="0" fontId="18" fillId="0" borderId="9" xfId="14" applyFont="1" applyBorder="1" applyAlignment="1">
      <alignment horizontal="center" vertical="center"/>
    </xf>
    <xf numFmtId="0" fontId="3" fillId="0" borderId="1" xfId="14" applyFont="1" applyBorder="1" applyAlignment="1">
      <alignment horizontal="left" vertical="center"/>
    </xf>
    <xf numFmtId="0" fontId="6" fillId="3" borderId="1" xfId="14" applyFont="1" applyFill="1" applyBorder="1" applyAlignment="1">
      <alignment horizontal="left" vertical="center"/>
    </xf>
    <xf numFmtId="0" fontId="6" fillId="3" borderId="1" xfId="14" applyFont="1" applyFill="1" applyBorder="1" applyAlignment="1">
      <alignment horizontal="center" vertical="center"/>
    </xf>
    <xf numFmtId="0" fontId="3" fillId="0" borderId="1" xfId="14" applyFont="1" applyBorder="1" applyAlignment="1">
      <alignment horizontal="left" vertical="center" wrapText="1"/>
    </xf>
    <xf numFmtId="0" fontId="6" fillId="3" borderId="1" xfId="14" applyFont="1" applyFill="1" applyBorder="1" applyAlignment="1">
      <alignment horizontal="left" wrapText="1"/>
    </xf>
    <xf numFmtId="0" fontId="3" fillId="0" borderId="1" xfId="14" applyFont="1" applyBorder="1" applyAlignment="1">
      <alignment horizontal="center"/>
    </xf>
    <xf numFmtId="0" fontId="5" fillId="3" borderId="1" xfId="14" applyFont="1" applyFill="1" applyBorder="1" applyAlignment="1">
      <alignment horizontal="center"/>
    </xf>
    <xf numFmtId="0" fontId="6" fillId="3" borderId="1" xfId="14" applyFont="1" applyFill="1" applyBorder="1" applyAlignment="1">
      <alignment horizontal="left" vertical="center" wrapText="1"/>
    </xf>
    <xf numFmtId="0" fontId="6" fillId="0" borderId="1" xfId="14" applyFont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3" borderId="1" xfId="14" applyFont="1" applyFill="1" applyBorder="1" applyAlignment="1">
      <alignment horizontal="center" vertical="center"/>
    </xf>
    <xf numFmtId="10" fontId="0" fillId="9" borderId="39" xfId="2" applyNumberFormat="1" applyFont="1" applyFill="1" applyBorder="1" applyAlignment="1">
      <alignment horizontal="center" vertical="center"/>
    </xf>
    <xf numFmtId="10" fontId="24" fillId="13" borderId="1" xfId="2" applyNumberFormat="1" applyFont="1" applyFill="1" applyBorder="1" applyAlignment="1">
      <alignment horizontal="right" vertical="top" wrapText="1"/>
    </xf>
  </cellXfs>
  <cellStyles count="26">
    <cellStyle name="Moeda" xfId="24" builtinId="4"/>
    <cellStyle name="Moeda 2" xfId="22" xr:uid="{00000000-0005-0000-0000-000000000000}"/>
    <cellStyle name="Normal" xfId="0" builtinId="0"/>
    <cellStyle name="Normal 10 3" xfId="5" xr:uid="{00000000-0005-0000-0000-000002000000}"/>
    <cellStyle name="Normal 2" xfId="13" xr:uid="{00000000-0005-0000-0000-000003000000}"/>
    <cellStyle name="Normal 2 11" xfId="23" xr:uid="{00000000-0005-0000-0000-000004000000}"/>
    <cellStyle name="Normal 21" xfId="15" xr:uid="{00000000-0005-0000-0000-000005000000}"/>
    <cellStyle name="Normal 22" xfId="17" xr:uid="{00000000-0005-0000-0000-000006000000}"/>
    <cellStyle name="Normal 23" xfId="18" xr:uid="{00000000-0005-0000-0000-000007000000}"/>
    <cellStyle name="Normal 25" xfId="16" xr:uid="{00000000-0005-0000-0000-000008000000}"/>
    <cellStyle name="Normal 27" xfId="12" xr:uid="{00000000-0005-0000-0000-000009000000}"/>
    <cellStyle name="Normal 3" xfId="4" xr:uid="{00000000-0005-0000-0000-00000A000000}"/>
    <cellStyle name="Normal 3 2" xfId="20" xr:uid="{00000000-0005-0000-0000-00000B000000}"/>
    <cellStyle name="Normal 3 3" xfId="11" xr:uid="{00000000-0005-0000-0000-00000C000000}"/>
    <cellStyle name="Normal 32" xfId="3" xr:uid="{00000000-0005-0000-0000-00000D000000}"/>
    <cellStyle name="Normal 36" xfId="9" xr:uid="{00000000-0005-0000-0000-00000E000000}"/>
    <cellStyle name="Normal 4" xfId="25" xr:uid="{00000000-0005-0000-0000-000044000000}"/>
    <cellStyle name="Normal 4 2 3 2" xfId="14" xr:uid="{00000000-0005-0000-0000-00000F000000}"/>
    <cellStyle name="Normal_Plan1 2" xfId="6" xr:uid="{00000000-0005-0000-0000-000010000000}"/>
    <cellStyle name="Porcentagem" xfId="2" builtinId="5"/>
    <cellStyle name="Porcentagem 2" xfId="21" xr:uid="{00000000-0005-0000-0000-000012000000}"/>
    <cellStyle name="Separador de milhares 2" xfId="8" xr:uid="{00000000-0005-0000-0000-000013000000}"/>
    <cellStyle name="Separador de milhares_Plan1 2" xfId="7" xr:uid="{00000000-0005-0000-0000-000014000000}"/>
    <cellStyle name="Vírgula" xfId="1" builtinId="3"/>
    <cellStyle name="Vírgula 3" xfId="19" xr:uid="{00000000-0005-0000-0000-000016000000}"/>
    <cellStyle name="Vírgula 4" xfId="10" xr:uid="{00000000-0005-0000-0000-000017000000}"/>
  </cellStyles>
  <dxfs count="25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 patternType="lightDown"/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color auto="1"/>
      </font>
      <fill>
        <patternFill patternType="lightDown"/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1006929</xdr:colOff>
      <xdr:row>37</xdr:row>
      <xdr:rowOff>95250</xdr:rowOff>
    </xdr:from>
    <xdr:to>
      <xdr:col>4</xdr:col>
      <xdr:colOff>796019</xdr:colOff>
      <xdr:row>44</xdr:row>
      <xdr:rowOff>167368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4AD0F12-6C83-48E9-B4D1-6F6E69F83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9965" y="5279571"/>
          <a:ext cx="4878161" cy="1500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45</xdr:row>
      <xdr:rowOff>28575</xdr:rowOff>
    </xdr:from>
    <xdr:to>
      <xdr:col>6</xdr:col>
      <xdr:colOff>110977</xdr:colOff>
      <xdr:row>49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1847483-F211-4BB8-89D9-12B8D02DC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" y="8989695"/>
          <a:ext cx="10167472" cy="836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ah/Desktop/IDEPI/ABASTECIMENTO%20-%20BALNE&#193;RIO%20-%20MELHORIAS%20SANIT&#193;RIAS%20-%20BUEIRO/AGRICOLANDIA%20-%20BURACO%20DAGUA/AGRICOLANDIA%20-%20BURACO%20DAGUA/BDI%202016%20SEINFRA%20INSS%204,5%25%20ONERADO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R&#199;AMENTO%20-%20COM%20DESONERA&#199;&#195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ências"/>
      <sheetName val="BDI"/>
      <sheetName val="INFORMATIVO LEI"/>
      <sheetName val="ACÓRDÃO TCU 2622-37 P DE 2013"/>
    </sheetNames>
    <sheetDataSet>
      <sheetData sheetId="0" refreshError="1">
        <row r="11">
          <cell r="A11">
            <v>0</v>
          </cell>
        </row>
        <row r="12">
          <cell r="A12">
            <v>1</v>
          </cell>
          <cell r="B12">
            <v>0.03</v>
          </cell>
          <cell r="C12">
            <v>0.04</v>
          </cell>
          <cell r="D12">
            <v>5.5E-2</v>
          </cell>
        </row>
        <row r="13">
          <cell r="A13">
            <v>2</v>
          </cell>
          <cell r="B13">
            <v>3.7999999999999999E-2</v>
          </cell>
          <cell r="C13">
            <v>4.0099999999999997E-2</v>
          </cell>
          <cell r="D13">
            <v>4.6699999999999998E-2</v>
          </cell>
        </row>
        <row r="14">
          <cell r="A14">
            <v>3</v>
          </cell>
          <cell r="B14">
            <v>3.4299999999999997E-2</v>
          </cell>
          <cell r="C14">
            <v>4.9299999999999997E-2</v>
          </cell>
          <cell r="D14">
            <v>6.7100000000000007E-2</v>
          </cell>
        </row>
        <row r="15">
          <cell r="A15">
            <v>4</v>
          </cell>
          <cell r="B15">
            <v>5.2900000000000003E-2</v>
          </cell>
          <cell r="C15">
            <v>5.9200000000000003E-2</v>
          </cell>
          <cell r="D15">
            <v>7.9299999999999995E-2</v>
          </cell>
        </row>
        <row r="16">
          <cell r="A16">
            <v>5</v>
          </cell>
          <cell r="B16">
            <v>0.04</v>
          </cell>
          <cell r="C16">
            <v>5.5199999999999999E-2</v>
          </cell>
          <cell r="D16">
            <v>7.85E-2</v>
          </cell>
        </row>
        <row r="17">
          <cell r="A17">
            <v>6</v>
          </cell>
          <cell r="B17">
            <v>1.4999999999999999E-2</v>
          </cell>
          <cell r="C17">
            <v>3.4500000000000003E-2</v>
          </cell>
          <cell r="D17">
            <v>4.4900000000000002E-2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1</v>
          </cell>
        </row>
        <row r="21">
          <cell r="A21">
            <v>1</v>
          </cell>
          <cell r="B21">
            <v>8.0000000000000002E-3</v>
          </cell>
          <cell r="C21">
            <v>8.0000000000000002E-3</v>
          </cell>
          <cell r="D21">
            <v>0.01</v>
          </cell>
        </row>
        <row r="22">
          <cell r="A22">
            <v>2</v>
          </cell>
          <cell r="B22">
            <v>3.2000000000000002E-3</v>
          </cell>
          <cell r="C22">
            <v>4.0000000000000001E-3</v>
          </cell>
          <cell r="D22">
            <v>7.4000000000000003E-3</v>
          </cell>
        </row>
        <row r="23">
          <cell r="A23">
            <v>3</v>
          </cell>
          <cell r="B23">
            <v>2.8E-3</v>
          </cell>
          <cell r="C23">
            <v>4.8999999999999998E-3</v>
          </cell>
          <cell r="D23">
            <v>7.4999999999999997E-3</v>
          </cell>
        </row>
        <row r="24">
          <cell r="A24">
            <v>4</v>
          </cell>
          <cell r="B24">
            <v>2.5000000000000001E-3</v>
          </cell>
          <cell r="C24">
            <v>5.1000000000000004E-3</v>
          </cell>
          <cell r="D24">
            <v>5.5999999999999999E-3</v>
          </cell>
        </row>
        <row r="25">
          <cell r="A25">
            <v>5</v>
          </cell>
          <cell r="B25">
            <v>8.0999999999999996E-3</v>
          </cell>
          <cell r="C25">
            <v>1.2200000000000001E-2</v>
          </cell>
          <cell r="D25">
            <v>1.9900000000000001E-2</v>
          </cell>
        </row>
        <row r="26">
          <cell r="A26">
            <v>6</v>
          </cell>
          <cell r="B26">
            <v>3.0000000000000001E-3</v>
          </cell>
          <cell r="C26">
            <v>4.7999999999999996E-3</v>
          </cell>
          <cell r="D26">
            <v>8.2000000000000007E-3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1</v>
          </cell>
        </row>
        <row r="30">
          <cell r="A30">
            <v>1</v>
          </cell>
          <cell r="B30">
            <v>9.7000000000000003E-3</v>
          </cell>
          <cell r="C30">
            <v>1.2699999999999999E-2</v>
          </cell>
          <cell r="D30">
            <v>1.2699999999999999E-2</v>
          </cell>
        </row>
        <row r="31">
          <cell r="A31">
            <v>2</v>
          </cell>
          <cell r="B31">
            <v>5.0000000000000001E-3</v>
          </cell>
          <cell r="C31">
            <v>5.5999999999999999E-3</v>
          </cell>
          <cell r="D31">
            <v>9.7000000000000003E-3</v>
          </cell>
        </row>
        <row r="32">
          <cell r="A32">
            <v>3</v>
          </cell>
          <cell r="B32">
            <v>0.01</v>
          </cell>
          <cell r="C32">
            <v>1.3899999999999999E-2</v>
          </cell>
          <cell r="D32">
            <v>1.7399999999999999E-2</v>
          </cell>
        </row>
        <row r="33">
          <cell r="A33">
            <v>4</v>
          </cell>
          <cell r="B33">
            <v>0.01</v>
          </cell>
          <cell r="C33">
            <v>1.4800000000000001E-2</v>
          </cell>
          <cell r="D33">
            <v>1.9699999999999999E-2</v>
          </cell>
        </row>
        <row r="34">
          <cell r="A34">
            <v>5</v>
          </cell>
          <cell r="B34">
            <v>1.46E-2</v>
          </cell>
          <cell r="C34">
            <v>2.3199999999999998E-2</v>
          </cell>
          <cell r="D34">
            <v>3.1600000000000003E-2</v>
          </cell>
        </row>
        <row r="35">
          <cell r="A35">
            <v>6</v>
          </cell>
          <cell r="B35">
            <v>5.5999999999999999E-3</v>
          </cell>
          <cell r="C35">
            <v>8.5000000000000006E-3</v>
          </cell>
          <cell r="D35">
            <v>8.8999999999999999E-3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1</v>
          </cell>
        </row>
        <row r="39">
          <cell r="A39">
            <v>1</v>
          </cell>
          <cell r="B39">
            <v>5.8999999999999999E-3</v>
          </cell>
          <cell r="C39">
            <v>1.23E-2</v>
          </cell>
          <cell r="D39">
            <v>1.3899999999999999E-2</v>
          </cell>
        </row>
        <row r="40">
          <cell r="A40">
            <v>2</v>
          </cell>
          <cell r="B40">
            <v>1.0200000000000001E-2</v>
          </cell>
          <cell r="C40">
            <v>1.11E-2</v>
          </cell>
          <cell r="D40">
            <v>1.21E-2</v>
          </cell>
        </row>
        <row r="41">
          <cell r="A41">
            <v>3</v>
          </cell>
          <cell r="B41">
            <v>9.4000000000000004E-3</v>
          </cell>
          <cell r="C41">
            <v>9.9000000000000008E-3</v>
          </cell>
          <cell r="D41">
            <v>1.17E-2</v>
          </cell>
        </row>
        <row r="42">
          <cell r="A42">
            <v>4</v>
          </cell>
          <cell r="B42">
            <v>1.01E-2</v>
          </cell>
          <cell r="C42">
            <v>1.0699999999999999E-2</v>
          </cell>
          <cell r="D42">
            <v>1.11E-2</v>
          </cell>
        </row>
        <row r="43">
          <cell r="A43">
            <v>5</v>
          </cell>
          <cell r="B43">
            <v>9.4000000000000004E-3</v>
          </cell>
          <cell r="C43">
            <v>1.0200000000000001E-2</v>
          </cell>
          <cell r="D43">
            <v>1.3299999999999999E-2</v>
          </cell>
        </row>
        <row r="44">
          <cell r="A44">
            <v>6</v>
          </cell>
          <cell r="B44">
            <v>8.5000000000000006E-3</v>
          </cell>
          <cell r="C44">
            <v>8.5000000000000006E-3</v>
          </cell>
          <cell r="D44">
            <v>1.11E-2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1</v>
          </cell>
        </row>
        <row r="48">
          <cell r="A48">
            <v>1</v>
          </cell>
          <cell r="B48">
            <v>6.1600000000000002E-2</v>
          </cell>
          <cell r="C48">
            <v>7.3999999999999996E-2</v>
          </cell>
          <cell r="D48">
            <v>8.9599999999999999E-2</v>
          </cell>
        </row>
        <row r="49">
          <cell r="A49">
            <v>2</v>
          </cell>
          <cell r="B49">
            <v>6.6400000000000001E-2</v>
          </cell>
          <cell r="C49">
            <v>7.2999999999999995E-2</v>
          </cell>
          <cell r="D49">
            <v>8.6900000000000005E-2</v>
          </cell>
        </row>
        <row r="50">
          <cell r="A50">
            <v>3</v>
          </cell>
          <cell r="B50">
            <v>6.7400000000000002E-2</v>
          </cell>
          <cell r="C50">
            <v>8.0399999999999999E-2</v>
          </cell>
          <cell r="D50">
            <v>9.4E-2</v>
          </cell>
        </row>
        <row r="51">
          <cell r="A51">
            <v>4</v>
          </cell>
          <cell r="B51">
            <v>0.08</v>
          </cell>
          <cell r="C51">
            <v>8.3099999999999993E-2</v>
          </cell>
          <cell r="D51">
            <v>9.5100000000000004E-2</v>
          </cell>
        </row>
        <row r="52">
          <cell r="A52">
            <v>5</v>
          </cell>
          <cell r="B52">
            <v>7.1400000000000005E-2</v>
          </cell>
          <cell r="C52">
            <v>8.4000000000000005E-2</v>
          </cell>
          <cell r="D52">
            <v>0.1043</v>
          </cell>
        </row>
        <row r="53">
          <cell r="A53">
            <v>6</v>
          </cell>
          <cell r="B53">
            <v>3.5000000000000003E-2</v>
          </cell>
          <cell r="C53">
            <v>5.11E-2</v>
          </cell>
          <cell r="D53">
            <v>6.2199999999999998E-2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1</v>
          </cell>
        </row>
        <row r="57">
          <cell r="A57">
            <v>1</v>
          </cell>
          <cell r="B57">
            <v>0.2034</v>
          </cell>
          <cell r="C57">
            <v>0.22120000000000001</v>
          </cell>
          <cell r="D57">
            <v>0.25</v>
          </cell>
        </row>
        <row r="58">
          <cell r="A58">
            <v>2</v>
          </cell>
          <cell r="B58">
            <v>0.19600000000000001</v>
          </cell>
          <cell r="C58">
            <v>0.2097</v>
          </cell>
          <cell r="D58">
            <v>0.24229999999999999</v>
          </cell>
        </row>
        <row r="59">
          <cell r="A59">
            <v>3</v>
          </cell>
          <cell r="B59">
            <v>0.20760000000000001</v>
          </cell>
          <cell r="C59">
            <v>0.24179999999999999</v>
          </cell>
          <cell r="D59">
            <v>0.26440000000000002</v>
          </cell>
        </row>
        <row r="60">
          <cell r="A60">
            <v>4</v>
          </cell>
          <cell r="B60">
            <v>0.24</v>
          </cell>
          <cell r="C60">
            <v>0.25840000000000002</v>
          </cell>
          <cell r="D60">
            <v>0.27860000000000001</v>
          </cell>
        </row>
        <row r="61">
          <cell r="A61">
            <v>5</v>
          </cell>
          <cell r="B61">
            <v>0.22800000000000001</v>
          </cell>
          <cell r="C61">
            <v>0.27479999999999999</v>
          </cell>
          <cell r="D61">
            <v>0.3095</v>
          </cell>
        </row>
        <row r="62">
          <cell r="A62">
            <v>6</v>
          </cell>
          <cell r="B62">
            <v>0.111</v>
          </cell>
          <cell r="C62">
            <v>0.14019999999999999</v>
          </cell>
          <cell r="D62">
            <v>0.16800000000000001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1</v>
          </cell>
        </row>
        <row r="66">
          <cell r="A66">
            <v>1</v>
          </cell>
          <cell r="B66">
            <v>0.26429999999999998</v>
          </cell>
          <cell r="C66" t="str">
            <v>X</v>
          </cell>
          <cell r="D66">
            <v>0.31330000000000002</v>
          </cell>
        </row>
        <row r="67">
          <cell r="A67">
            <v>2</v>
          </cell>
          <cell r="B67">
            <v>0.25600000000000001</v>
          </cell>
          <cell r="C67" t="str">
            <v>X</v>
          </cell>
          <cell r="D67">
            <v>0.30520000000000003</v>
          </cell>
        </row>
        <row r="68">
          <cell r="A68">
            <v>3</v>
          </cell>
          <cell r="B68">
            <v>0.26869999999999999</v>
          </cell>
          <cell r="C68" t="str">
            <v>X</v>
          </cell>
          <cell r="D68">
            <v>0.32840000000000003</v>
          </cell>
        </row>
        <row r="69">
          <cell r="A69">
            <v>4</v>
          </cell>
          <cell r="B69">
            <v>0.30249999999999999</v>
          </cell>
          <cell r="C69" t="str">
            <v>X</v>
          </cell>
          <cell r="D69">
            <v>0.34339999999999998</v>
          </cell>
        </row>
        <row r="70">
          <cell r="A70">
            <v>5</v>
          </cell>
          <cell r="B70">
            <v>0.28999999999999998</v>
          </cell>
          <cell r="C70" t="str">
            <v>X</v>
          </cell>
          <cell r="D70">
            <v>0.37569999999999998</v>
          </cell>
        </row>
        <row r="71">
          <cell r="A71">
            <v>6</v>
          </cell>
          <cell r="B71">
            <v>0.111</v>
          </cell>
          <cell r="C71" t="str">
            <v>X</v>
          </cell>
          <cell r="D71">
            <v>0.16800000000000001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RESUMO"/>
      <sheetName val="ORÇAMENTO"/>
      <sheetName val="MEMORIAL DE CALCULO"/>
      <sheetName val="DMTS"/>
      <sheetName val="MOBILIZAÇÃO E DESMOB."/>
      <sheetName val="COMPOSIÇÃO UNIT."/>
      <sheetName val="CRONOGRAMA"/>
      <sheetName val="BDI"/>
      <sheetName val="LEIS SOCIAIS"/>
    </sheetNames>
    <sheetDataSet>
      <sheetData sheetId="0"/>
      <sheetData sheetId="1">
        <row r="14">
          <cell r="H14">
            <v>1706028.45</v>
          </cell>
        </row>
      </sheetData>
      <sheetData sheetId="2">
        <row r="14">
          <cell r="I14">
            <v>212520</v>
          </cell>
        </row>
        <row r="17">
          <cell r="I17">
            <v>393258.6</v>
          </cell>
        </row>
      </sheetData>
      <sheetData sheetId="3"/>
      <sheetData sheetId="4"/>
      <sheetData sheetId="5"/>
      <sheetData sheetId="6"/>
      <sheetData sheetId="7"/>
      <sheetData sheetId="8">
        <row r="66">
          <cell r="G66">
            <v>0.28139999999999998</v>
          </cell>
        </row>
      </sheetData>
      <sheetData sheetId="9">
        <row r="47">
          <cell r="E47">
            <v>0.83579999999999988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E398-6846-4A7F-B647-9750E047D977}">
  <sheetPr>
    <tabColor rgb="FF92D050"/>
    <pageSetUpPr fitToPage="1"/>
  </sheetPr>
  <dimension ref="A1:H25"/>
  <sheetViews>
    <sheetView tabSelected="1" view="pageBreakPreview" topLeftCell="A13" zoomScale="90" zoomScaleNormal="100" zoomScaleSheetLayoutView="90" workbookViewId="0">
      <selection activeCell="H23" sqref="H23"/>
    </sheetView>
  </sheetViews>
  <sheetFormatPr defaultRowHeight="15" x14ac:dyDescent="0.25"/>
  <cols>
    <col min="1" max="1" width="46.140625" customWidth="1"/>
    <col min="2" max="3" width="20.7109375" customWidth="1"/>
    <col min="4" max="4" width="30.7109375" customWidth="1"/>
    <col min="5" max="5" width="10.7109375" style="187" customWidth="1"/>
    <col min="6" max="6" width="20.7109375" customWidth="1"/>
    <col min="7" max="7" width="40.7109375" customWidth="1"/>
    <col min="8" max="8" width="20.7109375" customWidth="1"/>
  </cols>
  <sheetData>
    <row r="1" spans="1:8" ht="18" customHeight="1" x14ac:dyDescent="0.25">
      <c r="A1" s="316"/>
      <c r="B1" s="317"/>
      <c r="C1" s="317"/>
      <c r="D1" s="444" t="s">
        <v>412</v>
      </c>
      <c r="E1" s="444"/>
      <c r="F1" s="444"/>
      <c r="G1" s="444"/>
      <c r="H1" s="445"/>
    </row>
    <row r="2" spans="1:8" ht="18" customHeight="1" x14ac:dyDescent="0.25">
      <c r="A2" s="318" t="s">
        <v>413</v>
      </c>
      <c r="B2" s="446" t="s">
        <v>431</v>
      </c>
      <c r="C2" s="446"/>
      <c r="D2" s="450" t="s">
        <v>414</v>
      </c>
      <c r="E2" s="451"/>
      <c r="F2" s="339" t="s">
        <v>448</v>
      </c>
      <c r="G2" s="319" t="s">
        <v>415</v>
      </c>
      <c r="H2" s="338" t="str">
        <f>F2</f>
        <v>10/2023</v>
      </c>
    </row>
    <row r="3" spans="1:8" ht="18" customHeight="1" x14ac:dyDescent="0.25">
      <c r="A3" s="318" t="s">
        <v>416</v>
      </c>
      <c r="B3" s="446" t="s">
        <v>447</v>
      </c>
      <c r="C3" s="446"/>
      <c r="D3" s="450" t="s">
        <v>428</v>
      </c>
      <c r="E3" s="451"/>
      <c r="F3" s="339" t="s">
        <v>448</v>
      </c>
      <c r="G3" s="319" t="s">
        <v>429</v>
      </c>
      <c r="H3" s="338" t="str">
        <f>F3</f>
        <v>10/2023</v>
      </c>
    </row>
    <row r="4" spans="1:8" ht="28.5" customHeight="1" x14ac:dyDescent="0.25">
      <c r="A4" s="318" t="s">
        <v>417</v>
      </c>
      <c r="B4" s="447" t="str">
        <f>CONCATENATE(A11)</f>
        <v>POVOADO JATOBAZEIRO AO POVOADO QUINTAS - POVOADO SACO AO POVOADO CABOCLO</v>
      </c>
      <c r="C4" s="447"/>
      <c r="D4" s="450" t="s">
        <v>418</v>
      </c>
      <c r="E4" s="451"/>
      <c r="F4" s="432" t="str">
        <f>CONCATENATE( TEXT(BDI!I66,"0,00 %"))</f>
        <v>21,96 %</v>
      </c>
      <c r="G4" s="433" t="s">
        <v>418</v>
      </c>
      <c r="H4" s="331">
        <f>[2]BDI!$G$66</f>
        <v>0.28139999999999998</v>
      </c>
    </row>
    <row r="5" spans="1:8" ht="18" customHeight="1" x14ac:dyDescent="0.25">
      <c r="A5" s="318" t="s">
        <v>419</v>
      </c>
      <c r="B5" s="448" t="s">
        <v>432</v>
      </c>
      <c r="C5" s="449"/>
      <c r="D5" s="450" t="s">
        <v>420</v>
      </c>
      <c r="E5" s="451"/>
      <c r="F5" s="432" t="str">
        <f>CONCATENATE( TEXT('LEIS SOCIAIS'!E47,"0,00 %"))</f>
        <v>113,05 %</v>
      </c>
      <c r="G5" s="344" t="s">
        <v>420</v>
      </c>
      <c r="H5" s="680">
        <f>'[2]LEIS SOCIAIS'!$E$47</f>
        <v>0.83579999999999988</v>
      </c>
    </row>
    <row r="6" spans="1:8" ht="18" customHeight="1" thickBot="1" x14ac:dyDescent="0.3">
      <c r="A6" s="320"/>
      <c r="B6" s="321" t="s">
        <v>131</v>
      </c>
      <c r="C6" s="321" t="s">
        <v>129</v>
      </c>
      <c r="D6" s="204"/>
      <c r="E6" s="204"/>
      <c r="F6" s="204"/>
      <c r="G6" s="204"/>
      <c r="H6" s="322"/>
    </row>
    <row r="7" spans="1:8" ht="18" customHeight="1" thickBot="1" x14ac:dyDescent="0.3">
      <c r="A7" s="323" t="s">
        <v>421</v>
      </c>
      <c r="B7" s="340">
        <f>RESUMO!H14</f>
        <v>1655401.65</v>
      </c>
      <c r="C7" s="330">
        <f>[2]RESUMO!$H$14</f>
        <v>1706028.45</v>
      </c>
      <c r="D7" s="204"/>
      <c r="E7" s="204"/>
      <c r="F7" s="204"/>
      <c r="G7" s="324"/>
      <c r="H7" s="322"/>
    </row>
    <row r="8" spans="1:8" ht="18" customHeight="1" thickBot="1" x14ac:dyDescent="0.3">
      <c r="A8" s="323" t="s">
        <v>434</v>
      </c>
      <c r="B8" s="340">
        <f>B7/B13</f>
        <v>71973.984782608692</v>
      </c>
      <c r="C8" s="340">
        <f>C7/B13</f>
        <v>74175.149999999994</v>
      </c>
      <c r="D8" s="204"/>
      <c r="E8" s="204"/>
      <c r="F8" s="204"/>
      <c r="G8" s="324"/>
      <c r="H8" s="322"/>
    </row>
    <row r="9" spans="1:8" ht="18" customHeight="1" x14ac:dyDescent="0.25">
      <c r="A9" s="325"/>
      <c r="B9" s="324"/>
      <c r="C9" s="204"/>
      <c r="D9" s="204"/>
      <c r="E9" s="204"/>
      <c r="F9" s="204"/>
      <c r="G9" s="324"/>
      <c r="H9" s="322"/>
    </row>
    <row r="10" spans="1:8" ht="18" customHeight="1" x14ac:dyDescent="0.25">
      <c r="A10" s="326" t="s">
        <v>430</v>
      </c>
      <c r="B10" s="453" t="s">
        <v>422</v>
      </c>
      <c r="C10" s="454"/>
      <c r="D10" s="452"/>
      <c r="E10" s="452"/>
      <c r="F10" s="204"/>
      <c r="G10" s="204"/>
      <c r="H10" s="322"/>
    </row>
    <row r="11" spans="1:8" ht="36" customHeight="1" x14ac:dyDescent="0.25">
      <c r="A11" s="399" t="s">
        <v>450</v>
      </c>
      <c r="B11" s="401">
        <v>23</v>
      </c>
      <c r="C11" s="402" t="str">
        <f>C13</f>
        <v>Km</v>
      </c>
      <c r="D11" s="333"/>
      <c r="E11" s="334"/>
      <c r="F11" s="204"/>
      <c r="G11" s="324"/>
      <c r="H11" s="322"/>
    </row>
    <row r="12" spans="1:8" ht="18" customHeight="1" x14ac:dyDescent="0.25">
      <c r="A12" s="325"/>
      <c r="B12" s="230"/>
      <c r="C12" s="336"/>
      <c r="D12" s="332"/>
      <c r="E12" s="204"/>
      <c r="F12" s="324"/>
      <c r="G12" s="324"/>
      <c r="H12" s="322"/>
    </row>
    <row r="13" spans="1:8" ht="18" customHeight="1" x14ac:dyDescent="0.25">
      <c r="A13" s="327" t="s">
        <v>433</v>
      </c>
      <c r="B13" s="400">
        <f>B11</f>
        <v>23</v>
      </c>
      <c r="C13" s="337" t="s">
        <v>2</v>
      </c>
      <c r="D13" s="335"/>
      <c r="F13" s="204"/>
      <c r="G13" s="204"/>
      <c r="H13" s="322"/>
    </row>
    <row r="14" spans="1:8" ht="18" customHeight="1" x14ac:dyDescent="0.25">
      <c r="A14" s="325"/>
      <c r="B14" s="204"/>
      <c r="C14" s="204"/>
      <c r="D14" s="204"/>
      <c r="E14" s="204"/>
      <c r="F14" s="204"/>
      <c r="G14" s="204"/>
      <c r="H14" s="322"/>
    </row>
    <row r="15" spans="1:8" ht="18" customHeight="1" x14ac:dyDescent="0.25">
      <c r="A15" s="466"/>
      <c r="B15" s="467"/>
      <c r="C15" s="467"/>
      <c r="D15" s="467"/>
      <c r="E15" s="467"/>
      <c r="F15" s="467"/>
      <c r="G15" s="204"/>
      <c r="H15" s="322"/>
    </row>
    <row r="16" spans="1:8" ht="18" customHeight="1" x14ac:dyDescent="0.25">
      <c r="A16" s="468" t="s">
        <v>423</v>
      </c>
      <c r="B16" s="469"/>
      <c r="C16" s="469"/>
      <c r="D16" s="469"/>
      <c r="E16" s="469"/>
      <c r="F16" s="454"/>
      <c r="G16" s="327" t="s">
        <v>427</v>
      </c>
      <c r="H16" s="322"/>
    </row>
    <row r="17" spans="1:8" ht="18" customHeight="1" x14ac:dyDescent="0.25">
      <c r="A17" s="455" t="s">
        <v>424</v>
      </c>
      <c r="B17" s="456"/>
      <c r="C17" s="328" t="s">
        <v>425</v>
      </c>
      <c r="D17" s="464" t="s">
        <v>421</v>
      </c>
      <c r="E17" s="465"/>
      <c r="F17" s="328" t="s">
        <v>140</v>
      </c>
      <c r="G17" s="329">
        <v>0.5</v>
      </c>
      <c r="H17" s="322"/>
    </row>
    <row r="18" spans="1:8" ht="18" customHeight="1" x14ac:dyDescent="0.25">
      <c r="A18" s="457" t="str">
        <f>CONCATENATE(ORÇAMENTO!D14," (", ORÇAMENTO!E14,")")</f>
        <v>Regularização do subleito (m²)</v>
      </c>
      <c r="B18" s="458"/>
      <c r="C18" s="343">
        <f>ORÇAMENTO!F14</f>
        <v>151800</v>
      </c>
      <c r="D18" s="470">
        <f>ORÇAMENTO!I14</f>
        <v>204930</v>
      </c>
      <c r="E18" s="471"/>
      <c r="F18" s="342">
        <f>D18/B7</f>
        <v>0.12379472981677891</v>
      </c>
      <c r="G18" s="343">
        <f>G17*C18</f>
        <v>75900</v>
      </c>
      <c r="H18" s="322"/>
    </row>
    <row r="19" spans="1:8" ht="29.25" customHeight="1" x14ac:dyDescent="0.25">
      <c r="A19" s="459" t="str">
        <f>CONCATENATE(ORÇAMENTO!D17," (", ORÇAMENTO!E17,")")</f>
        <v>Recomposição de revestimento primário com material de jazida, material para pista de rolamento (m³)</v>
      </c>
      <c r="B19" s="460"/>
      <c r="C19" s="343">
        <f>ORÇAMENTO!F17</f>
        <v>28980</v>
      </c>
      <c r="D19" s="470">
        <f>ORÇAMENTO!I17</f>
        <v>379058.4</v>
      </c>
      <c r="E19" s="471"/>
      <c r="F19" s="342">
        <f>D19/B7</f>
        <v>0.22898273660655108</v>
      </c>
      <c r="G19" s="343">
        <f>G17*C19</f>
        <v>14490</v>
      </c>
      <c r="H19" s="322"/>
    </row>
    <row r="20" spans="1:8" ht="18" customHeight="1" x14ac:dyDescent="0.25">
      <c r="A20" s="325"/>
      <c r="B20" s="204"/>
      <c r="C20" s="204"/>
      <c r="D20" s="204"/>
      <c r="E20" s="204"/>
      <c r="F20" s="204"/>
      <c r="G20" s="204"/>
      <c r="H20" s="322"/>
    </row>
    <row r="21" spans="1:8" ht="18" customHeight="1" x14ac:dyDescent="0.25">
      <c r="A21" s="468" t="s">
        <v>426</v>
      </c>
      <c r="B21" s="469"/>
      <c r="C21" s="469"/>
      <c r="D21" s="469"/>
      <c r="E21" s="469"/>
      <c r="F21" s="454"/>
      <c r="G21" s="327" t="s">
        <v>427</v>
      </c>
      <c r="H21" s="322"/>
    </row>
    <row r="22" spans="1:8" ht="18" customHeight="1" x14ac:dyDescent="0.25">
      <c r="A22" s="455" t="s">
        <v>424</v>
      </c>
      <c r="B22" s="456"/>
      <c r="C22" s="328" t="s">
        <v>425</v>
      </c>
      <c r="D22" s="464" t="s">
        <v>421</v>
      </c>
      <c r="E22" s="465"/>
      <c r="F22" s="328" t="s">
        <v>140</v>
      </c>
      <c r="G22" s="329">
        <v>0.5</v>
      </c>
      <c r="H22" s="322"/>
    </row>
    <row r="23" spans="1:8" ht="18" customHeight="1" x14ac:dyDescent="0.25">
      <c r="A23" s="457" t="str">
        <f>A18</f>
        <v>Regularização do subleito (m²)</v>
      </c>
      <c r="B23" s="458"/>
      <c r="C23" s="343">
        <f>C18</f>
        <v>151800</v>
      </c>
      <c r="D23" s="472">
        <f>[2]ORÇAMENTO!$I$14</f>
        <v>212520</v>
      </c>
      <c r="E23" s="473"/>
      <c r="F23" s="341">
        <f>D23/C7</f>
        <v>0.12457002109196949</v>
      </c>
      <c r="G23" s="343">
        <f>G22*C23</f>
        <v>75900</v>
      </c>
      <c r="H23" s="322"/>
    </row>
    <row r="24" spans="1:8" s="187" customFormat="1" ht="29.25" customHeight="1" x14ac:dyDescent="0.25">
      <c r="A24" s="459" t="str">
        <f>A19</f>
        <v>Recomposição de revestimento primário com material de jazida, material para pista de rolamento (m³)</v>
      </c>
      <c r="B24" s="460"/>
      <c r="C24" s="343">
        <f>C19</f>
        <v>28980</v>
      </c>
      <c r="D24" s="474">
        <f>[2]ORÇAMENTO!$I$17</f>
        <v>393258.6</v>
      </c>
      <c r="E24" s="475"/>
      <c r="F24" s="341">
        <f>D24/C7</f>
        <v>0.23051116175700351</v>
      </c>
      <c r="G24" s="343">
        <f>G22*C24</f>
        <v>14490</v>
      </c>
      <c r="H24" s="322"/>
    </row>
    <row r="25" spans="1:8" ht="18" customHeight="1" thickBot="1" x14ac:dyDescent="0.3">
      <c r="A25" s="461"/>
      <c r="B25" s="462"/>
      <c r="C25" s="462"/>
      <c r="D25" s="462"/>
      <c r="E25" s="462"/>
      <c r="F25" s="462"/>
      <c r="G25" s="462"/>
      <c r="H25" s="463"/>
    </row>
  </sheetData>
  <mergeCells count="27">
    <mergeCell ref="A25:H25"/>
    <mergeCell ref="D17:E17"/>
    <mergeCell ref="A15:F15"/>
    <mergeCell ref="A16:F16"/>
    <mergeCell ref="A17:B17"/>
    <mergeCell ref="A18:B18"/>
    <mergeCell ref="A19:B19"/>
    <mergeCell ref="A21:F21"/>
    <mergeCell ref="D22:E22"/>
    <mergeCell ref="D18:E18"/>
    <mergeCell ref="D19:E19"/>
    <mergeCell ref="D23:E23"/>
    <mergeCell ref="D24:E24"/>
    <mergeCell ref="D10:E10"/>
    <mergeCell ref="B10:C10"/>
    <mergeCell ref="A22:B22"/>
    <mergeCell ref="A23:B23"/>
    <mergeCell ref="A24:B24"/>
    <mergeCell ref="D1:H1"/>
    <mergeCell ref="B2:C2"/>
    <mergeCell ref="B3:C3"/>
    <mergeCell ref="B4:C4"/>
    <mergeCell ref="B5:C5"/>
    <mergeCell ref="D2:E2"/>
    <mergeCell ref="D3:E3"/>
    <mergeCell ref="D4:E4"/>
    <mergeCell ref="D5:E5"/>
  </mergeCells>
  <pageMargins left="0.511811024" right="0.511811024" top="2.1037499999999998" bottom="0.78740157499999996" header="0.31496062000000002" footer="0.31496062000000002"/>
  <pageSetup paperSize="9" scale="64" orientation="landscape" verticalDpi="0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I48"/>
  <sheetViews>
    <sheetView view="pageBreakPreview" topLeftCell="A25" zoomScale="80" zoomScaleNormal="100" zoomScaleSheetLayoutView="80" workbookViewId="0">
      <selection activeCell="H6" sqref="H6"/>
    </sheetView>
  </sheetViews>
  <sheetFormatPr defaultRowHeight="15" x14ac:dyDescent="0.25"/>
  <cols>
    <col min="1" max="1" width="20.7109375" customWidth="1"/>
    <col min="2" max="2" width="35.7109375" customWidth="1"/>
    <col min="3" max="6" width="20.7109375" customWidth="1"/>
  </cols>
  <sheetData>
    <row r="1" spans="1:9" ht="15.75" x14ac:dyDescent="0.25">
      <c r="A1" s="495" t="str">
        <f>RESUMO!A1</f>
        <v>OBRA: RECUPERAÇÃO DE ESTRADA VICINAL</v>
      </c>
      <c r="B1" s="496"/>
      <c r="C1" s="496"/>
      <c r="D1" s="496"/>
      <c r="E1" s="496"/>
      <c r="F1" s="497"/>
      <c r="G1" s="205"/>
      <c r="H1" s="205"/>
      <c r="I1" s="205"/>
    </row>
    <row r="2" spans="1:9" ht="15.75" x14ac:dyDescent="0.25">
      <c r="A2" s="495" t="str">
        <f>RESUMO!A2</f>
        <v>LOCAL: NOVA SANTA RITA - PI</v>
      </c>
      <c r="B2" s="496"/>
      <c r="C2" s="496"/>
      <c r="D2" s="496"/>
      <c r="E2" s="496"/>
      <c r="F2" s="497"/>
      <c r="G2" s="205"/>
      <c r="H2" s="205"/>
      <c r="I2" s="205"/>
    </row>
    <row r="3" spans="1:9" ht="15.75" customHeight="1" x14ac:dyDescent="0.25">
      <c r="A3" s="495" t="str">
        <f>RESUMO!A3</f>
        <v>TRECHO: POVOADO JATOBAZEIRO AO POVOADO QUINTAS - POVOADO SACO AO POVOADO CABOCLO - COM EXTENSÃO DE 23Km</v>
      </c>
      <c r="B3" s="496"/>
      <c r="C3" s="496"/>
      <c r="D3" s="496"/>
      <c r="E3" s="496"/>
      <c r="F3" s="497"/>
      <c r="G3" s="205"/>
      <c r="H3" s="205"/>
      <c r="I3" s="205"/>
    </row>
    <row r="4" spans="1:9" ht="15.75" customHeight="1" x14ac:dyDescent="0.25">
      <c r="A4" s="495" t="str">
        <f>RESUMO!A4</f>
        <v>BANCA: SINAPI - 10/2023 - Piauí / SICRO - 10/2023 - Sem desoneração - Horista: 113,05 % / Mensalista: 70,90% - BDI: 21,96 %</v>
      </c>
      <c r="B4" s="496"/>
      <c r="C4" s="496"/>
      <c r="D4" s="496"/>
      <c r="E4" s="496"/>
      <c r="F4" s="497"/>
      <c r="G4" s="205"/>
      <c r="H4" s="205"/>
      <c r="I4" s="205"/>
    </row>
    <row r="5" spans="1:9" ht="30" customHeight="1" x14ac:dyDescent="0.25">
      <c r="A5" s="678" t="s">
        <v>246</v>
      </c>
      <c r="B5" s="678"/>
      <c r="C5" s="678"/>
      <c r="D5" s="678"/>
      <c r="E5" s="678"/>
      <c r="F5" s="678"/>
    </row>
    <row r="6" spans="1:9" ht="15.75" x14ac:dyDescent="0.25">
      <c r="A6" s="665"/>
      <c r="B6" s="668"/>
      <c r="C6" s="666"/>
      <c r="D6" s="666"/>
      <c r="E6" s="666"/>
      <c r="F6" s="667"/>
    </row>
    <row r="7" spans="1:9" ht="15.75" x14ac:dyDescent="0.25">
      <c r="A7" s="213" t="s">
        <v>178</v>
      </c>
      <c r="B7" s="679" t="s">
        <v>179</v>
      </c>
      <c r="C7" s="679"/>
      <c r="D7" s="679"/>
      <c r="E7" s="213" t="s">
        <v>180</v>
      </c>
      <c r="F7" s="213" t="s">
        <v>181</v>
      </c>
    </row>
    <row r="8" spans="1:9" x14ac:dyDescent="0.25">
      <c r="A8" s="665"/>
      <c r="B8" s="666"/>
      <c r="C8" s="666"/>
      <c r="D8" s="666"/>
      <c r="E8" s="666"/>
      <c r="F8" s="667"/>
    </row>
    <row r="9" spans="1:9" s="146" customFormat="1" ht="15.75" x14ac:dyDescent="0.25">
      <c r="A9" s="671" t="s">
        <v>182</v>
      </c>
      <c r="B9" s="671"/>
      <c r="C9" s="671"/>
      <c r="D9" s="671"/>
      <c r="E9" s="671"/>
      <c r="F9" s="671"/>
    </row>
    <row r="10" spans="1:9" x14ac:dyDescent="0.25">
      <c r="A10" s="156" t="s">
        <v>12</v>
      </c>
      <c r="B10" s="669" t="s">
        <v>183</v>
      </c>
      <c r="C10" s="669"/>
      <c r="D10" s="669"/>
      <c r="E10" s="149">
        <v>0.2</v>
      </c>
      <c r="F10" s="149">
        <v>0.2</v>
      </c>
    </row>
    <row r="11" spans="1:9" x14ac:dyDescent="0.25">
      <c r="A11" s="156" t="s">
        <v>13</v>
      </c>
      <c r="B11" s="669" t="s">
        <v>184</v>
      </c>
      <c r="C11" s="669"/>
      <c r="D11" s="669"/>
      <c r="E11" s="149">
        <v>1.4999999999999999E-2</v>
      </c>
      <c r="F11" s="149">
        <v>1.4999999999999999E-2</v>
      </c>
    </row>
    <row r="12" spans="1:9" x14ac:dyDescent="0.25">
      <c r="A12" s="156" t="s">
        <v>14</v>
      </c>
      <c r="B12" s="669" t="s">
        <v>185</v>
      </c>
      <c r="C12" s="669"/>
      <c r="D12" s="669"/>
      <c r="E12" s="149">
        <v>0.01</v>
      </c>
      <c r="F12" s="149">
        <v>0.01</v>
      </c>
    </row>
    <row r="13" spans="1:9" x14ac:dyDescent="0.25">
      <c r="A13" s="156" t="s">
        <v>186</v>
      </c>
      <c r="B13" s="669" t="s">
        <v>187</v>
      </c>
      <c r="C13" s="669"/>
      <c r="D13" s="669"/>
      <c r="E13" s="149">
        <v>2E-3</v>
      </c>
      <c r="F13" s="149">
        <v>2E-3</v>
      </c>
    </row>
    <row r="14" spans="1:9" x14ac:dyDescent="0.25">
      <c r="A14" s="156" t="s">
        <v>188</v>
      </c>
      <c r="B14" s="669" t="s">
        <v>189</v>
      </c>
      <c r="C14" s="669"/>
      <c r="D14" s="669"/>
      <c r="E14" s="149">
        <v>6.0000000000000001E-3</v>
      </c>
      <c r="F14" s="149">
        <v>6.0000000000000001E-3</v>
      </c>
    </row>
    <row r="15" spans="1:9" x14ac:dyDescent="0.25">
      <c r="A15" s="156" t="s">
        <v>190</v>
      </c>
      <c r="B15" s="669" t="s">
        <v>191</v>
      </c>
      <c r="C15" s="669"/>
      <c r="D15" s="669"/>
      <c r="E15" s="149">
        <v>2.5000000000000001E-2</v>
      </c>
      <c r="F15" s="149">
        <v>2.5000000000000001E-2</v>
      </c>
    </row>
    <row r="16" spans="1:9" x14ac:dyDescent="0.25">
      <c r="A16" s="156" t="s">
        <v>192</v>
      </c>
      <c r="B16" s="669" t="s">
        <v>193</v>
      </c>
      <c r="C16" s="669"/>
      <c r="D16" s="669"/>
      <c r="E16" s="149">
        <v>0.03</v>
      </c>
      <c r="F16" s="149">
        <v>0.03</v>
      </c>
    </row>
    <row r="17" spans="1:6" x14ac:dyDescent="0.25">
      <c r="A17" s="156" t="s">
        <v>194</v>
      </c>
      <c r="B17" s="669" t="s">
        <v>195</v>
      </c>
      <c r="C17" s="669"/>
      <c r="D17" s="669"/>
      <c r="E17" s="149">
        <v>0.08</v>
      </c>
      <c r="F17" s="149">
        <v>0.08</v>
      </c>
    </row>
    <row r="18" spans="1:6" x14ac:dyDescent="0.25">
      <c r="A18" s="156" t="s">
        <v>196</v>
      </c>
      <c r="B18" s="669" t="s">
        <v>197</v>
      </c>
      <c r="C18" s="669"/>
      <c r="D18" s="669"/>
      <c r="E18" s="149">
        <v>0</v>
      </c>
      <c r="F18" s="149">
        <v>0</v>
      </c>
    </row>
    <row r="19" spans="1:6" s="146" customFormat="1" ht="15.75" x14ac:dyDescent="0.25">
      <c r="A19" s="214" t="s">
        <v>198</v>
      </c>
      <c r="B19" s="670" t="s">
        <v>199</v>
      </c>
      <c r="C19" s="670"/>
      <c r="D19" s="670"/>
      <c r="E19" s="154">
        <f>SUM(E10:E18)</f>
        <v>0.36800000000000005</v>
      </c>
      <c r="F19" s="154">
        <f>SUM(F10:F18)</f>
        <v>0.36800000000000005</v>
      </c>
    </row>
    <row r="20" spans="1:6" x14ac:dyDescent="0.25">
      <c r="A20" s="665"/>
      <c r="B20" s="666"/>
      <c r="C20" s="666"/>
      <c r="D20" s="666"/>
      <c r="E20" s="666"/>
      <c r="F20" s="667"/>
    </row>
    <row r="21" spans="1:6" s="146" customFormat="1" ht="15.75" x14ac:dyDescent="0.25">
      <c r="A21" s="671" t="s">
        <v>200</v>
      </c>
      <c r="B21" s="671"/>
      <c r="C21" s="671"/>
      <c r="D21" s="671"/>
      <c r="E21" s="671"/>
      <c r="F21" s="671"/>
    </row>
    <row r="22" spans="1:6" x14ac:dyDescent="0.25">
      <c r="A22" s="156" t="s">
        <v>201</v>
      </c>
      <c r="B22" s="669" t="s">
        <v>202</v>
      </c>
      <c r="C22" s="669"/>
      <c r="D22" s="669"/>
      <c r="E22" s="149">
        <v>0.1782</v>
      </c>
      <c r="F22" s="149">
        <v>0</v>
      </c>
    </row>
    <row r="23" spans="1:6" x14ac:dyDescent="0.25">
      <c r="A23" s="156" t="s">
        <v>203</v>
      </c>
      <c r="B23" s="669" t="s">
        <v>204</v>
      </c>
      <c r="C23" s="669"/>
      <c r="D23" s="669"/>
      <c r="E23" s="149">
        <v>3.95E-2</v>
      </c>
      <c r="F23" s="149">
        <v>0</v>
      </c>
    </row>
    <row r="24" spans="1:6" x14ac:dyDescent="0.25">
      <c r="A24" s="156" t="s">
        <v>205</v>
      </c>
      <c r="B24" s="669" t="s">
        <v>206</v>
      </c>
      <c r="C24" s="669"/>
      <c r="D24" s="669"/>
      <c r="E24" s="149">
        <v>8.6999999999999994E-3</v>
      </c>
      <c r="F24" s="149">
        <v>6.6E-3</v>
      </c>
    </row>
    <row r="25" spans="1:6" x14ac:dyDescent="0.25">
      <c r="A25" s="156" t="s">
        <v>207</v>
      </c>
      <c r="B25" s="669" t="s">
        <v>208</v>
      </c>
      <c r="C25" s="669"/>
      <c r="D25" s="669"/>
      <c r="E25" s="149">
        <v>0.1095</v>
      </c>
      <c r="F25" s="149">
        <v>8.3299999999999999E-2</v>
      </c>
    </row>
    <row r="26" spans="1:6" x14ac:dyDescent="0.25">
      <c r="A26" s="156" t="s">
        <v>209</v>
      </c>
      <c r="B26" s="669" t="s">
        <v>210</v>
      </c>
      <c r="C26" s="669"/>
      <c r="D26" s="669"/>
      <c r="E26" s="149">
        <v>6.9999999999999999E-4</v>
      </c>
      <c r="F26" s="149">
        <v>5.0000000000000001E-4</v>
      </c>
    </row>
    <row r="27" spans="1:6" x14ac:dyDescent="0.25">
      <c r="A27" s="156" t="s">
        <v>211</v>
      </c>
      <c r="B27" s="669" t="s">
        <v>212</v>
      </c>
      <c r="C27" s="669"/>
      <c r="D27" s="669"/>
      <c r="E27" s="149">
        <v>7.3000000000000001E-3</v>
      </c>
      <c r="F27" s="149">
        <v>5.5999999999999999E-3</v>
      </c>
    </row>
    <row r="28" spans="1:6" x14ac:dyDescent="0.25">
      <c r="A28" s="156" t="s">
        <v>213</v>
      </c>
      <c r="B28" s="669" t="s">
        <v>214</v>
      </c>
      <c r="C28" s="669"/>
      <c r="D28" s="669"/>
      <c r="E28" s="149">
        <v>1.1900000000000001E-2</v>
      </c>
      <c r="F28" s="149">
        <v>0</v>
      </c>
    </row>
    <row r="29" spans="1:6" x14ac:dyDescent="0.25">
      <c r="A29" s="156" t="s">
        <v>215</v>
      </c>
      <c r="B29" s="669" t="s">
        <v>216</v>
      </c>
      <c r="C29" s="669"/>
      <c r="D29" s="669"/>
      <c r="E29" s="149">
        <v>1E-3</v>
      </c>
      <c r="F29" s="149">
        <v>8.0000000000000004E-4</v>
      </c>
    </row>
    <row r="30" spans="1:6" x14ac:dyDescent="0.25">
      <c r="A30" s="156" t="s">
        <v>217</v>
      </c>
      <c r="B30" s="669" t="s">
        <v>218</v>
      </c>
      <c r="C30" s="669"/>
      <c r="D30" s="669"/>
      <c r="E30" s="149">
        <v>0.1147</v>
      </c>
      <c r="F30" s="149">
        <v>8.72E-2</v>
      </c>
    </row>
    <row r="31" spans="1:6" x14ac:dyDescent="0.25">
      <c r="A31" s="156" t="s">
        <v>219</v>
      </c>
      <c r="B31" s="669" t="s">
        <v>220</v>
      </c>
      <c r="C31" s="669"/>
      <c r="D31" s="669"/>
      <c r="E31" s="149">
        <v>4.0000000000000002E-4</v>
      </c>
      <c r="F31" s="149">
        <v>2.9999999999999997E-4</v>
      </c>
    </row>
    <row r="32" spans="1:6" s="146" customFormat="1" ht="15.75" x14ac:dyDescent="0.25">
      <c r="A32" s="214" t="s">
        <v>221</v>
      </c>
      <c r="B32" s="670" t="s">
        <v>222</v>
      </c>
      <c r="C32" s="670"/>
      <c r="D32" s="670"/>
      <c r="E32" s="154">
        <f>SUM(E22:E31)</f>
        <v>0.47189999999999993</v>
      </c>
      <c r="F32" s="154">
        <f>SUM(F22:F31)</f>
        <v>0.18429999999999999</v>
      </c>
    </row>
    <row r="33" spans="1:8" x14ac:dyDescent="0.25">
      <c r="A33" s="665"/>
      <c r="B33" s="666"/>
      <c r="C33" s="666"/>
      <c r="D33" s="666"/>
      <c r="E33" s="666"/>
      <c r="F33" s="667"/>
    </row>
    <row r="34" spans="1:8" s="146" customFormat="1" ht="15.75" x14ac:dyDescent="0.25">
      <c r="A34" s="671" t="s">
        <v>223</v>
      </c>
      <c r="B34" s="671"/>
      <c r="C34" s="671"/>
      <c r="D34" s="671"/>
      <c r="E34" s="671"/>
      <c r="F34" s="671"/>
    </row>
    <row r="35" spans="1:8" x14ac:dyDescent="0.25">
      <c r="A35" s="156" t="s">
        <v>119</v>
      </c>
      <c r="B35" s="669" t="s">
        <v>224</v>
      </c>
      <c r="C35" s="669"/>
      <c r="D35" s="669"/>
      <c r="E35" s="149">
        <v>5.2999999999999999E-2</v>
      </c>
      <c r="F35" s="149">
        <v>4.0300000000000002E-2</v>
      </c>
    </row>
    <row r="36" spans="1:8" x14ac:dyDescent="0.25">
      <c r="A36" s="156" t="s">
        <v>121</v>
      </c>
      <c r="B36" s="669" t="s">
        <v>225</v>
      </c>
      <c r="C36" s="669"/>
      <c r="D36" s="669"/>
      <c r="E36" s="149">
        <v>1.1999999999999999E-3</v>
      </c>
      <c r="F36" s="149">
        <v>8.9999999999999998E-4</v>
      </c>
    </row>
    <row r="37" spans="1:8" x14ac:dyDescent="0.25">
      <c r="A37" s="156" t="s">
        <v>226</v>
      </c>
      <c r="B37" s="669" t="s">
        <v>227</v>
      </c>
      <c r="C37" s="669"/>
      <c r="D37" s="669"/>
      <c r="E37" s="149">
        <v>2.4E-2</v>
      </c>
      <c r="F37" s="149">
        <v>1.83E-2</v>
      </c>
    </row>
    <row r="38" spans="1:8" x14ac:dyDescent="0.25">
      <c r="A38" s="156" t="s">
        <v>228</v>
      </c>
      <c r="B38" s="669" t="s">
        <v>229</v>
      </c>
      <c r="C38" s="669"/>
      <c r="D38" s="669"/>
      <c r="E38" s="149">
        <v>2.9499999999999998E-2</v>
      </c>
      <c r="F38" s="149">
        <v>2.24E-2</v>
      </c>
    </row>
    <row r="39" spans="1:8" x14ac:dyDescent="0.25">
      <c r="A39" s="156" t="s">
        <v>230</v>
      </c>
      <c r="B39" s="669" t="s">
        <v>231</v>
      </c>
      <c r="C39" s="669"/>
      <c r="D39" s="669"/>
      <c r="E39" s="149">
        <v>4.4999999999999997E-3</v>
      </c>
      <c r="F39" s="149">
        <v>3.3999999999999998E-3</v>
      </c>
    </row>
    <row r="40" spans="1:8" s="146" customFormat="1" ht="15.75" customHeight="1" x14ac:dyDescent="0.25">
      <c r="A40" s="214" t="s">
        <v>232</v>
      </c>
      <c r="B40" s="676" t="s">
        <v>233</v>
      </c>
      <c r="C40" s="676"/>
      <c r="D40" s="676"/>
      <c r="E40" s="154">
        <f>SUM(E35:E39)</f>
        <v>0.11219999999999999</v>
      </c>
      <c r="F40" s="154">
        <f>SUM(F35:F39)</f>
        <v>8.5300000000000001E-2</v>
      </c>
    </row>
    <row r="41" spans="1:8" x14ac:dyDescent="0.25">
      <c r="A41" s="665"/>
      <c r="B41" s="666"/>
      <c r="C41" s="666"/>
      <c r="D41" s="666"/>
      <c r="E41" s="666"/>
      <c r="F41" s="667"/>
    </row>
    <row r="42" spans="1:8" ht="15.75" x14ac:dyDescent="0.25">
      <c r="A42" s="677" t="s">
        <v>234</v>
      </c>
      <c r="B42" s="677"/>
      <c r="C42" s="677"/>
      <c r="D42" s="677"/>
      <c r="E42" s="677"/>
      <c r="F42" s="677"/>
    </row>
    <row r="43" spans="1:8" x14ac:dyDescent="0.25">
      <c r="A43" s="156" t="s">
        <v>235</v>
      </c>
      <c r="B43" s="669" t="s">
        <v>236</v>
      </c>
      <c r="C43" s="669"/>
      <c r="D43" s="669"/>
      <c r="E43" s="149">
        <v>0.17369999999999999</v>
      </c>
      <c r="F43" s="149">
        <v>6.7799999999999999E-2</v>
      </c>
      <c r="G43" s="226">
        <v>7.9299999999999995E-2</v>
      </c>
      <c r="H43" s="226">
        <v>3.1E-2</v>
      </c>
    </row>
    <row r="44" spans="1:8" ht="15" customHeight="1" x14ac:dyDescent="0.25">
      <c r="A44" s="156" t="s">
        <v>237</v>
      </c>
      <c r="B44" s="672" t="s">
        <v>238</v>
      </c>
      <c r="C44" s="672"/>
      <c r="D44" s="672"/>
      <c r="E44" s="149">
        <v>4.7000000000000002E-3</v>
      </c>
      <c r="F44" s="149">
        <v>3.5999999999999999E-3</v>
      </c>
      <c r="G44" s="226">
        <v>4.4000000000000003E-3</v>
      </c>
      <c r="H44" s="226">
        <v>3.3999999999999998E-3</v>
      </c>
    </row>
    <row r="45" spans="1:8" s="146" customFormat="1" ht="15.75" customHeight="1" x14ac:dyDescent="0.25">
      <c r="A45" s="157" t="s">
        <v>239</v>
      </c>
      <c r="B45" s="673" t="s">
        <v>240</v>
      </c>
      <c r="C45" s="673"/>
      <c r="D45" s="673"/>
      <c r="E45" s="155">
        <f>E43+E44</f>
        <v>0.1784</v>
      </c>
      <c r="F45" s="155">
        <f>F43+F44</f>
        <v>7.1400000000000005E-2</v>
      </c>
      <c r="G45" s="226">
        <f>SUM(G43:G44)</f>
        <v>8.3699999999999997E-2</v>
      </c>
      <c r="H45" s="226">
        <f>SUM(H43:H44)</f>
        <v>3.44E-2</v>
      </c>
    </row>
    <row r="46" spans="1:8" ht="15.75" x14ac:dyDescent="0.25">
      <c r="A46" s="674"/>
      <c r="B46" s="674"/>
      <c r="C46" s="674"/>
      <c r="D46" s="674"/>
      <c r="E46" s="674"/>
      <c r="F46" s="674"/>
    </row>
    <row r="47" spans="1:8" s="146" customFormat="1" ht="15.75" x14ac:dyDescent="0.25">
      <c r="A47" s="675" t="s">
        <v>241</v>
      </c>
      <c r="B47" s="675"/>
      <c r="C47" s="675"/>
      <c r="D47" s="675"/>
      <c r="E47" s="158">
        <f>E45+E40+E32+E19</f>
        <v>1.1305000000000001</v>
      </c>
      <c r="F47" s="158">
        <f>F45+F40+F32+F19</f>
        <v>0.70900000000000007</v>
      </c>
    </row>
    <row r="48" spans="1:8" x14ac:dyDescent="0.25">
      <c r="A48" s="147"/>
      <c r="B48" s="147"/>
      <c r="C48" s="147"/>
      <c r="D48" s="147"/>
      <c r="E48" s="148">
        <v>83.58</v>
      </c>
      <c r="F48" s="148">
        <v>47.2</v>
      </c>
    </row>
  </sheetData>
  <mergeCells count="47">
    <mergeCell ref="A1:F1"/>
    <mergeCell ref="A2:F2"/>
    <mergeCell ref="A3:F3"/>
    <mergeCell ref="A4:F4"/>
    <mergeCell ref="B35:D35"/>
    <mergeCell ref="A5:F5"/>
    <mergeCell ref="B7:D7"/>
    <mergeCell ref="A9:F9"/>
    <mergeCell ref="B10:D10"/>
    <mergeCell ref="B23:D23"/>
    <mergeCell ref="B11:D11"/>
    <mergeCell ref="B12:D12"/>
    <mergeCell ref="B13:D13"/>
    <mergeCell ref="B14:D14"/>
    <mergeCell ref="B15:D15"/>
    <mergeCell ref="B16:D16"/>
    <mergeCell ref="B44:D44"/>
    <mergeCell ref="B45:D45"/>
    <mergeCell ref="A46:F46"/>
    <mergeCell ref="A47:D47"/>
    <mergeCell ref="B37:D37"/>
    <mergeCell ref="B38:D38"/>
    <mergeCell ref="B39:D39"/>
    <mergeCell ref="B40:D40"/>
    <mergeCell ref="A42:F42"/>
    <mergeCell ref="B43:D43"/>
    <mergeCell ref="B17:D17"/>
    <mergeCell ref="B18:D18"/>
    <mergeCell ref="B19:D19"/>
    <mergeCell ref="A21:F21"/>
    <mergeCell ref="B22:D22"/>
    <mergeCell ref="A8:F8"/>
    <mergeCell ref="A6:F6"/>
    <mergeCell ref="A20:F20"/>
    <mergeCell ref="A33:F33"/>
    <mergeCell ref="A41:F41"/>
    <mergeCell ref="B36:D36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A34:F34"/>
  </mergeCells>
  <printOptions horizontalCentered="1"/>
  <pageMargins left="0.51181102362204722" right="0.51181102362204722" top="1.7302083333333333" bottom="0.98425196850393704" header="0" footer="0"/>
  <pageSetup paperSize="9" scale="66" fitToHeight="0" orientation="portrait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17"/>
  <sheetViews>
    <sheetView view="pageBreakPreview" zoomScale="80" zoomScaleNormal="100" zoomScaleSheetLayoutView="80" workbookViewId="0">
      <selection activeCell="L14" sqref="L14"/>
    </sheetView>
  </sheetViews>
  <sheetFormatPr defaultRowHeight="15" x14ac:dyDescent="0.25"/>
  <cols>
    <col min="1" max="1" width="10.28515625" customWidth="1"/>
    <col min="2" max="2" width="17.7109375" bestFit="1" customWidth="1"/>
    <col min="3" max="3" width="25.28515625" customWidth="1"/>
    <col min="4" max="4" width="12.140625" bestFit="1" customWidth="1"/>
    <col min="5" max="5" width="15.5703125" customWidth="1"/>
    <col min="6" max="6" width="20.7109375" customWidth="1"/>
    <col min="7" max="7" width="19.42578125" customWidth="1"/>
    <col min="8" max="8" width="25.85546875" customWidth="1"/>
    <col min="9" max="9" width="12.7109375" bestFit="1" customWidth="1"/>
    <col min="10" max="10" width="22.7109375" bestFit="1" customWidth="1"/>
  </cols>
  <sheetData>
    <row r="1" spans="1:10" ht="15.75" x14ac:dyDescent="0.25">
      <c r="A1" s="479" t="str">
        <f>CONCATENATE("OBRA: ", GERAL!B2)</f>
        <v>OBRA: RECUPERAÇÃO DE ESTRADA VICINAL</v>
      </c>
      <c r="B1" s="479"/>
      <c r="C1" s="479"/>
      <c r="D1" s="479"/>
      <c r="E1" s="479"/>
      <c r="F1" s="479"/>
      <c r="G1" s="479"/>
      <c r="H1" s="479"/>
      <c r="I1" s="205"/>
    </row>
    <row r="2" spans="1:10" ht="15.75" x14ac:dyDescent="0.25">
      <c r="A2" s="479" t="str">
        <f>CONCATENATE("LOCAL: ", GERAL!B3)</f>
        <v>LOCAL: NOVA SANTA RITA - PI</v>
      </c>
      <c r="B2" s="479"/>
      <c r="C2" s="479"/>
      <c r="D2" s="479"/>
      <c r="E2" s="479"/>
      <c r="F2" s="479"/>
      <c r="G2" s="479"/>
      <c r="H2" s="479"/>
      <c r="I2" s="205"/>
    </row>
    <row r="3" spans="1:10" ht="15.75" x14ac:dyDescent="0.25">
      <c r="A3" s="479" t="str">
        <f>CONCATENATE("TRECHO: ", GERAL!B4, " - COM EXTENSÃO DE ",GERAL!B13, GERAL!C13)</f>
        <v>TRECHO: POVOADO JATOBAZEIRO AO POVOADO QUINTAS - POVOADO SACO AO POVOADO CABOCLO - COM EXTENSÃO DE 23Km</v>
      </c>
      <c r="B3" s="479"/>
      <c r="C3" s="479"/>
      <c r="D3" s="479"/>
      <c r="E3" s="479"/>
      <c r="F3" s="479"/>
      <c r="G3" s="479"/>
      <c r="H3" s="479"/>
      <c r="I3" s="205"/>
    </row>
    <row r="4" spans="1:10" ht="31.9" customHeight="1" x14ac:dyDescent="0.25">
      <c r="A4" s="480" t="str">
        <f>CONCATENATE("BANCA: SINAPI - ",GERAL!F2, " - Piauí / SICRO - ",GERAL!F3, " - Sem desoneração - Horista: ",TEXT('LEIS SOCIAIS'!E47,"0,00 %"), " / Mensalista: ", TEXT('LEIS SOCIAIS'!F47,"0,00%")," - BDI: ", TEXT(BDI!I66,"0,00 %"))</f>
        <v>BANCA: SINAPI - 10/2023 - Piauí / SICRO - 10/2023 - Sem desoneração - Horista: 113,05 % / Mensalista: 70,90% - BDI: 21,96 %</v>
      </c>
      <c r="B4" s="480"/>
      <c r="C4" s="480"/>
      <c r="D4" s="480"/>
      <c r="E4" s="480"/>
      <c r="F4" s="480"/>
      <c r="G4" s="480"/>
      <c r="H4" s="480"/>
      <c r="I4" s="205"/>
    </row>
    <row r="5" spans="1:10" ht="15.75" x14ac:dyDescent="0.25">
      <c r="A5" s="481" t="s">
        <v>356</v>
      </c>
      <c r="B5" s="481"/>
      <c r="C5" s="481"/>
      <c r="D5" s="481"/>
      <c r="E5" s="481"/>
      <c r="F5" s="481"/>
      <c r="G5" s="481"/>
      <c r="H5" s="481"/>
    </row>
    <row r="6" spans="1:10" x14ac:dyDescent="0.25">
      <c r="A6" s="207" t="s">
        <v>70</v>
      </c>
      <c r="B6" s="485" t="s">
        <v>80</v>
      </c>
      <c r="C6" s="486"/>
      <c r="D6" s="486"/>
      <c r="E6" s="486"/>
      <c r="F6" s="487"/>
      <c r="G6" s="189" t="s">
        <v>81</v>
      </c>
      <c r="H6" s="189" t="s">
        <v>259</v>
      </c>
      <c r="I6" s="187"/>
    </row>
    <row r="7" spans="1:10" ht="14.45" customHeight="1" x14ac:dyDescent="0.25">
      <c r="A7" s="206" t="s">
        <v>260</v>
      </c>
      <c r="B7" s="482" t="s">
        <v>17</v>
      </c>
      <c r="C7" s="483"/>
      <c r="D7" s="483"/>
      <c r="E7" s="483"/>
      <c r="F7" s="484"/>
      <c r="G7" s="191">
        <f>ORÇAMENTO!I7</f>
        <v>202753.46000000002</v>
      </c>
      <c r="H7" s="192">
        <f>G7/$H$14</f>
        <v>0.12247991899730197</v>
      </c>
      <c r="I7" s="187"/>
    </row>
    <row r="8" spans="1:10" ht="14.45" customHeight="1" x14ac:dyDescent="0.25">
      <c r="A8" s="206" t="s">
        <v>261</v>
      </c>
      <c r="B8" s="482" t="s">
        <v>59</v>
      </c>
      <c r="C8" s="483"/>
      <c r="D8" s="483"/>
      <c r="E8" s="483"/>
      <c r="F8" s="484"/>
      <c r="G8" s="191">
        <f>ORÇAMENTO!I12</f>
        <v>635047.48</v>
      </c>
      <c r="H8" s="192">
        <f t="shared" ref="H8:H10" si="0">G8/$H$14</f>
        <v>0.38362138880313429</v>
      </c>
      <c r="I8" s="187"/>
    </row>
    <row r="9" spans="1:10" ht="14.45" customHeight="1" x14ac:dyDescent="0.25">
      <c r="A9" s="206" t="s">
        <v>262</v>
      </c>
      <c r="B9" s="482" t="s">
        <v>243</v>
      </c>
      <c r="C9" s="483"/>
      <c r="D9" s="483"/>
      <c r="E9" s="483"/>
      <c r="F9" s="484"/>
      <c r="G9" s="191">
        <f>ORÇAMENTO!I18</f>
        <v>589065.17000000004</v>
      </c>
      <c r="H9" s="192">
        <f t="shared" si="0"/>
        <v>0.35584425689076732</v>
      </c>
      <c r="I9" s="187"/>
    </row>
    <row r="10" spans="1:10" ht="14.45" customHeight="1" x14ac:dyDescent="0.25">
      <c r="A10" s="206" t="s">
        <v>263</v>
      </c>
      <c r="B10" s="482" t="s">
        <v>75</v>
      </c>
      <c r="C10" s="483"/>
      <c r="D10" s="483"/>
      <c r="E10" s="483"/>
      <c r="F10" s="484"/>
      <c r="G10" s="191">
        <f>ORÇAMENTO!I21</f>
        <v>42600.6</v>
      </c>
      <c r="H10" s="192">
        <f t="shared" si="0"/>
        <v>2.5734298380094039E-2</v>
      </c>
      <c r="I10" s="187"/>
    </row>
    <row r="11" spans="1:10" s="187" customFormat="1" ht="14.45" customHeight="1" x14ac:dyDescent="0.25">
      <c r="A11" s="429">
        <v>5</v>
      </c>
      <c r="B11" s="476" t="str">
        <f>ORÇAMENTO!D23</f>
        <v>OBRAS DE ARTE</v>
      </c>
      <c r="C11" s="477"/>
      <c r="D11" s="477"/>
      <c r="E11" s="477"/>
      <c r="F11" s="478"/>
      <c r="G11" s="430">
        <f>ORÇAMENTO!I23</f>
        <v>172259.74</v>
      </c>
      <c r="H11" s="431">
        <f>G11/$H$14</f>
        <v>0.10405918104527684</v>
      </c>
    </row>
    <row r="12" spans="1:10" s="187" customFormat="1" ht="14.45" customHeight="1" x14ac:dyDescent="0.25">
      <c r="A12" s="429">
        <v>6</v>
      </c>
      <c r="B12" s="476" t="str">
        <f>ORÇAMENTO!D28</f>
        <v>SINALIZAÇÃO</v>
      </c>
      <c r="C12" s="477"/>
      <c r="D12" s="477"/>
      <c r="E12" s="477"/>
      <c r="F12" s="478"/>
      <c r="G12" s="430">
        <f>ORÇAMENTO!I28</f>
        <v>13675.2</v>
      </c>
      <c r="H12" s="431">
        <f>G12/$H$14</f>
        <v>8.2609558834256334E-3</v>
      </c>
    </row>
    <row r="13" spans="1:10" x14ac:dyDescent="0.25">
      <c r="A13" s="167"/>
      <c r="B13" s="167"/>
      <c r="C13" s="167"/>
      <c r="D13" s="167"/>
      <c r="E13" s="167"/>
      <c r="F13" s="167"/>
      <c r="G13" s="167"/>
      <c r="H13" s="167"/>
      <c r="I13" s="187"/>
    </row>
    <row r="14" spans="1:10" x14ac:dyDescent="0.25">
      <c r="A14" s="208"/>
      <c r="B14" s="168"/>
      <c r="C14" s="208"/>
      <c r="D14" s="187"/>
      <c r="E14" s="187"/>
      <c r="F14" s="187"/>
      <c r="G14" s="169" t="s">
        <v>264</v>
      </c>
      <c r="H14" s="170">
        <f>SUM(G7:G12)</f>
        <v>1655401.65</v>
      </c>
      <c r="I14" s="260">
        <f>H14-ORÇAMENTO!H33</f>
        <v>0</v>
      </c>
      <c r="J14" s="352">
        <f>SUM(H7:H12)</f>
        <v>1</v>
      </c>
    </row>
    <row r="15" spans="1:10" x14ac:dyDescent="0.25">
      <c r="A15" s="208"/>
      <c r="B15" s="168"/>
      <c r="C15" s="208"/>
      <c r="D15" s="187"/>
      <c r="E15" s="187"/>
      <c r="F15" s="187"/>
      <c r="I15" s="187"/>
    </row>
    <row r="16" spans="1:10" x14ac:dyDescent="0.25">
      <c r="A16" s="208"/>
      <c r="B16" s="168"/>
      <c r="C16" s="208"/>
      <c r="D16" s="187"/>
      <c r="E16" s="187"/>
      <c r="F16" s="187"/>
      <c r="I16" s="187"/>
    </row>
    <row r="17" spans="8:8" x14ac:dyDescent="0.25">
      <c r="H17" s="353"/>
    </row>
  </sheetData>
  <mergeCells count="12">
    <mergeCell ref="B12:F12"/>
    <mergeCell ref="B11:F11"/>
    <mergeCell ref="A1:H1"/>
    <mergeCell ref="A4:H4"/>
    <mergeCell ref="A5:H5"/>
    <mergeCell ref="B10:F10"/>
    <mergeCell ref="B7:F7"/>
    <mergeCell ref="A3:H3"/>
    <mergeCell ref="A2:H2"/>
    <mergeCell ref="B6:F6"/>
    <mergeCell ref="B8:F8"/>
    <mergeCell ref="B9:F9"/>
  </mergeCells>
  <phoneticPr fontId="10" type="noConversion"/>
  <printOptions horizontalCentered="1"/>
  <pageMargins left="0.51181102362204722" right="0.51181102362204722" top="1.9685039370078741" bottom="0.98425196850393704" header="0" footer="0"/>
  <pageSetup paperSize="9" scale="62" fitToHeight="0" orientation="portrait" horizontalDpi="4294967294" verticalDpi="360" r:id="rId1"/>
  <headerFooter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M35"/>
  <sheetViews>
    <sheetView view="pageBreakPreview" topLeftCell="A10" zoomScale="80" zoomScaleNormal="100" zoomScaleSheetLayoutView="80" workbookViewId="0">
      <selection activeCell="A17" sqref="A17:XFD17"/>
    </sheetView>
  </sheetViews>
  <sheetFormatPr defaultRowHeight="15" x14ac:dyDescent="0.25"/>
  <cols>
    <col min="2" max="2" width="16.85546875" customWidth="1"/>
    <col min="3" max="3" width="8.7109375" style="182" customWidth="1"/>
    <col min="4" max="4" width="68.42578125" bestFit="1" customWidth="1"/>
    <col min="5" max="5" width="12.140625" bestFit="1" customWidth="1"/>
    <col min="6" max="6" width="14.7109375" style="171" customWidth="1"/>
    <col min="7" max="7" width="13.7109375" customWidth="1"/>
    <col min="8" max="8" width="14.7109375" customWidth="1"/>
    <col min="9" max="9" width="17.140625" customWidth="1"/>
    <col min="10" max="10" width="12.7109375" bestFit="1" customWidth="1"/>
    <col min="11" max="11" width="22.7109375" bestFit="1" customWidth="1"/>
  </cols>
  <sheetData>
    <row r="1" spans="1:13" ht="15.75" x14ac:dyDescent="0.25">
      <c r="A1" s="488" t="str">
        <f>RESUMO!A1</f>
        <v>OBRA: RECUPERAÇÃO DE ESTRADA VICINAL</v>
      </c>
      <c r="B1" s="488"/>
      <c r="C1" s="488"/>
      <c r="D1" s="488"/>
      <c r="E1" s="488"/>
      <c r="F1" s="488"/>
      <c r="G1" s="488"/>
      <c r="H1" s="488"/>
      <c r="I1" s="488"/>
      <c r="J1" s="479"/>
    </row>
    <row r="2" spans="1:13" ht="15.75" x14ac:dyDescent="0.25">
      <c r="A2" s="488" t="str">
        <f>RESUMO!A2</f>
        <v>LOCAL: NOVA SANTA RITA - PI</v>
      </c>
      <c r="B2" s="488"/>
      <c r="C2" s="488"/>
      <c r="D2" s="488"/>
      <c r="E2" s="488"/>
      <c r="F2" s="488"/>
      <c r="G2" s="488"/>
      <c r="H2" s="488"/>
      <c r="I2" s="488"/>
      <c r="J2" s="479"/>
    </row>
    <row r="3" spans="1:13" ht="15.75" x14ac:dyDescent="0.25">
      <c r="A3" s="488" t="str">
        <f>RESUMO!A3</f>
        <v>TRECHO: POVOADO JATOBAZEIRO AO POVOADO QUINTAS - POVOADO SACO AO POVOADO CABOCLO - COM EXTENSÃO DE 23Km</v>
      </c>
      <c r="B3" s="488"/>
      <c r="C3" s="488"/>
      <c r="D3" s="488"/>
      <c r="E3" s="488"/>
      <c r="F3" s="488"/>
      <c r="G3" s="488"/>
      <c r="H3" s="488"/>
      <c r="I3" s="488"/>
      <c r="J3" s="479"/>
    </row>
    <row r="4" spans="1:13" ht="15.75" x14ac:dyDescent="0.25">
      <c r="A4" s="488" t="str">
        <f>RESUMO!A4</f>
        <v>BANCA: SINAPI - 10/2023 - Piauí / SICRO - 10/2023 - Sem desoneração - Horista: 113,05 % / Mensalista: 70,90% - BDI: 21,96 %</v>
      </c>
      <c r="B4" s="488"/>
      <c r="C4" s="488"/>
      <c r="D4" s="488"/>
      <c r="E4" s="488"/>
      <c r="F4" s="488"/>
      <c r="G4" s="488"/>
      <c r="H4" s="488"/>
      <c r="I4" s="488"/>
      <c r="J4" s="479"/>
      <c r="K4">
        <f>BDI!I66+1</f>
        <v>1.2196</v>
      </c>
    </row>
    <row r="5" spans="1:13" ht="15.75" x14ac:dyDescent="0.25">
      <c r="A5" s="481" t="s">
        <v>357</v>
      </c>
      <c r="B5" s="481"/>
      <c r="C5" s="481"/>
      <c r="D5" s="481"/>
      <c r="E5" s="481"/>
      <c r="F5" s="481"/>
      <c r="G5" s="481"/>
      <c r="H5" s="481"/>
      <c r="I5" s="481"/>
      <c r="J5" s="481"/>
    </row>
    <row r="6" spans="1:13" ht="30" x14ac:dyDescent="0.25">
      <c r="A6" s="207" t="s">
        <v>70</v>
      </c>
      <c r="B6" s="189" t="s">
        <v>69</v>
      </c>
      <c r="C6" s="207" t="s">
        <v>265</v>
      </c>
      <c r="D6" s="207" t="s">
        <v>80</v>
      </c>
      <c r="E6" s="193" t="s">
        <v>266</v>
      </c>
      <c r="F6" s="194" t="s">
        <v>267</v>
      </c>
      <c r="G6" s="189" t="s">
        <v>268</v>
      </c>
      <c r="H6" s="189" t="s">
        <v>269</v>
      </c>
      <c r="I6" s="189" t="s">
        <v>81</v>
      </c>
      <c r="J6" s="189" t="s">
        <v>259</v>
      </c>
      <c r="K6" s="295" t="s">
        <v>389</v>
      </c>
    </row>
    <row r="7" spans="1:13" x14ac:dyDescent="0.25">
      <c r="A7" s="206" t="s">
        <v>260</v>
      </c>
      <c r="B7" s="206"/>
      <c r="C7" s="206"/>
      <c r="D7" s="206" t="s">
        <v>17</v>
      </c>
      <c r="E7" s="206"/>
      <c r="F7" s="195"/>
      <c r="G7" s="206"/>
      <c r="H7" s="206"/>
      <c r="I7" s="256">
        <f>SUM(I8:I11)</f>
        <v>202753.46000000002</v>
      </c>
      <c r="J7" s="258">
        <f>SUM(J8:J11)</f>
        <v>0.12247991899730196</v>
      </c>
    </row>
    <row r="8" spans="1:13" ht="25.5" x14ac:dyDescent="0.25">
      <c r="A8" s="305" t="s">
        <v>270</v>
      </c>
      <c r="B8" s="309" t="s">
        <v>381</v>
      </c>
      <c r="C8" s="305" t="s">
        <v>365</v>
      </c>
      <c r="D8" s="305" t="s">
        <v>68</v>
      </c>
      <c r="E8" s="306" t="s">
        <v>21</v>
      </c>
      <c r="F8" s="307">
        <f>'MEMORIAL DE CALCULO'!E9</f>
        <v>1</v>
      </c>
      <c r="G8" s="310">
        <f>'COMPOSIÇÃO UNIT.'!J7</f>
        <v>122702.43</v>
      </c>
      <c r="H8" s="310">
        <f>'COMPOSIÇÃO UNIT.'!J14</f>
        <v>149647.88362799998</v>
      </c>
      <c r="I8" s="310">
        <f>ROUND(F8*H8,2)</f>
        <v>149647.88</v>
      </c>
      <c r="J8" s="311">
        <f>I8/$H$33</f>
        <v>9.0399740751738414E-2</v>
      </c>
    </row>
    <row r="9" spans="1:13" ht="25.5" x14ac:dyDescent="0.25">
      <c r="A9" s="305" t="s">
        <v>271</v>
      </c>
      <c r="B9" s="197" t="s">
        <v>382</v>
      </c>
      <c r="C9" s="196" t="s">
        <v>365</v>
      </c>
      <c r="D9" s="196" t="s">
        <v>377</v>
      </c>
      <c r="E9" s="198" t="s">
        <v>27</v>
      </c>
      <c r="F9" s="199">
        <f>'MEMORIAL DE CALCULO'!E15</f>
        <v>6.48</v>
      </c>
      <c r="G9" s="200">
        <f>'COMPOSIÇÃO UNIT.'!J17</f>
        <v>363.29</v>
      </c>
      <c r="H9" s="200">
        <f>'COMPOSIÇÃO UNIT.'!J26</f>
        <v>443.01</v>
      </c>
      <c r="I9" s="200">
        <f t="shared" ref="I9:I29" si="0">ROUND(F9*H9,2)</f>
        <v>2870.7</v>
      </c>
      <c r="J9" s="259">
        <f>I9/$H$33</f>
        <v>1.7341410768800429E-3</v>
      </c>
    </row>
    <row r="10" spans="1:13" ht="25.5" x14ac:dyDescent="0.25">
      <c r="A10" s="305" t="s">
        <v>272</v>
      </c>
      <c r="B10" s="197" t="s">
        <v>379</v>
      </c>
      <c r="C10" s="196" t="s">
        <v>365</v>
      </c>
      <c r="D10" s="196" t="s">
        <v>19</v>
      </c>
      <c r="E10" s="198" t="s">
        <v>273</v>
      </c>
      <c r="F10" s="199">
        <f>'MEMORIAL DE CALCULO'!E18</f>
        <v>1</v>
      </c>
      <c r="G10" s="200">
        <f>'MOBILIZAÇÃO E DESMOB.'!F44</f>
        <v>34939.64</v>
      </c>
      <c r="H10" s="349">
        <f>G10*K4</f>
        <v>42612.384943999998</v>
      </c>
      <c r="I10" s="200">
        <f t="shared" si="0"/>
        <v>42612.38</v>
      </c>
      <c r="J10" s="259">
        <f>I10/$H$33</f>
        <v>2.5741414477870067E-2</v>
      </c>
    </row>
    <row r="11" spans="1:13" s="187" customFormat="1" ht="25.5" x14ac:dyDescent="0.25">
      <c r="A11" s="305" t="s">
        <v>390</v>
      </c>
      <c r="B11" s="428" t="s">
        <v>383</v>
      </c>
      <c r="C11" s="427" t="s">
        <v>365</v>
      </c>
      <c r="D11" s="427" t="s">
        <v>391</v>
      </c>
      <c r="E11" s="306" t="s">
        <v>273</v>
      </c>
      <c r="F11" s="307">
        <f>'MEMORIAL DE CALCULO'!E21</f>
        <v>1</v>
      </c>
      <c r="G11" s="310">
        <f>'COMPOSIÇÃO UNIT.'!J29</f>
        <v>6250</v>
      </c>
      <c r="H11" s="310">
        <f>'COMPOSIÇÃO UNIT.'!J33</f>
        <v>7622.5</v>
      </c>
      <c r="I11" s="200">
        <f t="shared" ref="I11" si="1">ROUND(F11*H11,2)</f>
        <v>7622.5</v>
      </c>
      <c r="J11" s="259">
        <f t="shared" ref="J11" si="2">I11/$H$33</f>
        <v>4.6046226908134352E-3</v>
      </c>
    </row>
    <row r="12" spans="1:13" x14ac:dyDescent="0.25">
      <c r="A12" s="350" t="s">
        <v>261</v>
      </c>
      <c r="B12" s="206"/>
      <c r="C12" s="206"/>
      <c r="D12" s="206" t="s">
        <v>59</v>
      </c>
      <c r="E12" s="206"/>
      <c r="F12" s="195"/>
      <c r="G12" s="206"/>
      <c r="H12" s="206"/>
      <c r="I12" s="256">
        <f>SUM(I13:I17)</f>
        <v>635047.48</v>
      </c>
      <c r="J12" s="258">
        <f t="shared" ref="J12:J29" si="3">I12/$H$33</f>
        <v>0.38362138880313429</v>
      </c>
      <c r="K12" s="261">
        <f>SUM(J13:J17)</f>
        <v>0.38362138880313434</v>
      </c>
      <c r="M12" s="261"/>
    </row>
    <row r="13" spans="1:13" ht="25.5" x14ac:dyDescent="0.25">
      <c r="A13" s="305" t="s">
        <v>274</v>
      </c>
      <c r="B13" s="197" t="s">
        <v>275</v>
      </c>
      <c r="C13" s="196" t="s">
        <v>380</v>
      </c>
      <c r="D13" s="196" t="s">
        <v>60</v>
      </c>
      <c r="E13" s="198" t="s">
        <v>27</v>
      </c>
      <c r="F13" s="199">
        <f>'MEMORIAL DE CALCULO'!E31</f>
        <v>46000</v>
      </c>
      <c r="G13" s="200">
        <f>'COMPOSIÇÃO UNIT.'!J37</f>
        <v>0.53</v>
      </c>
      <c r="H13" s="200">
        <f>'COMPOSIÇÃO UNIT.'!J52</f>
        <v>0.64</v>
      </c>
      <c r="I13" s="200">
        <f t="shared" si="0"/>
        <v>29440</v>
      </c>
      <c r="J13" s="259">
        <f t="shared" si="3"/>
        <v>1.7784203610042314E-2</v>
      </c>
    </row>
    <row r="14" spans="1:13" x14ac:dyDescent="0.25">
      <c r="A14" s="305" t="s">
        <v>276</v>
      </c>
      <c r="B14" s="309">
        <v>4011209</v>
      </c>
      <c r="C14" s="305" t="s">
        <v>380</v>
      </c>
      <c r="D14" s="305" t="s">
        <v>406</v>
      </c>
      <c r="E14" s="306" t="s">
        <v>27</v>
      </c>
      <c r="F14" s="199">
        <f>'MEMORIAL DE CALCULO'!E37</f>
        <v>151800</v>
      </c>
      <c r="G14" s="200">
        <f>'COMPOSIÇÃO UNIT.'!J55</f>
        <v>1.1100000000000001</v>
      </c>
      <c r="H14" s="200">
        <f>'COMPOSIÇÃO UNIT.'!J75</f>
        <v>1.35</v>
      </c>
      <c r="I14" s="200">
        <f t="shared" si="0"/>
        <v>204930</v>
      </c>
      <c r="J14" s="681">
        <f t="shared" si="3"/>
        <v>0.12379472981677891</v>
      </c>
    </row>
    <row r="15" spans="1:13" x14ac:dyDescent="0.25">
      <c r="A15" s="305" t="s">
        <v>277</v>
      </c>
      <c r="B15" s="197" t="s">
        <v>278</v>
      </c>
      <c r="C15" s="196" t="s">
        <v>380</v>
      </c>
      <c r="D15" s="196" t="s">
        <v>358</v>
      </c>
      <c r="E15" s="198" t="s">
        <v>27</v>
      </c>
      <c r="F15" s="199">
        <f>'MEMORIAL DE CALCULO'!E50</f>
        <v>28980</v>
      </c>
      <c r="G15" s="200">
        <f>'COMPOSIÇÃO UNIT.'!J78</f>
        <v>0.48</v>
      </c>
      <c r="H15" s="200">
        <f>'COMPOSIÇÃO UNIT.'!J93</f>
        <v>0.57999999999999996</v>
      </c>
      <c r="I15" s="200">
        <f t="shared" si="0"/>
        <v>16808.400000000001</v>
      </c>
      <c r="J15" s="259">
        <f t="shared" si="3"/>
        <v>1.0153668748608534E-2</v>
      </c>
    </row>
    <row r="16" spans="1:13" x14ac:dyDescent="0.25">
      <c r="A16" s="305" t="s">
        <v>279</v>
      </c>
      <c r="B16" s="197" t="s">
        <v>280</v>
      </c>
      <c r="C16" s="196" t="s">
        <v>380</v>
      </c>
      <c r="D16" s="196" t="s">
        <v>42</v>
      </c>
      <c r="E16" s="198" t="s">
        <v>38</v>
      </c>
      <c r="F16" s="199">
        <f>'MEMORIAL DE CALCULO'!E55</f>
        <v>1449</v>
      </c>
      <c r="G16" s="200">
        <f>'COMPOSIÇÃO UNIT.'!J96</f>
        <v>2.73</v>
      </c>
      <c r="H16" s="200">
        <f>'COMPOSIÇÃO UNIT.'!J111</f>
        <v>3.32</v>
      </c>
      <c r="I16" s="200">
        <f t="shared" si="0"/>
        <v>4810.68</v>
      </c>
      <c r="J16" s="259">
        <f t="shared" si="3"/>
        <v>2.9060500211534768E-3</v>
      </c>
    </row>
    <row r="17" spans="1:11" ht="25.5" x14ac:dyDescent="0.25">
      <c r="A17" s="305" t="s">
        <v>281</v>
      </c>
      <c r="B17" s="197" t="s">
        <v>282</v>
      </c>
      <c r="C17" s="196" t="s">
        <v>380</v>
      </c>
      <c r="D17" s="196" t="s">
        <v>359</v>
      </c>
      <c r="E17" s="198" t="s">
        <v>38</v>
      </c>
      <c r="F17" s="199">
        <f>'MEMORIAL DE CALCULO'!E62</f>
        <v>28980</v>
      </c>
      <c r="G17" s="200">
        <f>'COMPOSIÇÃO UNIT.'!J114</f>
        <v>10.73</v>
      </c>
      <c r="H17" s="200">
        <f>'COMPOSIÇÃO UNIT.'!J137</f>
        <v>13.08</v>
      </c>
      <c r="I17" s="200">
        <f t="shared" si="0"/>
        <v>379058.4</v>
      </c>
      <c r="J17" s="681">
        <f t="shared" si="3"/>
        <v>0.22898273660655108</v>
      </c>
      <c r="K17" s="297">
        <f>F17*0.3</f>
        <v>8694</v>
      </c>
    </row>
    <row r="18" spans="1:11" x14ac:dyDescent="0.25">
      <c r="A18" s="350" t="s">
        <v>262</v>
      </c>
      <c r="B18" s="206"/>
      <c r="C18" s="206"/>
      <c r="D18" s="206" t="s">
        <v>243</v>
      </c>
      <c r="E18" s="206"/>
      <c r="F18" s="195"/>
      <c r="G18" s="206"/>
      <c r="H18" s="206"/>
      <c r="I18" s="256">
        <f>SUM(I19:I20)</f>
        <v>589065.17000000004</v>
      </c>
      <c r="J18" s="258">
        <f t="shared" si="3"/>
        <v>0.35584425689076732</v>
      </c>
      <c r="K18" s="351">
        <f>SUM(J19:J20)</f>
        <v>0.35584425689076726</v>
      </c>
    </row>
    <row r="19" spans="1:11" ht="25.5" x14ac:dyDescent="0.25">
      <c r="A19" s="305" t="s">
        <v>283</v>
      </c>
      <c r="B19" s="197" t="s">
        <v>284</v>
      </c>
      <c r="C19" s="196" t="s">
        <v>380</v>
      </c>
      <c r="D19" s="305" t="s">
        <v>360</v>
      </c>
      <c r="E19" s="198" t="s">
        <v>285</v>
      </c>
      <c r="F19" s="199">
        <f>'MEMORIAL DE CALCULO'!E70</f>
        <v>326379.71999999997</v>
      </c>
      <c r="G19" s="200">
        <f>'COMPOSIÇÃO UNIT.'!J140</f>
        <v>0.94</v>
      </c>
      <c r="H19" s="200">
        <f>'COMPOSIÇÃO UNIT.'!J151</f>
        <v>1.1399999999999999</v>
      </c>
      <c r="I19" s="200">
        <f t="shared" si="0"/>
        <v>372072.88</v>
      </c>
      <c r="J19" s="259">
        <f t="shared" si="3"/>
        <v>0.22476290270702584</v>
      </c>
      <c r="K19" s="296"/>
    </row>
    <row r="20" spans="1:11" ht="25.5" x14ac:dyDescent="0.25">
      <c r="A20" s="305" t="s">
        <v>286</v>
      </c>
      <c r="B20" s="428" t="s">
        <v>405</v>
      </c>
      <c r="C20" s="427" t="s">
        <v>380</v>
      </c>
      <c r="D20" s="427" t="s">
        <v>67</v>
      </c>
      <c r="E20" s="198" t="s">
        <v>273</v>
      </c>
      <c r="F20" s="199">
        <f>'MEMORIAL DE CALCULO'!E81</f>
        <v>1</v>
      </c>
      <c r="G20" s="310">
        <f>'COMPOSIÇÃO UNIT.'!J154</f>
        <v>177920.864</v>
      </c>
      <c r="H20" s="310">
        <f>'COMPOSIÇÃO UNIT.'!J160</f>
        <v>216992.28573440001</v>
      </c>
      <c r="I20" s="310">
        <f t="shared" si="0"/>
        <v>216992.29</v>
      </c>
      <c r="J20" s="311">
        <f t="shared" si="3"/>
        <v>0.13108135418374145</v>
      </c>
    </row>
    <row r="21" spans="1:11" x14ac:dyDescent="0.25">
      <c r="A21" s="206" t="s">
        <v>263</v>
      </c>
      <c r="B21" s="206"/>
      <c r="C21" s="206"/>
      <c r="D21" s="206" t="s">
        <v>75</v>
      </c>
      <c r="E21" s="206"/>
      <c r="F21" s="195"/>
      <c r="G21" s="206"/>
      <c r="H21" s="206"/>
      <c r="I21" s="256">
        <f>I22</f>
        <v>42600.6</v>
      </c>
      <c r="J21" s="258">
        <f t="shared" si="3"/>
        <v>2.5734298380094039E-2</v>
      </c>
    </row>
    <row r="22" spans="1:11" ht="25.5" x14ac:dyDescent="0.25">
      <c r="A22" s="196" t="s">
        <v>287</v>
      </c>
      <c r="B22" s="197" t="s">
        <v>403</v>
      </c>
      <c r="C22" s="196" t="s">
        <v>365</v>
      </c>
      <c r="D22" s="196" t="s">
        <v>370</v>
      </c>
      <c r="E22" s="198" t="s">
        <v>27</v>
      </c>
      <c r="F22" s="199">
        <f>'MEMORIAL DE CALCULO'!E85</f>
        <v>28980</v>
      </c>
      <c r="G22" s="200">
        <f>'COMPOSIÇÃO UNIT.'!J166</f>
        <v>1.21</v>
      </c>
      <c r="H22" s="200">
        <f>'COMPOSIÇÃO UNIT.'!J181</f>
        <v>1.47</v>
      </c>
      <c r="I22" s="200">
        <f t="shared" si="0"/>
        <v>42600.6</v>
      </c>
      <c r="J22" s="259">
        <f t="shared" si="3"/>
        <v>2.5734298380094039E-2</v>
      </c>
    </row>
    <row r="23" spans="1:11" s="187" customFormat="1" x14ac:dyDescent="0.25">
      <c r="A23" s="206">
        <v>5</v>
      </c>
      <c r="B23" s="206"/>
      <c r="C23" s="206"/>
      <c r="D23" s="206" t="s">
        <v>446</v>
      </c>
      <c r="E23" s="206"/>
      <c r="F23" s="195"/>
      <c r="G23" s="206"/>
      <c r="H23" s="206"/>
      <c r="I23" s="256">
        <f>SUM(I24:I27)</f>
        <v>172259.74</v>
      </c>
      <c r="J23" s="258">
        <f>SUM(J24:J27)</f>
        <v>0.10405918104527682</v>
      </c>
    </row>
    <row r="24" spans="1:11" s="187" customFormat="1" ht="25.5" x14ac:dyDescent="0.25">
      <c r="A24" s="196" t="s">
        <v>445</v>
      </c>
      <c r="B24" s="197" t="s">
        <v>452</v>
      </c>
      <c r="C24" s="196" t="s">
        <v>380</v>
      </c>
      <c r="D24" s="196" t="s">
        <v>451</v>
      </c>
      <c r="E24" s="198" t="s">
        <v>21</v>
      </c>
      <c r="F24" s="199">
        <f>'MEMORIAL DE CALCULO'!E89</f>
        <v>32</v>
      </c>
      <c r="G24" s="200">
        <f>'COMPOSIÇÃO UNIT.'!J184</f>
        <v>1841.47</v>
      </c>
      <c r="H24" s="200">
        <f>'COMPOSIÇÃO UNIT.'!J195</f>
        <v>2245.85</v>
      </c>
      <c r="I24" s="200">
        <f t="shared" si="0"/>
        <v>71867.199999999997</v>
      </c>
      <c r="J24" s="259">
        <f t="shared" si="3"/>
        <v>4.3413753997406011E-2</v>
      </c>
    </row>
    <row r="25" spans="1:11" s="187" customFormat="1" ht="25.5" x14ac:dyDescent="0.25">
      <c r="A25" s="196" t="s">
        <v>461</v>
      </c>
      <c r="B25" s="197" t="s">
        <v>453</v>
      </c>
      <c r="C25" s="196" t="s">
        <v>380</v>
      </c>
      <c r="D25" s="196" t="s">
        <v>454</v>
      </c>
      <c r="E25" s="198" t="s">
        <v>24</v>
      </c>
      <c r="F25" s="199">
        <f>'MEMORIAL DE CALCULO'!E94</f>
        <v>112</v>
      </c>
      <c r="G25" s="200">
        <f>'COMPOSIÇÃO UNIT.'!J199</f>
        <v>705.91</v>
      </c>
      <c r="H25" s="200">
        <f>'COMPOSIÇÃO UNIT.'!J226</f>
        <v>860.92</v>
      </c>
      <c r="I25" s="200">
        <f t="shared" si="0"/>
        <v>96423.039999999994</v>
      </c>
      <c r="J25" s="259">
        <f t="shared" si="3"/>
        <v>5.8247519567230101E-2</v>
      </c>
    </row>
    <row r="26" spans="1:11" s="187" customFormat="1" x14ac:dyDescent="0.25">
      <c r="A26" s="196" t="s">
        <v>462</v>
      </c>
      <c r="B26" s="197" t="s">
        <v>455</v>
      </c>
      <c r="C26" s="196" t="s">
        <v>384</v>
      </c>
      <c r="D26" s="196" t="s">
        <v>456</v>
      </c>
      <c r="E26" s="198" t="s">
        <v>27</v>
      </c>
      <c r="F26" s="199">
        <f>'MEMORIAL DE CALCULO'!E100</f>
        <v>252</v>
      </c>
      <c r="G26" s="200">
        <f>'COMPOSIÇÃO UNIT.'!J230</f>
        <v>6.74</v>
      </c>
      <c r="H26" s="200">
        <f>'COMPOSIÇÃO UNIT.'!J245</f>
        <v>8.2200000000000006</v>
      </c>
      <c r="I26" s="200">
        <f t="shared" si="0"/>
        <v>2071.44</v>
      </c>
      <c r="J26" s="259">
        <f t="shared" si="3"/>
        <v>1.2513216958555044E-3</v>
      </c>
    </row>
    <row r="27" spans="1:11" s="187" customFormat="1" x14ac:dyDescent="0.25">
      <c r="A27" s="196" t="s">
        <v>463</v>
      </c>
      <c r="B27" s="197" t="s">
        <v>457</v>
      </c>
      <c r="C27" s="196" t="s">
        <v>384</v>
      </c>
      <c r="D27" s="196" t="s">
        <v>458</v>
      </c>
      <c r="E27" s="198" t="s">
        <v>38</v>
      </c>
      <c r="F27" s="199">
        <f>'MEMORIAL DE CALCULO'!E105</f>
        <v>100.80000000000001</v>
      </c>
      <c r="G27" s="200">
        <f>'COMPOSIÇÃO UNIT.'!J249</f>
        <v>15.44</v>
      </c>
      <c r="H27" s="200">
        <f>'COMPOSIÇÃO UNIT.'!J264</f>
        <v>18.829999999999998</v>
      </c>
      <c r="I27" s="200">
        <f t="shared" si="0"/>
        <v>1898.06</v>
      </c>
      <c r="J27" s="259">
        <f t="shared" si="3"/>
        <v>1.1465857847852213E-3</v>
      </c>
    </row>
    <row r="28" spans="1:11" s="187" customFormat="1" x14ac:dyDescent="0.25">
      <c r="A28" s="206">
        <v>6</v>
      </c>
      <c r="B28" s="206"/>
      <c r="C28" s="206"/>
      <c r="D28" s="206" t="s">
        <v>464</v>
      </c>
      <c r="E28" s="206"/>
      <c r="F28" s="195"/>
      <c r="G28" s="200"/>
      <c r="H28" s="200"/>
      <c r="I28" s="256">
        <f>I29</f>
        <v>13675.2</v>
      </c>
      <c r="J28" s="258">
        <f>J29</f>
        <v>8.2609558834256334E-3</v>
      </c>
    </row>
    <row r="29" spans="1:11" s="187" customFormat="1" ht="25.5" x14ac:dyDescent="0.25">
      <c r="A29" s="196" t="s">
        <v>465</v>
      </c>
      <c r="B29" s="197" t="s">
        <v>459</v>
      </c>
      <c r="C29" s="196" t="s">
        <v>365</v>
      </c>
      <c r="D29" s="196" t="s">
        <v>460</v>
      </c>
      <c r="E29" s="198" t="s">
        <v>21</v>
      </c>
      <c r="F29" s="199">
        <f>'MEMORIAL DE CALCULO'!E109</f>
        <v>28</v>
      </c>
      <c r="G29" s="200">
        <f>'COMPOSIÇÃO UNIT.'!J269</f>
        <v>400.46</v>
      </c>
      <c r="H29" s="200">
        <f>'COMPOSIÇÃO UNIT.'!J279</f>
        <v>488.4</v>
      </c>
      <c r="I29" s="200">
        <f t="shared" si="0"/>
        <v>13675.2</v>
      </c>
      <c r="J29" s="259">
        <f t="shared" si="3"/>
        <v>8.2609558834256334E-3</v>
      </c>
    </row>
    <row r="30" spans="1:11" s="230" customFormat="1" x14ac:dyDescent="0.25">
      <c r="A30" s="408"/>
      <c r="B30" s="409"/>
      <c r="C30" s="408"/>
      <c r="D30" s="408"/>
      <c r="E30" s="410"/>
      <c r="F30" s="411"/>
      <c r="G30" s="412"/>
      <c r="H30" s="412"/>
      <c r="I30" s="412"/>
      <c r="J30" s="413"/>
    </row>
    <row r="31" spans="1:11" s="230" customFormat="1" x14ac:dyDescent="0.25">
      <c r="A31" s="408"/>
      <c r="B31" s="409"/>
      <c r="C31" s="408"/>
      <c r="D31" s="408"/>
      <c r="E31" s="410"/>
      <c r="F31" s="411"/>
      <c r="G31" s="412"/>
      <c r="H31" s="412"/>
      <c r="I31" s="412"/>
      <c r="J31" s="413"/>
    </row>
    <row r="32" spans="1:11" x14ac:dyDescent="0.25">
      <c r="A32" s="209"/>
      <c r="B32" s="209"/>
      <c r="C32" s="209"/>
      <c r="D32" s="209"/>
      <c r="E32" s="209"/>
      <c r="F32" s="211"/>
      <c r="G32" s="209"/>
      <c r="H32" s="209"/>
      <c r="I32" s="209"/>
      <c r="J32" s="209"/>
    </row>
    <row r="33" spans="1:12" x14ac:dyDescent="0.25">
      <c r="A33" s="489"/>
      <c r="B33" s="489"/>
      <c r="C33" s="489"/>
      <c r="D33" s="210"/>
      <c r="E33" s="212"/>
      <c r="F33" s="490" t="s">
        <v>444</v>
      </c>
      <c r="G33" s="490"/>
      <c r="H33" s="491">
        <f>I7+I12+I18+I21+I23+I28</f>
        <v>1655401.65</v>
      </c>
      <c r="I33" s="490"/>
      <c r="J33" s="490"/>
      <c r="K33" s="260">
        <f>SUM(I13:I17,I19:I20,I8:I11,I22,I24:I27,I29)</f>
        <v>1655401.6499999997</v>
      </c>
      <c r="L33" s="260">
        <f>SUM(J13:J17,J19:J20,J8:J11,J22,J24:J27,J29)</f>
        <v>1</v>
      </c>
    </row>
    <row r="34" spans="1:12" x14ac:dyDescent="0.25">
      <c r="A34" s="489"/>
      <c r="B34" s="489"/>
      <c r="C34" s="489"/>
      <c r="D34" s="210"/>
      <c r="E34" s="212"/>
      <c r="K34" s="257">
        <f>H33-K33</f>
        <v>0</v>
      </c>
      <c r="L34" s="262">
        <f>J21+J18+J12+J7+J23+J28</f>
        <v>1</v>
      </c>
    </row>
    <row r="35" spans="1:12" x14ac:dyDescent="0.25">
      <c r="A35" s="489"/>
      <c r="B35" s="489"/>
      <c r="C35" s="489"/>
      <c r="D35" s="210"/>
      <c r="E35" s="212"/>
    </row>
  </sheetData>
  <mergeCells count="10">
    <mergeCell ref="A35:C35"/>
    <mergeCell ref="F33:G33"/>
    <mergeCell ref="H33:J33"/>
    <mergeCell ref="A33:C33"/>
    <mergeCell ref="A34:C34"/>
    <mergeCell ref="A5:J5"/>
    <mergeCell ref="A1:J1"/>
    <mergeCell ref="A2:J2"/>
    <mergeCell ref="A3:J3"/>
    <mergeCell ref="A4:J4"/>
  </mergeCells>
  <printOptions horizontalCentered="1"/>
  <pageMargins left="0.51181102362204722" right="0.51181102362204722" top="1.9685039370078741" bottom="0.98425196850393704" header="0" footer="0"/>
  <pageSetup paperSize="9" scale="48" fitToHeight="0" orientation="portrait" r:id="rId1"/>
  <headerFooter>
    <oddHeader>&amp;C&amp;G</oddHeader>
    <oddFooter>&amp;C&amp;G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AA3A8-D143-4E3E-9EAE-A777CDBF5208}">
  <sheetPr>
    <pageSetUpPr fitToPage="1"/>
  </sheetPr>
  <dimension ref="A1:I109"/>
  <sheetViews>
    <sheetView view="pageBreakPreview" topLeftCell="A88" zoomScale="70" zoomScaleNormal="100" zoomScaleSheetLayoutView="70" workbookViewId="0">
      <selection activeCell="H106" sqref="H106"/>
    </sheetView>
  </sheetViews>
  <sheetFormatPr defaultColWidth="8.85546875" defaultRowHeight="15.75" x14ac:dyDescent="0.25"/>
  <cols>
    <col min="1" max="1" width="11.5703125" style="32" bestFit="1" customWidth="1"/>
    <col min="2" max="2" width="17.85546875" style="1" customWidth="1"/>
    <col min="3" max="3" width="34.28515625" style="1" customWidth="1"/>
    <col min="4" max="4" width="42" style="1" customWidth="1"/>
    <col min="5" max="5" width="18" style="1" customWidth="1"/>
    <col min="6" max="7" width="15.7109375" style="1" customWidth="1"/>
    <col min="8" max="8" width="11.140625" style="187" bestFit="1" customWidth="1"/>
    <col min="9" max="9" width="12.28515625" style="187" bestFit="1" customWidth="1"/>
    <col min="10" max="16384" width="8.85546875" style="187"/>
  </cols>
  <sheetData>
    <row r="1" spans="1:9" x14ac:dyDescent="0.25">
      <c r="A1" s="495" t="str">
        <f>RESUMO!A1</f>
        <v>OBRA: RECUPERAÇÃO DE ESTRADA VICINAL</v>
      </c>
      <c r="B1" s="496"/>
      <c r="C1" s="496"/>
      <c r="D1" s="496"/>
      <c r="E1" s="496"/>
      <c r="F1" s="497"/>
      <c r="G1" s="33"/>
      <c r="H1" s="205"/>
      <c r="I1" s="205"/>
    </row>
    <row r="2" spans="1:9" x14ac:dyDescent="0.25">
      <c r="A2" s="495" t="str">
        <f>RESUMO!A2</f>
        <v>LOCAL: NOVA SANTA RITA - PI</v>
      </c>
      <c r="B2" s="496"/>
      <c r="C2" s="496"/>
      <c r="D2" s="496"/>
      <c r="E2" s="496"/>
      <c r="F2" s="497"/>
      <c r="G2" s="33"/>
      <c r="H2" s="205"/>
      <c r="I2" s="205"/>
    </row>
    <row r="3" spans="1:9" ht="33.6" customHeight="1" x14ac:dyDescent="0.25">
      <c r="A3" s="495" t="str">
        <f>RESUMO!A3</f>
        <v>TRECHO: POVOADO JATOBAZEIRO AO POVOADO QUINTAS - POVOADO SACO AO POVOADO CABOCLO - COM EXTENSÃO DE 23Km</v>
      </c>
      <c r="B3" s="496"/>
      <c r="C3" s="496"/>
      <c r="D3" s="496"/>
      <c r="E3" s="496"/>
      <c r="F3" s="497"/>
      <c r="G3" s="205"/>
      <c r="H3" s="205"/>
      <c r="I3" s="205"/>
    </row>
    <row r="4" spans="1:9" ht="33" customHeight="1" x14ac:dyDescent="0.25">
      <c r="A4" s="495" t="str">
        <f>RESUMO!A4</f>
        <v>BANCA: SINAPI - 10/2023 - Piauí / SICRO - 10/2023 - Sem desoneração - Horista: 113,05 % / Mensalista: 70,90% - BDI: 21,96 %</v>
      </c>
      <c r="B4" s="496"/>
      <c r="C4" s="496"/>
      <c r="D4" s="496"/>
      <c r="E4" s="496"/>
      <c r="F4" s="497"/>
      <c r="G4" s="205"/>
      <c r="H4" s="205"/>
      <c r="I4" s="205"/>
    </row>
    <row r="5" spans="1:9" ht="21" customHeight="1" x14ac:dyDescent="0.25">
      <c r="A5" s="498" t="s">
        <v>437</v>
      </c>
      <c r="B5" s="499"/>
      <c r="C5" s="499"/>
      <c r="D5" s="499"/>
      <c r="E5" s="499"/>
      <c r="F5" s="500"/>
      <c r="G5" s="150"/>
    </row>
    <row r="6" spans="1:9" ht="21" customHeight="1" x14ac:dyDescent="0.25">
      <c r="A6" s="492"/>
      <c r="B6" s="493"/>
      <c r="C6" s="493"/>
      <c r="D6" s="493"/>
      <c r="E6" s="493"/>
      <c r="F6" s="494"/>
      <c r="G6" s="150"/>
    </row>
    <row r="7" spans="1:9" ht="21" customHeight="1" x14ac:dyDescent="0.25">
      <c r="A7" s="54" t="s">
        <v>16</v>
      </c>
      <c r="B7" s="13" t="s">
        <v>69</v>
      </c>
      <c r="C7" s="501" t="s">
        <v>17</v>
      </c>
      <c r="D7" s="501"/>
      <c r="E7" s="501"/>
      <c r="F7" s="501"/>
      <c r="G7" s="150"/>
    </row>
    <row r="8" spans="1:9" ht="21" customHeight="1" x14ac:dyDescent="0.25">
      <c r="A8" s="502" t="s">
        <v>18</v>
      </c>
      <c r="B8" s="504" t="s">
        <v>76</v>
      </c>
      <c r="C8" s="506" t="s">
        <v>68</v>
      </c>
      <c r="D8" s="506"/>
      <c r="E8" s="506"/>
      <c r="F8" s="506"/>
      <c r="G8" s="150"/>
    </row>
    <row r="9" spans="1:9" ht="21" customHeight="1" x14ac:dyDescent="0.25">
      <c r="A9" s="503"/>
      <c r="B9" s="505"/>
      <c r="C9" s="507" t="s">
        <v>20</v>
      </c>
      <c r="D9" s="508"/>
      <c r="E9" s="14">
        <v>1</v>
      </c>
      <c r="F9" s="26" t="s">
        <v>21</v>
      </c>
      <c r="G9" s="150"/>
    </row>
    <row r="10" spans="1:9" ht="21" customHeight="1" x14ac:dyDescent="0.25">
      <c r="A10" s="492"/>
      <c r="B10" s="493"/>
      <c r="C10" s="493"/>
      <c r="D10" s="493"/>
      <c r="E10" s="493"/>
      <c r="F10" s="494"/>
      <c r="G10" s="150"/>
    </row>
    <row r="11" spans="1:9" ht="21" customHeight="1" x14ac:dyDescent="0.25">
      <c r="A11" s="502" t="s">
        <v>22</v>
      </c>
      <c r="B11" s="504" t="s">
        <v>77</v>
      </c>
      <c r="C11" s="506" t="s">
        <v>249</v>
      </c>
      <c r="D11" s="506"/>
      <c r="E11" s="506"/>
      <c r="F11" s="506"/>
      <c r="G11" s="150"/>
    </row>
    <row r="12" spans="1:9" ht="21" customHeight="1" x14ac:dyDescent="0.25">
      <c r="A12" s="509"/>
      <c r="B12" s="510"/>
      <c r="C12" s="528" t="s">
        <v>23</v>
      </c>
      <c r="D12" s="529"/>
      <c r="E12" s="15">
        <v>3.6</v>
      </c>
      <c r="F12" s="366" t="s">
        <v>24</v>
      </c>
      <c r="G12" s="150"/>
    </row>
    <row r="13" spans="1:9" ht="21" customHeight="1" x14ac:dyDescent="0.25">
      <c r="A13" s="509"/>
      <c r="B13" s="510"/>
      <c r="C13" s="528" t="s">
        <v>25</v>
      </c>
      <c r="D13" s="529"/>
      <c r="E13" s="15">
        <v>1.8</v>
      </c>
      <c r="F13" s="366" t="s">
        <v>24</v>
      </c>
      <c r="G13" s="150"/>
    </row>
    <row r="14" spans="1:9" ht="21" customHeight="1" x14ac:dyDescent="0.25">
      <c r="A14" s="509"/>
      <c r="B14" s="510"/>
      <c r="C14" s="528" t="s">
        <v>26</v>
      </c>
      <c r="D14" s="529"/>
      <c r="E14" s="15">
        <v>1</v>
      </c>
      <c r="F14" s="366" t="s">
        <v>21</v>
      </c>
      <c r="G14" s="150"/>
    </row>
    <row r="15" spans="1:9" ht="21" customHeight="1" x14ac:dyDescent="0.25">
      <c r="A15" s="503"/>
      <c r="B15" s="505"/>
      <c r="C15" s="549" t="s">
        <v>20</v>
      </c>
      <c r="D15" s="550"/>
      <c r="E15" s="16">
        <f>E12*E13*E14</f>
        <v>6.48</v>
      </c>
      <c r="F15" s="26" t="s">
        <v>27</v>
      </c>
      <c r="G15" s="150"/>
    </row>
    <row r="16" spans="1:9" ht="21" customHeight="1" x14ac:dyDescent="0.25">
      <c r="A16" s="492"/>
      <c r="B16" s="493"/>
      <c r="C16" s="493"/>
      <c r="D16" s="493"/>
      <c r="E16" s="493"/>
      <c r="F16" s="494"/>
      <c r="G16" s="150"/>
    </row>
    <row r="17" spans="1:7" ht="21" customHeight="1" x14ac:dyDescent="0.25">
      <c r="A17" s="502" t="s">
        <v>72</v>
      </c>
      <c r="B17" s="504" t="s">
        <v>78</v>
      </c>
      <c r="C17" s="506" t="s">
        <v>19</v>
      </c>
      <c r="D17" s="506"/>
      <c r="E17" s="506"/>
      <c r="F17" s="506"/>
      <c r="G17" s="150"/>
    </row>
    <row r="18" spans="1:7" ht="21" customHeight="1" x14ac:dyDescent="0.25">
      <c r="A18" s="503"/>
      <c r="B18" s="505"/>
      <c r="C18" s="507" t="s">
        <v>20</v>
      </c>
      <c r="D18" s="508"/>
      <c r="E18" s="14">
        <v>1</v>
      </c>
      <c r="F18" s="26" t="s">
        <v>21</v>
      </c>
      <c r="G18" s="150"/>
    </row>
    <row r="19" spans="1:7" ht="21" customHeight="1" x14ac:dyDescent="0.25">
      <c r="A19" s="492"/>
      <c r="B19" s="493"/>
      <c r="C19" s="493"/>
      <c r="D19" s="493"/>
      <c r="E19" s="493"/>
      <c r="F19" s="494"/>
      <c r="G19" s="150"/>
    </row>
    <row r="20" spans="1:7" ht="21" customHeight="1" x14ac:dyDescent="0.25">
      <c r="A20" s="502" t="s">
        <v>72</v>
      </c>
      <c r="B20" s="504" t="s">
        <v>79</v>
      </c>
      <c r="C20" s="506" t="s">
        <v>391</v>
      </c>
      <c r="D20" s="506"/>
      <c r="E20" s="506"/>
      <c r="F20" s="506"/>
      <c r="G20" s="150"/>
    </row>
    <row r="21" spans="1:7" ht="21" customHeight="1" x14ac:dyDescent="0.25">
      <c r="A21" s="503"/>
      <c r="B21" s="505"/>
      <c r="C21" s="507" t="s">
        <v>20</v>
      </c>
      <c r="D21" s="508"/>
      <c r="E21" s="14">
        <v>1</v>
      </c>
      <c r="F21" s="26" t="s">
        <v>21</v>
      </c>
      <c r="G21" s="150"/>
    </row>
    <row r="22" spans="1:7" ht="15.75" customHeight="1" x14ac:dyDescent="0.25">
      <c r="A22" s="492"/>
      <c r="B22" s="493"/>
      <c r="C22" s="493"/>
      <c r="D22" s="493"/>
      <c r="E22" s="493"/>
      <c r="F22" s="494"/>
      <c r="G22" s="12"/>
    </row>
    <row r="23" spans="1:7" ht="15.75" customHeight="1" x14ac:dyDescent="0.25">
      <c r="A23" s="54" t="s">
        <v>28</v>
      </c>
      <c r="B23" s="13" t="s">
        <v>69</v>
      </c>
      <c r="C23" s="519" t="s">
        <v>59</v>
      </c>
      <c r="D23" s="519"/>
      <c r="E23" s="519"/>
      <c r="F23" s="519"/>
      <c r="G23" s="187"/>
    </row>
    <row r="24" spans="1:7" ht="15.75" customHeight="1" x14ac:dyDescent="0.25">
      <c r="A24" s="222"/>
      <c r="B24" s="17"/>
      <c r="C24" s="520" t="s">
        <v>29</v>
      </c>
      <c r="D24" s="521"/>
      <c r="E24" s="354">
        <f>GERAL!B13</f>
        <v>23</v>
      </c>
      <c r="F24" s="18" t="s">
        <v>30</v>
      </c>
      <c r="G24" s="187"/>
    </row>
    <row r="25" spans="1:7" ht="15.75" customHeight="1" x14ac:dyDescent="0.25">
      <c r="A25" s="222"/>
      <c r="B25" s="17"/>
      <c r="C25" s="520" t="s">
        <v>31</v>
      </c>
      <c r="D25" s="521"/>
      <c r="E25" s="290">
        <v>6</v>
      </c>
      <c r="F25" s="18" t="s">
        <v>24</v>
      </c>
      <c r="G25" s="187"/>
    </row>
    <row r="26" spans="1:7" ht="15.75" customHeight="1" x14ac:dyDescent="0.25">
      <c r="A26" s="492"/>
      <c r="B26" s="493"/>
      <c r="C26" s="493"/>
      <c r="D26" s="493"/>
      <c r="E26" s="493"/>
      <c r="F26" s="494"/>
      <c r="G26" s="187"/>
    </row>
    <row r="27" spans="1:7" ht="42.6" customHeight="1" x14ac:dyDescent="0.25">
      <c r="A27" s="502" t="s">
        <v>32</v>
      </c>
      <c r="B27" s="511" t="s">
        <v>61</v>
      </c>
      <c r="C27" s="522" t="s">
        <v>60</v>
      </c>
      <c r="D27" s="522"/>
      <c r="E27" s="522"/>
      <c r="F27" s="522"/>
      <c r="G27" s="187"/>
    </row>
    <row r="28" spans="1:7" ht="15.75" customHeight="1" x14ac:dyDescent="0.25">
      <c r="A28" s="509"/>
      <c r="B28" s="512"/>
      <c r="C28" s="523" t="s">
        <v>29</v>
      </c>
      <c r="D28" s="514"/>
      <c r="E28" s="19">
        <f>E24*1000</f>
        <v>23000</v>
      </c>
      <c r="F28" s="219" t="s">
        <v>24</v>
      </c>
      <c r="G28" s="187"/>
    </row>
    <row r="29" spans="1:7" ht="15.75" customHeight="1" x14ac:dyDescent="0.25">
      <c r="A29" s="509"/>
      <c r="B29" s="512"/>
      <c r="C29" s="523" t="s">
        <v>31</v>
      </c>
      <c r="D29" s="514"/>
      <c r="E29" s="19">
        <v>1</v>
      </c>
      <c r="F29" s="219" t="s">
        <v>24</v>
      </c>
      <c r="G29" s="187"/>
    </row>
    <row r="30" spans="1:7" ht="15.75" customHeight="1" x14ac:dyDescent="0.25">
      <c r="A30" s="509"/>
      <c r="B30" s="512"/>
      <c r="C30" s="523" t="s">
        <v>33</v>
      </c>
      <c r="D30" s="514"/>
      <c r="E30" s="19">
        <v>2</v>
      </c>
      <c r="F30" s="219" t="s">
        <v>21</v>
      </c>
      <c r="G30" s="187"/>
    </row>
    <row r="31" spans="1:7" ht="21" customHeight="1" x14ac:dyDescent="0.25">
      <c r="A31" s="509"/>
      <c r="B31" s="512"/>
      <c r="C31" s="524" t="s">
        <v>34</v>
      </c>
      <c r="D31" s="518"/>
      <c r="E31" s="20">
        <f>E28*E29*E30</f>
        <v>46000</v>
      </c>
      <c r="F31" s="221" t="s">
        <v>27</v>
      </c>
      <c r="G31" s="187"/>
    </row>
    <row r="32" spans="1:7" ht="15.75" customHeight="1" x14ac:dyDescent="0.25">
      <c r="A32" s="492"/>
      <c r="B32" s="493"/>
      <c r="C32" s="493"/>
      <c r="D32" s="493"/>
      <c r="E32" s="493"/>
      <c r="F32" s="494"/>
      <c r="G32" s="187"/>
    </row>
    <row r="33" spans="1:8" ht="15.75" customHeight="1" x14ac:dyDescent="0.25">
      <c r="A33" s="502" t="s">
        <v>35</v>
      </c>
      <c r="B33" s="511" t="s">
        <v>372</v>
      </c>
      <c r="C33" s="514" t="s">
        <v>373</v>
      </c>
      <c r="D33" s="515"/>
      <c r="E33" s="515"/>
      <c r="F33" s="515"/>
      <c r="G33" s="187"/>
    </row>
    <row r="34" spans="1:8" ht="15.75" customHeight="1" x14ac:dyDescent="0.25">
      <c r="A34" s="509"/>
      <c r="B34" s="512"/>
      <c r="C34" s="516" t="s">
        <v>29</v>
      </c>
      <c r="D34" s="514"/>
      <c r="E34" s="19">
        <f>E28</f>
        <v>23000</v>
      </c>
      <c r="F34" s="219" t="s">
        <v>24</v>
      </c>
    </row>
    <row r="35" spans="1:8" ht="15.75" customHeight="1" x14ac:dyDescent="0.25">
      <c r="A35" s="509"/>
      <c r="B35" s="512"/>
      <c r="C35" s="220" t="s">
        <v>73</v>
      </c>
      <c r="D35" s="218"/>
      <c r="E35" s="19">
        <v>0.6</v>
      </c>
      <c r="F35" s="219" t="s">
        <v>24</v>
      </c>
    </row>
    <row r="36" spans="1:8" ht="15.75" customHeight="1" x14ac:dyDescent="0.25">
      <c r="A36" s="509"/>
      <c r="B36" s="512"/>
      <c r="C36" s="516" t="s">
        <v>31</v>
      </c>
      <c r="D36" s="514"/>
      <c r="E36" s="19">
        <f>E25</f>
        <v>6</v>
      </c>
      <c r="F36" s="219" t="s">
        <v>24</v>
      </c>
      <c r="G36" s="187"/>
    </row>
    <row r="37" spans="1:8" ht="15.75" customHeight="1" x14ac:dyDescent="0.25">
      <c r="A37" s="509"/>
      <c r="B37" s="512"/>
      <c r="C37" s="517" t="s">
        <v>374</v>
      </c>
      <c r="D37" s="518"/>
      <c r="E37" s="20">
        <f>ROUND((E34)*(E36+E35),2)</f>
        <v>151800</v>
      </c>
      <c r="F37" s="221" t="s">
        <v>27</v>
      </c>
      <c r="G37" s="187"/>
      <c r="H37" s="166"/>
    </row>
    <row r="38" spans="1:8" ht="15.75" customHeight="1" x14ac:dyDescent="0.25">
      <c r="A38" s="509"/>
      <c r="B38" s="512"/>
      <c r="C38" s="27"/>
      <c r="D38" s="27"/>
      <c r="E38" s="291"/>
      <c r="F38" s="28"/>
      <c r="G38" s="187"/>
    </row>
    <row r="39" spans="1:8" ht="15.75" customHeight="1" x14ac:dyDescent="0.25">
      <c r="A39" s="509"/>
      <c r="B39" s="512"/>
      <c r="C39" s="31"/>
      <c r="D39" s="31"/>
      <c r="E39" s="292"/>
      <c r="F39" s="160"/>
      <c r="G39" s="187"/>
    </row>
    <row r="40" spans="1:8" ht="15.75" customHeight="1" x14ac:dyDescent="0.25">
      <c r="A40" s="509"/>
      <c r="B40" s="512"/>
      <c r="C40" s="31"/>
      <c r="D40" s="31"/>
      <c r="E40" s="292"/>
      <c r="F40" s="160"/>
      <c r="G40" s="187"/>
    </row>
    <row r="41" spans="1:8" ht="15.75" customHeight="1" x14ac:dyDescent="0.25">
      <c r="A41" s="509"/>
      <c r="B41" s="512"/>
      <c r="C41" s="31"/>
      <c r="D41" s="31"/>
      <c r="E41" s="292"/>
      <c r="F41" s="160"/>
      <c r="G41" s="187"/>
    </row>
    <row r="42" spans="1:8" ht="15.75" customHeight="1" x14ac:dyDescent="0.25">
      <c r="A42" s="509"/>
      <c r="B42" s="512"/>
      <c r="C42" s="31"/>
      <c r="D42" s="31"/>
      <c r="E42" s="292"/>
      <c r="F42" s="160"/>
      <c r="G42" s="187"/>
    </row>
    <row r="43" spans="1:8" ht="15.75" customHeight="1" x14ac:dyDescent="0.25">
      <c r="A43" s="509"/>
      <c r="B43" s="512"/>
      <c r="C43" s="31"/>
      <c r="D43" s="31"/>
      <c r="E43" s="292"/>
      <c r="F43" s="160"/>
      <c r="G43" s="187"/>
    </row>
    <row r="44" spans="1:8" ht="15.75" customHeight="1" x14ac:dyDescent="0.25">
      <c r="A44" s="509"/>
      <c r="B44" s="512"/>
      <c r="C44" s="161"/>
      <c r="D44" s="31"/>
      <c r="E44" s="292"/>
      <c r="F44" s="160"/>
      <c r="G44" s="187"/>
    </row>
    <row r="45" spans="1:8" ht="15.75" customHeight="1" x14ac:dyDescent="0.25">
      <c r="A45" s="503"/>
      <c r="B45" s="513"/>
      <c r="C45" s="159"/>
      <c r="D45" s="29"/>
      <c r="E45" s="293"/>
      <c r="F45" s="30"/>
      <c r="G45" s="187"/>
    </row>
    <row r="46" spans="1:8" ht="15.75" customHeight="1" x14ac:dyDescent="0.25">
      <c r="A46" s="492"/>
      <c r="B46" s="493"/>
      <c r="C46" s="493"/>
      <c r="D46" s="493"/>
      <c r="E46" s="493"/>
      <c r="F46" s="494"/>
      <c r="G46" s="187"/>
    </row>
    <row r="47" spans="1:8" ht="15.75" customHeight="1" x14ac:dyDescent="0.25">
      <c r="A47" s="502" t="s">
        <v>36</v>
      </c>
      <c r="B47" s="511" t="s">
        <v>62</v>
      </c>
      <c r="C47" s="515" t="s">
        <v>358</v>
      </c>
      <c r="D47" s="515"/>
      <c r="E47" s="515"/>
      <c r="F47" s="515"/>
      <c r="G47" s="187"/>
    </row>
    <row r="48" spans="1:8" ht="15.75" customHeight="1" x14ac:dyDescent="0.25">
      <c r="A48" s="509"/>
      <c r="B48" s="512"/>
      <c r="C48" s="515" t="s">
        <v>37</v>
      </c>
      <c r="D48" s="515"/>
      <c r="E48" s="19">
        <f>E62</f>
        <v>28980</v>
      </c>
      <c r="F48" s="219" t="s">
        <v>38</v>
      </c>
    </row>
    <row r="49" spans="1:7" ht="15.75" customHeight="1" x14ac:dyDescent="0.25">
      <c r="A49" s="509"/>
      <c r="B49" s="512"/>
      <c r="C49" s="506" t="s">
        <v>39</v>
      </c>
      <c r="D49" s="506"/>
      <c r="E49" s="19">
        <v>1</v>
      </c>
      <c r="F49" s="219" t="s">
        <v>24</v>
      </c>
      <c r="G49" s="187"/>
    </row>
    <row r="50" spans="1:7" ht="15.75" customHeight="1" x14ac:dyDescent="0.25">
      <c r="A50" s="503"/>
      <c r="B50" s="513"/>
      <c r="C50" s="526" t="s">
        <v>40</v>
      </c>
      <c r="D50" s="526"/>
      <c r="E50" s="20">
        <f>ROUND(E48/E49,2)</f>
        <v>28980</v>
      </c>
      <c r="F50" s="221" t="s">
        <v>27</v>
      </c>
      <c r="G50" s="187"/>
    </row>
    <row r="51" spans="1:7" ht="15.75" customHeight="1" x14ac:dyDescent="0.25">
      <c r="A51" s="492"/>
      <c r="B51" s="493"/>
      <c r="C51" s="493"/>
      <c r="D51" s="493"/>
      <c r="E51" s="493"/>
      <c r="F51" s="494"/>
      <c r="G51" s="187"/>
    </row>
    <row r="52" spans="1:7" ht="15.75" customHeight="1" x14ac:dyDescent="0.25">
      <c r="A52" s="502" t="s">
        <v>41</v>
      </c>
      <c r="B52" s="511" t="s">
        <v>63</v>
      </c>
      <c r="C52" s="515" t="s">
        <v>42</v>
      </c>
      <c r="D52" s="515"/>
      <c r="E52" s="515"/>
      <c r="F52" s="515"/>
      <c r="G52" s="187"/>
    </row>
    <row r="53" spans="1:7" ht="15.75" customHeight="1" x14ac:dyDescent="0.25">
      <c r="A53" s="509"/>
      <c r="B53" s="512"/>
      <c r="C53" s="525" t="s">
        <v>40</v>
      </c>
      <c r="D53" s="525"/>
      <c r="E53" s="21">
        <f>E50</f>
        <v>28980</v>
      </c>
      <c r="F53" s="219" t="s">
        <v>27</v>
      </c>
    </row>
    <row r="54" spans="1:7" ht="15.75" customHeight="1" x14ac:dyDescent="0.25">
      <c r="A54" s="509"/>
      <c r="B54" s="512"/>
      <c r="C54" s="515" t="s">
        <v>43</v>
      </c>
      <c r="D54" s="515"/>
      <c r="E54" s="19">
        <v>0.05</v>
      </c>
      <c r="F54" s="219" t="s">
        <v>24</v>
      </c>
    </row>
    <row r="55" spans="1:7" ht="15.75" customHeight="1" x14ac:dyDescent="0.25">
      <c r="A55" s="503"/>
      <c r="B55" s="513"/>
      <c r="C55" s="524" t="s">
        <v>44</v>
      </c>
      <c r="D55" s="518"/>
      <c r="E55" s="20">
        <f>E53*E54</f>
        <v>1449</v>
      </c>
      <c r="F55" s="221" t="s">
        <v>38</v>
      </c>
      <c r="G55" s="187"/>
    </row>
    <row r="56" spans="1:7" ht="15.75" customHeight="1" x14ac:dyDescent="0.25">
      <c r="A56" s="492"/>
      <c r="B56" s="493"/>
      <c r="C56" s="493"/>
      <c r="D56" s="493"/>
      <c r="E56" s="493"/>
      <c r="F56" s="494"/>
      <c r="G56" s="187"/>
    </row>
    <row r="57" spans="1:7" ht="31.9" customHeight="1" x14ac:dyDescent="0.25">
      <c r="A57" s="502" t="s">
        <v>45</v>
      </c>
      <c r="B57" s="511" t="s">
        <v>64</v>
      </c>
      <c r="C57" s="527" t="s">
        <v>359</v>
      </c>
      <c r="D57" s="527"/>
      <c r="E57" s="527"/>
      <c r="F57" s="527"/>
      <c r="G57" s="187"/>
    </row>
    <row r="58" spans="1:7" ht="15.75" customHeight="1" x14ac:dyDescent="0.25">
      <c r="A58" s="509"/>
      <c r="B58" s="512"/>
      <c r="C58" s="528" t="s">
        <v>46</v>
      </c>
      <c r="D58" s="529"/>
      <c r="E58" s="15">
        <f>E28</f>
        <v>23000</v>
      </c>
      <c r="F58" s="217" t="s">
        <v>24</v>
      </c>
      <c r="G58" s="187"/>
    </row>
    <row r="59" spans="1:7" ht="15.75" customHeight="1" x14ac:dyDescent="0.25">
      <c r="A59" s="509"/>
      <c r="B59" s="512"/>
      <c r="C59" s="528" t="s">
        <v>74</v>
      </c>
      <c r="D59" s="529"/>
      <c r="E59" s="294">
        <f>((E36+(E35/2)))</f>
        <v>6.3</v>
      </c>
      <c r="F59" s="217" t="s">
        <v>24</v>
      </c>
      <c r="G59" s="187"/>
    </row>
    <row r="60" spans="1:7" ht="15.75" customHeight="1" x14ac:dyDescent="0.25">
      <c r="A60" s="509"/>
      <c r="B60" s="512"/>
      <c r="C60" s="523" t="s">
        <v>43</v>
      </c>
      <c r="D60" s="514"/>
      <c r="E60" s="15">
        <v>0.2</v>
      </c>
      <c r="F60" s="217" t="s">
        <v>24</v>
      </c>
      <c r="G60" s="187"/>
    </row>
    <row r="61" spans="1:7" ht="15.75" customHeight="1" x14ac:dyDescent="0.25">
      <c r="A61" s="509"/>
      <c r="B61" s="512"/>
      <c r="C61" s="517" t="s">
        <v>254</v>
      </c>
      <c r="D61" s="518"/>
      <c r="E61" s="22">
        <f>E58*E59</f>
        <v>144900</v>
      </c>
      <c r="F61" s="221" t="s">
        <v>27</v>
      </c>
      <c r="G61" s="187"/>
    </row>
    <row r="62" spans="1:7" ht="15.75" customHeight="1" x14ac:dyDescent="0.25">
      <c r="A62" s="503"/>
      <c r="B62" s="513"/>
      <c r="C62" s="530" t="s">
        <v>47</v>
      </c>
      <c r="D62" s="531"/>
      <c r="E62" s="22">
        <f>ROUND(E58*E59*E60,2)</f>
        <v>28980</v>
      </c>
      <c r="F62" s="221" t="s">
        <v>48</v>
      </c>
      <c r="G62" s="187"/>
    </row>
    <row r="63" spans="1:7" ht="15.75" customHeight="1" x14ac:dyDescent="0.25">
      <c r="A63" s="492"/>
      <c r="B63" s="493"/>
      <c r="C63" s="493"/>
      <c r="D63" s="493"/>
      <c r="E63" s="493"/>
      <c r="F63" s="494"/>
      <c r="G63" s="187"/>
    </row>
    <row r="64" spans="1:7" ht="15.75" customHeight="1" x14ac:dyDescent="0.25">
      <c r="A64" s="54" t="s">
        <v>49</v>
      </c>
      <c r="B64" s="13" t="s">
        <v>69</v>
      </c>
      <c r="C64" s="541" t="s">
        <v>243</v>
      </c>
      <c r="D64" s="542"/>
      <c r="E64" s="542"/>
      <c r="F64" s="543"/>
      <c r="G64" s="187"/>
    </row>
    <row r="65" spans="1:9" s="23" customFormat="1" ht="30.6" customHeight="1" x14ac:dyDescent="0.2">
      <c r="A65" s="544" t="s">
        <v>50</v>
      </c>
      <c r="B65" s="544" t="s">
        <v>65</v>
      </c>
      <c r="C65" s="535" t="s">
        <v>360</v>
      </c>
      <c r="D65" s="536"/>
      <c r="E65" s="536"/>
      <c r="F65" s="537"/>
    </row>
    <row r="66" spans="1:9" s="23" customFormat="1" ht="15.75" customHeight="1" x14ac:dyDescent="0.2">
      <c r="A66" s="545"/>
      <c r="B66" s="545"/>
      <c r="C66" s="538" t="s">
        <v>47</v>
      </c>
      <c r="D66" s="539"/>
      <c r="E66" s="19">
        <f>E62</f>
        <v>28980</v>
      </c>
      <c r="F66" s="273" t="s">
        <v>38</v>
      </c>
      <c r="G66" s="368"/>
    </row>
    <row r="67" spans="1:9" s="23" customFormat="1" ht="15.75" customHeight="1" x14ac:dyDescent="0.2">
      <c r="A67" s="545"/>
      <c r="B67" s="545"/>
      <c r="C67" s="538" t="s">
        <v>51</v>
      </c>
      <c r="D67" s="539"/>
      <c r="E67" s="19">
        <v>1.6</v>
      </c>
      <c r="F67" s="273" t="s">
        <v>52</v>
      </c>
      <c r="G67" s="368"/>
      <c r="H67" s="372"/>
    </row>
    <row r="68" spans="1:9" s="23" customFormat="1" ht="15.75" customHeight="1" x14ac:dyDescent="0.2">
      <c r="A68" s="545"/>
      <c r="B68" s="545"/>
      <c r="C68" s="538" t="s">
        <v>53</v>
      </c>
      <c r="D68" s="539"/>
      <c r="E68" s="19">
        <f>DMTS!E11</f>
        <v>6.399</v>
      </c>
      <c r="F68" s="273" t="s">
        <v>30</v>
      </c>
      <c r="G68" s="370"/>
    </row>
    <row r="69" spans="1:9" s="23" customFormat="1" ht="15.75" customHeight="1" x14ac:dyDescent="0.2">
      <c r="A69" s="545"/>
      <c r="B69" s="545"/>
      <c r="C69" s="538" t="s">
        <v>242</v>
      </c>
      <c r="D69" s="539"/>
      <c r="E69" s="19">
        <v>1.1000000000000001</v>
      </c>
      <c r="F69" s="273"/>
      <c r="G69" s="369"/>
      <c r="I69" s="368"/>
    </row>
    <row r="70" spans="1:9" s="23" customFormat="1" ht="15.75" customHeight="1" x14ac:dyDescent="0.25">
      <c r="A70" s="546"/>
      <c r="B70" s="546"/>
      <c r="C70" s="547" t="s">
        <v>54</v>
      </c>
      <c r="D70" s="548"/>
      <c r="E70" s="20">
        <f>ROUND(E66*E67*E68*E69,2)</f>
        <v>326379.71999999997</v>
      </c>
      <c r="F70" s="274" t="s">
        <v>55</v>
      </c>
      <c r="I70" s="368"/>
    </row>
    <row r="71" spans="1:9" s="23" customFormat="1" ht="15.75" hidden="1" customHeight="1" x14ac:dyDescent="0.2">
      <c r="A71" s="563"/>
      <c r="B71" s="564"/>
      <c r="C71" s="564"/>
      <c r="D71" s="564"/>
      <c r="E71" s="564"/>
      <c r="F71" s="565"/>
      <c r="G71" s="24"/>
      <c r="I71" s="368"/>
    </row>
    <row r="72" spans="1:9" s="23" customFormat="1" ht="15" hidden="1" x14ac:dyDescent="0.2">
      <c r="A72" s="544" t="s">
        <v>56</v>
      </c>
      <c r="B72" s="532" t="s">
        <v>66</v>
      </c>
      <c r="C72" s="535" t="s">
        <v>67</v>
      </c>
      <c r="D72" s="536"/>
      <c r="E72" s="536"/>
      <c r="F72" s="537"/>
      <c r="G72" s="24"/>
      <c r="I72" s="368"/>
    </row>
    <row r="73" spans="1:9" s="23" customFormat="1" ht="15.6" hidden="1" customHeight="1" x14ac:dyDescent="0.2">
      <c r="A73" s="545"/>
      <c r="B73" s="533"/>
      <c r="C73" s="538" t="s">
        <v>250</v>
      </c>
      <c r="D73" s="539"/>
      <c r="E73" s="164">
        <f>E62</f>
        <v>28980</v>
      </c>
      <c r="F73" s="273" t="s">
        <v>38</v>
      </c>
      <c r="G73" s="24"/>
      <c r="I73" s="368"/>
    </row>
    <row r="74" spans="1:9" s="23" customFormat="1" ht="15.6" hidden="1" customHeight="1" x14ac:dyDescent="0.2">
      <c r="A74" s="545"/>
      <c r="B74" s="533"/>
      <c r="C74" s="538" t="s">
        <v>258</v>
      </c>
      <c r="D74" s="539"/>
      <c r="E74" s="164">
        <v>0.08</v>
      </c>
      <c r="F74" s="273" t="s">
        <v>52</v>
      </c>
      <c r="G74" s="24"/>
      <c r="I74" s="368"/>
    </row>
    <row r="75" spans="1:9" s="23" customFormat="1" ht="15.6" hidden="1" customHeight="1" x14ac:dyDescent="0.2">
      <c r="A75" s="545"/>
      <c r="B75" s="533"/>
      <c r="C75" s="538" t="s">
        <v>251</v>
      </c>
      <c r="D75" s="539"/>
      <c r="E75" s="164">
        <f>ROUND(E73*E74,2)</f>
        <v>2318.4</v>
      </c>
      <c r="F75" s="273" t="s">
        <v>126</v>
      </c>
      <c r="G75" s="24"/>
      <c r="I75" s="368"/>
    </row>
    <row r="76" spans="1:9" s="23" customFormat="1" ht="15.75" hidden="1" customHeight="1" x14ac:dyDescent="0.2">
      <c r="A76" s="545"/>
      <c r="B76" s="533"/>
      <c r="C76" s="538" t="s">
        <v>252</v>
      </c>
      <c r="D76" s="539"/>
      <c r="E76" s="164">
        <f>DMTS!E17</f>
        <v>4.74</v>
      </c>
      <c r="F76" s="273" t="s">
        <v>30</v>
      </c>
      <c r="G76" s="24"/>
      <c r="I76" s="368"/>
    </row>
    <row r="77" spans="1:9" s="23" customFormat="1" hidden="1" x14ac:dyDescent="0.25">
      <c r="A77" s="546"/>
      <c r="B77" s="534"/>
      <c r="C77" s="540" t="s">
        <v>376</v>
      </c>
      <c r="D77" s="540"/>
      <c r="E77" s="186">
        <f>ROUND(E75*E76,2)</f>
        <v>10989.22</v>
      </c>
      <c r="F77" s="275" t="s">
        <v>253</v>
      </c>
      <c r="G77" s="24"/>
      <c r="I77" s="368"/>
    </row>
    <row r="78" spans="1:9" s="23" customFormat="1" ht="15.6" hidden="1" customHeight="1" x14ac:dyDescent="0.2">
      <c r="A78" s="553"/>
      <c r="B78" s="554"/>
      <c r="C78" s="554"/>
      <c r="D78" s="554"/>
      <c r="E78" s="554"/>
      <c r="F78" s="555"/>
      <c r="G78" s="24"/>
      <c r="I78" s="368"/>
    </row>
    <row r="79" spans="1:9" s="23" customFormat="1" ht="15.6" customHeight="1" x14ac:dyDescent="0.2">
      <c r="A79" s="357"/>
      <c r="B79" s="358"/>
      <c r="C79" s="358"/>
      <c r="D79" s="358"/>
      <c r="E79" s="358"/>
      <c r="F79" s="359"/>
      <c r="G79" s="24"/>
      <c r="I79" s="368"/>
    </row>
    <row r="80" spans="1:9" s="23" customFormat="1" ht="42.6" customHeight="1" x14ac:dyDescent="0.2">
      <c r="A80" s="504" t="s">
        <v>56</v>
      </c>
      <c r="B80" s="557" t="s">
        <v>404</v>
      </c>
      <c r="C80" s="559" t="s">
        <v>67</v>
      </c>
      <c r="D80" s="560"/>
      <c r="E80" s="560"/>
      <c r="F80" s="561"/>
      <c r="G80" s="24"/>
    </row>
    <row r="81" spans="1:9" s="23" customFormat="1" x14ac:dyDescent="0.25">
      <c r="A81" s="505"/>
      <c r="B81" s="558"/>
      <c r="C81" s="562" t="s">
        <v>376</v>
      </c>
      <c r="D81" s="562"/>
      <c r="E81" s="186">
        <v>1</v>
      </c>
      <c r="F81" s="360" t="s">
        <v>21</v>
      </c>
      <c r="G81" s="24"/>
    </row>
    <row r="82" spans="1:9" s="23" customFormat="1" ht="15.6" customHeight="1" x14ac:dyDescent="0.2">
      <c r="A82" s="357"/>
      <c r="B82" s="358"/>
      <c r="C82" s="358"/>
      <c r="D82" s="358"/>
      <c r="E82" s="358"/>
      <c r="F82" s="359"/>
      <c r="G82" s="24"/>
      <c r="I82" s="368"/>
    </row>
    <row r="83" spans="1:9" s="23" customFormat="1" ht="15.75" customHeight="1" x14ac:dyDescent="0.2">
      <c r="A83" s="152" t="s">
        <v>57</v>
      </c>
      <c r="B83" s="13" t="s">
        <v>69</v>
      </c>
      <c r="C83" s="541" t="s">
        <v>75</v>
      </c>
      <c r="D83" s="542"/>
      <c r="E83" s="542"/>
      <c r="F83" s="543"/>
      <c r="I83" s="368"/>
    </row>
    <row r="84" spans="1:9" ht="15.6" customHeight="1" x14ac:dyDescent="0.25">
      <c r="A84" s="551" t="s">
        <v>369</v>
      </c>
      <c r="B84" s="552" t="s">
        <v>79</v>
      </c>
      <c r="C84" s="506" t="s">
        <v>361</v>
      </c>
      <c r="D84" s="506"/>
      <c r="E84" s="506"/>
      <c r="F84" s="506"/>
      <c r="I84" s="371"/>
    </row>
    <row r="85" spans="1:9" ht="15.75" customHeight="1" x14ac:dyDescent="0.25">
      <c r="A85" s="551"/>
      <c r="B85" s="552"/>
      <c r="C85" s="556" t="s">
        <v>58</v>
      </c>
      <c r="D85" s="556"/>
      <c r="E85" s="25">
        <f>E50</f>
        <v>28980</v>
      </c>
      <c r="F85" s="221" t="s">
        <v>27</v>
      </c>
    </row>
    <row r="86" spans="1:9" s="23" customFormat="1" ht="15.6" customHeight="1" x14ac:dyDescent="0.2">
      <c r="A86" s="385"/>
      <c r="B86" s="386"/>
      <c r="C86" s="386"/>
      <c r="D86" s="386"/>
      <c r="E86" s="386"/>
      <c r="F86" s="387"/>
      <c r="G86" s="24"/>
      <c r="I86" s="368"/>
    </row>
    <row r="87" spans="1:9" s="23" customFormat="1" ht="15.75" customHeight="1" x14ac:dyDescent="0.2">
      <c r="A87" s="152">
        <f>ORÇAMENTO!A23</f>
        <v>5</v>
      </c>
      <c r="B87" s="13" t="s">
        <v>69</v>
      </c>
      <c r="C87" s="541" t="str">
        <f>ORÇAMENTO!D23</f>
        <v>OBRAS DE ARTE</v>
      </c>
      <c r="D87" s="542"/>
      <c r="E87" s="542"/>
      <c r="F87" s="543"/>
      <c r="I87" s="368"/>
    </row>
    <row r="88" spans="1:9" ht="15.6" customHeight="1" x14ac:dyDescent="0.25">
      <c r="A88" s="551" t="str">
        <f>ORÇAMENTO!A24</f>
        <v>5.1</v>
      </c>
      <c r="B88" s="552" t="str">
        <f>ORÇAMENTO!B24</f>
        <v xml:space="preserve"> 0804121 </v>
      </c>
      <c r="C88" s="506" t="str">
        <f>ORÇAMENTO!D24</f>
        <v>Boca de BSTC D = 1,00 m - esconsidade 0° - areia e brita comerciais - alas retas</v>
      </c>
      <c r="D88" s="506"/>
      <c r="E88" s="506"/>
      <c r="F88" s="506"/>
      <c r="I88" s="371"/>
    </row>
    <row r="89" spans="1:9" ht="15.75" customHeight="1" x14ac:dyDescent="0.25">
      <c r="A89" s="551"/>
      <c r="B89" s="552"/>
      <c r="C89" s="507" t="s">
        <v>20</v>
      </c>
      <c r="D89" s="508"/>
      <c r="E89" s="25">
        <v>32</v>
      </c>
      <c r="F89" s="388" t="str">
        <f>ORÇAMENTO!E24</f>
        <v>und</v>
      </c>
    </row>
    <row r="90" spans="1:9" ht="21" customHeight="1" x14ac:dyDescent="0.25">
      <c r="A90" s="492"/>
      <c r="B90" s="493"/>
      <c r="C90" s="493"/>
      <c r="D90" s="493"/>
      <c r="E90" s="493"/>
      <c r="F90" s="494"/>
      <c r="G90" s="150"/>
    </row>
    <row r="91" spans="1:9" ht="21" customHeight="1" x14ac:dyDescent="0.25">
      <c r="A91" s="551" t="str">
        <f>ORÇAMENTO!A25</f>
        <v>5.2</v>
      </c>
      <c r="B91" s="551" t="str">
        <f>ORÇAMENTO!B25</f>
        <v xml:space="preserve"> 0804036 </v>
      </c>
      <c r="C91" s="506" t="str">
        <f>ORÇAMENTO!D25</f>
        <v>Corpo de BSTC D = 1,00 m PA1 - areia extraída e brita e pedra de mão produzidas</v>
      </c>
      <c r="D91" s="506"/>
      <c r="E91" s="506"/>
      <c r="F91" s="506"/>
      <c r="G91" s="150"/>
    </row>
    <row r="92" spans="1:9" ht="21" customHeight="1" x14ac:dyDescent="0.25">
      <c r="A92" s="551"/>
      <c r="B92" s="551"/>
      <c r="C92" s="538" t="s">
        <v>23</v>
      </c>
      <c r="D92" s="539"/>
      <c r="E92" s="19">
        <v>7</v>
      </c>
      <c r="F92" s="384" t="s">
        <v>24</v>
      </c>
      <c r="G92" s="150"/>
    </row>
    <row r="93" spans="1:9" s="23" customFormat="1" ht="15.75" customHeight="1" x14ac:dyDescent="0.2">
      <c r="A93" s="551"/>
      <c r="B93" s="551"/>
      <c r="C93" s="538" t="s">
        <v>515</v>
      </c>
      <c r="D93" s="539"/>
      <c r="E93" s="19">
        <v>16</v>
      </c>
      <c r="F93" s="273" t="s">
        <v>21</v>
      </c>
      <c r="G93" s="370"/>
    </row>
    <row r="94" spans="1:9" s="23" customFormat="1" ht="15.75" customHeight="1" x14ac:dyDescent="0.25">
      <c r="A94" s="551"/>
      <c r="B94" s="551"/>
      <c r="C94" s="547" t="s">
        <v>20</v>
      </c>
      <c r="D94" s="548"/>
      <c r="E94" s="20">
        <f>E92*E93</f>
        <v>112</v>
      </c>
      <c r="F94" s="274" t="str">
        <f>ORÇAMENTO!E25</f>
        <v>m</v>
      </c>
      <c r="I94" s="368"/>
    </row>
    <row r="95" spans="1:9" ht="21" customHeight="1" x14ac:dyDescent="0.25">
      <c r="A95" s="492"/>
      <c r="B95" s="493"/>
      <c r="C95" s="493"/>
      <c r="D95" s="493"/>
      <c r="E95" s="493"/>
      <c r="F95" s="494"/>
      <c r="G95" s="150"/>
    </row>
    <row r="96" spans="1:9" ht="21" customHeight="1" x14ac:dyDescent="0.25">
      <c r="A96" s="566" t="str">
        <f>ORÇAMENTO!A26</f>
        <v>5.3</v>
      </c>
      <c r="B96" s="552" t="str">
        <f>ORÇAMENTO!B26</f>
        <v xml:space="preserve"> 4805757 </v>
      </c>
      <c r="C96" s="506" t="str">
        <f>ORÇAMENTO!D26</f>
        <v>Escavação mecânica de vala em material de 1ª categoria</v>
      </c>
      <c r="D96" s="506"/>
      <c r="E96" s="506"/>
      <c r="F96" s="506"/>
      <c r="G96" s="150"/>
    </row>
    <row r="97" spans="1:9" ht="21" customHeight="1" x14ac:dyDescent="0.25">
      <c r="A97" s="567"/>
      <c r="B97" s="552"/>
      <c r="C97" s="538" t="s">
        <v>23</v>
      </c>
      <c r="D97" s="539"/>
      <c r="E97" s="19">
        <f>E94</f>
        <v>112</v>
      </c>
      <c r="F97" s="384" t="s">
        <v>24</v>
      </c>
      <c r="G97" s="150"/>
    </row>
    <row r="98" spans="1:9" s="23" customFormat="1" ht="15.75" customHeight="1" x14ac:dyDescent="0.2">
      <c r="A98" s="567"/>
      <c r="B98" s="552"/>
      <c r="C98" s="538" t="s">
        <v>25</v>
      </c>
      <c r="D98" s="539"/>
      <c r="E98" s="19">
        <v>1.5</v>
      </c>
      <c r="F98" s="273" t="s">
        <v>24</v>
      </c>
      <c r="G98" s="370"/>
    </row>
    <row r="99" spans="1:9" s="23" customFormat="1" ht="15.75" customHeight="1" x14ac:dyDescent="0.2">
      <c r="A99" s="567"/>
      <c r="B99" s="552"/>
      <c r="C99" s="538" t="s">
        <v>516</v>
      </c>
      <c r="D99" s="539"/>
      <c r="E99" s="19">
        <v>1.5</v>
      </c>
      <c r="F99" s="273" t="s">
        <v>24</v>
      </c>
      <c r="G99" s="370"/>
    </row>
    <row r="100" spans="1:9" s="23" customFormat="1" ht="15.75" customHeight="1" x14ac:dyDescent="0.25">
      <c r="A100" s="568"/>
      <c r="B100" s="552"/>
      <c r="C100" s="547" t="s">
        <v>20</v>
      </c>
      <c r="D100" s="548"/>
      <c r="E100" s="20">
        <f>E97*E98*E99</f>
        <v>252</v>
      </c>
      <c r="F100" s="274" t="str">
        <f>ORÇAMENTO!E26</f>
        <v>m²</v>
      </c>
      <c r="I100" s="368"/>
    </row>
    <row r="101" spans="1:9" ht="21" customHeight="1" x14ac:dyDescent="0.25">
      <c r="A101" s="492"/>
      <c r="B101" s="493"/>
      <c r="C101" s="493"/>
      <c r="D101" s="493"/>
      <c r="E101" s="493"/>
      <c r="F101" s="494"/>
      <c r="G101" s="150"/>
    </row>
    <row r="102" spans="1:9" ht="21" customHeight="1" x14ac:dyDescent="0.25">
      <c r="A102" s="566" t="str">
        <f>ORÇAMENTO!A27</f>
        <v>5.4</v>
      </c>
      <c r="B102" s="551" t="str">
        <f>ORÇAMENTO!B27</f>
        <v xml:space="preserve"> 4815671 </v>
      </c>
      <c r="C102" s="506" t="str">
        <f>ORÇAMENTO!D27</f>
        <v>Reaterro e compactação com soquete vibratório</v>
      </c>
      <c r="D102" s="506"/>
      <c r="E102" s="506"/>
      <c r="F102" s="506"/>
      <c r="G102" s="150"/>
    </row>
    <row r="103" spans="1:9" ht="21" customHeight="1" x14ac:dyDescent="0.25">
      <c r="A103" s="567"/>
      <c r="B103" s="551"/>
      <c r="C103" s="538" t="s">
        <v>517</v>
      </c>
      <c r="D103" s="539"/>
      <c r="E103" s="14">
        <f>E100</f>
        <v>252</v>
      </c>
      <c r="F103" s="273" t="str">
        <f>ORÇAMENTO!E27</f>
        <v>m³</v>
      </c>
      <c r="G103" s="150"/>
    </row>
    <row r="104" spans="1:9" s="23" customFormat="1" ht="15.75" customHeight="1" x14ac:dyDescent="0.2">
      <c r="A104" s="567"/>
      <c r="B104" s="551"/>
      <c r="C104" s="538" t="s">
        <v>518</v>
      </c>
      <c r="D104" s="539"/>
      <c r="E104" s="19">
        <v>0.4</v>
      </c>
      <c r="F104" s="273" t="s">
        <v>140</v>
      </c>
      <c r="G104" s="370"/>
    </row>
    <row r="105" spans="1:9" s="23" customFormat="1" ht="15.75" customHeight="1" x14ac:dyDescent="0.25">
      <c r="A105" s="568"/>
      <c r="B105" s="551"/>
      <c r="C105" s="547" t="s">
        <v>20</v>
      </c>
      <c r="D105" s="548"/>
      <c r="E105" s="20">
        <f>E103*E104</f>
        <v>100.80000000000001</v>
      </c>
      <c r="F105" s="274" t="str">
        <f>'COMPOSIÇÃO UNIT.'!G249</f>
        <v>m³</v>
      </c>
      <c r="I105" s="368"/>
    </row>
    <row r="106" spans="1:9" ht="21" customHeight="1" x14ac:dyDescent="0.25">
      <c r="A106" s="492"/>
      <c r="B106" s="493"/>
      <c r="C106" s="493"/>
      <c r="D106" s="493"/>
      <c r="E106" s="493"/>
      <c r="F106" s="494"/>
      <c r="G106" s="150"/>
    </row>
    <row r="107" spans="1:9" s="23" customFormat="1" ht="15.75" customHeight="1" x14ac:dyDescent="0.2">
      <c r="A107" s="152">
        <f>ORÇAMENTO!A28</f>
        <v>6</v>
      </c>
      <c r="B107" s="13" t="s">
        <v>69</v>
      </c>
      <c r="C107" s="541" t="str">
        <f>ORÇAMENTO!D28</f>
        <v>SINALIZAÇÃO</v>
      </c>
      <c r="D107" s="542"/>
      <c r="E107" s="542"/>
      <c r="F107" s="543"/>
      <c r="I107" s="368"/>
    </row>
    <row r="108" spans="1:9" ht="21" customHeight="1" x14ac:dyDescent="0.25">
      <c r="A108" s="502" t="str">
        <f>ORÇAMENTO!A29</f>
        <v>6.1</v>
      </c>
      <c r="B108" s="502" t="str">
        <f>ORÇAMENTO!B29</f>
        <v xml:space="preserve"> SADA 07 </v>
      </c>
      <c r="C108" s="506" t="str">
        <f>ORÇAMENTO!D29</f>
        <v>Placas de advertência em chapa de aço num 16 com pintura retrorrefletiva 0,80x0,80m</v>
      </c>
      <c r="D108" s="506"/>
      <c r="E108" s="506"/>
      <c r="F108" s="506"/>
      <c r="G108" s="150"/>
    </row>
    <row r="109" spans="1:9" ht="21" customHeight="1" x14ac:dyDescent="0.25">
      <c r="A109" s="503"/>
      <c r="B109" s="503"/>
      <c r="C109" s="507" t="s">
        <v>20</v>
      </c>
      <c r="D109" s="508"/>
      <c r="E109" s="14">
        <v>28</v>
      </c>
      <c r="F109" s="26" t="str">
        <f>ORÇAMENTO!E29</f>
        <v>und</v>
      </c>
      <c r="G109" s="150"/>
    </row>
  </sheetData>
  <mergeCells count="133">
    <mergeCell ref="C99:D99"/>
    <mergeCell ref="C93:D93"/>
    <mergeCell ref="C94:D94"/>
    <mergeCell ref="A91:A94"/>
    <mergeCell ref="B91:B94"/>
    <mergeCell ref="A106:F106"/>
    <mergeCell ref="A108:A109"/>
    <mergeCell ref="B108:B109"/>
    <mergeCell ref="C108:F108"/>
    <mergeCell ref="C109:D109"/>
    <mergeCell ref="C107:F107"/>
    <mergeCell ref="A101:F101"/>
    <mergeCell ref="C102:F102"/>
    <mergeCell ref="C103:D103"/>
    <mergeCell ref="A95:F95"/>
    <mergeCell ref="C96:F96"/>
    <mergeCell ref="C104:D104"/>
    <mergeCell ref="C105:D105"/>
    <mergeCell ref="A102:A105"/>
    <mergeCell ref="B102:B105"/>
    <mergeCell ref="C97:D97"/>
    <mergeCell ref="C98:D98"/>
    <mergeCell ref="C100:D100"/>
    <mergeCell ref="A96:A100"/>
    <mergeCell ref="B96:B100"/>
    <mergeCell ref="C15:D15"/>
    <mergeCell ref="A16:F16"/>
    <mergeCell ref="A90:F90"/>
    <mergeCell ref="C91:F91"/>
    <mergeCell ref="C92:D92"/>
    <mergeCell ref="C87:F87"/>
    <mergeCell ref="A88:A89"/>
    <mergeCell ref="B88:B89"/>
    <mergeCell ref="C88:F88"/>
    <mergeCell ref="C89:D89"/>
    <mergeCell ref="A20:A21"/>
    <mergeCell ref="B20:B21"/>
    <mergeCell ref="C20:F20"/>
    <mergeCell ref="C21:D21"/>
    <mergeCell ref="A78:F78"/>
    <mergeCell ref="C83:F83"/>
    <mergeCell ref="A84:A85"/>
    <mergeCell ref="B84:B85"/>
    <mergeCell ref="C84:F84"/>
    <mergeCell ref="C85:D85"/>
    <mergeCell ref="A80:A81"/>
    <mergeCell ref="B80:B81"/>
    <mergeCell ref="C80:F80"/>
    <mergeCell ref="C81:D81"/>
    <mergeCell ref="B72:B77"/>
    <mergeCell ref="C72:F72"/>
    <mergeCell ref="C73:D73"/>
    <mergeCell ref="C74:D74"/>
    <mergeCell ref="C75:D75"/>
    <mergeCell ref="C76:D76"/>
    <mergeCell ref="C77:D77"/>
    <mergeCell ref="A63:F63"/>
    <mergeCell ref="C64:F64"/>
    <mergeCell ref="A65:A70"/>
    <mergeCell ref="B65:B70"/>
    <mergeCell ref="C65:F65"/>
    <mergeCell ref="C66:D66"/>
    <mergeCell ref="C67:D67"/>
    <mergeCell ref="C68:D68"/>
    <mergeCell ref="C69:D69"/>
    <mergeCell ref="C70:D70"/>
    <mergeCell ref="A71:F71"/>
    <mergeCell ref="A72:A77"/>
    <mergeCell ref="A56:F56"/>
    <mergeCell ref="A57:A62"/>
    <mergeCell ref="B57:B62"/>
    <mergeCell ref="C57:F57"/>
    <mergeCell ref="C58:D58"/>
    <mergeCell ref="C59:D59"/>
    <mergeCell ref="C60:D60"/>
    <mergeCell ref="C61:D61"/>
    <mergeCell ref="C62:D62"/>
    <mergeCell ref="A51:F51"/>
    <mergeCell ref="A52:A55"/>
    <mergeCell ref="B52:B55"/>
    <mergeCell ref="C52:F52"/>
    <mergeCell ref="C53:D53"/>
    <mergeCell ref="C54:D54"/>
    <mergeCell ref="C55:D55"/>
    <mergeCell ref="A46:F46"/>
    <mergeCell ref="A47:A50"/>
    <mergeCell ref="B47:B50"/>
    <mergeCell ref="C47:F47"/>
    <mergeCell ref="C48:D48"/>
    <mergeCell ref="C49:D49"/>
    <mergeCell ref="C50:D50"/>
    <mergeCell ref="A32:F32"/>
    <mergeCell ref="A33:A45"/>
    <mergeCell ref="B33:B45"/>
    <mergeCell ref="C33:F33"/>
    <mergeCell ref="C34:D34"/>
    <mergeCell ref="C36:D36"/>
    <mergeCell ref="C37:D37"/>
    <mergeCell ref="C23:F23"/>
    <mergeCell ref="C24:D24"/>
    <mergeCell ref="C25:D25"/>
    <mergeCell ref="A26:F26"/>
    <mergeCell ref="A27:A31"/>
    <mergeCell ref="B27:B31"/>
    <mergeCell ref="C27:F27"/>
    <mergeCell ref="C28:D28"/>
    <mergeCell ref="C29:D29"/>
    <mergeCell ref="C30:D30"/>
    <mergeCell ref="C31:D31"/>
    <mergeCell ref="A22:F22"/>
    <mergeCell ref="A1:F1"/>
    <mergeCell ref="A2:F2"/>
    <mergeCell ref="A3:F3"/>
    <mergeCell ref="A4:F4"/>
    <mergeCell ref="A5:F5"/>
    <mergeCell ref="A6:F6"/>
    <mergeCell ref="C7:F7"/>
    <mergeCell ref="A8:A9"/>
    <mergeCell ref="B8:B9"/>
    <mergeCell ref="C8:F8"/>
    <mergeCell ref="C9:D9"/>
    <mergeCell ref="A10:F10"/>
    <mergeCell ref="A11:A15"/>
    <mergeCell ref="B11:B15"/>
    <mergeCell ref="C11:F11"/>
    <mergeCell ref="A17:A18"/>
    <mergeCell ref="B17:B18"/>
    <mergeCell ref="C17:F17"/>
    <mergeCell ref="C18:D18"/>
    <mergeCell ref="A19:F19"/>
    <mergeCell ref="C12:D12"/>
    <mergeCell ref="C13:D13"/>
    <mergeCell ref="C14:D14"/>
  </mergeCells>
  <printOptions horizontalCentered="1"/>
  <pageMargins left="0.23622047244094491" right="0.23622047244094491" top="1.8503937007874016" bottom="0.15748031496062992" header="0.31496062992125984" footer="0.31496062992125984"/>
  <pageSetup paperSize="9" scale="35" orientation="portrait" r:id="rId1"/>
  <headerFooter>
    <oddHeader>&amp;C&amp;G</oddHeader>
    <oddFooter>&amp;C&amp;G</oddFooter>
  </headerFooter>
  <rowBreaks count="1" manualBreakCount="1">
    <brk id="56" max="5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9"/>
  <sheetViews>
    <sheetView view="pageBreakPreview" zoomScale="80" zoomScaleNormal="100" zoomScaleSheetLayoutView="80" workbookViewId="0">
      <selection activeCell="M24" sqref="M24"/>
    </sheetView>
  </sheetViews>
  <sheetFormatPr defaultRowHeight="15.75" x14ac:dyDescent="0.25"/>
  <cols>
    <col min="1" max="1" width="25.7109375" style="1" customWidth="1"/>
    <col min="2" max="2" width="25.7109375" style="2" customWidth="1"/>
    <col min="3" max="3" width="15.7109375" style="2" customWidth="1"/>
    <col min="4" max="7" width="15.7109375" style="1" customWidth="1"/>
    <col min="8" max="8" width="15.7109375" style="2" customWidth="1"/>
    <col min="9" max="9" width="18.85546875" style="2" customWidth="1"/>
    <col min="257" max="258" width="25.7109375" customWidth="1"/>
    <col min="259" max="264" width="15.7109375" customWidth="1"/>
    <col min="265" max="265" width="18.85546875" customWidth="1"/>
    <col min="513" max="514" width="25.7109375" customWidth="1"/>
    <col min="515" max="520" width="15.7109375" customWidth="1"/>
    <col min="521" max="521" width="18.85546875" customWidth="1"/>
    <col min="769" max="770" width="25.7109375" customWidth="1"/>
    <col min="771" max="776" width="15.7109375" customWidth="1"/>
    <col min="777" max="777" width="18.85546875" customWidth="1"/>
    <col min="1025" max="1026" width="25.7109375" customWidth="1"/>
    <col min="1027" max="1032" width="15.7109375" customWidth="1"/>
    <col min="1033" max="1033" width="18.85546875" customWidth="1"/>
    <col min="1281" max="1282" width="25.7109375" customWidth="1"/>
    <col min="1283" max="1288" width="15.7109375" customWidth="1"/>
    <col min="1289" max="1289" width="18.85546875" customWidth="1"/>
    <col min="1537" max="1538" width="25.7109375" customWidth="1"/>
    <col min="1539" max="1544" width="15.7109375" customWidth="1"/>
    <col min="1545" max="1545" width="18.85546875" customWidth="1"/>
    <col min="1793" max="1794" width="25.7109375" customWidth="1"/>
    <col min="1795" max="1800" width="15.7109375" customWidth="1"/>
    <col min="1801" max="1801" width="18.85546875" customWidth="1"/>
    <col min="2049" max="2050" width="25.7109375" customWidth="1"/>
    <col min="2051" max="2056" width="15.7109375" customWidth="1"/>
    <col min="2057" max="2057" width="18.85546875" customWidth="1"/>
    <col min="2305" max="2306" width="25.7109375" customWidth="1"/>
    <col min="2307" max="2312" width="15.7109375" customWidth="1"/>
    <col min="2313" max="2313" width="18.85546875" customWidth="1"/>
    <col min="2561" max="2562" width="25.7109375" customWidth="1"/>
    <col min="2563" max="2568" width="15.7109375" customWidth="1"/>
    <col min="2569" max="2569" width="18.85546875" customWidth="1"/>
    <col min="2817" max="2818" width="25.7109375" customWidth="1"/>
    <col min="2819" max="2824" width="15.7109375" customWidth="1"/>
    <col min="2825" max="2825" width="18.85546875" customWidth="1"/>
    <col min="3073" max="3074" width="25.7109375" customWidth="1"/>
    <col min="3075" max="3080" width="15.7109375" customWidth="1"/>
    <col min="3081" max="3081" width="18.85546875" customWidth="1"/>
    <col min="3329" max="3330" width="25.7109375" customWidth="1"/>
    <col min="3331" max="3336" width="15.7109375" customWidth="1"/>
    <col min="3337" max="3337" width="18.85546875" customWidth="1"/>
    <col min="3585" max="3586" width="25.7109375" customWidth="1"/>
    <col min="3587" max="3592" width="15.7109375" customWidth="1"/>
    <col min="3593" max="3593" width="18.85546875" customWidth="1"/>
    <col min="3841" max="3842" width="25.7109375" customWidth="1"/>
    <col min="3843" max="3848" width="15.7109375" customWidth="1"/>
    <col min="3849" max="3849" width="18.85546875" customWidth="1"/>
    <col min="4097" max="4098" width="25.7109375" customWidth="1"/>
    <col min="4099" max="4104" width="15.7109375" customWidth="1"/>
    <col min="4105" max="4105" width="18.85546875" customWidth="1"/>
    <col min="4353" max="4354" width="25.7109375" customWidth="1"/>
    <col min="4355" max="4360" width="15.7109375" customWidth="1"/>
    <col min="4361" max="4361" width="18.85546875" customWidth="1"/>
    <col min="4609" max="4610" width="25.7109375" customWidth="1"/>
    <col min="4611" max="4616" width="15.7109375" customWidth="1"/>
    <col min="4617" max="4617" width="18.85546875" customWidth="1"/>
    <col min="4865" max="4866" width="25.7109375" customWidth="1"/>
    <col min="4867" max="4872" width="15.7109375" customWidth="1"/>
    <col min="4873" max="4873" width="18.85546875" customWidth="1"/>
    <col min="5121" max="5122" width="25.7109375" customWidth="1"/>
    <col min="5123" max="5128" width="15.7109375" customWidth="1"/>
    <col min="5129" max="5129" width="18.85546875" customWidth="1"/>
    <col min="5377" max="5378" width="25.7109375" customWidth="1"/>
    <col min="5379" max="5384" width="15.7109375" customWidth="1"/>
    <col min="5385" max="5385" width="18.85546875" customWidth="1"/>
    <col min="5633" max="5634" width="25.7109375" customWidth="1"/>
    <col min="5635" max="5640" width="15.7109375" customWidth="1"/>
    <col min="5641" max="5641" width="18.85546875" customWidth="1"/>
    <col min="5889" max="5890" width="25.7109375" customWidth="1"/>
    <col min="5891" max="5896" width="15.7109375" customWidth="1"/>
    <col min="5897" max="5897" width="18.85546875" customWidth="1"/>
    <col min="6145" max="6146" width="25.7109375" customWidth="1"/>
    <col min="6147" max="6152" width="15.7109375" customWidth="1"/>
    <col min="6153" max="6153" width="18.85546875" customWidth="1"/>
    <col min="6401" max="6402" width="25.7109375" customWidth="1"/>
    <col min="6403" max="6408" width="15.7109375" customWidth="1"/>
    <col min="6409" max="6409" width="18.85546875" customWidth="1"/>
    <col min="6657" max="6658" width="25.7109375" customWidth="1"/>
    <col min="6659" max="6664" width="15.7109375" customWidth="1"/>
    <col min="6665" max="6665" width="18.85546875" customWidth="1"/>
    <col min="6913" max="6914" width="25.7109375" customWidth="1"/>
    <col min="6915" max="6920" width="15.7109375" customWidth="1"/>
    <col min="6921" max="6921" width="18.85546875" customWidth="1"/>
    <col min="7169" max="7170" width="25.7109375" customWidth="1"/>
    <col min="7171" max="7176" width="15.7109375" customWidth="1"/>
    <col min="7177" max="7177" width="18.85546875" customWidth="1"/>
    <col min="7425" max="7426" width="25.7109375" customWidth="1"/>
    <col min="7427" max="7432" width="15.7109375" customWidth="1"/>
    <col min="7433" max="7433" width="18.85546875" customWidth="1"/>
    <col min="7681" max="7682" width="25.7109375" customWidth="1"/>
    <col min="7683" max="7688" width="15.7109375" customWidth="1"/>
    <col min="7689" max="7689" width="18.85546875" customWidth="1"/>
    <col min="7937" max="7938" width="25.7109375" customWidth="1"/>
    <col min="7939" max="7944" width="15.7109375" customWidth="1"/>
    <col min="7945" max="7945" width="18.85546875" customWidth="1"/>
    <col min="8193" max="8194" width="25.7109375" customWidth="1"/>
    <col min="8195" max="8200" width="15.7109375" customWidth="1"/>
    <col min="8201" max="8201" width="18.85546875" customWidth="1"/>
    <col min="8449" max="8450" width="25.7109375" customWidth="1"/>
    <col min="8451" max="8456" width="15.7109375" customWidth="1"/>
    <col min="8457" max="8457" width="18.85546875" customWidth="1"/>
    <col min="8705" max="8706" width="25.7109375" customWidth="1"/>
    <col min="8707" max="8712" width="15.7109375" customWidth="1"/>
    <col min="8713" max="8713" width="18.85546875" customWidth="1"/>
    <col min="8961" max="8962" width="25.7109375" customWidth="1"/>
    <col min="8963" max="8968" width="15.7109375" customWidth="1"/>
    <col min="8969" max="8969" width="18.85546875" customWidth="1"/>
    <col min="9217" max="9218" width="25.7109375" customWidth="1"/>
    <col min="9219" max="9224" width="15.7109375" customWidth="1"/>
    <col min="9225" max="9225" width="18.85546875" customWidth="1"/>
    <col min="9473" max="9474" width="25.7109375" customWidth="1"/>
    <col min="9475" max="9480" width="15.7109375" customWidth="1"/>
    <col min="9481" max="9481" width="18.85546875" customWidth="1"/>
    <col min="9729" max="9730" width="25.7109375" customWidth="1"/>
    <col min="9731" max="9736" width="15.7109375" customWidth="1"/>
    <col min="9737" max="9737" width="18.85546875" customWidth="1"/>
    <col min="9985" max="9986" width="25.7109375" customWidth="1"/>
    <col min="9987" max="9992" width="15.7109375" customWidth="1"/>
    <col min="9993" max="9993" width="18.85546875" customWidth="1"/>
    <col min="10241" max="10242" width="25.7109375" customWidth="1"/>
    <col min="10243" max="10248" width="15.7109375" customWidth="1"/>
    <col min="10249" max="10249" width="18.85546875" customWidth="1"/>
    <col min="10497" max="10498" width="25.7109375" customWidth="1"/>
    <col min="10499" max="10504" width="15.7109375" customWidth="1"/>
    <col min="10505" max="10505" width="18.85546875" customWidth="1"/>
    <col min="10753" max="10754" width="25.7109375" customWidth="1"/>
    <col min="10755" max="10760" width="15.7109375" customWidth="1"/>
    <col min="10761" max="10761" width="18.85546875" customWidth="1"/>
    <col min="11009" max="11010" width="25.7109375" customWidth="1"/>
    <col min="11011" max="11016" width="15.7109375" customWidth="1"/>
    <col min="11017" max="11017" width="18.85546875" customWidth="1"/>
    <col min="11265" max="11266" width="25.7109375" customWidth="1"/>
    <col min="11267" max="11272" width="15.7109375" customWidth="1"/>
    <col min="11273" max="11273" width="18.85546875" customWidth="1"/>
    <col min="11521" max="11522" width="25.7109375" customWidth="1"/>
    <col min="11523" max="11528" width="15.7109375" customWidth="1"/>
    <col min="11529" max="11529" width="18.85546875" customWidth="1"/>
    <col min="11777" max="11778" width="25.7109375" customWidth="1"/>
    <col min="11779" max="11784" width="15.7109375" customWidth="1"/>
    <col min="11785" max="11785" width="18.85546875" customWidth="1"/>
    <col min="12033" max="12034" width="25.7109375" customWidth="1"/>
    <col min="12035" max="12040" width="15.7109375" customWidth="1"/>
    <col min="12041" max="12041" width="18.85546875" customWidth="1"/>
    <col min="12289" max="12290" width="25.7109375" customWidth="1"/>
    <col min="12291" max="12296" width="15.7109375" customWidth="1"/>
    <col min="12297" max="12297" width="18.85546875" customWidth="1"/>
    <col min="12545" max="12546" width="25.7109375" customWidth="1"/>
    <col min="12547" max="12552" width="15.7109375" customWidth="1"/>
    <col min="12553" max="12553" width="18.85546875" customWidth="1"/>
    <col min="12801" max="12802" width="25.7109375" customWidth="1"/>
    <col min="12803" max="12808" width="15.7109375" customWidth="1"/>
    <col min="12809" max="12809" width="18.85546875" customWidth="1"/>
    <col min="13057" max="13058" width="25.7109375" customWidth="1"/>
    <col min="13059" max="13064" width="15.7109375" customWidth="1"/>
    <col min="13065" max="13065" width="18.85546875" customWidth="1"/>
    <col min="13313" max="13314" width="25.7109375" customWidth="1"/>
    <col min="13315" max="13320" width="15.7109375" customWidth="1"/>
    <col min="13321" max="13321" width="18.85546875" customWidth="1"/>
    <col min="13569" max="13570" width="25.7109375" customWidth="1"/>
    <col min="13571" max="13576" width="15.7109375" customWidth="1"/>
    <col min="13577" max="13577" width="18.85546875" customWidth="1"/>
    <col min="13825" max="13826" width="25.7109375" customWidth="1"/>
    <col min="13827" max="13832" width="15.7109375" customWidth="1"/>
    <col min="13833" max="13833" width="18.85546875" customWidth="1"/>
    <col min="14081" max="14082" width="25.7109375" customWidth="1"/>
    <col min="14083" max="14088" width="15.7109375" customWidth="1"/>
    <col min="14089" max="14089" width="18.85546875" customWidth="1"/>
    <col min="14337" max="14338" width="25.7109375" customWidth="1"/>
    <col min="14339" max="14344" width="15.7109375" customWidth="1"/>
    <col min="14345" max="14345" width="18.85546875" customWidth="1"/>
    <col min="14593" max="14594" width="25.7109375" customWidth="1"/>
    <col min="14595" max="14600" width="15.7109375" customWidth="1"/>
    <col min="14601" max="14601" width="18.85546875" customWidth="1"/>
    <col min="14849" max="14850" width="25.7109375" customWidth="1"/>
    <col min="14851" max="14856" width="15.7109375" customWidth="1"/>
    <col min="14857" max="14857" width="18.85546875" customWidth="1"/>
    <col min="15105" max="15106" width="25.7109375" customWidth="1"/>
    <col min="15107" max="15112" width="15.7109375" customWidth="1"/>
    <col min="15113" max="15113" width="18.85546875" customWidth="1"/>
    <col min="15361" max="15362" width="25.7109375" customWidth="1"/>
    <col min="15363" max="15368" width="15.7109375" customWidth="1"/>
    <col min="15369" max="15369" width="18.85546875" customWidth="1"/>
    <col min="15617" max="15618" width="25.7109375" customWidth="1"/>
    <col min="15619" max="15624" width="15.7109375" customWidth="1"/>
    <col min="15625" max="15625" width="18.85546875" customWidth="1"/>
    <col min="15873" max="15874" width="25.7109375" customWidth="1"/>
    <col min="15875" max="15880" width="15.7109375" customWidth="1"/>
    <col min="15881" max="15881" width="18.85546875" customWidth="1"/>
    <col min="16129" max="16130" width="25.7109375" customWidth="1"/>
    <col min="16131" max="16136" width="15.7109375" customWidth="1"/>
    <col min="16137" max="16137" width="18.85546875" customWidth="1"/>
  </cols>
  <sheetData>
    <row r="1" spans="1:14" x14ac:dyDescent="0.25">
      <c r="A1" s="488" t="str">
        <f>RESUMO!A1</f>
        <v>OBRA: RECUPERAÇÃO DE ESTRADA VICINAL</v>
      </c>
      <c r="B1" s="488"/>
      <c r="C1" s="488"/>
      <c r="D1" s="488"/>
      <c r="E1" s="488"/>
      <c r="F1" s="488"/>
      <c r="G1" s="488"/>
      <c r="H1" s="488"/>
      <c r="I1" s="488"/>
    </row>
    <row r="2" spans="1:14" x14ac:dyDescent="0.25">
      <c r="A2" s="488" t="str">
        <f>RESUMO!A2</f>
        <v>LOCAL: NOVA SANTA RITA - PI</v>
      </c>
      <c r="B2" s="488"/>
      <c r="C2" s="488"/>
      <c r="D2" s="488"/>
      <c r="E2" s="488"/>
      <c r="F2" s="488"/>
      <c r="G2" s="488"/>
      <c r="H2" s="488"/>
      <c r="I2" s="488"/>
    </row>
    <row r="3" spans="1:14" ht="22.15" customHeight="1" x14ac:dyDescent="0.25">
      <c r="A3" s="488" t="str">
        <f>RESUMO!A3</f>
        <v>TRECHO: POVOADO JATOBAZEIRO AO POVOADO QUINTAS - POVOADO SACO AO POVOADO CABOCLO - COM EXTENSÃO DE 23Km</v>
      </c>
      <c r="B3" s="488"/>
      <c r="C3" s="488"/>
      <c r="D3" s="488"/>
      <c r="E3" s="488"/>
      <c r="F3" s="488"/>
      <c r="G3" s="488"/>
      <c r="H3" s="488"/>
      <c r="I3" s="488"/>
    </row>
    <row r="4" spans="1:14" ht="15.6" customHeight="1" x14ac:dyDescent="0.25">
      <c r="A4" s="488" t="str">
        <f>RESUMO!A4</f>
        <v>BANCA: SINAPI - 10/2023 - Piauí / SICRO - 10/2023 - Sem desoneração - Horista: 113,05 % / Mensalista: 70,90% - BDI: 21,96 %</v>
      </c>
      <c r="B4" s="488"/>
      <c r="C4" s="488"/>
      <c r="D4" s="488"/>
      <c r="E4" s="488"/>
      <c r="F4" s="488"/>
      <c r="G4" s="488"/>
      <c r="H4" s="488"/>
      <c r="I4" s="488"/>
    </row>
    <row r="5" spans="1:14" x14ac:dyDescent="0.25">
      <c r="A5" s="589" t="s">
        <v>293</v>
      </c>
      <c r="B5" s="590"/>
      <c r="C5" s="590"/>
      <c r="D5" s="590"/>
      <c r="E5" s="590"/>
      <c r="F5" s="590"/>
      <c r="G5" s="590"/>
      <c r="H5" s="590"/>
      <c r="I5" s="591"/>
    </row>
    <row r="6" spans="1:14" x14ac:dyDescent="0.25">
      <c r="A6" s="587" t="str">
        <f>CONCATENATE(GERAL!A11)</f>
        <v>POVOADO JATOBAZEIRO AO POVOADO QUINTAS - POVOADO SACO AO POVOADO CABOCLO</v>
      </c>
      <c r="B6" s="587"/>
      <c r="C6" s="587"/>
      <c r="D6" s="587"/>
      <c r="E6" s="587"/>
      <c r="F6" s="587"/>
      <c r="G6" s="587"/>
      <c r="H6" s="587"/>
      <c r="I6" s="587"/>
    </row>
    <row r="7" spans="1:14" x14ac:dyDescent="0.25">
      <c r="A7" s="588" t="s">
        <v>0</v>
      </c>
      <c r="B7" s="588"/>
      <c r="C7" s="588"/>
      <c r="D7" s="588"/>
      <c r="E7" s="588"/>
      <c r="F7" s="588"/>
      <c r="G7" s="588"/>
      <c r="H7" s="3"/>
      <c r="I7" s="3"/>
    </row>
    <row r="8" spans="1:14" ht="31.5" x14ac:dyDescent="0.25">
      <c r="A8" s="4" t="s">
        <v>1</v>
      </c>
      <c r="B8" s="165" t="s">
        <v>367</v>
      </c>
      <c r="C8" s="165" t="s">
        <v>255</v>
      </c>
      <c r="D8" s="4" t="s">
        <v>2</v>
      </c>
      <c r="E8" s="5" t="s">
        <v>3</v>
      </c>
      <c r="F8" s="4" t="s">
        <v>4</v>
      </c>
      <c r="G8" s="355" t="s">
        <v>5</v>
      </c>
      <c r="H8" s="5" t="s">
        <v>6</v>
      </c>
      <c r="I8" s="5" t="s">
        <v>7</v>
      </c>
      <c r="M8" s="205"/>
      <c r="N8" s="223"/>
    </row>
    <row r="9" spans="1:14" x14ac:dyDescent="0.25">
      <c r="A9" s="276" t="s">
        <v>8</v>
      </c>
      <c r="B9" s="6">
        <v>5.8</v>
      </c>
      <c r="C9" s="356">
        <f>GERAL!B13</f>
        <v>23</v>
      </c>
      <c r="D9" s="8">
        <f>(B10-B9)/2+B9</f>
        <v>14.25</v>
      </c>
      <c r="E9" s="8">
        <f>B9</f>
        <v>5.8</v>
      </c>
      <c r="F9" s="277">
        <f>D9-E9</f>
        <v>8.4499999999999993</v>
      </c>
      <c r="G9" s="278">
        <f>ROUND((((E9*E9+F9*F9)/(2*(E9+F9))))+H9,3)</f>
        <v>3.7360000000000002</v>
      </c>
      <c r="H9" s="3">
        <v>0.05</v>
      </c>
      <c r="I9" s="3">
        <f>E9+F9</f>
        <v>14.25</v>
      </c>
      <c r="K9" s="224"/>
    </row>
    <row r="10" spans="1:14" s="230" customFormat="1" x14ac:dyDescent="0.25">
      <c r="A10" s="276" t="s">
        <v>449</v>
      </c>
      <c r="B10" s="6">
        <v>22.7</v>
      </c>
      <c r="C10" s="356">
        <f>C9</f>
        <v>23</v>
      </c>
      <c r="D10" s="8">
        <f>C10-D9</f>
        <v>8.75</v>
      </c>
      <c r="E10" s="8">
        <f>F9</f>
        <v>8.4499999999999993</v>
      </c>
      <c r="F10" s="277">
        <f>C10-B10</f>
        <v>0.30000000000000071</v>
      </c>
      <c r="G10" s="278">
        <f>ROUND((((E10*E10+F10*F10)/(2*(E10+F10))))+H10,3)</f>
        <v>10.734999999999999</v>
      </c>
      <c r="H10" s="285">
        <v>6.65</v>
      </c>
      <c r="I10" s="285">
        <f>E10+F10</f>
        <v>8.75</v>
      </c>
    </row>
    <row r="11" spans="1:14" x14ac:dyDescent="0.25">
      <c r="A11" s="279" t="s">
        <v>9</v>
      </c>
      <c r="B11" s="280">
        <v>2</v>
      </c>
      <c r="C11" s="281"/>
      <c r="D11" s="282" t="s">
        <v>10</v>
      </c>
      <c r="E11" s="363">
        <f>ROUND(((G9*I9+G10*I10)/I12),3)</f>
        <v>6.399</v>
      </c>
      <c r="F11" s="276"/>
      <c r="G11" s="283"/>
      <c r="H11" s="3"/>
      <c r="I11" s="3"/>
      <c r="K11" s="225"/>
    </row>
    <row r="12" spans="1:14" x14ac:dyDescent="0.25">
      <c r="A12" s="284"/>
      <c r="B12" s="285"/>
      <c r="C12" s="285"/>
      <c r="D12" s="284"/>
      <c r="E12" s="284"/>
      <c r="F12" s="284"/>
      <c r="G12" s="284"/>
      <c r="H12" s="11" t="s">
        <v>11</v>
      </c>
      <c r="I12" s="364">
        <f>SUM(I9:I11)</f>
        <v>23</v>
      </c>
      <c r="K12" s="224"/>
    </row>
    <row r="13" spans="1:14" hidden="1" x14ac:dyDescent="0.25">
      <c r="A13" s="592" t="s">
        <v>375</v>
      </c>
      <c r="B13" s="592"/>
      <c r="C13" s="592"/>
      <c r="D13" s="592"/>
      <c r="E13" s="592"/>
      <c r="F13" s="592"/>
      <c r="G13" s="592"/>
      <c r="H13" s="3"/>
      <c r="I13" s="3"/>
    </row>
    <row r="14" spans="1:14" ht="31.5" hidden="1" x14ac:dyDescent="0.25">
      <c r="A14" s="286" t="s">
        <v>256</v>
      </c>
      <c r="B14" s="287" t="s">
        <v>257</v>
      </c>
      <c r="C14" s="287" t="s">
        <v>255</v>
      </c>
      <c r="D14" s="286" t="s">
        <v>2</v>
      </c>
      <c r="E14" s="288" t="s">
        <v>3</v>
      </c>
      <c r="F14" s="286" t="s">
        <v>4</v>
      </c>
      <c r="G14" s="286" t="s">
        <v>5</v>
      </c>
      <c r="H14" s="165" t="s">
        <v>368</v>
      </c>
      <c r="I14" s="5" t="s">
        <v>7</v>
      </c>
    </row>
    <row r="15" spans="1:14" hidden="1" x14ac:dyDescent="0.25">
      <c r="A15" s="276" t="s">
        <v>12</v>
      </c>
      <c r="B15" s="6">
        <v>5.4</v>
      </c>
      <c r="C15" s="7">
        <f>C9</f>
        <v>23</v>
      </c>
      <c r="D15" s="8">
        <f>(B15+(B16-B15)/2)</f>
        <v>7.65</v>
      </c>
      <c r="E15" s="8">
        <f>B15</f>
        <v>5.4</v>
      </c>
      <c r="F15" s="277">
        <f>D15-E15</f>
        <v>2.25</v>
      </c>
      <c r="G15" s="278">
        <f>ROUND((((E15*E15+F15*F15)/(2*(E15+F15))))+H15,2)</f>
        <v>2.2599999999999998</v>
      </c>
      <c r="H15" s="3">
        <v>0.02</v>
      </c>
      <c r="I15" s="3">
        <f>(E15+F15)</f>
        <v>7.65</v>
      </c>
    </row>
    <row r="16" spans="1:14" s="187" customFormat="1" hidden="1" x14ac:dyDescent="0.25">
      <c r="A16" s="276" t="s">
        <v>13</v>
      </c>
      <c r="B16" s="6">
        <v>9.9</v>
      </c>
      <c r="C16" s="7">
        <f>C15</f>
        <v>23</v>
      </c>
      <c r="D16" s="8">
        <f>C16-D15</f>
        <v>15.35</v>
      </c>
      <c r="E16" s="8">
        <f>(B16-B15)/2</f>
        <v>2.25</v>
      </c>
      <c r="F16" s="277">
        <f>D16-E16</f>
        <v>13.1</v>
      </c>
      <c r="G16" s="278">
        <f>ROUND((((E16*E16+F16*F16)/(2*(E16+F16))))+H16,2)</f>
        <v>5.98</v>
      </c>
      <c r="H16" s="3">
        <v>0.23</v>
      </c>
      <c r="I16" s="3">
        <f>(E16+F16)</f>
        <v>15.35</v>
      </c>
    </row>
    <row r="17" spans="1:14" hidden="1" x14ac:dyDescent="0.25">
      <c r="A17" s="279" t="s">
        <v>15</v>
      </c>
      <c r="B17" s="280">
        <v>2</v>
      </c>
      <c r="C17" s="281"/>
      <c r="D17" s="282" t="s">
        <v>10</v>
      </c>
      <c r="E17" s="10">
        <f>ROUND(((G15*I15)+(G16*I16))/I18,2)</f>
        <v>4.74</v>
      </c>
      <c r="F17" s="276"/>
      <c r="G17" s="283"/>
      <c r="H17" s="3"/>
      <c r="I17" s="3"/>
    </row>
    <row r="18" spans="1:14" hidden="1" x14ac:dyDescent="0.25">
      <c r="A18" s="9"/>
      <c r="B18" s="3"/>
      <c r="C18" s="3"/>
      <c r="D18" s="9"/>
      <c r="E18" s="9"/>
      <c r="F18" s="9"/>
      <c r="G18" s="9"/>
      <c r="H18" s="11" t="s">
        <v>11</v>
      </c>
      <c r="I18" s="3">
        <f>SUM(I15:I17)</f>
        <v>23</v>
      </c>
    </row>
    <row r="19" spans="1:14" x14ac:dyDescent="0.25">
      <c r="B19" s="1"/>
      <c r="C19" s="1"/>
      <c r="H19" s="1"/>
      <c r="I19" s="1"/>
      <c r="K19" s="373"/>
    </row>
    <row r="20" spans="1:14" s="187" customFormat="1" x14ac:dyDescent="0.25">
      <c r="A20" s="587" t="e">
        <f>GERAL!#REF!</f>
        <v>#REF!</v>
      </c>
      <c r="B20" s="587"/>
      <c r="C20" s="587"/>
      <c r="D20" s="587"/>
      <c r="E20" s="587"/>
      <c r="F20" s="587"/>
      <c r="G20" s="587"/>
      <c r="H20" s="587"/>
      <c r="I20" s="587"/>
      <c r="K20" s="373"/>
    </row>
    <row r="21" spans="1:14" s="187" customFormat="1" x14ac:dyDescent="0.25">
      <c r="A21" s="588" t="s">
        <v>0</v>
      </c>
      <c r="B21" s="588"/>
      <c r="C21" s="588"/>
      <c r="D21" s="588"/>
      <c r="E21" s="588"/>
      <c r="F21" s="588"/>
      <c r="G21" s="588"/>
      <c r="H21" s="3"/>
      <c r="I21" s="3"/>
    </row>
    <row r="22" spans="1:14" s="187" customFormat="1" ht="31.5" x14ac:dyDescent="0.25">
      <c r="A22" s="4" t="s">
        <v>1</v>
      </c>
      <c r="B22" s="165" t="s">
        <v>367</v>
      </c>
      <c r="C22" s="165" t="s">
        <v>255</v>
      </c>
      <c r="D22" s="4" t="s">
        <v>2</v>
      </c>
      <c r="E22" s="5" t="s">
        <v>3</v>
      </c>
      <c r="F22" s="4" t="s">
        <v>4</v>
      </c>
      <c r="G22" s="355" t="s">
        <v>5</v>
      </c>
      <c r="H22" s="5" t="s">
        <v>6</v>
      </c>
      <c r="I22" s="5" t="s">
        <v>7</v>
      </c>
      <c r="K22" s="224"/>
      <c r="M22" s="205"/>
      <c r="N22" s="223"/>
    </row>
    <row r="23" spans="1:14" s="187" customFormat="1" x14ac:dyDescent="0.25">
      <c r="A23" s="276"/>
      <c r="B23" s="6"/>
      <c r="C23" s="356"/>
      <c r="D23" s="8"/>
      <c r="E23" s="8"/>
      <c r="F23" s="277"/>
      <c r="G23" s="278"/>
      <c r="H23" s="3"/>
      <c r="I23" s="3"/>
      <c r="K23" s="224"/>
    </row>
    <row r="24" spans="1:14" s="187" customFormat="1" x14ac:dyDescent="0.25">
      <c r="A24" s="276"/>
      <c r="B24" s="6"/>
      <c r="C24" s="7"/>
      <c r="D24" s="8"/>
      <c r="E24" s="8"/>
      <c r="F24" s="277"/>
      <c r="G24" s="278"/>
      <c r="H24" s="3"/>
      <c r="I24" s="3"/>
    </row>
    <row r="25" spans="1:14" s="187" customFormat="1" x14ac:dyDescent="0.25">
      <c r="A25" s="279"/>
      <c r="B25" s="280"/>
      <c r="C25" s="281"/>
      <c r="D25" s="282"/>
      <c r="E25" s="363"/>
      <c r="F25" s="276"/>
      <c r="G25" s="283"/>
      <c r="H25" s="3"/>
      <c r="I25" s="3"/>
    </row>
    <row r="26" spans="1:14" s="187" customFormat="1" x14ac:dyDescent="0.25">
      <c r="A26" s="284"/>
      <c r="B26" s="285"/>
      <c r="C26" s="285"/>
      <c r="D26" s="284"/>
      <c r="E26" s="284"/>
      <c r="F26" s="284"/>
      <c r="G26" s="284"/>
      <c r="H26" s="11"/>
      <c r="I26" s="364"/>
    </row>
    <row r="27" spans="1:14" s="187" customFormat="1" hidden="1" x14ac:dyDescent="0.25">
      <c r="A27" s="592" t="s">
        <v>375</v>
      </c>
      <c r="B27" s="592"/>
      <c r="C27" s="592"/>
      <c r="D27" s="592"/>
      <c r="E27" s="592"/>
      <c r="F27" s="592"/>
      <c r="G27" s="592"/>
      <c r="H27" s="3"/>
      <c r="I27" s="3"/>
    </row>
    <row r="28" spans="1:14" s="187" customFormat="1" ht="31.5" hidden="1" x14ac:dyDescent="0.25">
      <c r="A28" s="286" t="s">
        <v>256</v>
      </c>
      <c r="B28" s="287" t="s">
        <v>257</v>
      </c>
      <c r="C28" s="287" t="s">
        <v>255</v>
      </c>
      <c r="D28" s="286" t="s">
        <v>2</v>
      </c>
      <c r="E28" s="288" t="s">
        <v>3</v>
      </c>
      <c r="F28" s="286" t="s">
        <v>4</v>
      </c>
      <c r="G28" s="286" t="s">
        <v>5</v>
      </c>
      <c r="H28" s="165" t="s">
        <v>368</v>
      </c>
      <c r="I28" s="5" t="s">
        <v>7</v>
      </c>
    </row>
    <row r="29" spans="1:14" s="187" customFormat="1" hidden="1" x14ac:dyDescent="0.25">
      <c r="A29" s="276" t="s">
        <v>12</v>
      </c>
      <c r="B29" s="6">
        <v>0</v>
      </c>
      <c r="C29" s="7">
        <f>C23</f>
        <v>0</v>
      </c>
      <c r="D29" s="8">
        <f>(B29+(B30-B29)/2)</f>
        <v>2.72</v>
      </c>
      <c r="E29" s="8">
        <f>B29</f>
        <v>0</v>
      </c>
      <c r="F29" s="277">
        <f>D29-E29</f>
        <v>2.72</v>
      </c>
      <c r="G29" s="278">
        <f>ROUND((((E29*E29+F29*F29)/(2*(E29+F29))))+H29,2)</f>
        <v>1.67</v>
      </c>
      <c r="H29" s="3">
        <v>0.31</v>
      </c>
      <c r="I29" s="3">
        <f>(E29+F29)</f>
        <v>2.72</v>
      </c>
      <c r="J29" s="224"/>
      <c r="K29" s="225"/>
    </row>
    <row r="30" spans="1:14" s="187" customFormat="1" hidden="1" x14ac:dyDescent="0.25">
      <c r="A30" s="276" t="s">
        <v>13</v>
      </c>
      <c r="B30" s="6">
        <v>5.44</v>
      </c>
      <c r="C30" s="7">
        <f>C29</f>
        <v>0</v>
      </c>
      <c r="D30" s="8">
        <f>(D29+(B31-B30)/2)</f>
        <v>4.5250000000000004</v>
      </c>
      <c r="E30" s="8">
        <f>(B30-B29)/2</f>
        <v>2.72</v>
      </c>
      <c r="F30" s="277">
        <f>D30-E30</f>
        <v>1.8050000000000002</v>
      </c>
      <c r="G30" s="278">
        <f>ROUND((((E30*E30+F30*F30)/(2*(E30+F30))))+H30,2)</f>
        <v>1.27</v>
      </c>
      <c r="H30" s="3">
        <v>0.09</v>
      </c>
      <c r="I30" s="3">
        <f>(E30+F30)</f>
        <v>4.5250000000000004</v>
      </c>
      <c r="J30" s="224"/>
    </row>
    <row r="31" spans="1:14" s="187" customFormat="1" hidden="1" x14ac:dyDescent="0.25">
      <c r="A31" s="276" t="s">
        <v>14</v>
      </c>
      <c r="B31" s="6">
        <v>9.0500000000000007</v>
      </c>
      <c r="C31" s="7">
        <f>C30</f>
        <v>0</v>
      </c>
      <c r="D31" s="8">
        <f>C31-D30-D29</f>
        <v>-7.245000000000001</v>
      </c>
      <c r="E31" s="8">
        <f>(B31-B30)/2</f>
        <v>1.8050000000000002</v>
      </c>
      <c r="F31" s="277">
        <f>D31-E31</f>
        <v>-9.0500000000000007</v>
      </c>
      <c r="G31" s="278">
        <f>ROUND((((E31*E31+F31*F31)/(2*(E31+F31))))+H31,2)</f>
        <v>-5.87</v>
      </c>
      <c r="H31" s="3">
        <v>0.01</v>
      </c>
      <c r="I31" s="3">
        <f>(E31+F31)</f>
        <v>-7.245000000000001</v>
      </c>
    </row>
    <row r="32" spans="1:14" s="187" customFormat="1" hidden="1" x14ac:dyDescent="0.25">
      <c r="A32" s="279" t="s">
        <v>15</v>
      </c>
      <c r="B32" s="280">
        <v>3</v>
      </c>
      <c r="C32" s="281"/>
      <c r="D32" s="282" t="s">
        <v>10</v>
      </c>
      <c r="E32" s="10" t="e">
        <f>ROUND(((G29*I29)+(G30*I30))/I33,2)</f>
        <v>#DIV/0!</v>
      </c>
      <c r="F32" s="276"/>
      <c r="G32" s="283"/>
      <c r="H32" s="3"/>
      <c r="I32" s="3"/>
    </row>
    <row r="33" spans="1:14" s="187" customFormat="1" hidden="1" x14ac:dyDescent="0.25">
      <c r="A33" s="9"/>
      <c r="B33" s="3"/>
      <c r="C33" s="3"/>
      <c r="D33" s="9"/>
      <c r="E33" s="9"/>
      <c r="F33" s="9"/>
      <c r="G33" s="9"/>
      <c r="H33" s="11" t="s">
        <v>11</v>
      </c>
      <c r="I33" s="3">
        <f>SUM(I29:I32)</f>
        <v>0</v>
      </c>
    </row>
    <row r="34" spans="1:14" s="187" customForma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14" s="187" customFormat="1" x14ac:dyDescent="0.25">
      <c r="A35" s="587" t="e">
        <f>GERAL!#REF!</f>
        <v>#REF!</v>
      </c>
      <c r="B35" s="587"/>
      <c r="C35" s="587"/>
      <c r="D35" s="587"/>
      <c r="E35" s="587"/>
      <c r="F35" s="587"/>
      <c r="G35" s="587"/>
      <c r="H35" s="587"/>
      <c r="I35" s="587"/>
    </row>
    <row r="36" spans="1:14" s="187" customFormat="1" x14ac:dyDescent="0.25">
      <c r="A36" s="588" t="s">
        <v>0</v>
      </c>
      <c r="B36" s="588"/>
      <c r="C36" s="588"/>
      <c r="D36" s="588"/>
      <c r="E36" s="588"/>
      <c r="F36" s="588"/>
      <c r="G36" s="588"/>
      <c r="H36" s="3"/>
      <c r="I36" s="3"/>
    </row>
    <row r="37" spans="1:14" s="187" customFormat="1" ht="31.5" x14ac:dyDescent="0.25">
      <c r="A37" s="4" t="s">
        <v>1</v>
      </c>
      <c r="B37" s="165" t="s">
        <v>367</v>
      </c>
      <c r="C37" s="165" t="s">
        <v>255</v>
      </c>
      <c r="D37" s="4" t="s">
        <v>2</v>
      </c>
      <c r="E37" s="5" t="s">
        <v>3</v>
      </c>
      <c r="F37" s="4" t="s">
        <v>4</v>
      </c>
      <c r="G37" s="355" t="s">
        <v>5</v>
      </c>
      <c r="H37" s="5" t="s">
        <v>6</v>
      </c>
      <c r="I37" s="5" t="s">
        <v>7</v>
      </c>
      <c r="M37" s="205"/>
      <c r="N37" s="223"/>
    </row>
    <row r="38" spans="1:14" s="187" customFormat="1" x14ac:dyDescent="0.25">
      <c r="A38" s="276"/>
      <c r="B38" s="6"/>
      <c r="C38" s="356"/>
      <c r="D38" s="8"/>
      <c r="E38" s="8"/>
      <c r="F38" s="277"/>
      <c r="G38" s="278"/>
      <c r="H38" s="3"/>
      <c r="I38" s="3"/>
      <c r="K38" s="224"/>
    </row>
    <row r="39" spans="1:14" s="187" customFormat="1" x14ac:dyDescent="0.25">
      <c r="A39" s="276"/>
      <c r="B39" s="6"/>
      <c r="C39" s="7"/>
      <c r="D39" s="8"/>
      <c r="E39" s="8"/>
      <c r="F39" s="277"/>
      <c r="G39" s="278"/>
      <c r="H39" s="3"/>
      <c r="I39" s="3"/>
    </row>
    <row r="40" spans="1:14" s="187" customFormat="1" x14ac:dyDescent="0.25">
      <c r="A40" s="279"/>
      <c r="B40" s="280"/>
      <c r="C40" s="281"/>
      <c r="D40" s="282"/>
      <c r="E40" s="363"/>
      <c r="F40" s="276"/>
      <c r="G40" s="283"/>
      <c r="H40" s="3"/>
      <c r="I40" s="3"/>
    </row>
    <row r="41" spans="1:14" s="187" customFormat="1" x14ac:dyDescent="0.25">
      <c r="A41" s="284"/>
      <c r="B41" s="285"/>
      <c r="C41" s="285"/>
      <c r="D41" s="284"/>
      <c r="E41" s="284"/>
      <c r="F41" s="284"/>
      <c r="G41" s="284"/>
      <c r="H41" s="11"/>
      <c r="I41" s="364"/>
    </row>
    <row r="44" spans="1:14" s="187" customFormat="1" ht="30" customHeight="1" x14ac:dyDescent="0.25">
      <c r="A44" s="585" t="s">
        <v>438</v>
      </c>
      <c r="B44" s="585"/>
      <c r="C44" s="585"/>
      <c r="D44" s="585"/>
      <c r="E44" s="585"/>
      <c r="F44" s="585"/>
      <c r="G44" s="585"/>
      <c r="H44" s="585"/>
      <c r="I44" s="585"/>
    </row>
    <row r="45" spans="1:14" ht="30" customHeight="1" x14ac:dyDescent="0.25">
      <c r="A45" s="569" t="s">
        <v>439</v>
      </c>
      <c r="B45" s="569"/>
      <c r="C45" s="569"/>
      <c r="D45" s="569" t="s">
        <v>440</v>
      </c>
      <c r="E45" s="569"/>
      <c r="F45" s="569" t="s">
        <v>441</v>
      </c>
      <c r="G45" s="569"/>
      <c r="H45" s="586" t="s">
        <v>442</v>
      </c>
      <c r="I45" s="586"/>
    </row>
    <row r="46" spans="1:14" ht="30" customHeight="1" x14ac:dyDescent="0.25">
      <c r="A46" s="578" t="str">
        <f>A6</f>
        <v>POVOADO JATOBAZEIRO AO POVOADO QUINTAS - POVOADO SACO AO POVOADO CABOCLO</v>
      </c>
      <c r="B46" s="579"/>
      <c r="C46" s="580"/>
      <c r="D46" s="581"/>
      <c r="E46" s="577"/>
      <c r="F46" s="576"/>
      <c r="G46" s="577"/>
      <c r="H46" s="570"/>
      <c r="I46" s="571"/>
      <c r="J46" s="374">
        <f>D46*F46</f>
        <v>0</v>
      </c>
      <c r="K46" s="295"/>
    </row>
    <row r="47" spans="1:14" ht="30" customHeight="1" x14ac:dyDescent="0.25">
      <c r="A47" s="578" t="e">
        <f>A20</f>
        <v>#REF!</v>
      </c>
      <c r="B47" s="579"/>
      <c r="C47" s="580"/>
      <c r="D47" s="581"/>
      <c r="E47" s="577"/>
      <c r="F47" s="576"/>
      <c r="G47" s="577"/>
      <c r="H47" s="572"/>
      <c r="I47" s="573"/>
      <c r="J47" s="374">
        <f t="shared" ref="J47:J48" si="0">D47*F47</f>
        <v>0</v>
      </c>
      <c r="K47" s="374">
        <f>SUM(J46:J48)</f>
        <v>0</v>
      </c>
    </row>
    <row r="48" spans="1:14" ht="30" customHeight="1" x14ac:dyDescent="0.25">
      <c r="A48" s="578" t="e">
        <f>A35</f>
        <v>#REF!</v>
      </c>
      <c r="B48" s="579"/>
      <c r="C48" s="580"/>
      <c r="D48" s="581"/>
      <c r="E48" s="577"/>
      <c r="F48" s="576"/>
      <c r="G48" s="577"/>
      <c r="H48" s="572"/>
      <c r="I48" s="573"/>
      <c r="J48" s="374">
        <f t="shared" si="0"/>
        <v>0</v>
      </c>
      <c r="K48" s="295"/>
    </row>
    <row r="49" spans="1:9" ht="30" customHeight="1" x14ac:dyDescent="0.25">
      <c r="A49" s="569" t="s">
        <v>443</v>
      </c>
      <c r="B49" s="569"/>
      <c r="C49" s="569"/>
      <c r="D49" s="582"/>
      <c r="E49" s="583"/>
      <c r="F49" s="583"/>
      <c r="G49" s="584"/>
      <c r="H49" s="574"/>
      <c r="I49" s="575"/>
    </row>
  </sheetData>
  <mergeCells count="30">
    <mergeCell ref="A35:I35"/>
    <mergeCell ref="A36:G36"/>
    <mergeCell ref="A1:I1"/>
    <mergeCell ref="A2:I2"/>
    <mergeCell ref="A3:I3"/>
    <mergeCell ref="A4:I4"/>
    <mergeCell ref="A5:I5"/>
    <mergeCell ref="A20:I20"/>
    <mergeCell ref="A21:G21"/>
    <mergeCell ref="A27:G27"/>
    <mergeCell ref="A7:G7"/>
    <mergeCell ref="A6:I6"/>
    <mergeCell ref="A13:G13"/>
    <mergeCell ref="A44:I44"/>
    <mergeCell ref="H45:I45"/>
    <mergeCell ref="D45:E45"/>
    <mergeCell ref="F45:G45"/>
    <mergeCell ref="A45:C45"/>
    <mergeCell ref="A49:C49"/>
    <mergeCell ref="H46:I49"/>
    <mergeCell ref="F46:G46"/>
    <mergeCell ref="F47:G47"/>
    <mergeCell ref="F48:G48"/>
    <mergeCell ref="A46:C46"/>
    <mergeCell ref="A47:C47"/>
    <mergeCell ref="A48:C48"/>
    <mergeCell ref="D46:E46"/>
    <mergeCell ref="D47:E47"/>
    <mergeCell ref="D48:E48"/>
    <mergeCell ref="D49:G49"/>
  </mergeCells>
  <phoneticPr fontId="10" type="noConversion"/>
  <printOptions horizontalCentered="1"/>
  <pageMargins left="0.51181102362204722" right="0.51181102362204722" top="1.9685039370078741" bottom="0.98425196850393704" header="0" footer="0"/>
  <pageSetup paperSize="9" scale="56" fitToHeight="0" orientation="portrait" r:id="rId1"/>
  <headerFooter>
    <oddHeader>&amp;C&amp;G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J48"/>
  <sheetViews>
    <sheetView view="pageBreakPreview" topLeftCell="C25" zoomScale="90" zoomScaleNormal="100" zoomScaleSheetLayoutView="90" workbookViewId="0">
      <selection activeCell="F47" sqref="F47"/>
    </sheetView>
  </sheetViews>
  <sheetFormatPr defaultRowHeight="15" x14ac:dyDescent="0.25"/>
  <cols>
    <col min="1" max="1" width="21.28515625" bestFit="1" customWidth="1"/>
    <col min="2" max="2" width="61.28515625" customWidth="1"/>
    <col min="3" max="3" width="12.7109375" customWidth="1"/>
    <col min="4" max="4" width="13.42578125" customWidth="1"/>
    <col min="5" max="6" width="14.28515625" customWidth="1"/>
    <col min="7" max="7" width="12.28515625" bestFit="1" customWidth="1"/>
    <col min="8" max="8" width="13.85546875" customWidth="1"/>
  </cols>
  <sheetData>
    <row r="1" spans="1:9" ht="15.75" x14ac:dyDescent="0.25">
      <c r="A1" s="495" t="str">
        <f>RESUMO!A1</f>
        <v>OBRA: RECUPERAÇÃO DE ESTRADA VICINAL</v>
      </c>
      <c r="B1" s="496"/>
      <c r="C1" s="496"/>
      <c r="D1" s="496"/>
      <c r="E1" s="496"/>
      <c r="F1" s="496"/>
      <c r="G1" s="496"/>
      <c r="H1" s="497"/>
      <c r="I1" s="205"/>
    </row>
    <row r="2" spans="1:9" ht="15.75" x14ac:dyDescent="0.25">
      <c r="A2" s="495" t="str">
        <f>RESUMO!A2</f>
        <v>LOCAL: NOVA SANTA RITA - PI</v>
      </c>
      <c r="B2" s="496"/>
      <c r="C2" s="496"/>
      <c r="D2" s="496"/>
      <c r="E2" s="496"/>
      <c r="F2" s="496"/>
      <c r="G2" s="496"/>
      <c r="H2" s="497"/>
      <c r="I2" s="205"/>
    </row>
    <row r="3" spans="1:9" ht="15.75" x14ac:dyDescent="0.25">
      <c r="A3" s="495" t="str">
        <f>RESUMO!A3</f>
        <v>TRECHO: POVOADO JATOBAZEIRO AO POVOADO QUINTAS - POVOADO SACO AO POVOADO CABOCLO - COM EXTENSÃO DE 23Km</v>
      </c>
      <c r="B3" s="496"/>
      <c r="C3" s="496"/>
      <c r="D3" s="496"/>
      <c r="E3" s="496"/>
      <c r="F3" s="496"/>
      <c r="G3" s="496"/>
      <c r="H3" s="497"/>
      <c r="I3" s="205"/>
    </row>
    <row r="4" spans="1:9" ht="15.75" customHeight="1" x14ac:dyDescent="0.25">
      <c r="A4" s="495" t="str">
        <f>RESUMO!A4</f>
        <v>BANCA: SINAPI - 10/2023 - Piauí / SICRO - 10/2023 - Sem desoneração - Horista: 113,05 % / Mensalista: 70,90% - BDI: 21,96 %</v>
      </c>
      <c r="B4" s="496"/>
      <c r="C4" s="496"/>
      <c r="D4" s="496"/>
      <c r="E4" s="496"/>
      <c r="F4" s="496"/>
      <c r="G4" s="496"/>
      <c r="H4" s="497"/>
      <c r="I4" s="205"/>
    </row>
    <row r="5" spans="1:9" ht="18" x14ac:dyDescent="0.25">
      <c r="A5" s="595" t="s">
        <v>294</v>
      </c>
      <c r="B5" s="596"/>
      <c r="C5" s="596"/>
      <c r="D5" s="596"/>
      <c r="E5" s="596"/>
      <c r="F5" s="596"/>
      <c r="G5" s="596"/>
      <c r="H5" s="597"/>
    </row>
    <row r="6" spans="1:9" ht="32.25" customHeight="1" thickBot="1" x14ac:dyDescent="0.3">
      <c r="A6" s="289" t="s">
        <v>379</v>
      </c>
      <c r="B6" s="598" t="s">
        <v>19</v>
      </c>
      <c r="C6" s="598"/>
      <c r="D6" s="598"/>
      <c r="E6" s="598"/>
      <c r="F6" s="598"/>
      <c r="G6" s="598"/>
      <c r="H6" s="599"/>
    </row>
    <row r="7" spans="1:9" x14ac:dyDescent="0.25">
      <c r="A7" s="34"/>
      <c r="B7" s="35"/>
      <c r="C7" s="35"/>
      <c r="D7" s="35"/>
      <c r="E7" s="35"/>
      <c r="F7" s="35"/>
      <c r="G7" s="35"/>
      <c r="H7" s="35"/>
    </row>
    <row r="8" spans="1:9" x14ac:dyDescent="0.25">
      <c r="A8" s="593" t="s">
        <v>82</v>
      </c>
      <c r="B8" s="594"/>
      <c r="C8" s="36"/>
      <c r="D8" s="36"/>
      <c r="E8" s="37"/>
      <c r="F8" s="35"/>
      <c r="G8" s="35"/>
      <c r="H8" s="35"/>
    </row>
    <row r="9" spans="1:9" x14ac:dyDescent="0.25">
      <c r="A9" s="36"/>
      <c r="B9" s="36"/>
      <c r="C9" s="36"/>
      <c r="D9" s="36"/>
      <c r="E9" s="37"/>
      <c r="F9" s="35"/>
      <c r="G9" s="35"/>
      <c r="H9" s="35"/>
    </row>
    <row r="10" spans="1:9" x14ac:dyDescent="0.25">
      <c r="A10" s="600" t="s">
        <v>83</v>
      </c>
      <c r="B10" s="600"/>
      <c r="C10" s="38" t="s">
        <v>84</v>
      </c>
      <c r="D10" s="36"/>
      <c r="E10" s="37"/>
      <c r="F10" s="35"/>
      <c r="G10" s="35"/>
      <c r="H10" s="35"/>
    </row>
    <row r="11" spans="1:9" x14ac:dyDescent="0.25">
      <c r="A11" s="36"/>
      <c r="B11" s="36"/>
      <c r="C11" s="36"/>
      <c r="D11" s="36"/>
      <c r="E11" s="35"/>
      <c r="F11" s="35"/>
      <c r="G11" s="35"/>
      <c r="H11" s="35"/>
    </row>
    <row r="12" spans="1:9" ht="15.75" x14ac:dyDescent="0.25">
      <c r="A12" s="39" t="s">
        <v>125</v>
      </c>
      <c r="B12" s="185" t="s">
        <v>244</v>
      </c>
      <c r="C12" s="40">
        <v>1</v>
      </c>
      <c r="D12" s="40"/>
      <c r="E12" s="153"/>
      <c r="F12" s="35"/>
      <c r="G12" s="35"/>
      <c r="H12" s="35"/>
    </row>
    <row r="13" spans="1:9" s="182" customFormat="1" ht="15.75" x14ac:dyDescent="0.25">
      <c r="A13" s="39" t="s">
        <v>341</v>
      </c>
      <c r="B13" s="185" t="s">
        <v>342</v>
      </c>
      <c r="C13" s="40">
        <v>1</v>
      </c>
      <c r="D13" s="40"/>
      <c r="E13" s="153"/>
      <c r="F13" s="35"/>
      <c r="G13" s="35"/>
      <c r="H13" s="35"/>
    </row>
    <row r="14" spans="1:9" ht="15.75" x14ac:dyDescent="0.25">
      <c r="A14" s="39" t="s">
        <v>85</v>
      </c>
      <c r="B14" s="41" t="s">
        <v>86</v>
      </c>
      <c r="C14" s="40">
        <v>2</v>
      </c>
      <c r="D14" s="42"/>
      <c r="E14" s="43"/>
      <c r="F14" s="35"/>
      <c r="G14" s="35"/>
      <c r="H14" s="35"/>
    </row>
    <row r="15" spans="1:9" x14ac:dyDescent="0.25">
      <c r="A15" s="36" t="s">
        <v>87</v>
      </c>
      <c r="B15" s="36" t="s">
        <v>88</v>
      </c>
      <c r="C15" s="46">
        <v>3</v>
      </c>
      <c r="D15" s="42"/>
      <c r="E15" s="43"/>
      <c r="F15" s="35"/>
      <c r="G15" s="35"/>
      <c r="H15" s="35"/>
    </row>
    <row r="16" spans="1:9" ht="30" x14ac:dyDescent="0.25">
      <c r="A16" s="163" t="s">
        <v>247</v>
      </c>
      <c r="B16" s="183" t="s">
        <v>248</v>
      </c>
      <c r="C16" s="162">
        <v>2</v>
      </c>
      <c r="D16" s="42"/>
      <c r="E16" s="43"/>
      <c r="F16" s="35"/>
      <c r="G16" s="35"/>
      <c r="H16" s="35"/>
    </row>
    <row r="17" spans="1:8" s="182" customFormat="1" ht="30" x14ac:dyDescent="0.25">
      <c r="A17" s="184" t="s">
        <v>364</v>
      </c>
      <c r="B17" s="183" t="s">
        <v>355</v>
      </c>
      <c r="C17" s="162">
        <v>1</v>
      </c>
      <c r="D17" s="42"/>
      <c r="E17" s="43"/>
      <c r="F17" s="35"/>
      <c r="G17" s="35"/>
      <c r="H17" s="35"/>
    </row>
    <row r="18" spans="1:8" ht="15.75" x14ac:dyDescent="0.25">
      <c r="A18" s="44" t="s">
        <v>89</v>
      </c>
      <c r="B18" s="41" t="s">
        <v>245</v>
      </c>
      <c r="C18" s="46">
        <v>1</v>
      </c>
      <c r="D18" s="42"/>
      <c r="E18" s="43"/>
      <c r="F18" s="35"/>
      <c r="G18" s="35"/>
      <c r="H18" s="35"/>
    </row>
    <row r="19" spans="1:8" x14ac:dyDescent="0.25">
      <c r="A19" s="36"/>
      <c r="B19" s="36" t="s">
        <v>90</v>
      </c>
      <c r="C19" s="40">
        <f>SUM(C12:C18)</f>
        <v>11</v>
      </c>
      <c r="D19" s="42"/>
      <c r="E19" s="43"/>
      <c r="F19" s="35"/>
      <c r="G19" s="35"/>
      <c r="H19" s="35"/>
    </row>
    <row r="20" spans="1:8" x14ac:dyDescent="0.25">
      <c r="A20" s="36"/>
      <c r="B20" s="36"/>
      <c r="C20" s="40"/>
      <c r="D20" s="42"/>
      <c r="E20" s="43"/>
      <c r="F20" s="35"/>
      <c r="G20" s="35"/>
      <c r="H20" s="35"/>
    </row>
    <row r="21" spans="1:8" x14ac:dyDescent="0.25">
      <c r="A21" s="36"/>
      <c r="B21" s="47" t="s">
        <v>435</v>
      </c>
      <c r="C21" s="403">
        <v>166.6</v>
      </c>
      <c r="D21" s="48" t="s">
        <v>30</v>
      </c>
      <c r="E21" s="601"/>
      <c r="F21" s="602"/>
      <c r="G21" s="35"/>
      <c r="H21" s="35"/>
    </row>
    <row r="22" spans="1:8" x14ac:dyDescent="0.25">
      <c r="A22" s="36"/>
      <c r="B22" s="47" t="s">
        <v>91</v>
      </c>
      <c r="C22" s="40">
        <v>1</v>
      </c>
      <c r="D22" s="48"/>
      <c r="E22" s="43"/>
      <c r="F22" s="35"/>
      <c r="G22" s="35"/>
      <c r="H22" s="35"/>
    </row>
    <row r="23" spans="1:8" x14ac:dyDescent="0.25">
      <c r="A23" s="36"/>
      <c r="B23" s="47" t="s">
        <v>92</v>
      </c>
      <c r="C23" s="40">
        <v>2</v>
      </c>
      <c r="D23" s="38"/>
      <c r="E23" s="35"/>
      <c r="F23" s="35"/>
      <c r="G23" s="35"/>
      <c r="H23" s="35"/>
    </row>
    <row r="24" spans="1:8" x14ac:dyDescent="0.25">
      <c r="A24" s="36"/>
      <c r="B24" s="47" t="s">
        <v>93</v>
      </c>
      <c r="C24" s="40">
        <f>ROUND(C19*C21*C22*C23,2)</f>
        <v>3665.2</v>
      </c>
      <c r="D24" s="38" t="s">
        <v>30</v>
      </c>
      <c r="E24" s="35"/>
      <c r="F24" s="35"/>
      <c r="G24" s="35"/>
      <c r="H24" s="35"/>
    </row>
    <row r="25" spans="1:8" x14ac:dyDescent="0.25">
      <c r="A25" s="34"/>
      <c r="B25" s="49"/>
      <c r="C25" s="43"/>
      <c r="D25" s="35"/>
      <c r="E25" s="35"/>
      <c r="F25" s="35"/>
      <c r="G25" s="35"/>
      <c r="H25" s="35"/>
    </row>
    <row r="26" spans="1:8" ht="45" x14ac:dyDescent="0.25">
      <c r="A26" s="593" t="s">
        <v>94</v>
      </c>
      <c r="B26" s="594"/>
      <c r="C26" s="38" t="s">
        <v>84</v>
      </c>
      <c r="D26" s="50" t="s">
        <v>95</v>
      </c>
      <c r="E26" s="50" t="s">
        <v>96</v>
      </c>
      <c r="F26" s="38" t="s">
        <v>97</v>
      </c>
      <c r="G26" s="50" t="s">
        <v>98</v>
      </c>
      <c r="H26" s="38" t="s">
        <v>99</v>
      </c>
    </row>
    <row r="27" spans="1:8" x14ac:dyDescent="0.25">
      <c r="A27" s="36" t="s">
        <v>100</v>
      </c>
      <c r="B27" s="36" t="s">
        <v>101</v>
      </c>
      <c r="C27" s="40">
        <v>3</v>
      </c>
      <c r="D27" s="40">
        <v>60</v>
      </c>
      <c r="E27" s="40">
        <f>ROUND(C21*C23,2)</f>
        <v>333.2</v>
      </c>
      <c r="F27" s="40">
        <f>ROUND(E27/D27,2)</f>
        <v>5.55</v>
      </c>
      <c r="G27" s="365">
        <v>286.62299999999999</v>
      </c>
      <c r="H27" s="42">
        <f>TRUNC(C27*F27*G27,2)</f>
        <v>4772.2700000000004</v>
      </c>
    </row>
    <row r="28" spans="1:8" ht="15.75" x14ac:dyDescent="0.25">
      <c r="A28" s="39" t="s">
        <v>102</v>
      </c>
      <c r="B28" s="51" t="s">
        <v>103</v>
      </c>
      <c r="C28" s="40">
        <v>2</v>
      </c>
      <c r="D28" s="40">
        <v>60</v>
      </c>
      <c r="E28" s="40">
        <f>E27</f>
        <v>333.2</v>
      </c>
      <c r="F28" s="40">
        <f>ROUND(E28/D28,2)</f>
        <v>5.55</v>
      </c>
      <c r="G28" s="365">
        <v>324.65370000000001</v>
      </c>
      <c r="H28" s="42">
        <f t="shared" ref="H28:H29" si="0">TRUNC(C28*F28*G28,2)</f>
        <v>3603.65</v>
      </c>
    </row>
    <row r="29" spans="1:8" x14ac:dyDescent="0.25">
      <c r="A29" s="44" t="s">
        <v>104</v>
      </c>
      <c r="B29" s="45" t="s">
        <v>105</v>
      </c>
      <c r="C29" s="40">
        <v>1</v>
      </c>
      <c r="D29" s="40">
        <v>60</v>
      </c>
      <c r="E29" s="40">
        <f>E27</f>
        <v>333.2</v>
      </c>
      <c r="F29" s="40">
        <f>F27</f>
        <v>5.55</v>
      </c>
      <c r="G29" s="365">
        <v>249.33359999999999</v>
      </c>
      <c r="H29" s="42">
        <f t="shared" si="0"/>
        <v>1383.8</v>
      </c>
    </row>
    <row r="30" spans="1:8" x14ac:dyDescent="0.25">
      <c r="A30" s="36"/>
      <c r="B30" s="36" t="s">
        <v>106</v>
      </c>
      <c r="C30" s="40"/>
      <c r="D30" s="40"/>
      <c r="E30" s="40"/>
      <c r="F30" s="40"/>
      <c r="G30" s="40"/>
      <c r="H30" s="42">
        <f>SUM(H27:H29)</f>
        <v>9759.7199999999993</v>
      </c>
    </row>
    <row r="31" spans="1:8" x14ac:dyDescent="0.25">
      <c r="A31" s="34"/>
      <c r="B31" s="35"/>
      <c r="C31" s="35"/>
      <c r="D31" s="35"/>
      <c r="E31" s="35"/>
      <c r="F31" s="35"/>
      <c r="G31" s="35"/>
      <c r="H31" s="35"/>
    </row>
    <row r="32" spans="1:8" x14ac:dyDescent="0.25">
      <c r="A32" s="593" t="s">
        <v>107</v>
      </c>
      <c r="B32" s="603"/>
      <c r="C32" s="594"/>
      <c r="D32" s="36"/>
      <c r="E32" s="36"/>
      <c r="F32" s="35"/>
      <c r="G32" s="35"/>
      <c r="H32" s="35"/>
    </row>
    <row r="33" spans="1:10" ht="30" x14ac:dyDescent="0.25">
      <c r="A33" s="36"/>
      <c r="B33" s="36"/>
      <c r="C33" s="50" t="s">
        <v>108</v>
      </c>
      <c r="D33" s="36"/>
      <c r="E33" s="36"/>
      <c r="F33" s="35"/>
      <c r="G33" s="35"/>
      <c r="H33" s="35"/>
    </row>
    <row r="34" spans="1:10" x14ac:dyDescent="0.25">
      <c r="A34" s="36" t="s">
        <v>109</v>
      </c>
      <c r="B34" s="36" t="s">
        <v>110</v>
      </c>
      <c r="C34" s="365">
        <v>412.38229999999999</v>
      </c>
      <c r="D34" s="47" t="s">
        <v>111</v>
      </c>
      <c r="E34" s="36"/>
      <c r="F34" s="35"/>
      <c r="G34" s="35"/>
      <c r="H34" s="35"/>
    </row>
    <row r="35" spans="1:10" x14ac:dyDescent="0.25">
      <c r="A35" s="36"/>
      <c r="B35" s="47" t="s">
        <v>112</v>
      </c>
      <c r="C35" s="52">
        <v>60</v>
      </c>
      <c r="D35" s="47" t="s">
        <v>113</v>
      </c>
      <c r="E35" s="36"/>
      <c r="F35" s="35"/>
      <c r="G35" s="35"/>
      <c r="H35" s="35"/>
    </row>
    <row r="36" spans="1:10" x14ac:dyDescent="0.25">
      <c r="A36" s="36"/>
      <c r="B36" s="47" t="s">
        <v>114</v>
      </c>
      <c r="C36" s="42">
        <f>TRUNC(C34/C35,2)</f>
        <v>6.87</v>
      </c>
      <c r="D36" s="47" t="s">
        <v>115</v>
      </c>
      <c r="E36" s="36"/>
      <c r="F36" s="35"/>
      <c r="G36" s="35"/>
      <c r="H36" s="35"/>
    </row>
    <row r="37" spans="1:10" x14ac:dyDescent="0.25">
      <c r="A37" s="34"/>
      <c r="B37" s="35"/>
      <c r="C37" s="35"/>
      <c r="D37" s="49"/>
      <c r="E37" s="35"/>
      <c r="F37" s="35"/>
      <c r="G37" s="35"/>
      <c r="H37" s="35"/>
    </row>
    <row r="38" spans="1:10" x14ac:dyDescent="0.25">
      <c r="A38" s="593" t="s">
        <v>116</v>
      </c>
      <c r="B38" s="594"/>
      <c r="C38" s="36"/>
      <c r="D38" s="47"/>
      <c r="E38" s="36"/>
      <c r="F38" s="36"/>
      <c r="G38" s="35"/>
      <c r="H38" s="35"/>
    </row>
    <row r="39" spans="1:10" x14ac:dyDescent="0.25">
      <c r="A39" s="38" t="s">
        <v>70</v>
      </c>
      <c r="B39" s="38" t="s">
        <v>80</v>
      </c>
      <c r="C39" s="38" t="s">
        <v>117</v>
      </c>
      <c r="D39" s="38" t="s">
        <v>84</v>
      </c>
      <c r="E39" s="50" t="s">
        <v>118</v>
      </c>
      <c r="F39" s="38" t="s">
        <v>99</v>
      </c>
      <c r="G39" s="35"/>
      <c r="H39" s="35"/>
    </row>
    <row r="40" spans="1:10" x14ac:dyDescent="0.25">
      <c r="A40" s="36" t="s">
        <v>119</v>
      </c>
      <c r="B40" s="36" t="s">
        <v>120</v>
      </c>
      <c r="C40" s="48" t="s">
        <v>30</v>
      </c>
      <c r="D40" s="53">
        <f>C24</f>
        <v>3665.2</v>
      </c>
      <c r="E40" s="42">
        <f>C36</f>
        <v>6.87</v>
      </c>
      <c r="F40" s="40">
        <f>TRUNC(E40*D40,2)</f>
        <v>25179.919999999998</v>
      </c>
      <c r="G40" s="35"/>
      <c r="H40" s="35"/>
    </row>
    <row r="41" spans="1:10" x14ac:dyDescent="0.25">
      <c r="A41" s="36" t="s">
        <v>121</v>
      </c>
      <c r="B41" s="36" t="s">
        <v>122</v>
      </c>
      <c r="C41" s="38" t="s">
        <v>21</v>
      </c>
      <c r="D41" s="53">
        <v>1</v>
      </c>
      <c r="E41" s="42">
        <f>H30</f>
        <v>9759.7199999999993</v>
      </c>
      <c r="F41" s="40">
        <f>TRUNC(E41*D41,2)</f>
        <v>9759.7199999999993</v>
      </c>
      <c r="G41" s="35"/>
      <c r="H41" s="35"/>
    </row>
    <row r="42" spans="1:10" x14ac:dyDescent="0.25">
      <c r="A42" s="36"/>
      <c r="B42" s="36"/>
      <c r="C42" s="36"/>
      <c r="D42" s="47"/>
      <c r="E42" s="36"/>
      <c r="F42" s="36"/>
      <c r="G42" s="35"/>
      <c r="H42" s="35"/>
    </row>
    <row r="43" spans="1:10" x14ac:dyDescent="0.25">
      <c r="A43" s="36"/>
      <c r="B43" s="36" t="s">
        <v>123</v>
      </c>
      <c r="C43" s="36"/>
      <c r="D43" s="47"/>
      <c r="E43" s="36"/>
      <c r="F43" s="42">
        <f>SUM(F40:F42)</f>
        <v>34939.64</v>
      </c>
      <c r="G43" s="35"/>
      <c r="H43" s="35"/>
    </row>
    <row r="44" spans="1:10" x14ac:dyDescent="0.25">
      <c r="A44" s="36"/>
      <c r="B44" s="36" t="s">
        <v>71</v>
      </c>
      <c r="C44" s="36"/>
      <c r="D44" s="47"/>
      <c r="E44" s="36"/>
      <c r="F44" s="42">
        <f>SUM(F43:F43)</f>
        <v>34939.64</v>
      </c>
      <c r="G44" s="35"/>
      <c r="H44" s="35"/>
      <c r="J44">
        <v>15834.87</v>
      </c>
    </row>
    <row r="48" spans="1:10" x14ac:dyDescent="0.25">
      <c r="G48">
        <v>21462.89</v>
      </c>
    </row>
  </sheetData>
  <mergeCells count="12">
    <mergeCell ref="A1:H1"/>
    <mergeCell ref="A2:H2"/>
    <mergeCell ref="A3:H3"/>
    <mergeCell ref="A4:H4"/>
    <mergeCell ref="A38:B38"/>
    <mergeCell ref="A5:H5"/>
    <mergeCell ref="B6:H6"/>
    <mergeCell ref="A8:B8"/>
    <mergeCell ref="A10:B10"/>
    <mergeCell ref="E21:F21"/>
    <mergeCell ref="A26:B26"/>
    <mergeCell ref="A32:C32"/>
  </mergeCells>
  <printOptions horizontalCentered="1"/>
  <pageMargins left="0.51181102362204722" right="0.51181102362204722" top="1.7447916666666667" bottom="0.98425196850393704" header="0" footer="0"/>
  <pageSetup paperSize="9" scale="56" fitToHeight="0" orientation="portrait" r:id="rId1"/>
  <headerFooter>
    <oddHeader>&amp;C&amp;G</oddHeader>
    <oddFooter>&amp;C&amp;G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K281"/>
  <sheetViews>
    <sheetView view="pageBreakPreview" topLeftCell="A19" zoomScale="85" zoomScaleNormal="60" zoomScaleSheetLayoutView="85" workbookViewId="0">
      <selection activeCell="A32" sqref="A32:D32"/>
    </sheetView>
  </sheetViews>
  <sheetFormatPr defaultColWidth="8.85546875" defaultRowHeight="15" x14ac:dyDescent="0.25"/>
  <cols>
    <col min="1" max="1" width="12.42578125" style="204" customWidth="1"/>
    <col min="2" max="2" width="16.28515625" style="204" customWidth="1"/>
    <col min="3" max="3" width="11.28515625" style="204" customWidth="1"/>
    <col min="4" max="4" width="66.7109375" style="204" bestFit="1" customWidth="1"/>
    <col min="5" max="5" width="16.7109375" style="204" bestFit="1" customWidth="1"/>
    <col min="6" max="9" width="13.28515625" style="204" bestFit="1" customWidth="1"/>
    <col min="10" max="10" width="15.5703125" style="204" bestFit="1" customWidth="1"/>
    <col min="11" max="11" width="10.7109375" style="204" bestFit="1" customWidth="1"/>
    <col min="12" max="16384" width="8.85546875" style="204"/>
  </cols>
  <sheetData>
    <row r="1" spans="1:11" ht="15.75" x14ac:dyDescent="0.25">
      <c r="A1" s="616" t="str">
        <f>RESUMO!A1</f>
        <v>OBRA: RECUPERAÇÃO DE ESTRADA VICINAL</v>
      </c>
      <c r="B1" s="616"/>
      <c r="C1" s="616"/>
      <c r="D1" s="616"/>
      <c r="E1" s="616"/>
      <c r="F1" s="616"/>
      <c r="G1" s="616"/>
      <c r="H1" s="616"/>
      <c r="I1" s="616"/>
      <c r="J1" s="617"/>
    </row>
    <row r="2" spans="1:11" ht="15.75" x14ac:dyDescent="0.25">
      <c r="A2" s="616" t="str">
        <f>RESUMO!A2</f>
        <v>LOCAL: NOVA SANTA RITA - PI</v>
      </c>
      <c r="B2" s="616"/>
      <c r="C2" s="616"/>
      <c r="D2" s="616"/>
      <c r="E2" s="616"/>
      <c r="F2" s="616"/>
      <c r="G2" s="616"/>
      <c r="H2" s="616"/>
      <c r="I2" s="616"/>
      <c r="J2" s="617"/>
    </row>
    <row r="3" spans="1:11" ht="15.75" x14ac:dyDescent="0.25">
      <c r="A3" s="616" t="str">
        <f>RESUMO!A3</f>
        <v>TRECHO: POVOADO JATOBAZEIRO AO POVOADO QUINTAS - POVOADO SACO AO POVOADO CABOCLO - COM EXTENSÃO DE 23Km</v>
      </c>
      <c r="B3" s="616"/>
      <c r="C3" s="616"/>
      <c r="D3" s="616"/>
      <c r="E3" s="616"/>
      <c r="F3" s="616"/>
      <c r="G3" s="616"/>
      <c r="H3" s="616"/>
      <c r="I3" s="616"/>
      <c r="J3" s="617"/>
    </row>
    <row r="4" spans="1:11" ht="15.75" x14ac:dyDescent="0.25">
      <c r="A4" s="616" t="str">
        <f>RESUMO!A4</f>
        <v>BANCA: SINAPI - 10/2023 - Piauí / SICRO - 10/2023 - Sem desoneração - Horista: 113,05 % / Mensalista: 70,90% - BDI: 21,96 %</v>
      </c>
      <c r="B4" s="616"/>
      <c r="C4" s="616"/>
      <c r="D4" s="616"/>
      <c r="E4" s="616"/>
      <c r="F4" s="616"/>
      <c r="G4" s="616"/>
      <c r="H4" s="616"/>
      <c r="I4" s="616"/>
      <c r="J4" s="617"/>
    </row>
    <row r="5" spans="1:11" ht="15.75" x14ac:dyDescent="0.25">
      <c r="A5" s="618" t="s">
        <v>354</v>
      </c>
      <c r="B5" s="618"/>
      <c r="C5" s="618"/>
      <c r="D5" s="618"/>
      <c r="E5" s="618"/>
      <c r="F5" s="618"/>
      <c r="G5" s="618"/>
      <c r="H5" s="618"/>
      <c r="I5" s="618"/>
      <c r="J5" s="618"/>
    </row>
    <row r="6" spans="1:11" s="230" customFormat="1" x14ac:dyDescent="0.25">
      <c r="A6" s="227" t="s">
        <v>270</v>
      </c>
      <c r="B6" s="228" t="s">
        <v>69</v>
      </c>
      <c r="C6" s="227" t="s">
        <v>265</v>
      </c>
      <c r="D6" s="227" t="s">
        <v>80</v>
      </c>
      <c r="E6" s="606" t="s">
        <v>295</v>
      </c>
      <c r="F6" s="606"/>
      <c r="G6" s="229" t="s">
        <v>266</v>
      </c>
      <c r="H6" s="228" t="s">
        <v>267</v>
      </c>
      <c r="I6" s="228" t="s">
        <v>268</v>
      </c>
      <c r="J6" s="228" t="s">
        <v>81</v>
      </c>
    </row>
    <row r="7" spans="1:11" s="230" customFormat="1" ht="25.5" customHeight="1" x14ac:dyDescent="0.25">
      <c r="A7" s="362" t="s">
        <v>296</v>
      </c>
      <c r="B7" s="232" t="s">
        <v>381</v>
      </c>
      <c r="C7" s="362" t="s">
        <v>365</v>
      </c>
      <c r="D7" s="362" t="s">
        <v>68</v>
      </c>
      <c r="E7" s="613" t="s">
        <v>297</v>
      </c>
      <c r="F7" s="613"/>
      <c r="G7" s="233" t="s">
        <v>21</v>
      </c>
      <c r="H7" s="234">
        <v>1</v>
      </c>
      <c r="I7" s="235">
        <f>J7</f>
        <v>122702.43</v>
      </c>
      <c r="J7" s="235">
        <f>SUM(J8:J12)</f>
        <v>122702.43</v>
      </c>
      <c r="K7" s="230">
        <f>J7*1.2196</f>
        <v>149647.88362799998</v>
      </c>
    </row>
    <row r="8" spans="1:11" s="230" customFormat="1" x14ac:dyDescent="0.25">
      <c r="A8" s="361" t="s">
        <v>309</v>
      </c>
      <c r="B8" s="237" t="s">
        <v>393</v>
      </c>
      <c r="C8" s="237" t="s">
        <v>384</v>
      </c>
      <c r="D8" s="361" t="s">
        <v>394</v>
      </c>
      <c r="E8" s="611" t="s">
        <v>299</v>
      </c>
      <c r="F8" s="611"/>
      <c r="G8" s="238" t="s">
        <v>362</v>
      </c>
      <c r="H8" s="347">
        <f>K8*5</f>
        <v>2.5</v>
      </c>
      <c r="I8" s="405">
        <v>20598.652099999999</v>
      </c>
      <c r="J8" s="240">
        <f>TRUNC(H8*I8,2)</f>
        <v>51496.63</v>
      </c>
      <c r="K8" s="375">
        <f>1.5/3</f>
        <v>0.5</v>
      </c>
    </row>
    <row r="9" spans="1:11" s="230" customFormat="1" x14ac:dyDescent="0.25">
      <c r="A9" s="361" t="s">
        <v>309</v>
      </c>
      <c r="B9" s="237" t="s">
        <v>395</v>
      </c>
      <c r="C9" s="237" t="s">
        <v>384</v>
      </c>
      <c r="D9" s="361" t="s">
        <v>396</v>
      </c>
      <c r="E9" s="611" t="s">
        <v>299</v>
      </c>
      <c r="F9" s="611"/>
      <c r="G9" s="238" t="s">
        <v>362</v>
      </c>
      <c r="H9" s="347">
        <f t="shared" ref="H9:H12" si="0">K9*5</f>
        <v>2.5</v>
      </c>
      <c r="I9" s="405">
        <v>7202.2493000000004</v>
      </c>
      <c r="J9" s="240">
        <f t="shared" ref="J9:J12" si="1">TRUNC(H9*I9,2)</f>
        <v>18005.62</v>
      </c>
      <c r="K9" s="375">
        <f>1.5/3</f>
        <v>0.5</v>
      </c>
    </row>
    <row r="10" spans="1:11" s="230" customFormat="1" x14ac:dyDescent="0.25">
      <c r="A10" s="361" t="s">
        <v>309</v>
      </c>
      <c r="B10" s="237" t="s">
        <v>397</v>
      </c>
      <c r="C10" s="237" t="s">
        <v>384</v>
      </c>
      <c r="D10" s="361" t="s">
        <v>398</v>
      </c>
      <c r="E10" s="611" t="s">
        <v>299</v>
      </c>
      <c r="F10" s="611"/>
      <c r="G10" s="238" t="s">
        <v>362</v>
      </c>
      <c r="H10" s="347">
        <f t="shared" si="0"/>
        <v>5</v>
      </c>
      <c r="I10" s="405">
        <v>4582.8247000000001</v>
      </c>
      <c r="J10" s="240">
        <f t="shared" si="1"/>
        <v>22914.12</v>
      </c>
      <c r="K10" s="375">
        <f>3/3</f>
        <v>1</v>
      </c>
    </row>
    <row r="11" spans="1:11" s="230" customFormat="1" x14ac:dyDescent="0.25">
      <c r="A11" s="361" t="s">
        <v>309</v>
      </c>
      <c r="B11" s="237" t="s">
        <v>399</v>
      </c>
      <c r="C11" s="237" t="s">
        <v>384</v>
      </c>
      <c r="D11" s="361" t="s">
        <v>400</v>
      </c>
      <c r="E11" s="611" t="s">
        <v>299</v>
      </c>
      <c r="F11" s="611"/>
      <c r="G11" s="238" t="s">
        <v>362</v>
      </c>
      <c r="H11" s="347">
        <f t="shared" si="0"/>
        <v>2.5</v>
      </c>
      <c r="I11" s="405">
        <v>5880.0679</v>
      </c>
      <c r="J11" s="240">
        <f t="shared" si="1"/>
        <v>14700.16</v>
      </c>
      <c r="K11" s="375">
        <f>1.5/3</f>
        <v>0.5</v>
      </c>
    </row>
    <row r="12" spans="1:11" s="230" customFormat="1" x14ac:dyDescent="0.25">
      <c r="A12" s="361" t="s">
        <v>309</v>
      </c>
      <c r="B12" s="237" t="s">
        <v>401</v>
      </c>
      <c r="C12" s="237" t="s">
        <v>384</v>
      </c>
      <c r="D12" s="361" t="s">
        <v>402</v>
      </c>
      <c r="E12" s="611" t="s">
        <v>299</v>
      </c>
      <c r="F12" s="611"/>
      <c r="G12" s="238" t="s">
        <v>21</v>
      </c>
      <c r="H12" s="347">
        <f t="shared" si="0"/>
        <v>440</v>
      </c>
      <c r="I12" s="405">
        <v>35.422499999999999</v>
      </c>
      <c r="J12" s="240">
        <f t="shared" si="1"/>
        <v>15585.9</v>
      </c>
      <c r="K12" s="375">
        <f>264/3</f>
        <v>88</v>
      </c>
    </row>
    <row r="13" spans="1:11" s="230" customFormat="1" x14ac:dyDescent="0.25">
      <c r="A13" s="303"/>
      <c r="B13" s="303"/>
      <c r="C13" s="303"/>
      <c r="D13" s="303"/>
      <c r="E13" s="300"/>
      <c r="F13" s="243"/>
      <c r="G13" s="300"/>
      <c r="H13" s="243"/>
      <c r="I13" s="300"/>
      <c r="J13" s="243"/>
    </row>
    <row r="14" spans="1:11" s="230" customFormat="1" ht="15.75" customHeight="1" thickBot="1" x14ac:dyDescent="0.3">
      <c r="A14" s="303"/>
      <c r="B14" s="303"/>
      <c r="C14" s="303"/>
      <c r="D14" s="303"/>
      <c r="E14" s="300"/>
      <c r="F14" s="243"/>
      <c r="G14" s="300"/>
      <c r="H14" s="607" t="s">
        <v>301</v>
      </c>
      <c r="I14" s="607"/>
      <c r="J14" s="348">
        <f>J7*ORÇAMENTO!K4</f>
        <v>149647.88362799998</v>
      </c>
    </row>
    <row r="15" spans="1:11" s="230" customFormat="1" ht="15.75" thickTop="1" x14ac:dyDescent="0.25">
      <c r="A15" s="244"/>
      <c r="B15" s="244"/>
      <c r="C15" s="244"/>
      <c r="D15" s="244"/>
      <c r="E15" s="244"/>
      <c r="F15" s="244"/>
      <c r="G15" s="244"/>
      <c r="H15" s="244"/>
      <c r="I15" s="244"/>
      <c r="J15" s="244"/>
    </row>
    <row r="16" spans="1:11" s="230" customFormat="1" x14ac:dyDescent="0.25">
      <c r="A16" s="227" t="s">
        <v>271</v>
      </c>
      <c r="B16" s="228" t="s">
        <v>69</v>
      </c>
      <c r="C16" s="227" t="s">
        <v>265</v>
      </c>
      <c r="D16" s="227" t="s">
        <v>80</v>
      </c>
      <c r="E16" s="606" t="s">
        <v>295</v>
      </c>
      <c r="F16" s="606"/>
      <c r="G16" s="229" t="s">
        <v>266</v>
      </c>
      <c r="H16" s="228" t="s">
        <v>267</v>
      </c>
      <c r="I16" s="228" t="s">
        <v>268</v>
      </c>
      <c r="J16" s="228" t="s">
        <v>81</v>
      </c>
    </row>
    <row r="17" spans="1:10" s="230" customFormat="1" ht="25.5" x14ac:dyDescent="0.25">
      <c r="A17" s="231" t="s">
        <v>296</v>
      </c>
      <c r="B17" s="232" t="s">
        <v>382</v>
      </c>
      <c r="C17" s="231" t="s">
        <v>365</v>
      </c>
      <c r="D17" s="231" t="s">
        <v>377</v>
      </c>
      <c r="E17" s="613" t="s">
        <v>297</v>
      </c>
      <c r="F17" s="613"/>
      <c r="G17" s="233" t="s">
        <v>27</v>
      </c>
      <c r="H17" s="234">
        <v>1</v>
      </c>
      <c r="I17" s="235">
        <f>J17</f>
        <v>363.29</v>
      </c>
      <c r="J17" s="235">
        <f>SUM(J18:J24)</f>
        <v>363.29</v>
      </c>
    </row>
    <row r="18" spans="1:10" s="230" customFormat="1" ht="25.5" x14ac:dyDescent="0.25">
      <c r="A18" s="236" t="s">
        <v>298</v>
      </c>
      <c r="B18" s="237" t="s">
        <v>302</v>
      </c>
      <c r="C18" s="236" t="s">
        <v>366</v>
      </c>
      <c r="D18" s="236" t="s">
        <v>303</v>
      </c>
      <c r="E18" s="611" t="s">
        <v>299</v>
      </c>
      <c r="F18" s="611"/>
      <c r="G18" s="238" t="s">
        <v>300</v>
      </c>
      <c r="H18" s="239">
        <v>2</v>
      </c>
      <c r="I18" s="252">
        <v>19.02</v>
      </c>
      <c r="J18" s="252">
        <f>TRUNC(H18*I18,2)</f>
        <v>38.04</v>
      </c>
    </row>
    <row r="19" spans="1:10" s="230" customFormat="1" ht="25.5" x14ac:dyDescent="0.25">
      <c r="A19" s="236" t="s">
        <v>298</v>
      </c>
      <c r="B19" s="237" t="s">
        <v>304</v>
      </c>
      <c r="C19" s="236" t="s">
        <v>366</v>
      </c>
      <c r="D19" s="236" t="s">
        <v>305</v>
      </c>
      <c r="E19" s="611" t="s">
        <v>299</v>
      </c>
      <c r="F19" s="611"/>
      <c r="G19" s="238" t="s">
        <v>300</v>
      </c>
      <c r="H19" s="239">
        <v>1</v>
      </c>
      <c r="I19" s="252">
        <v>23.88</v>
      </c>
      <c r="J19" s="252">
        <f t="shared" ref="J19:J24" si="2">TRUNC(H19*I19,2)</f>
        <v>23.88</v>
      </c>
    </row>
    <row r="20" spans="1:10" s="230" customFormat="1" ht="38.25" x14ac:dyDescent="0.25">
      <c r="A20" s="236" t="s">
        <v>298</v>
      </c>
      <c r="B20" s="237" t="s">
        <v>306</v>
      </c>
      <c r="C20" s="236" t="s">
        <v>366</v>
      </c>
      <c r="D20" s="236" t="s">
        <v>307</v>
      </c>
      <c r="E20" s="611" t="s">
        <v>308</v>
      </c>
      <c r="F20" s="611"/>
      <c r="G20" s="238" t="s">
        <v>38</v>
      </c>
      <c r="H20" s="239">
        <v>0.01</v>
      </c>
      <c r="I20" s="252">
        <v>513.15</v>
      </c>
      <c r="J20" s="252">
        <f t="shared" si="2"/>
        <v>5.13</v>
      </c>
    </row>
    <row r="21" spans="1:10" s="230" customFormat="1" ht="25.5" x14ac:dyDescent="0.25">
      <c r="A21" s="236" t="s">
        <v>309</v>
      </c>
      <c r="B21" s="237" t="s">
        <v>310</v>
      </c>
      <c r="C21" s="236" t="s">
        <v>366</v>
      </c>
      <c r="D21" s="236" t="s">
        <v>311</v>
      </c>
      <c r="E21" s="611" t="s">
        <v>312</v>
      </c>
      <c r="F21" s="611"/>
      <c r="G21" s="238" t="s">
        <v>313</v>
      </c>
      <c r="H21" s="239">
        <v>1</v>
      </c>
      <c r="I21" s="252">
        <v>3.81</v>
      </c>
      <c r="J21" s="252">
        <f t="shared" si="2"/>
        <v>3.81</v>
      </c>
    </row>
    <row r="22" spans="1:10" s="230" customFormat="1" ht="25.5" x14ac:dyDescent="0.25">
      <c r="A22" s="236" t="s">
        <v>309</v>
      </c>
      <c r="B22" s="237" t="s">
        <v>314</v>
      </c>
      <c r="C22" s="236" t="s">
        <v>366</v>
      </c>
      <c r="D22" s="236" t="s">
        <v>315</v>
      </c>
      <c r="E22" s="611" t="s">
        <v>312</v>
      </c>
      <c r="F22" s="611"/>
      <c r="G22" s="238" t="s">
        <v>313</v>
      </c>
      <c r="H22" s="239">
        <v>4</v>
      </c>
      <c r="I22" s="252">
        <v>10.050000000000001</v>
      </c>
      <c r="J22" s="252">
        <f t="shared" si="2"/>
        <v>40.200000000000003</v>
      </c>
    </row>
    <row r="23" spans="1:10" s="230" customFormat="1" ht="25.5" x14ac:dyDescent="0.25">
      <c r="A23" s="236" t="s">
        <v>309</v>
      </c>
      <c r="B23" s="237" t="s">
        <v>316</v>
      </c>
      <c r="C23" s="236" t="s">
        <v>366</v>
      </c>
      <c r="D23" s="236" t="s">
        <v>317</v>
      </c>
      <c r="E23" s="611" t="s">
        <v>312</v>
      </c>
      <c r="F23" s="611"/>
      <c r="G23" s="238" t="s">
        <v>27</v>
      </c>
      <c r="H23" s="239">
        <v>1</v>
      </c>
      <c r="I23" s="252">
        <v>250</v>
      </c>
      <c r="J23" s="252">
        <f t="shared" si="2"/>
        <v>250</v>
      </c>
    </row>
    <row r="24" spans="1:10" s="230" customFormat="1" x14ac:dyDescent="0.25">
      <c r="A24" s="236" t="s">
        <v>309</v>
      </c>
      <c r="B24" s="237" t="s">
        <v>318</v>
      </c>
      <c r="C24" s="236" t="s">
        <v>366</v>
      </c>
      <c r="D24" s="236" t="s">
        <v>319</v>
      </c>
      <c r="E24" s="611" t="s">
        <v>312</v>
      </c>
      <c r="F24" s="611"/>
      <c r="G24" s="238" t="s">
        <v>320</v>
      </c>
      <c r="H24" s="239">
        <v>0.11</v>
      </c>
      <c r="I24" s="252">
        <v>20.34</v>
      </c>
      <c r="J24" s="252">
        <f t="shared" si="2"/>
        <v>2.23</v>
      </c>
    </row>
    <row r="25" spans="1:10" s="230" customFormat="1" x14ac:dyDescent="0.25">
      <c r="A25" s="241"/>
      <c r="B25" s="241"/>
      <c r="C25" s="241"/>
      <c r="D25" s="241"/>
      <c r="E25" s="242"/>
      <c r="F25" s="243"/>
      <c r="G25" s="242"/>
      <c r="H25" s="243"/>
      <c r="I25" s="242"/>
      <c r="J25" s="243"/>
    </row>
    <row r="26" spans="1:10" s="230" customFormat="1" ht="15.75" customHeight="1" thickBot="1" x14ac:dyDescent="0.3">
      <c r="A26" s="241"/>
      <c r="B26" s="241"/>
      <c r="C26" s="241"/>
      <c r="D26" s="241"/>
      <c r="E26" s="242"/>
      <c r="F26" s="243"/>
      <c r="G26" s="242"/>
      <c r="H26" s="607" t="s">
        <v>301</v>
      </c>
      <c r="I26" s="607"/>
      <c r="J26" s="243">
        <v>443.01</v>
      </c>
    </row>
    <row r="27" spans="1:10" s="230" customFormat="1" ht="15.75" customHeight="1" thickTop="1" x14ac:dyDescent="0.25">
      <c r="A27" s="244"/>
      <c r="B27" s="244"/>
      <c r="C27" s="244"/>
      <c r="D27" s="244"/>
      <c r="E27" s="244"/>
      <c r="F27" s="244"/>
      <c r="G27" s="244"/>
      <c r="H27" s="244"/>
      <c r="I27" s="244"/>
      <c r="J27" s="244"/>
    </row>
    <row r="28" spans="1:10" s="346" customFormat="1" ht="15.75" customHeight="1" x14ac:dyDescent="0.25">
      <c r="A28" s="424" t="s">
        <v>392</v>
      </c>
      <c r="B28" s="425" t="s">
        <v>69</v>
      </c>
      <c r="C28" s="424" t="s">
        <v>265</v>
      </c>
      <c r="D28" s="424" t="s">
        <v>80</v>
      </c>
      <c r="E28" s="612" t="s">
        <v>295</v>
      </c>
      <c r="F28" s="612"/>
      <c r="G28" s="426" t="s">
        <v>266</v>
      </c>
      <c r="H28" s="425" t="s">
        <v>267</v>
      </c>
      <c r="I28" s="425" t="s">
        <v>268</v>
      </c>
      <c r="J28" s="425" t="s">
        <v>81</v>
      </c>
    </row>
    <row r="29" spans="1:10" s="230" customFormat="1" ht="15.75" customHeight="1" x14ac:dyDescent="0.25">
      <c r="A29" s="394" t="s">
        <v>296</v>
      </c>
      <c r="B29" s="232" t="s">
        <v>383</v>
      </c>
      <c r="C29" s="394" t="s">
        <v>365</v>
      </c>
      <c r="D29" s="394" t="s">
        <v>391</v>
      </c>
      <c r="E29" s="613" t="s">
        <v>297</v>
      </c>
      <c r="F29" s="613"/>
      <c r="G29" s="233" t="s">
        <v>21</v>
      </c>
      <c r="H29" s="234">
        <v>1</v>
      </c>
      <c r="I29" s="235">
        <f>J29</f>
        <v>6250</v>
      </c>
      <c r="J29" s="345">
        <f>SUM(J30:J30)</f>
        <v>6250</v>
      </c>
    </row>
    <row r="30" spans="1:10" s="230" customFormat="1" ht="15.75" customHeight="1" x14ac:dyDescent="0.25">
      <c r="A30" s="395" t="s">
        <v>309</v>
      </c>
      <c r="B30" s="232" t="s">
        <v>519</v>
      </c>
      <c r="C30" s="394" t="s">
        <v>366</v>
      </c>
      <c r="D30" s="394" t="s">
        <v>520</v>
      </c>
      <c r="E30" s="611" t="s">
        <v>299</v>
      </c>
      <c r="F30" s="611"/>
      <c r="G30" s="238" t="s">
        <v>362</v>
      </c>
      <c r="H30" s="347">
        <v>5</v>
      </c>
      <c r="I30" s="240">
        <v>1250</v>
      </c>
      <c r="J30" s="348">
        <f>TRUNC(H30*I30,2)</f>
        <v>6250</v>
      </c>
    </row>
    <row r="31" spans="1:10" s="230" customFormat="1" ht="15.75" customHeight="1" x14ac:dyDescent="0.25">
      <c r="A31" s="303"/>
      <c r="B31" s="303"/>
      <c r="C31" s="303"/>
      <c r="D31" s="303"/>
      <c r="E31" s="300"/>
      <c r="F31" s="243"/>
      <c r="G31" s="300"/>
      <c r="H31" s="300"/>
      <c r="I31" s="300"/>
      <c r="J31" s="243"/>
    </row>
    <row r="32" spans="1:10" s="230" customFormat="1" ht="15.75" customHeight="1" x14ac:dyDescent="0.25">
      <c r="A32" s="614"/>
      <c r="B32" s="614"/>
      <c r="C32" s="614"/>
      <c r="D32" s="614"/>
      <c r="E32" s="300"/>
      <c r="F32" s="243"/>
      <c r="G32" s="300"/>
      <c r="H32" s="300"/>
      <c r="I32" s="300"/>
      <c r="J32" s="243"/>
    </row>
    <row r="33" spans="1:10" s="230" customFormat="1" ht="15.75" customHeight="1" x14ac:dyDescent="0.25">
      <c r="A33" s="303"/>
      <c r="B33" s="303"/>
      <c r="C33" s="303"/>
      <c r="D33" s="303"/>
      <c r="E33" s="300"/>
      <c r="F33" s="243"/>
      <c r="G33" s="300"/>
      <c r="H33" s="615" t="s">
        <v>301</v>
      </c>
      <c r="I33" s="615"/>
      <c r="J33" s="404">
        <f>J29*ORÇAMENTO!K4</f>
        <v>7622.5</v>
      </c>
    </row>
    <row r="34" spans="1:10" s="230" customFormat="1" ht="15.75" customHeight="1" thickBot="1" x14ac:dyDescent="0.3">
      <c r="A34" s="303"/>
      <c r="B34" s="303"/>
      <c r="C34" s="303"/>
      <c r="D34" s="303"/>
      <c r="E34" s="300"/>
      <c r="F34" s="243"/>
      <c r="G34" s="300"/>
      <c r="H34" s="300"/>
      <c r="I34" s="300"/>
      <c r="J34" s="243"/>
    </row>
    <row r="35" spans="1:10" s="230" customFormat="1" ht="15.75" thickTop="1" x14ac:dyDescent="0.25">
      <c r="A35" s="244"/>
      <c r="B35" s="244"/>
      <c r="C35" s="244"/>
      <c r="D35" s="244"/>
      <c r="E35" s="244"/>
      <c r="F35" s="244"/>
      <c r="G35" s="244"/>
      <c r="H35" s="244"/>
      <c r="I35" s="244"/>
      <c r="J35" s="244"/>
    </row>
    <row r="36" spans="1:10" s="230" customFormat="1" x14ac:dyDescent="0.25">
      <c r="A36" s="227" t="s">
        <v>274</v>
      </c>
      <c r="B36" s="228" t="s">
        <v>69</v>
      </c>
      <c r="C36" s="227" t="s">
        <v>265</v>
      </c>
      <c r="D36" s="227" t="s">
        <v>80</v>
      </c>
      <c r="E36" s="606" t="s">
        <v>295</v>
      </c>
      <c r="F36" s="606"/>
      <c r="G36" s="229" t="s">
        <v>266</v>
      </c>
      <c r="H36" s="228" t="s">
        <v>267</v>
      </c>
      <c r="I36" s="228" t="s">
        <v>268</v>
      </c>
      <c r="J36" s="228" t="s">
        <v>81</v>
      </c>
    </row>
    <row r="37" spans="1:10" s="230" customFormat="1" ht="25.5" x14ac:dyDescent="0.25">
      <c r="A37" s="380" t="s">
        <v>296</v>
      </c>
      <c r="B37" s="245" t="s">
        <v>275</v>
      </c>
      <c r="C37" s="380" t="s">
        <v>384</v>
      </c>
      <c r="D37" s="380" t="s">
        <v>385</v>
      </c>
      <c r="E37" s="610" t="s">
        <v>288</v>
      </c>
      <c r="F37" s="610"/>
      <c r="G37" s="246" t="s">
        <v>27</v>
      </c>
      <c r="H37" s="247">
        <v>1</v>
      </c>
      <c r="I37" s="235">
        <v>0.53</v>
      </c>
      <c r="J37" s="235">
        <v>0.53</v>
      </c>
    </row>
    <row r="38" spans="1:10" s="230" customFormat="1" ht="15" customHeight="1" x14ac:dyDescent="0.25">
      <c r="A38" s="608" t="s">
        <v>198</v>
      </c>
      <c r="B38" s="604" t="s">
        <v>69</v>
      </c>
      <c r="C38" s="608" t="s">
        <v>265</v>
      </c>
      <c r="D38" s="608" t="s">
        <v>321</v>
      </c>
      <c r="E38" s="604" t="s">
        <v>322</v>
      </c>
      <c r="F38" s="609" t="s">
        <v>323</v>
      </c>
      <c r="G38" s="604"/>
      <c r="H38" s="609" t="s">
        <v>324</v>
      </c>
      <c r="I38" s="604"/>
      <c r="J38" s="604" t="s">
        <v>98</v>
      </c>
    </row>
    <row r="39" spans="1:10" s="230" customFormat="1" x14ac:dyDescent="0.25">
      <c r="A39" s="604"/>
      <c r="B39" s="604"/>
      <c r="C39" s="604"/>
      <c r="D39" s="604"/>
      <c r="E39" s="604"/>
      <c r="F39" s="377" t="s">
        <v>325</v>
      </c>
      <c r="G39" s="377" t="s">
        <v>326</v>
      </c>
      <c r="H39" s="377" t="s">
        <v>325</v>
      </c>
      <c r="I39" s="377" t="s">
        <v>326</v>
      </c>
      <c r="J39" s="604"/>
    </row>
    <row r="40" spans="1:10" s="230" customFormat="1" x14ac:dyDescent="0.25">
      <c r="A40" s="383" t="s">
        <v>309</v>
      </c>
      <c r="B40" s="248" t="s">
        <v>125</v>
      </c>
      <c r="C40" s="383" t="s">
        <v>384</v>
      </c>
      <c r="D40" s="383" t="s">
        <v>327</v>
      </c>
      <c r="E40" s="249">
        <v>1</v>
      </c>
      <c r="F40" s="240">
        <v>1</v>
      </c>
      <c r="G40" s="240">
        <v>0</v>
      </c>
      <c r="H40" s="382">
        <v>766.28020000000004</v>
      </c>
      <c r="I40" s="382">
        <v>303.02440000000001</v>
      </c>
      <c r="J40" s="382">
        <v>766.28020000000004</v>
      </c>
    </row>
    <row r="41" spans="1:10" s="230" customFormat="1" ht="15" customHeight="1" x14ac:dyDescent="0.25">
      <c r="A41" s="605"/>
      <c r="B41" s="605"/>
      <c r="C41" s="605"/>
      <c r="D41" s="605"/>
      <c r="E41" s="605"/>
      <c r="F41" s="605" t="s">
        <v>328</v>
      </c>
      <c r="G41" s="605"/>
      <c r="H41" s="605"/>
      <c r="I41" s="605"/>
      <c r="J41" s="250">
        <v>766.28020000000004</v>
      </c>
    </row>
    <row r="42" spans="1:10" s="230" customFormat="1" ht="15" customHeight="1" x14ac:dyDescent="0.25">
      <c r="A42" s="378" t="s">
        <v>221</v>
      </c>
      <c r="B42" s="377" t="s">
        <v>69</v>
      </c>
      <c r="C42" s="378" t="s">
        <v>265</v>
      </c>
      <c r="D42" s="378" t="s">
        <v>329</v>
      </c>
      <c r="E42" s="377" t="s">
        <v>322</v>
      </c>
      <c r="F42" s="604" t="s">
        <v>330</v>
      </c>
      <c r="G42" s="604"/>
      <c r="H42" s="604"/>
      <c r="I42" s="604"/>
      <c r="J42" s="377" t="s">
        <v>98</v>
      </c>
    </row>
    <row r="43" spans="1:10" s="230" customFormat="1" x14ac:dyDescent="0.25">
      <c r="A43" s="383" t="s">
        <v>309</v>
      </c>
      <c r="B43" s="248" t="s">
        <v>331</v>
      </c>
      <c r="C43" s="383" t="s">
        <v>384</v>
      </c>
      <c r="D43" s="383" t="s">
        <v>332</v>
      </c>
      <c r="E43" s="249">
        <v>2</v>
      </c>
      <c r="F43" s="383"/>
      <c r="G43" s="383"/>
      <c r="H43" s="383"/>
      <c r="I43" s="382">
        <v>19.4495</v>
      </c>
      <c r="J43" s="382">
        <v>38.899000000000001</v>
      </c>
    </row>
    <row r="44" spans="1:10" s="230" customFormat="1" ht="15" customHeight="1" x14ac:dyDescent="0.25">
      <c r="A44" s="605"/>
      <c r="B44" s="605"/>
      <c r="C44" s="605"/>
      <c r="D44" s="605"/>
      <c r="E44" s="605"/>
      <c r="F44" s="605" t="s">
        <v>333</v>
      </c>
      <c r="G44" s="605"/>
      <c r="H44" s="605"/>
      <c r="I44" s="605"/>
      <c r="J44" s="250">
        <v>38.899000000000001</v>
      </c>
    </row>
    <row r="45" spans="1:10" s="230" customFormat="1" ht="15" customHeight="1" x14ac:dyDescent="0.25">
      <c r="A45" s="605"/>
      <c r="B45" s="605"/>
      <c r="C45" s="605"/>
      <c r="D45" s="605"/>
      <c r="E45" s="605"/>
      <c r="F45" s="605" t="s">
        <v>378</v>
      </c>
      <c r="G45" s="605"/>
      <c r="H45" s="605"/>
      <c r="I45" s="605"/>
      <c r="J45" s="250">
        <v>0</v>
      </c>
    </row>
    <row r="46" spans="1:10" s="230" customFormat="1" ht="15" customHeight="1" x14ac:dyDescent="0.25">
      <c r="A46" s="605"/>
      <c r="B46" s="605"/>
      <c r="C46" s="605"/>
      <c r="D46" s="605"/>
      <c r="E46" s="605"/>
      <c r="F46" s="605" t="s">
        <v>334</v>
      </c>
      <c r="G46" s="605"/>
      <c r="H46" s="605"/>
      <c r="I46" s="605"/>
      <c r="J46" s="250">
        <v>805.17920000000004</v>
      </c>
    </row>
    <row r="47" spans="1:10" s="230" customFormat="1" ht="15" customHeight="1" x14ac:dyDescent="0.25">
      <c r="A47" s="605"/>
      <c r="B47" s="605"/>
      <c r="C47" s="605"/>
      <c r="D47" s="605"/>
      <c r="E47" s="605"/>
      <c r="F47" s="605" t="s">
        <v>335</v>
      </c>
      <c r="G47" s="605"/>
      <c r="H47" s="605"/>
      <c r="I47" s="605"/>
      <c r="J47" s="250">
        <v>2.8999999999999998E-3</v>
      </c>
    </row>
    <row r="48" spans="1:10" s="230" customFormat="1" ht="15" customHeight="1" x14ac:dyDescent="0.25">
      <c r="A48" s="605"/>
      <c r="B48" s="605"/>
      <c r="C48" s="605"/>
      <c r="D48" s="605"/>
      <c r="E48" s="605"/>
      <c r="F48" s="605" t="s">
        <v>336</v>
      </c>
      <c r="G48" s="605"/>
      <c r="H48" s="605"/>
      <c r="I48" s="605"/>
      <c r="J48" s="250">
        <v>1.5E-3</v>
      </c>
    </row>
    <row r="49" spans="1:10" s="230" customFormat="1" ht="15" customHeight="1" x14ac:dyDescent="0.25">
      <c r="A49" s="605"/>
      <c r="B49" s="605"/>
      <c r="C49" s="605"/>
      <c r="D49" s="605"/>
      <c r="E49" s="605"/>
      <c r="F49" s="605" t="s">
        <v>337</v>
      </c>
      <c r="G49" s="605"/>
      <c r="H49" s="605"/>
      <c r="I49" s="605"/>
      <c r="J49" s="250">
        <v>1532.91</v>
      </c>
    </row>
    <row r="50" spans="1:10" s="230" customFormat="1" ht="15" customHeight="1" x14ac:dyDescent="0.25">
      <c r="A50" s="605"/>
      <c r="B50" s="605"/>
      <c r="C50" s="605"/>
      <c r="D50" s="605"/>
      <c r="E50" s="605"/>
      <c r="F50" s="605" t="s">
        <v>338</v>
      </c>
      <c r="G50" s="605"/>
      <c r="H50" s="605"/>
      <c r="I50" s="605"/>
      <c r="J50" s="250">
        <v>0.52529999999999999</v>
      </c>
    </row>
    <row r="51" spans="1:10" s="230" customFormat="1" x14ac:dyDescent="0.25">
      <c r="A51" s="242"/>
      <c r="B51" s="242"/>
      <c r="C51" s="242"/>
      <c r="D51" s="242"/>
      <c r="E51" s="242"/>
      <c r="F51" s="243"/>
      <c r="G51" s="242"/>
      <c r="H51" s="243"/>
      <c r="I51" s="242"/>
      <c r="J51" s="243"/>
    </row>
    <row r="52" spans="1:10" s="230" customFormat="1" ht="15.75" customHeight="1" thickBot="1" x14ac:dyDescent="0.3">
      <c r="A52" s="242"/>
      <c r="B52" s="242"/>
      <c r="C52" s="242"/>
      <c r="D52" s="242"/>
      <c r="E52" s="242"/>
      <c r="F52" s="243"/>
      <c r="G52" s="242"/>
      <c r="H52" s="607" t="s">
        <v>301</v>
      </c>
      <c r="I52" s="607"/>
      <c r="J52" s="243">
        <v>0.64</v>
      </c>
    </row>
    <row r="53" spans="1:10" s="230" customFormat="1" ht="15.75" thickTop="1" x14ac:dyDescent="0.25">
      <c r="A53" s="244"/>
      <c r="B53" s="244"/>
      <c r="C53" s="244"/>
      <c r="D53" s="244"/>
      <c r="E53" s="244"/>
      <c r="F53" s="244"/>
      <c r="G53" s="244"/>
      <c r="H53" s="244"/>
      <c r="I53" s="244"/>
      <c r="J53" s="244"/>
    </row>
    <row r="54" spans="1:10" s="230" customFormat="1" x14ac:dyDescent="0.25">
      <c r="A54" s="227" t="s">
        <v>276</v>
      </c>
      <c r="B54" s="228" t="s">
        <v>69</v>
      </c>
      <c r="C54" s="227" t="s">
        <v>265</v>
      </c>
      <c r="D54" s="227" t="s">
        <v>80</v>
      </c>
      <c r="E54" s="606" t="s">
        <v>295</v>
      </c>
      <c r="F54" s="606"/>
      <c r="G54" s="229" t="s">
        <v>266</v>
      </c>
      <c r="H54" s="228" t="s">
        <v>267</v>
      </c>
      <c r="I54" s="228" t="s">
        <v>268</v>
      </c>
      <c r="J54" s="228" t="s">
        <v>81</v>
      </c>
    </row>
    <row r="55" spans="1:10" s="230" customFormat="1" x14ac:dyDescent="0.25">
      <c r="A55" s="380" t="s">
        <v>296</v>
      </c>
      <c r="B55" s="245" t="s">
        <v>407</v>
      </c>
      <c r="C55" s="380" t="s">
        <v>384</v>
      </c>
      <c r="D55" s="380" t="s">
        <v>406</v>
      </c>
      <c r="E55" s="610" t="s">
        <v>288</v>
      </c>
      <c r="F55" s="610"/>
      <c r="G55" s="246" t="s">
        <v>27</v>
      </c>
      <c r="H55" s="247">
        <v>1</v>
      </c>
      <c r="I55" s="235">
        <v>1.1100000000000001</v>
      </c>
      <c r="J55" s="235">
        <v>1.1100000000000001</v>
      </c>
    </row>
    <row r="56" spans="1:10" s="230" customFormat="1" ht="15" customHeight="1" x14ac:dyDescent="0.25">
      <c r="A56" s="608" t="s">
        <v>198</v>
      </c>
      <c r="B56" s="604" t="s">
        <v>69</v>
      </c>
      <c r="C56" s="608" t="s">
        <v>265</v>
      </c>
      <c r="D56" s="608" t="s">
        <v>321</v>
      </c>
      <c r="E56" s="604" t="s">
        <v>322</v>
      </c>
      <c r="F56" s="609" t="s">
        <v>323</v>
      </c>
      <c r="G56" s="604"/>
      <c r="H56" s="609" t="s">
        <v>324</v>
      </c>
      <c r="I56" s="604"/>
      <c r="J56" s="604" t="s">
        <v>98</v>
      </c>
    </row>
    <row r="57" spans="1:10" s="230" customFormat="1" x14ac:dyDescent="0.25">
      <c r="A57" s="604"/>
      <c r="B57" s="604"/>
      <c r="C57" s="604"/>
      <c r="D57" s="604"/>
      <c r="E57" s="604"/>
      <c r="F57" s="377" t="s">
        <v>325</v>
      </c>
      <c r="G57" s="377" t="s">
        <v>326</v>
      </c>
      <c r="H57" s="377" t="s">
        <v>325</v>
      </c>
      <c r="I57" s="377" t="s">
        <v>326</v>
      </c>
      <c r="J57" s="604"/>
    </row>
    <row r="58" spans="1:10" s="230" customFormat="1" x14ac:dyDescent="0.25">
      <c r="A58" s="383" t="s">
        <v>309</v>
      </c>
      <c r="B58" s="248" t="s">
        <v>102</v>
      </c>
      <c r="C58" s="383" t="s">
        <v>384</v>
      </c>
      <c r="D58" s="383" t="s">
        <v>103</v>
      </c>
      <c r="E58" s="249">
        <v>2</v>
      </c>
      <c r="F58" s="240">
        <v>0.51</v>
      </c>
      <c r="G58" s="240">
        <v>0.49</v>
      </c>
      <c r="H58" s="382">
        <v>324.65370000000001</v>
      </c>
      <c r="I58" s="382">
        <v>79.7119</v>
      </c>
      <c r="J58" s="382">
        <v>409.26440000000002</v>
      </c>
    </row>
    <row r="59" spans="1:10" s="230" customFormat="1" ht="15" customHeight="1" x14ac:dyDescent="0.25">
      <c r="A59" s="383" t="s">
        <v>309</v>
      </c>
      <c r="B59" s="248" t="s">
        <v>408</v>
      </c>
      <c r="C59" s="383" t="s">
        <v>384</v>
      </c>
      <c r="D59" s="383" t="s">
        <v>409</v>
      </c>
      <c r="E59" s="249">
        <v>1</v>
      </c>
      <c r="F59" s="240">
        <v>0.69</v>
      </c>
      <c r="G59" s="240">
        <v>0.31</v>
      </c>
      <c r="H59" s="382">
        <v>4.7668999999999997</v>
      </c>
      <c r="I59" s="382">
        <v>3.3195999999999999</v>
      </c>
      <c r="J59" s="382">
        <v>4.3182</v>
      </c>
    </row>
    <row r="60" spans="1:10" s="230" customFormat="1" ht="15" customHeight="1" x14ac:dyDescent="0.25">
      <c r="A60" s="383" t="s">
        <v>309</v>
      </c>
      <c r="B60" s="248" t="s">
        <v>87</v>
      </c>
      <c r="C60" s="383" t="s">
        <v>384</v>
      </c>
      <c r="D60" s="383" t="s">
        <v>339</v>
      </c>
      <c r="E60" s="249">
        <v>1</v>
      </c>
      <c r="F60" s="240">
        <v>0.71</v>
      </c>
      <c r="G60" s="240">
        <v>0.28999999999999998</v>
      </c>
      <c r="H60" s="382">
        <v>284.91820000000001</v>
      </c>
      <c r="I60" s="382">
        <v>119.6619</v>
      </c>
      <c r="J60" s="382">
        <v>236.9939</v>
      </c>
    </row>
    <row r="61" spans="1:10" s="230" customFormat="1" x14ac:dyDescent="0.25">
      <c r="A61" s="383" t="s">
        <v>309</v>
      </c>
      <c r="B61" s="248" t="s">
        <v>89</v>
      </c>
      <c r="C61" s="383" t="s">
        <v>384</v>
      </c>
      <c r="D61" s="383" t="s">
        <v>340</v>
      </c>
      <c r="E61" s="249">
        <v>1</v>
      </c>
      <c r="F61" s="240">
        <v>0.96</v>
      </c>
      <c r="G61" s="240">
        <v>0.04</v>
      </c>
      <c r="H61" s="382">
        <v>244.39660000000001</v>
      </c>
      <c r="I61" s="382">
        <v>114.0611</v>
      </c>
      <c r="J61" s="382">
        <v>239.1832</v>
      </c>
    </row>
    <row r="62" spans="1:10" s="230" customFormat="1" ht="15" customHeight="1" x14ac:dyDescent="0.25">
      <c r="A62" s="383" t="s">
        <v>309</v>
      </c>
      <c r="B62" s="248" t="s">
        <v>410</v>
      </c>
      <c r="C62" s="383" t="s">
        <v>384</v>
      </c>
      <c r="D62" s="383" t="s">
        <v>411</v>
      </c>
      <c r="E62" s="249">
        <v>1</v>
      </c>
      <c r="F62" s="240">
        <v>1</v>
      </c>
      <c r="G62" s="240">
        <v>0</v>
      </c>
      <c r="H62" s="382">
        <v>205.82900000000001</v>
      </c>
      <c r="I62" s="382">
        <v>86.324200000000005</v>
      </c>
      <c r="J62" s="382">
        <v>205.82900000000001</v>
      </c>
    </row>
    <row r="63" spans="1:10" s="230" customFormat="1" ht="15" customHeight="1" x14ac:dyDescent="0.25">
      <c r="A63" s="383" t="s">
        <v>309</v>
      </c>
      <c r="B63" s="248" t="s">
        <v>341</v>
      </c>
      <c r="C63" s="383" t="s">
        <v>384</v>
      </c>
      <c r="D63" s="383" t="s">
        <v>342</v>
      </c>
      <c r="E63" s="249">
        <v>1</v>
      </c>
      <c r="F63" s="240">
        <v>0.69</v>
      </c>
      <c r="G63" s="240">
        <v>0.31</v>
      </c>
      <c r="H63" s="382">
        <v>137.6335</v>
      </c>
      <c r="I63" s="382">
        <v>45.411900000000003</v>
      </c>
      <c r="J63" s="382">
        <v>109.0448</v>
      </c>
    </row>
    <row r="64" spans="1:10" s="230" customFormat="1" ht="15" customHeight="1" x14ac:dyDescent="0.25">
      <c r="A64" s="605"/>
      <c r="B64" s="605"/>
      <c r="C64" s="605"/>
      <c r="D64" s="605"/>
      <c r="E64" s="605"/>
      <c r="F64" s="605" t="s">
        <v>328</v>
      </c>
      <c r="G64" s="605"/>
      <c r="H64" s="605"/>
      <c r="I64" s="605"/>
      <c r="J64" s="250"/>
    </row>
    <row r="65" spans="1:10" s="230" customFormat="1" ht="15" customHeight="1" x14ac:dyDescent="0.25">
      <c r="A65" s="378" t="s">
        <v>221</v>
      </c>
      <c r="B65" s="377" t="s">
        <v>69</v>
      </c>
      <c r="C65" s="378" t="s">
        <v>265</v>
      </c>
      <c r="D65" s="378" t="s">
        <v>329</v>
      </c>
      <c r="E65" s="377" t="s">
        <v>322</v>
      </c>
      <c r="F65" s="604" t="s">
        <v>330</v>
      </c>
      <c r="G65" s="604"/>
      <c r="H65" s="604"/>
      <c r="I65" s="604"/>
      <c r="J65" s="377" t="s">
        <v>98</v>
      </c>
    </row>
    <row r="66" spans="1:10" s="230" customFormat="1" ht="15" customHeight="1" x14ac:dyDescent="0.25">
      <c r="A66" s="383" t="s">
        <v>309</v>
      </c>
      <c r="B66" s="248" t="s">
        <v>331</v>
      </c>
      <c r="C66" s="383" t="s">
        <v>384</v>
      </c>
      <c r="D66" s="383" t="s">
        <v>332</v>
      </c>
      <c r="E66" s="249">
        <v>1</v>
      </c>
      <c r="F66" s="383"/>
      <c r="G66" s="383"/>
      <c r="H66" s="383"/>
      <c r="I66" s="382">
        <v>19.4495</v>
      </c>
      <c r="J66" s="382">
        <v>19.4495</v>
      </c>
    </row>
    <row r="67" spans="1:10" s="230" customFormat="1" ht="15" customHeight="1" x14ac:dyDescent="0.25">
      <c r="A67" s="605"/>
      <c r="B67" s="605"/>
      <c r="C67" s="605"/>
      <c r="D67" s="605"/>
      <c r="E67" s="605"/>
      <c r="F67" s="605" t="s">
        <v>333</v>
      </c>
      <c r="G67" s="605"/>
      <c r="H67" s="605"/>
      <c r="I67" s="605"/>
      <c r="J67" s="250">
        <v>19.4495</v>
      </c>
    </row>
    <row r="68" spans="1:10" s="230" customFormat="1" ht="15" customHeight="1" x14ac:dyDescent="0.25">
      <c r="A68" s="605"/>
      <c r="B68" s="605"/>
      <c r="C68" s="605"/>
      <c r="D68" s="605"/>
      <c r="E68" s="605"/>
      <c r="F68" s="605" t="s">
        <v>378</v>
      </c>
      <c r="G68" s="605"/>
      <c r="H68" s="605"/>
      <c r="I68" s="605"/>
      <c r="J68" s="250">
        <v>0</v>
      </c>
    </row>
    <row r="69" spans="1:10" s="230" customFormat="1" ht="15" customHeight="1" x14ac:dyDescent="0.25">
      <c r="A69" s="605"/>
      <c r="B69" s="605"/>
      <c r="C69" s="605"/>
      <c r="D69" s="605"/>
      <c r="E69" s="605"/>
      <c r="F69" s="605" t="s">
        <v>334</v>
      </c>
      <c r="G69" s="605"/>
      <c r="H69" s="605"/>
      <c r="I69" s="605"/>
      <c r="J69" s="250">
        <v>1224.0830000000001</v>
      </c>
    </row>
    <row r="70" spans="1:10" s="230" customFormat="1" ht="15" customHeight="1" x14ac:dyDescent="0.25">
      <c r="A70" s="605"/>
      <c r="B70" s="605"/>
      <c r="C70" s="605"/>
      <c r="D70" s="605"/>
      <c r="E70" s="605"/>
      <c r="F70" s="605" t="s">
        <v>335</v>
      </c>
      <c r="G70" s="605"/>
      <c r="H70" s="605"/>
      <c r="I70" s="605"/>
      <c r="J70" s="250">
        <v>1.7299999999999999E-2</v>
      </c>
    </row>
    <row r="71" spans="1:10" s="230" customFormat="1" ht="15" customHeight="1" x14ac:dyDescent="0.25">
      <c r="A71" s="605"/>
      <c r="B71" s="605"/>
      <c r="C71" s="605"/>
      <c r="D71" s="605"/>
      <c r="E71" s="605"/>
      <c r="F71" s="605" t="s">
        <v>336</v>
      </c>
      <c r="G71" s="605"/>
      <c r="H71" s="605"/>
      <c r="I71" s="605"/>
      <c r="J71" s="250">
        <v>1.89E-2</v>
      </c>
    </row>
    <row r="72" spans="1:10" s="230" customFormat="1" ht="15" customHeight="1" x14ac:dyDescent="0.25">
      <c r="A72" s="605"/>
      <c r="B72" s="605"/>
      <c r="C72" s="605"/>
      <c r="D72" s="605"/>
      <c r="E72" s="605"/>
      <c r="F72" s="605" t="s">
        <v>337</v>
      </c>
      <c r="G72" s="605"/>
      <c r="H72" s="605"/>
      <c r="I72" s="605"/>
      <c r="J72" s="250">
        <v>1121.33</v>
      </c>
    </row>
    <row r="73" spans="1:10" s="230" customFormat="1" ht="15" customHeight="1" x14ac:dyDescent="0.25">
      <c r="A73" s="605"/>
      <c r="B73" s="605"/>
      <c r="C73" s="605"/>
      <c r="D73" s="605"/>
      <c r="E73" s="605"/>
      <c r="F73" s="605" t="s">
        <v>338</v>
      </c>
      <c r="G73" s="605"/>
      <c r="H73" s="605"/>
      <c r="I73" s="605"/>
      <c r="J73" s="250">
        <v>1.0915999999999999</v>
      </c>
    </row>
    <row r="74" spans="1:10" s="230" customFormat="1" ht="15" customHeight="1" x14ac:dyDescent="0.25">
      <c r="A74" s="376"/>
      <c r="B74" s="376"/>
      <c r="C74" s="376"/>
      <c r="D74" s="376"/>
      <c r="E74" s="376"/>
      <c r="F74" s="243"/>
      <c r="G74" s="376"/>
      <c r="H74" s="243"/>
      <c r="I74" s="376"/>
      <c r="J74" s="243"/>
    </row>
    <row r="75" spans="1:10" s="230" customFormat="1" ht="15" customHeight="1" thickBot="1" x14ac:dyDescent="0.3">
      <c r="A75" s="376"/>
      <c r="B75" s="376"/>
      <c r="C75" s="376"/>
      <c r="D75" s="376"/>
      <c r="E75" s="376"/>
      <c r="F75" s="243"/>
      <c r="G75" s="376"/>
      <c r="H75" s="607" t="s">
        <v>301</v>
      </c>
      <c r="I75" s="607"/>
      <c r="J75" s="243">
        <v>1.35</v>
      </c>
    </row>
    <row r="76" spans="1:10" s="230" customFormat="1" ht="15.75" thickTop="1" x14ac:dyDescent="0.25">
      <c r="A76" s="244"/>
      <c r="B76" s="244"/>
      <c r="C76" s="244"/>
      <c r="D76" s="244"/>
      <c r="E76" s="244"/>
      <c r="F76" s="244"/>
      <c r="G76" s="244"/>
      <c r="H76" s="244"/>
      <c r="I76" s="244"/>
      <c r="J76" s="244"/>
    </row>
    <row r="77" spans="1:10" s="230" customFormat="1" x14ac:dyDescent="0.25">
      <c r="A77" s="227" t="s">
        <v>277</v>
      </c>
      <c r="B77" s="228" t="s">
        <v>69</v>
      </c>
      <c r="C77" s="227" t="s">
        <v>265</v>
      </c>
      <c r="D77" s="227" t="s">
        <v>80</v>
      </c>
      <c r="E77" s="606" t="s">
        <v>295</v>
      </c>
      <c r="F77" s="606"/>
      <c r="G77" s="229" t="s">
        <v>266</v>
      </c>
      <c r="H77" s="228" t="s">
        <v>267</v>
      </c>
      <c r="I77" s="228" t="s">
        <v>268</v>
      </c>
      <c r="J77" s="228" t="s">
        <v>81</v>
      </c>
    </row>
    <row r="78" spans="1:10" s="230" customFormat="1" x14ac:dyDescent="0.25">
      <c r="A78" s="380" t="s">
        <v>296</v>
      </c>
      <c r="B78" s="245" t="s">
        <v>278</v>
      </c>
      <c r="C78" s="380" t="s">
        <v>384</v>
      </c>
      <c r="D78" s="380" t="s">
        <v>39</v>
      </c>
      <c r="E78" s="610" t="s">
        <v>288</v>
      </c>
      <c r="F78" s="610"/>
      <c r="G78" s="246" t="s">
        <v>27</v>
      </c>
      <c r="H78" s="247">
        <v>1</v>
      </c>
      <c r="I78" s="235">
        <v>0.48</v>
      </c>
      <c r="J78" s="235">
        <v>0.48</v>
      </c>
    </row>
    <row r="79" spans="1:10" s="230" customFormat="1" ht="15" customHeight="1" x14ac:dyDescent="0.25">
      <c r="A79" s="608" t="s">
        <v>198</v>
      </c>
      <c r="B79" s="604" t="s">
        <v>69</v>
      </c>
      <c r="C79" s="608" t="s">
        <v>265</v>
      </c>
      <c r="D79" s="608" t="s">
        <v>321</v>
      </c>
      <c r="E79" s="604" t="s">
        <v>322</v>
      </c>
      <c r="F79" s="609" t="s">
        <v>323</v>
      </c>
      <c r="G79" s="604"/>
      <c r="H79" s="609" t="s">
        <v>324</v>
      </c>
      <c r="I79" s="604"/>
      <c r="J79" s="604" t="s">
        <v>98</v>
      </c>
    </row>
    <row r="80" spans="1:10" s="230" customFormat="1" x14ac:dyDescent="0.25">
      <c r="A80" s="604"/>
      <c r="B80" s="604"/>
      <c r="C80" s="604"/>
      <c r="D80" s="604"/>
      <c r="E80" s="604"/>
      <c r="F80" s="377" t="s">
        <v>325</v>
      </c>
      <c r="G80" s="377" t="s">
        <v>326</v>
      </c>
      <c r="H80" s="377" t="s">
        <v>325</v>
      </c>
      <c r="I80" s="377" t="s">
        <v>326</v>
      </c>
      <c r="J80" s="604"/>
    </row>
    <row r="81" spans="1:10" s="230" customFormat="1" x14ac:dyDescent="0.25">
      <c r="A81" s="383" t="s">
        <v>309</v>
      </c>
      <c r="B81" s="248" t="s">
        <v>85</v>
      </c>
      <c r="C81" s="383" t="s">
        <v>384</v>
      </c>
      <c r="D81" s="383" t="s">
        <v>86</v>
      </c>
      <c r="E81" s="249">
        <v>1</v>
      </c>
      <c r="F81" s="240">
        <v>1</v>
      </c>
      <c r="G81" s="240"/>
      <c r="H81" s="382">
        <v>275.83580000000001</v>
      </c>
      <c r="I81" s="382">
        <v>102.96850000000001</v>
      </c>
      <c r="J81" s="382">
        <v>275.83580000000001</v>
      </c>
    </row>
    <row r="82" spans="1:10" s="230" customFormat="1" ht="15" customHeight="1" x14ac:dyDescent="0.25">
      <c r="A82" s="605"/>
      <c r="B82" s="605"/>
      <c r="C82" s="605"/>
      <c r="D82" s="605"/>
      <c r="E82" s="605"/>
      <c r="F82" s="605" t="s">
        <v>328</v>
      </c>
      <c r="G82" s="605"/>
      <c r="H82" s="605"/>
      <c r="I82" s="605"/>
      <c r="J82" s="250">
        <v>275.83580000000001</v>
      </c>
    </row>
    <row r="83" spans="1:10" s="230" customFormat="1" ht="15" customHeight="1" x14ac:dyDescent="0.25">
      <c r="A83" s="378" t="s">
        <v>221</v>
      </c>
      <c r="B83" s="377" t="s">
        <v>69</v>
      </c>
      <c r="C83" s="378" t="s">
        <v>265</v>
      </c>
      <c r="D83" s="378" t="s">
        <v>329</v>
      </c>
      <c r="E83" s="377" t="s">
        <v>322</v>
      </c>
      <c r="F83" s="604" t="s">
        <v>330</v>
      </c>
      <c r="G83" s="604"/>
      <c r="H83" s="604"/>
      <c r="I83" s="604"/>
      <c r="J83" s="377" t="s">
        <v>98</v>
      </c>
    </row>
    <row r="84" spans="1:10" s="230" customFormat="1" x14ac:dyDescent="0.25">
      <c r="A84" s="383" t="s">
        <v>309</v>
      </c>
      <c r="B84" s="248" t="s">
        <v>331</v>
      </c>
      <c r="C84" s="383" t="s">
        <v>384</v>
      </c>
      <c r="D84" s="383" t="s">
        <v>332</v>
      </c>
      <c r="E84" s="249">
        <v>1</v>
      </c>
      <c r="F84" s="383"/>
      <c r="G84" s="383"/>
      <c r="H84" s="383"/>
      <c r="I84" s="382">
        <v>19.4495</v>
      </c>
      <c r="J84" s="382">
        <v>19.4495</v>
      </c>
    </row>
    <row r="85" spans="1:10" s="230" customFormat="1" ht="15" customHeight="1" x14ac:dyDescent="0.25">
      <c r="A85" s="605"/>
      <c r="B85" s="605"/>
      <c r="C85" s="605"/>
      <c r="D85" s="605"/>
      <c r="E85" s="605"/>
      <c r="F85" s="605" t="s">
        <v>333</v>
      </c>
      <c r="G85" s="605"/>
      <c r="H85" s="605"/>
      <c r="I85" s="605"/>
      <c r="J85" s="250">
        <v>19.4495</v>
      </c>
    </row>
    <row r="86" spans="1:10" s="230" customFormat="1" ht="15" customHeight="1" x14ac:dyDescent="0.25">
      <c r="A86" s="605"/>
      <c r="B86" s="605"/>
      <c r="C86" s="605"/>
      <c r="D86" s="605"/>
      <c r="E86" s="605"/>
      <c r="F86" s="605" t="s">
        <v>378</v>
      </c>
      <c r="G86" s="605"/>
      <c r="H86" s="605"/>
      <c r="I86" s="605"/>
      <c r="J86" s="250">
        <v>0</v>
      </c>
    </row>
    <row r="87" spans="1:10" s="230" customFormat="1" ht="15" customHeight="1" x14ac:dyDescent="0.25">
      <c r="A87" s="605"/>
      <c r="B87" s="605"/>
      <c r="C87" s="605"/>
      <c r="D87" s="605"/>
      <c r="E87" s="605"/>
      <c r="F87" s="605" t="s">
        <v>334</v>
      </c>
      <c r="G87" s="605"/>
      <c r="H87" s="605"/>
      <c r="I87" s="605"/>
      <c r="J87" s="250">
        <v>295.28530000000001</v>
      </c>
    </row>
    <row r="88" spans="1:10" s="230" customFormat="1" ht="15" customHeight="1" x14ac:dyDescent="0.25">
      <c r="A88" s="605"/>
      <c r="B88" s="605"/>
      <c r="C88" s="605"/>
      <c r="D88" s="605"/>
      <c r="E88" s="605"/>
      <c r="F88" s="605" t="s">
        <v>335</v>
      </c>
      <c r="G88" s="605"/>
      <c r="H88" s="605"/>
      <c r="I88" s="605"/>
      <c r="J88" s="250">
        <v>1.7299999999999999E-2</v>
      </c>
    </row>
    <row r="89" spans="1:10" s="230" customFormat="1" ht="15" customHeight="1" x14ac:dyDescent="0.25">
      <c r="A89" s="605"/>
      <c r="B89" s="605"/>
      <c r="C89" s="605"/>
      <c r="D89" s="605"/>
      <c r="E89" s="605"/>
      <c r="F89" s="605" t="s">
        <v>336</v>
      </c>
      <c r="G89" s="605"/>
      <c r="H89" s="605"/>
      <c r="I89" s="605"/>
      <c r="J89" s="250">
        <v>8.2000000000000007E-3</v>
      </c>
    </row>
    <row r="90" spans="1:10" s="230" customFormat="1" ht="15" customHeight="1" x14ac:dyDescent="0.25">
      <c r="A90" s="605"/>
      <c r="B90" s="605"/>
      <c r="C90" s="605"/>
      <c r="D90" s="605"/>
      <c r="E90" s="605"/>
      <c r="F90" s="605" t="s">
        <v>337</v>
      </c>
      <c r="G90" s="605"/>
      <c r="H90" s="605"/>
      <c r="I90" s="605"/>
      <c r="J90" s="250">
        <v>622.95000000000005</v>
      </c>
    </row>
    <row r="91" spans="1:10" s="230" customFormat="1" ht="15" customHeight="1" x14ac:dyDescent="0.25">
      <c r="A91" s="605"/>
      <c r="B91" s="605"/>
      <c r="C91" s="605"/>
      <c r="D91" s="605"/>
      <c r="E91" s="605"/>
      <c r="F91" s="605" t="s">
        <v>338</v>
      </c>
      <c r="G91" s="605"/>
      <c r="H91" s="605"/>
      <c r="I91" s="605"/>
      <c r="J91" s="250">
        <v>0.47399999999999998</v>
      </c>
    </row>
    <row r="92" spans="1:10" s="230" customFormat="1" x14ac:dyDescent="0.25">
      <c r="A92" s="376"/>
      <c r="B92" s="376"/>
      <c r="C92" s="376"/>
      <c r="D92" s="376"/>
      <c r="E92" s="376"/>
      <c r="F92" s="243"/>
      <c r="G92" s="376"/>
      <c r="H92" s="243"/>
      <c r="I92" s="376"/>
      <c r="J92" s="243"/>
    </row>
    <row r="93" spans="1:10" s="230" customFormat="1" ht="15.75" customHeight="1" thickBot="1" x14ac:dyDescent="0.3">
      <c r="A93" s="376"/>
      <c r="B93" s="376"/>
      <c r="C93" s="376"/>
      <c r="D93" s="376"/>
      <c r="E93" s="376"/>
      <c r="F93" s="243"/>
      <c r="G93" s="376"/>
      <c r="H93" s="607" t="s">
        <v>301</v>
      </c>
      <c r="I93" s="607"/>
      <c r="J93" s="243">
        <v>0.57999999999999996</v>
      </c>
    </row>
    <row r="94" spans="1:10" s="230" customFormat="1" ht="15.75" thickTop="1" x14ac:dyDescent="0.25">
      <c r="A94" s="244"/>
      <c r="B94" s="244"/>
      <c r="C94" s="244"/>
      <c r="D94" s="244"/>
      <c r="E94" s="244"/>
      <c r="F94" s="244"/>
      <c r="G94" s="244"/>
      <c r="H94" s="244"/>
      <c r="I94" s="244"/>
      <c r="J94" s="244"/>
    </row>
    <row r="95" spans="1:10" s="230" customFormat="1" x14ac:dyDescent="0.25">
      <c r="A95" s="227" t="s">
        <v>279</v>
      </c>
      <c r="B95" s="228" t="s">
        <v>69</v>
      </c>
      <c r="C95" s="227" t="s">
        <v>265</v>
      </c>
      <c r="D95" s="227" t="s">
        <v>80</v>
      </c>
      <c r="E95" s="606" t="s">
        <v>295</v>
      </c>
      <c r="F95" s="606"/>
      <c r="G95" s="229" t="s">
        <v>266</v>
      </c>
      <c r="H95" s="228" t="s">
        <v>267</v>
      </c>
      <c r="I95" s="228" t="s">
        <v>268</v>
      </c>
      <c r="J95" s="228" t="s">
        <v>81</v>
      </c>
    </row>
    <row r="96" spans="1:10" s="230" customFormat="1" x14ac:dyDescent="0.25">
      <c r="A96" s="380" t="s">
        <v>296</v>
      </c>
      <c r="B96" s="245" t="s">
        <v>280</v>
      </c>
      <c r="C96" s="380" t="s">
        <v>384</v>
      </c>
      <c r="D96" s="380" t="s">
        <v>42</v>
      </c>
      <c r="E96" s="610" t="s">
        <v>288</v>
      </c>
      <c r="F96" s="610"/>
      <c r="G96" s="246" t="s">
        <v>38</v>
      </c>
      <c r="H96" s="247">
        <v>1</v>
      </c>
      <c r="I96" s="235">
        <v>2.73</v>
      </c>
      <c r="J96" s="235">
        <v>2.73</v>
      </c>
    </row>
    <row r="97" spans="1:10" s="230" customFormat="1" ht="15" customHeight="1" x14ac:dyDescent="0.25">
      <c r="A97" s="608" t="s">
        <v>198</v>
      </c>
      <c r="B97" s="604" t="s">
        <v>69</v>
      </c>
      <c r="C97" s="608" t="s">
        <v>265</v>
      </c>
      <c r="D97" s="608" t="s">
        <v>321</v>
      </c>
      <c r="E97" s="604" t="s">
        <v>322</v>
      </c>
      <c r="F97" s="609" t="s">
        <v>323</v>
      </c>
      <c r="G97" s="604"/>
      <c r="H97" s="609" t="s">
        <v>324</v>
      </c>
      <c r="I97" s="604"/>
      <c r="J97" s="604" t="s">
        <v>98</v>
      </c>
    </row>
    <row r="98" spans="1:10" s="230" customFormat="1" x14ac:dyDescent="0.25">
      <c r="A98" s="604"/>
      <c r="B98" s="604"/>
      <c r="C98" s="604"/>
      <c r="D98" s="604"/>
      <c r="E98" s="604"/>
      <c r="F98" s="377" t="s">
        <v>325</v>
      </c>
      <c r="G98" s="377" t="s">
        <v>326</v>
      </c>
      <c r="H98" s="377" t="s">
        <v>325</v>
      </c>
      <c r="I98" s="377" t="s">
        <v>326</v>
      </c>
      <c r="J98" s="604"/>
    </row>
    <row r="99" spans="1:10" s="230" customFormat="1" x14ac:dyDescent="0.25">
      <c r="A99" s="383" t="s">
        <v>309</v>
      </c>
      <c r="B99" s="248" t="s">
        <v>85</v>
      </c>
      <c r="C99" s="383" t="s">
        <v>384</v>
      </c>
      <c r="D99" s="383" t="s">
        <v>86</v>
      </c>
      <c r="E99" s="249">
        <v>1</v>
      </c>
      <c r="F99" s="240">
        <v>1</v>
      </c>
      <c r="G99" s="240">
        <v>0</v>
      </c>
      <c r="H99" s="382">
        <v>275.83580000000001</v>
      </c>
      <c r="I99" s="382">
        <v>102.96850000000001</v>
      </c>
      <c r="J99" s="382">
        <v>275.83580000000001</v>
      </c>
    </row>
    <row r="100" spans="1:10" s="230" customFormat="1" ht="15" customHeight="1" x14ac:dyDescent="0.25">
      <c r="A100" s="605"/>
      <c r="B100" s="605"/>
      <c r="C100" s="605"/>
      <c r="D100" s="605"/>
      <c r="E100" s="605"/>
      <c r="F100" s="605" t="s">
        <v>328</v>
      </c>
      <c r="G100" s="605"/>
      <c r="H100" s="605"/>
      <c r="I100" s="605"/>
      <c r="J100" s="250">
        <v>275.83580000000001</v>
      </c>
    </row>
    <row r="101" spans="1:10" s="230" customFormat="1" ht="15" customHeight="1" x14ac:dyDescent="0.25">
      <c r="A101" s="378" t="s">
        <v>221</v>
      </c>
      <c r="B101" s="377" t="s">
        <v>69</v>
      </c>
      <c r="C101" s="378" t="s">
        <v>265</v>
      </c>
      <c r="D101" s="378" t="s">
        <v>329</v>
      </c>
      <c r="E101" s="377" t="s">
        <v>322</v>
      </c>
      <c r="F101" s="604" t="s">
        <v>330</v>
      </c>
      <c r="G101" s="604"/>
      <c r="H101" s="604"/>
      <c r="I101" s="604"/>
      <c r="J101" s="377" t="s">
        <v>98</v>
      </c>
    </row>
    <row r="102" spans="1:10" s="230" customFormat="1" x14ac:dyDescent="0.25">
      <c r="A102" s="383" t="s">
        <v>309</v>
      </c>
      <c r="B102" s="248" t="s">
        <v>331</v>
      </c>
      <c r="C102" s="383" t="s">
        <v>384</v>
      </c>
      <c r="D102" s="383" t="s">
        <v>332</v>
      </c>
      <c r="E102" s="249">
        <v>1</v>
      </c>
      <c r="F102" s="383"/>
      <c r="G102" s="383"/>
      <c r="H102" s="383"/>
      <c r="I102" s="382">
        <v>19.4495</v>
      </c>
      <c r="J102" s="382">
        <v>19.4495</v>
      </c>
    </row>
    <row r="103" spans="1:10" s="230" customFormat="1" ht="15" customHeight="1" x14ac:dyDescent="0.25">
      <c r="A103" s="605"/>
      <c r="B103" s="605"/>
      <c r="C103" s="605"/>
      <c r="D103" s="605"/>
      <c r="E103" s="605"/>
      <c r="F103" s="605" t="s">
        <v>333</v>
      </c>
      <c r="G103" s="605"/>
      <c r="H103" s="605"/>
      <c r="I103" s="605"/>
      <c r="J103" s="250">
        <v>19.4495</v>
      </c>
    </row>
    <row r="104" spans="1:10" s="230" customFormat="1" ht="15" customHeight="1" x14ac:dyDescent="0.25">
      <c r="A104" s="605"/>
      <c r="B104" s="605"/>
      <c r="C104" s="605"/>
      <c r="D104" s="605"/>
      <c r="E104" s="605"/>
      <c r="F104" s="605" t="s">
        <v>378</v>
      </c>
      <c r="G104" s="605"/>
      <c r="H104" s="605"/>
      <c r="I104" s="605"/>
      <c r="J104" s="250">
        <v>0</v>
      </c>
    </row>
    <row r="105" spans="1:10" s="230" customFormat="1" ht="15" customHeight="1" x14ac:dyDescent="0.25">
      <c r="A105" s="605"/>
      <c r="B105" s="605"/>
      <c r="C105" s="605"/>
      <c r="D105" s="605"/>
      <c r="E105" s="605"/>
      <c r="F105" s="605" t="s">
        <v>334</v>
      </c>
      <c r="G105" s="605"/>
      <c r="H105" s="605"/>
      <c r="I105" s="605"/>
      <c r="J105" s="250">
        <v>295.28530000000001</v>
      </c>
    </row>
    <row r="106" spans="1:10" s="230" customFormat="1" ht="15" customHeight="1" x14ac:dyDescent="0.25">
      <c r="A106" s="605"/>
      <c r="B106" s="605"/>
      <c r="C106" s="605"/>
      <c r="D106" s="605"/>
      <c r="E106" s="605"/>
      <c r="F106" s="605" t="s">
        <v>335</v>
      </c>
      <c r="G106" s="605"/>
      <c r="H106" s="605"/>
      <c r="I106" s="605"/>
      <c r="J106" s="250">
        <v>1.7299999999999999E-2</v>
      </c>
    </row>
    <row r="107" spans="1:10" s="230" customFormat="1" ht="15" customHeight="1" x14ac:dyDescent="0.25">
      <c r="A107" s="605"/>
      <c r="B107" s="605"/>
      <c r="C107" s="605"/>
      <c r="D107" s="605"/>
      <c r="E107" s="605"/>
      <c r="F107" s="605" t="s">
        <v>336</v>
      </c>
      <c r="G107" s="605"/>
      <c r="H107" s="605"/>
      <c r="I107" s="605"/>
      <c r="J107" s="250">
        <v>4.6300000000000001E-2</v>
      </c>
    </row>
    <row r="108" spans="1:10" s="230" customFormat="1" ht="15" customHeight="1" x14ac:dyDescent="0.25">
      <c r="A108" s="605"/>
      <c r="B108" s="605"/>
      <c r="C108" s="605"/>
      <c r="D108" s="605"/>
      <c r="E108" s="605"/>
      <c r="F108" s="605" t="s">
        <v>337</v>
      </c>
      <c r="G108" s="605"/>
      <c r="H108" s="605"/>
      <c r="I108" s="605"/>
      <c r="J108" s="250">
        <v>110.13</v>
      </c>
    </row>
    <row r="109" spans="1:10" s="230" customFormat="1" ht="15" customHeight="1" x14ac:dyDescent="0.25">
      <c r="A109" s="605"/>
      <c r="B109" s="605"/>
      <c r="C109" s="605"/>
      <c r="D109" s="605"/>
      <c r="E109" s="605"/>
      <c r="F109" s="605" t="s">
        <v>338</v>
      </c>
      <c r="G109" s="605"/>
      <c r="H109" s="605"/>
      <c r="I109" s="605"/>
      <c r="J109" s="250">
        <v>2.6812</v>
      </c>
    </row>
    <row r="110" spans="1:10" s="230" customFormat="1" x14ac:dyDescent="0.25">
      <c r="A110" s="376"/>
      <c r="B110" s="376"/>
      <c r="C110" s="376"/>
      <c r="D110" s="376"/>
      <c r="E110" s="376"/>
      <c r="F110" s="243"/>
      <c r="G110" s="376"/>
      <c r="H110" s="243"/>
      <c r="I110" s="376"/>
      <c r="J110" s="243"/>
    </row>
    <row r="111" spans="1:10" s="230" customFormat="1" ht="15.75" customHeight="1" thickBot="1" x14ac:dyDescent="0.3">
      <c r="A111" s="376"/>
      <c r="B111" s="376"/>
      <c r="C111" s="376"/>
      <c r="D111" s="376"/>
      <c r="E111" s="376"/>
      <c r="F111" s="243"/>
      <c r="G111" s="376"/>
      <c r="H111" s="607" t="s">
        <v>301</v>
      </c>
      <c r="I111" s="607"/>
      <c r="J111" s="243">
        <v>3.32</v>
      </c>
    </row>
    <row r="112" spans="1:10" s="230" customFormat="1" ht="15.75" thickTop="1" x14ac:dyDescent="0.25">
      <c r="A112" s="244"/>
      <c r="B112" s="244"/>
      <c r="C112" s="244"/>
      <c r="D112" s="244"/>
      <c r="E112" s="244"/>
      <c r="F112" s="244"/>
      <c r="G112" s="244"/>
      <c r="H112" s="244"/>
      <c r="I112" s="244"/>
      <c r="J112" s="244"/>
    </row>
    <row r="113" spans="1:10" s="230" customFormat="1" x14ac:dyDescent="0.25">
      <c r="A113" s="227" t="s">
        <v>281</v>
      </c>
      <c r="B113" s="228" t="s">
        <v>69</v>
      </c>
      <c r="C113" s="227" t="s">
        <v>265</v>
      </c>
      <c r="D113" s="227" t="s">
        <v>80</v>
      </c>
      <c r="E113" s="606" t="s">
        <v>295</v>
      </c>
      <c r="F113" s="606"/>
      <c r="G113" s="229" t="s">
        <v>266</v>
      </c>
      <c r="H113" s="228" t="s">
        <v>267</v>
      </c>
      <c r="I113" s="228" t="s">
        <v>268</v>
      </c>
      <c r="J113" s="228" t="s">
        <v>81</v>
      </c>
    </row>
    <row r="114" spans="1:10" s="230" customFormat="1" x14ac:dyDescent="0.25">
      <c r="A114" s="380" t="s">
        <v>296</v>
      </c>
      <c r="B114" s="245" t="s">
        <v>282</v>
      </c>
      <c r="C114" s="380" t="s">
        <v>384</v>
      </c>
      <c r="D114" s="380" t="s">
        <v>386</v>
      </c>
      <c r="E114" s="610" t="s">
        <v>288</v>
      </c>
      <c r="F114" s="610"/>
      <c r="G114" s="246" t="s">
        <v>38</v>
      </c>
      <c r="H114" s="247">
        <v>1</v>
      </c>
      <c r="I114" s="235">
        <v>10.73</v>
      </c>
      <c r="J114" s="235">
        <v>10.73</v>
      </c>
    </row>
    <row r="115" spans="1:10" s="230" customFormat="1" ht="15" customHeight="1" x14ac:dyDescent="0.25">
      <c r="A115" s="608" t="s">
        <v>198</v>
      </c>
      <c r="B115" s="604" t="s">
        <v>69</v>
      </c>
      <c r="C115" s="608" t="s">
        <v>265</v>
      </c>
      <c r="D115" s="608" t="s">
        <v>321</v>
      </c>
      <c r="E115" s="604" t="s">
        <v>322</v>
      </c>
      <c r="F115" s="609" t="s">
        <v>323</v>
      </c>
      <c r="G115" s="604"/>
      <c r="H115" s="609" t="s">
        <v>324</v>
      </c>
      <c r="I115" s="604"/>
      <c r="J115" s="604" t="s">
        <v>98</v>
      </c>
    </row>
    <row r="116" spans="1:10" s="230" customFormat="1" x14ac:dyDescent="0.25">
      <c r="A116" s="604"/>
      <c r="B116" s="604"/>
      <c r="C116" s="604"/>
      <c r="D116" s="604"/>
      <c r="E116" s="604"/>
      <c r="F116" s="377" t="s">
        <v>325</v>
      </c>
      <c r="G116" s="377" t="s">
        <v>326</v>
      </c>
      <c r="H116" s="377" t="s">
        <v>325</v>
      </c>
      <c r="I116" s="377" t="s">
        <v>326</v>
      </c>
      <c r="J116" s="604"/>
    </row>
    <row r="117" spans="1:10" s="230" customFormat="1" x14ac:dyDescent="0.25">
      <c r="A117" s="383" t="s">
        <v>309</v>
      </c>
      <c r="B117" s="248" t="s">
        <v>104</v>
      </c>
      <c r="C117" s="383" t="s">
        <v>384</v>
      </c>
      <c r="D117" s="383" t="s">
        <v>105</v>
      </c>
      <c r="E117" s="249">
        <v>1</v>
      </c>
      <c r="F117" s="240">
        <v>0.64</v>
      </c>
      <c r="G117" s="240">
        <v>0.36</v>
      </c>
      <c r="H117" s="382">
        <v>249.33359999999999</v>
      </c>
      <c r="I117" s="382">
        <v>67.919399999999996</v>
      </c>
      <c r="J117" s="382">
        <v>184.02449999999999</v>
      </c>
    </row>
    <row r="118" spans="1:10" s="230" customFormat="1" x14ac:dyDescent="0.25">
      <c r="A118" s="383" t="s">
        <v>309</v>
      </c>
      <c r="B118" s="248" t="s">
        <v>87</v>
      </c>
      <c r="C118" s="383" t="s">
        <v>384</v>
      </c>
      <c r="D118" s="383" t="s">
        <v>339</v>
      </c>
      <c r="E118" s="249">
        <v>1</v>
      </c>
      <c r="F118" s="240">
        <v>0.73</v>
      </c>
      <c r="G118" s="240">
        <v>0.27</v>
      </c>
      <c r="H118" s="382">
        <v>284.91820000000001</v>
      </c>
      <c r="I118" s="382">
        <v>119.6619</v>
      </c>
      <c r="J118" s="382">
        <v>240.29900000000001</v>
      </c>
    </row>
    <row r="119" spans="1:10" s="230" customFormat="1" x14ac:dyDescent="0.25">
      <c r="A119" s="383" t="s">
        <v>309</v>
      </c>
      <c r="B119" s="248" t="s">
        <v>89</v>
      </c>
      <c r="C119" s="383" t="s">
        <v>384</v>
      </c>
      <c r="D119" s="383" t="s">
        <v>340</v>
      </c>
      <c r="E119" s="249">
        <v>1</v>
      </c>
      <c r="F119" s="240">
        <v>1</v>
      </c>
      <c r="G119" s="240">
        <v>0</v>
      </c>
      <c r="H119" s="382">
        <v>244.39660000000001</v>
      </c>
      <c r="I119" s="382">
        <v>114.0611</v>
      </c>
      <c r="J119" s="382">
        <v>244.39660000000001</v>
      </c>
    </row>
    <row r="120" spans="1:10" s="230" customFormat="1" ht="15" customHeight="1" x14ac:dyDescent="0.25">
      <c r="A120" s="605"/>
      <c r="B120" s="605"/>
      <c r="C120" s="605"/>
      <c r="D120" s="605"/>
      <c r="E120" s="605"/>
      <c r="F120" s="605" t="s">
        <v>328</v>
      </c>
      <c r="G120" s="605"/>
      <c r="H120" s="605"/>
      <c r="I120" s="605"/>
      <c r="J120" s="250">
        <v>668.7201</v>
      </c>
    </row>
    <row r="121" spans="1:10" s="230" customFormat="1" ht="15" customHeight="1" x14ac:dyDescent="0.25">
      <c r="A121" s="378" t="s">
        <v>221</v>
      </c>
      <c r="B121" s="377" t="s">
        <v>69</v>
      </c>
      <c r="C121" s="378" t="s">
        <v>265</v>
      </c>
      <c r="D121" s="378" t="s">
        <v>329</v>
      </c>
      <c r="E121" s="377" t="s">
        <v>322</v>
      </c>
      <c r="F121" s="604" t="s">
        <v>330</v>
      </c>
      <c r="G121" s="604"/>
      <c r="H121" s="604"/>
      <c r="I121" s="604"/>
      <c r="J121" s="377" t="s">
        <v>98</v>
      </c>
    </row>
    <row r="122" spans="1:10" s="230" customFormat="1" x14ac:dyDescent="0.25">
      <c r="A122" s="383" t="s">
        <v>309</v>
      </c>
      <c r="B122" s="248" t="s">
        <v>331</v>
      </c>
      <c r="C122" s="383" t="s">
        <v>384</v>
      </c>
      <c r="D122" s="383" t="s">
        <v>332</v>
      </c>
      <c r="E122" s="249">
        <v>1</v>
      </c>
      <c r="F122" s="383"/>
      <c r="G122" s="383"/>
      <c r="H122" s="383"/>
      <c r="I122" s="382">
        <v>19.4495</v>
      </c>
      <c r="J122" s="382">
        <v>19.4495</v>
      </c>
    </row>
    <row r="123" spans="1:10" s="230" customFormat="1" ht="15" customHeight="1" x14ac:dyDescent="0.25">
      <c r="A123" s="605"/>
      <c r="B123" s="605"/>
      <c r="C123" s="605"/>
      <c r="D123" s="605"/>
      <c r="E123" s="605"/>
      <c r="F123" s="605" t="s">
        <v>333</v>
      </c>
      <c r="G123" s="605"/>
      <c r="H123" s="605"/>
      <c r="I123" s="605"/>
      <c r="J123" s="250">
        <v>19.4495</v>
      </c>
    </row>
    <row r="124" spans="1:10" s="230" customFormat="1" ht="15" customHeight="1" x14ac:dyDescent="0.25">
      <c r="A124" s="605"/>
      <c r="B124" s="605"/>
      <c r="C124" s="605"/>
      <c r="D124" s="605"/>
      <c r="E124" s="605"/>
      <c r="F124" s="605" t="s">
        <v>378</v>
      </c>
      <c r="G124" s="605"/>
      <c r="H124" s="605"/>
      <c r="I124" s="605"/>
      <c r="J124" s="250">
        <v>0</v>
      </c>
    </row>
    <row r="125" spans="1:10" s="230" customFormat="1" ht="15" customHeight="1" x14ac:dyDescent="0.25">
      <c r="A125" s="605"/>
      <c r="B125" s="605"/>
      <c r="C125" s="605"/>
      <c r="D125" s="605"/>
      <c r="E125" s="605"/>
      <c r="F125" s="605" t="s">
        <v>334</v>
      </c>
      <c r="G125" s="605"/>
      <c r="H125" s="605"/>
      <c r="I125" s="605"/>
      <c r="J125" s="250">
        <v>688.16959999999995</v>
      </c>
    </row>
    <row r="126" spans="1:10" s="230" customFormat="1" ht="15" customHeight="1" x14ac:dyDescent="0.25">
      <c r="A126" s="605"/>
      <c r="B126" s="605"/>
      <c r="C126" s="605"/>
      <c r="D126" s="605"/>
      <c r="E126" s="605"/>
      <c r="F126" s="605" t="s">
        <v>335</v>
      </c>
      <c r="G126" s="605"/>
      <c r="H126" s="605"/>
      <c r="I126" s="605"/>
      <c r="J126" s="250">
        <v>1.7299999999999999E-2</v>
      </c>
    </row>
    <row r="127" spans="1:10" s="230" customFormat="1" ht="15" customHeight="1" x14ac:dyDescent="0.25">
      <c r="A127" s="605"/>
      <c r="B127" s="605"/>
      <c r="C127" s="605"/>
      <c r="D127" s="605"/>
      <c r="E127" s="605"/>
      <c r="F127" s="605" t="s">
        <v>336</v>
      </c>
      <c r="G127" s="605"/>
      <c r="H127" s="605"/>
      <c r="I127" s="605"/>
      <c r="J127" s="250">
        <v>0.10290000000000001</v>
      </c>
    </row>
    <row r="128" spans="1:10" s="230" customFormat="1" ht="15" customHeight="1" x14ac:dyDescent="0.25">
      <c r="A128" s="605"/>
      <c r="B128" s="605"/>
      <c r="C128" s="605"/>
      <c r="D128" s="605"/>
      <c r="E128" s="605"/>
      <c r="F128" s="605" t="s">
        <v>337</v>
      </c>
      <c r="G128" s="605"/>
      <c r="H128" s="605"/>
      <c r="I128" s="605"/>
      <c r="J128" s="250">
        <v>115.58</v>
      </c>
    </row>
    <row r="129" spans="1:10" s="230" customFormat="1" ht="15" customHeight="1" x14ac:dyDescent="0.25">
      <c r="A129" s="605"/>
      <c r="B129" s="605"/>
      <c r="C129" s="605"/>
      <c r="D129" s="605"/>
      <c r="E129" s="605"/>
      <c r="F129" s="605" t="s">
        <v>338</v>
      </c>
      <c r="G129" s="605"/>
      <c r="H129" s="605"/>
      <c r="I129" s="605"/>
      <c r="J129" s="250">
        <v>5.9541000000000004</v>
      </c>
    </row>
    <row r="130" spans="1:10" s="230" customFormat="1" ht="15" customHeight="1" x14ac:dyDescent="0.25">
      <c r="A130" s="378" t="s">
        <v>239</v>
      </c>
      <c r="B130" s="377" t="s">
        <v>265</v>
      </c>
      <c r="C130" s="378" t="s">
        <v>69</v>
      </c>
      <c r="D130" s="378" t="s">
        <v>343</v>
      </c>
      <c r="E130" s="377" t="s">
        <v>322</v>
      </c>
      <c r="F130" s="377" t="s">
        <v>344</v>
      </c>
      <c r="G130" s="604" t="s">
        <v>345</v>
      </c>
      <c r="H130" s="604"/>
      <c r="I130" s="604"/>
      <c r="J130" s="377" t="s">
        <v>98</v>
      </c>
    </row>
    <row r="131" spans="1:10" s="230" customFormat="1" ht="25.5" x14ac:dyDescent="0.25">
      <c r="A131" s="383" t="s">
        <v>346</v>
      </c>
      <c r="B131" s="248" t="s">
        <v>384</v>
      </c>
      <c r="C131" s="383">
        <v>4016096</v>
      </c>
      <c r="D131" s="383" t="s">
        <v>347</v>
      </c>
      <c r="E131" s="249">
        <v>1.1002700000000001</v>
      </c>
      <c r="F131" s="251" t="s">
        <v>38</v>
      </c>
      <c r="G131" s="631">
        <v>1.45</v>
      </c>
      <c r="H131" s="631"/>
      <c r="I131" s="632"/>
      <c r="J131" s="382">
        <v>1.5953999999999999</v>
      </c>
    </row>
    <row r="132" spans="1:10" s="230" customFormat="1" ht="15" customHeight="1" x14ac:dyDescent="0.25">
      <c r="A132" s="605"/>
      <c r="B132" s="605"/>
      <c r="C132" s="605"/>
      <c r="D132" s="605"/>
      <c r="E132" s="605"/>
      <c r="F132" s="605" t="s">
        <v>348</v>
      </c>
      <c r="G132" s="605"/>
      <c r="H132" s="605"/>
      <c r="I132" s="605"/>
      <c r="J132" s="382">
        <v>1.5953999999999999</v>
      </c>
    </row>
    <row r="133" spans="1:10" s="230" customFormat="1" ht="15" customHeight="1" x14ac:dyDescent="0.25">
      <c r="A133" s="378" t="s">
        <v>349</v>
      </c>
      <c r="B133" s="377" t="s">
        <v>265</v>
      </c>
      <c r="C133" s="378" t="s">
        <v>309</v>
      </c>
      <c r="D133" s="378" t="s">
        <v>350</v>
      </c>
      <c r="E133" s="377" t="s">
        <v>69</v>
      </c>
      <c r="F133" s="377" t="s">
        <v>322</v>
      </c>
      <c r="G133" s="379" t="s">
        <v>344</v>
      </c>
      <c r="H133" s="604" t="s">
        <v>345</v>
      </c>
      <c r="I133" s="604"/>
      <c r="J133" s="377" t="s">
        <v>98</v>
      </c>
    </row>
    <row r="134" spans="1:10" s="230" customFormat="1" ht="25.5" x14ac:dyDescent="0.25">
      <c r="A134" s="383" t="s">
        <v>351</v>
      </c>
      <c r="B134" s="248" t="s">
        <v>384</v>
      </c>
      <c r="C134" s="383">
        <v>4016096</v>
      </c>
      <c r="D134" s="383" t="s">
        <v>371</v>
      </c>
      <c r="E134" s="248">
        <v>5914353</v>
      </c>
      <c r="F134" s="249">
        <v>2.0630099999999998</v>
      </c>
      <c r="G134" s="251" t="s">
        <v>126</v>
      </c>
      <c r="H134" s="631">
        <v>1.49</v>
      </c>
      <c r="I134" s="632"/>
      <c r="J134" s="382">
        <v>3.0739000000000001</v>
      </c>
    </row>
    <row r="135" spans="1:10" s="230" customFormat="1" ht="15" customHeight="1" x14ac:dyDescent="0.25">
      <c r="A135" s="605"/>
      <c r="B135" s="605"/>
      <c r="C135" s="605"/>
      <c r="D135" s="605"/>
      <c r="E135" s="605"/>
      <c r="F135" s="605" t="s">
        <v>352</v>
      </c>
      <c r="G135" s="605"/>
      <c r="H135" s="605"/>
      <c r="I135" s="605"/>
      <c r="J135" s="382">
        <v>3.0739000000000001</v>
      </c>
    </row>
    <row r="136" spans="1:10" s="230" customFormat="1" x14ac:dyDescent="0.25">
      <c r="A136" s="381"/>
      <c r="B136" s="381"/>
      <c r="C136" s="381"/>
      <c r="D136" s="381"/>
      <c r="E136" s="376"/>
      <c r="F136" s="243"/>
      <c r="G136" s="376"/>
      <c r="H136" s="243"/>
      <c r="I136" s="376"/>
      <c r="J136" s="243"/>
    </row>
    <row r="137" spans="1:10" s="230" customFormat="1" ht="15.75" customHeight="1" thickBot="1" x14ac:dyDescent="0.3">
      <c r="A137" s="381"/>
      <c r="B137" s="381"/>
      <c r="C137" s="381"/>
      <c r="D137" s="381"/>
      <c r="E137" s="376"/>
      <c r="F137" s="243"/>
      <c r="G137" s="376"/>
      <c r="H137" s="607" t="s">
        <v>301</v>
      </c>
      <c r="I137" s="607"/>
      <c r="J137" s="243">
        <v>13.08</v>
      </c>
    </row>
    <row r="138" spans="1:10" s="230" customFormat="1" ht="15.75" thickTop="1" x14ac:dyDescent="0.25">
      <c r="A138" s="244"/>
      <c r="B138" s="244"/>
      <c r="C138" s="244"/>
      <c r="D138" s="244"/>
      <c r="E138" s="244"/>
      <c r="F138" s="244"/>
      <c r="G138" s="244"/>
      <c r="H138" s="244"/>
      <c r="I138" s="244"/>
      <c r="J138" s="244"/>
    </row>
    <row r="139" spans="1:10" s="230" customFormat="1" x14ac:dyDescent="0.25">
      <c r="A139" s="227" t="s">
        <v>283</v>
      </c>
      <c r="B139" s="228" t="s">
        <v>69</v>
      </c>
      <c r="C139" s="227" t="s">
        <v>265</v>
      </c>
      <c r="D139" s="227" t="s">
        <v>80</v>
      </c>
      <c r="E139" s="606" t="s">
        <v>295</v>
      </c>
      <c r="F139" s="606"/>
      <c r="G139" s="229" t="s">
        <v>266</v>
      </c>
      <c r="H139" s="228" t="s">
        <v>267</v>
      </c>
      <c r="I139" s="228" t="s">
        <v>268</v>
      </c>
      <c r="J139" s="228" t="s">
        <v>81</v>
      </c>
    </row>
    <row r="140" spans="1:10" s="230" customFormat="1" ht="25.5" x14ac:dyDescent="0.25">
      <c r="A140" s="391" t="s">
        <v>296</v>
      </c>
      <c r="B140" s="245" t="s">
        <v>284</v>
      </c>
      <c r="C140" s="391" t="s">
        <v>384</v>
      </c>
      <c r="D140" s="391" t="s">
        <v>387</v>
      </c>
      <c r="E140" s="610" t="s">
        <v>288</v>
      </c>
      <c r="F140" s="610"/>
      <c r="G140" s="246" t="s">
        <v>285</v>
      </c>
      <c r="H140" s="247">
        <v>1</v>
      </c>
      <c r="I140" s="235">
        <v>0.94</v>
      </c>
      <c r="J140" s="235">
        <v>0.94</v>
      </c>
    </row>
    <row r="141" spans="1:10" s="230" customFormat="1" ht="15" customHeight="1" x14ac:dyDescent="0.25">
      <c r="A141" s="608" t="s">
        <v>198</v>
      </c>
      <c r="B141" s="604" t="s">
        <v>69</v>
      </c>
      <c r="C141" s="608" t="s">
        <v>265</v>
      </c>
      <c r="D141" s="608" t="s">
        <v>321</v>
      </c>
      <c r="E141" s="604" t="s">
        <v>322</v>
      </c>
      <c r="F141" s="609" t="s">
        <v>323</v>
      </c>
      <c r="G141" s="604"/>
      <c r="H141" s="609" t="s">
        <v>324</v>
      </c>
      <c r="I141" s="604"/>
      <c r="J141" s="604" t="s">
        <v>98</v>
      </c>
    </row>
    <row r="142" spans="1:10" s="230" customFormat="1" x14ac:dyDescent="0.25">
      <c r="A142" s="604"/>
      <c r="B142" s="604"/>
      <c r="C142" s="604"/>
      <c r="D142" s="604"/>
      <c r="E142" s="604"/>
      <c r="F142" s="389" t="s">
        <v>325</v>
      </c>
      <c r="G142" s="389" t="s">
        <v>326</v>
      </c>
      <c r="H142" s="389" t="s">
        <v>325</v>
      </c>
      <c r="I142" s="389" t="s">
        <v>326</v>
      </c>
      <c r="J142" s="604"/>
    </row>
    <row r="143" spans="1:10" s="230" customFormat="1" x14ac:dyDescent="0.25">
      <c r="A143" s="393" t="s">
        <v>309</v>
      </c>
      <c r="B143" s="248" t="s">
        <v>100</v>
      </c>
      <c r="C143" s="393" t="s">
        <v>384</v>
      </c>
      <c r="D143" s="393" t="s">
        <v>353</v>
      </c>
      <c r="E143" s="249">
        <v>1</v>
      </c>
      <c r="F143" s="240">
        <v>1</v>
      </c>
      <c r="G143" s="240">
        <v>0</v>
      </c>
      <c r="H143" s="392">
        <v>286.62299999999999</v>
      </c>
      <c r="I143" s="392">
        <v>85.273099999999999</v>
      </c>
      <c r="J143" s="392">
        <v>286.62299999999999</v>
      </c>
    </row>
    <row r="144" spans="1:10" s="230" customFormat="1" ht="15" customHeight="1" x14ac:dyDescent="0.25">
      <c r="A144" s="605"/>
      <c r="B144" s="605"/>
      <c r="C144" s="605"/>
      <c r="D144" s="605"/>
      <c r="E144" s="605"/>
      <c r="F144" s="605" t="s">
        <v>328</v>
      </c>
      <c r="G144" s="605"/>
      <c r="H144" s="605"/>
      <c r="I144" s="605"/>
      <c r="J144" s="250">
        <v>286.62299999999999</v>
      </c>
    </row>
    <row r="145" spans="1:10" s="230" customFormat="1" ht="15" customHeight="1" x14ac:dyDescent="0.25">
      <c r="A145" s="605"/>
      <c r="B145" s="605"/>
      <c r="C145" s="605"/>
      <c r="D145" s="605"/>
      <c r="E145" s="605"/>
      <c r="F145" s="605" t="s">
        <v>334</v>
      </c>
      <c r="G145" s="605"/>
      <c r="H145" s="605"/>
      <c r="I145" s="605"/>
      <c r="J145" s="250">
        <v>286.62299999999999</v>
      </c>
    </row>
    <row r="146" spans="1:10" s="230" customFormat="1" ht="15" customHeight="1" x14ac:dyDescent="0.25">
      <c r="A146" s="605"/>
      <c r="B146" s="605"/>
      <c r="C146" s="605"/>
      <c r="D146" s="605"/>
      <c r="E146" s="605"/>
      <c r="F146" s="605" t="s">
        <v>335</v>
      </c>
      <c r="G146" s="605"/>
      <c r="H146" s="605"/>
      <c r="I146" s="605"/>
      <c r="J146" s="406">
        <v>1.7299999999999999E-2</v>
      </c>
    </row>
    <row r="147" spans="1:10" s="230" customFormat="1" ht="15" customHeight="1" x14ac:dyDescent="0.25">
      <c r="A147" s="605"/>
      <c r="B147" s="605"/>
      <c r="C147" s="605"/>
      <c r="D147" s="605"/>
      <c r="E147" s="605"/>
      <c r="F147" s="605" t="s">
        <v>336</v>
      </c>
      <c r="G147" s="605"/>
      <c r="H147" s="605"/>
      <c r="I147" s="605"/>
      <c r="J147" s="406">
        <v>1.5900000000000001E-2</v>
      </c>
    </row>
    <row r="148" spans="1:10" s="230" customFormat="1" ht="15" customHeight="1" x14ac:dyDescent="0.25">
      <c r="A148" s="605"/>
      <c r="B148" s="605"/>
      <c r="C148" s="605"/>
      <c r="D148" s="605"/>
      <c r="E148" s="605"/>
      <c r="F148" s="605" t="s">
        <v>337</v>
      </c>
      <c r="G148" s="605"/>
      <c r="H148" s="605"/>
      <c r="I148" s="605"/>
      <c r="J148" s="406">
        <v>311.25</v>
      </c>
    </row>
    <row r="149" spans="1:10" s="230" customFormat="1" ht="15" customHeight="1" x14ac:dyDescent="0.25">
      <c r="A149" s="605"/>
      <c r="B149" s="605"/>
      <c r="C149" s="605"/>
      <c r="D149" s="605"/>
      <c r="E149" s="605"/>
      <c r="F149" s="605" t="s">
        <v>338</v>
      </c>
      <c r="G149" s="605"/>
      <c r="H149" s="605"/>
      <c r="I149" s="605"/>
      <c r="J149" s="406">
        <v>0.92090000000000005</v>
      </c>
    </row>
    <row r="150" spans="1:10" s="230" customFormat="1" x14ac:dyDescent="0.25">
      <c r="A150" s="242"/>
      <c r="B150" s="242"/>
      <c r="C150" s="242"/>
      <c r="D150" s="242"/>
      <c r="E150" s="242"/>
      <c r="F150" s="243"/>
      <c r="G150" s="242"/>
      <c r="H150" s="243"/>
      <c r="I150" s="242"/>
      <c r="J150" s="243"/>
    </row>
    <row r="151" spans="1:10" s="230" customFormat="1" ht="15.75" customHeight="1" thickBot="1" x14ac:dyDescent="0.3">
      <c r="A151" s="242"/>
      <c r="B151" s="242"/>
      <c r="C151" s="242"/>
      <c r="D151" s="242"/>
      <c r="E151" s="242"/>
      <c r="F151" s="243"/>
      <c r="G151" s="242"/>
      <c r="H151" s="607" t="s">
        <v>301</v>
      </c>
      <c r="I151" s="607"/>
      <c r="J151" s="243">
        <v>1.1399999999999999</v>
      </c>
    </row>
    <row r="152" spans="1:10" s="230" customFormat="1" ht="15.75" thickTop="1" x14ac:dyDescent="0.25">
      <c r="A152" s="244"/>
      <c r="B152" s="244"/>
      <c r="C152" s="244"/>
      <c r="D152" s="244"/>
      <c r="E152" s="244"/>
      <c r="F152" s="244"/>
      <c r="G152" s="244"/>
      <c r="H152" s="244"/>
      <c r="I152" s="244"/>
      <c r="J152" s="244"/>
    </row>
    <row r="153" spans="1:10" s="230" customFormat="1" x14ac:dyDescent="0.25">
      <c r="A153" s="301" t="s">
        <v>286</v>
      </c>
      <c r="B153" s="304" t="s">
        <v>69</v>
      </c>
      <c r="C153" s="301" t="s">
        <v>265</v>
      </c>
      <c r="D153" s="301" t="s">
        <v>80</v>
      </c>
      <c r="E153" s="606" t="s">
        <v>295</v>
      </c>
      <c r="F153" s="606"/>
      <c r="G153" s="229" t="s">
        <v>266</v>
      </c>
      <c r="H153" s="304" t="s">
        <v>267</v>
      </c>
      <c r="I153" s="304" t="s">
        <v>268</v>
      </c>
      <c r="J153" s="304" t="s">
        <v>81</v>
      </c>
    </row>
    <row r="154" spans="1:10" s="230" customFormat="1" ht="25.5" x14ac:dyDescent="0.25">
      <c r="A154" s="298" t="s">
        <v>296</v>
      </c>
      <c r="B154" s="245" t="s">
        <v>405</v>
      </c>
      <c r="C154" s="298" t="s">
        <v>365</v>
      </c>
      <c r="D154" s="298" t="s">
        <v>67</v>
      </c>
      <c r="E154" s="610" t="s">
        <v>288</v>
      </c>
      <c r="F154" s="610"/>
      <c r="G154" s="246" t="s">
        <v>21</v>
      </c>
      <c r="H154" s="247">
        <v>1</v>
      </c>
      <c r="I154" s="235">
        <f>J157</f>
        <v>177920.864</v>
      </c>
      <c r="J154" s="235">
        <f>J157</f>
        <v>177920.864</v>
      </c>
    </row>
    <row r="155" spans="1:10" s="230" customFormat="1" ht="15" customHeight="1" x14ac:dyDescent="0.25">
      <c r="A155" s="608" t="s">
        <v>198</v>
      </c>
      <c r="B155" s="604" t="s">
        <v>69</v>
      </c>
      <c r="C155" s="608" t="s">
        <v>265</v>
      </c>
      <c r="D155" s="608" t="s">
        <v>321</v>
      </c>
      <c r="E155" s="604" t="s">
        <v>322</v>
      </c>
      <c r="F155" s="609" t="s">
        <v>323</v>
      </c>
      <c r="G155" s="604"/>
      <c r="H155" s="609" t="s">
        <v>324</v>
      </c>
      <c r="I155" s="604"/>
      <c r="J155" s="604" t="s">
        <v>98</v>
      </c>
    </row>
    <row r="156" spans="1:10" s="230" customFormat="1" x14ac:dyDescent="0.25">
      <c r="A156" s="604"/>
      <c r="B156" s="604"/>
      <c r="C156" s="604"/>
      <c r="D156" s="604"/>
      <c r="E156" s="604"/>
      <c r="F156" s="299" t="s">
        <v>325</v>
      </c>
      <c r="G156" s="299" t="s">
        <v>326</v>
      </c>
      <c r="H156" s="299" t="s">
        <v>325</v>
      </c>
      <c r="I156" s="299" t="s">
        <v>326</v>
      </c>
      <c r="J156" s="604"/>
    </row>
    <row r="157" spans="1:10" s="230" customFormat="1" x14ac:dyDescent="0.25">
      <c r="A157" s="302" t="s">
        <v>309</v>
      </c>
      <c r="B157" s="248" t="s">
        <v>102</v>
      </c>
      <c r="C157" s="302" t="s">
        <v>384</v>
      </c>
      <c r="D157" s="302" t="s">
        <v>103</v>
      </c>
      <c r="E157" s="249">
        <f>44*4*5</f>
        <v>880</v>
      </c>
      <c r="F157" s="240">
        <v>0.5</v>
      </c>
      <c r="G157" s="240">
        <v>0.5</v>
      </c>
      <c r="H157" s="392">
        <v>324.65370000000001</v>
      </c>
      <c r="I157" s="392">
        <v>79.7119</v>
      </c>
      <c r="J157" s="423">
        <f>E157*F157*H157+E157*G157*I157</f>
        <v>177920.864</v>
      </c>
    </row>
    <row r="158" spans="1:10" s="230" customFormat="1" ht="15" customHeight="1" x14ac:dyDescent="0.25">
      <c r="A158" s="312"/>
      <c r="B158" s="313"/>
      <c r="C158" s="312"/>
      <c r="D158" s="312"/>
      <c r="E158" s="314"/>
      <c r="F158" s="308"/>
      <c r="G158" s="308"/>
      <c r="H158" s="315"/>
      <c r="I158" s="315"/>
      <c r="J158" s="315"/>
    </row>
    <row r="159" spans="1:10" s="230" customFormat="1" ht="15" customHeight="1" x14ac:dyDescent="0.25">
      <c r="A159" s="312"/>
      <c r="B159" s="313"/>
      <c r="C159" s="312"/>
      <c r="D159" s="312"/>
      <c r="E159" s="300"/>
      <c r="F159" s="243"/>
      <c r="G159" s="300"/>
      <c r="H159" s="243"/>
      <c r="I159" s="300"/>
      <c r="J159" s="243"/>
    </row>
    <row r="160" spans="1:10" s="346" customFormat="1" ht="15" customHeight="1" x14ac:dyDescent="0.25">
      <c r="A160" s="367"/>
      <c r="B160" s="367"/>
      <c r="C160" s="367"/>
      <c r="D160" s="367"/>
      <c r="E160" s="367"/>
      <c r="F160" s="243"/>
      <c r="G160" s="367"/>
      <c r="H160" s="615" t="s">
        <v>301</v>
      </c>
      <c r="I160" s="615"/>
      <c r="J160" s="345">
        <f>J157*ORÇAMENTO!K4</f>
        <v>216992.28573440001</v>
      </c>
    </row>
    <row r="161" spans="1:10" s="230" customFormat="1" ht="15" customHeight="1" x14ac:dyDescent="0.25">
      <c r="A161" s="630" t="s">
        <v>436</v>
      </c>
      <c r="B161" s="630"/>
      <c r="C161" s="630"/>
      <c r="D161" s="630"/>
      <c r="E161" s="630"/>
      <c r="F161" s="630"/>
      <c r="G161" s="630"/>
      <c r="H161" s="630"/>
      <c r="I161" s="630"/>
      <c r="J161" s="630"/>
    </row>
    <row r="162" spans="1:10" s="230" customFormat="1" ht="15" customHeight="1" x14ac:dyDescent="0.25">
      <c r="A162" s="630"/>
      <c r="B162" s="630"/>
      <c r="C162" s="630"/>
      <c r="D162" s="630"/>
      <c r="E162" s="630"/>
      <c r="F162" s="630"/>
      <c r="G162" s="630"/>
      <c r="H162" s="630"/>
      <c r="I162" s="630"/>
      <c r="J162" s="630"/>
    </row>
    <row r="163" spans="1:10" s="230" customFormat="1" ht="15" customHeight="1" thickBot="1" x14ac:dyDescent="0.3">
      <c r="A163" s="630"/>
      <c r="B163" s="630"/>
      <c r="C163" s="630"/>
      <c r="D163" s="630"/>
      <c r="E163" s="630"/>
      <c r="F163" s="630"/>
      <c r="G163" s="630"/>
      <c r="H163" s="630"/>
      <c r="I163" s="630"/>
      <c r="J163" s="630"/>
    </row>
    <row r="164" spans="1:10" s="230" customFormat="1" ht="15.75" thickTop="1" x14ac:dyDescent="0.25">
      <c r="A164" s="244"/>
      <c r="B164" s="244"/>
      <c r="C164" s="244"/>
      <c r="D164" s="244"/>
      <c r="E164" s="244"/>
      <c r="F164" s="244"/>
      <c r="G164" s="244"/>
      <c r="H164" s="244"/>
      <c r="I164" s="244"/>
      <c r="J164" s="244"/>
    </row>
    <row r="165" spans="1:10" s="230" customFormat="1" x14ac:dyDescent="0.25">
      <c r="A165" s="227" t="s">
        <v>287</v>
      </c>
      <c r="B165" s="228" t="s">
        <v>69</v>
      </c>
      <c r="C165" s="227" t="s">
        <v>265</v>
      </c>
      <c r="D165" s="227" t="s">
        <v>80</v>
      </c>
      <c r="E165" s="606" t="s">
        <v>295</v>
      </c>
      <c r="F165" s="606"/>
      <c r="G165" s="229" t="s">
        <v>266</v>
      </c>
      <c r="H165" s="228" t="s">
        <v>267</v>
      </c>
      <c r="I165" s="228" t="s">
        <v>268</v>
      </c>
      <c r="J165" s="228" t="s">
        <v>81</v>
      </c>
    </row>
    <row r="166" spans="1:10" s="230" customFormat="1" ht="25.5" customHeight="1" x14ac:dyDescent="0.25">
      <c r="A166" s="394" t="s">
        <v>296</v>
      </c>
      <c r="B166" s="232" t="s">
        <v>403</v>
      </c>
      <c r="C166" s="394" t="s">
        <v>365</v>
      </c>
      <c r="D166" s="394" t="s">
        <v>370</v>
      </c>
      <c r="E166" s="628" t="s">
        <v>363</v>
      </c>
      <c r="F166" s="629"/>
      <c r="G166" s="233" t="s">
        <v>27</v>
      </c>
      <c r="H166" s="234">
        <v>1</v>
      </c>
      <c r="I166" s="252">
        <v>1.21</v>
      </c>
      <c r="J166" s="252">
        <v>1.21</v>
      </c>
    </row>
    <row r="167" spans="1:10" s="230" customFormat="1" ht="15" customHeight="1" x14ac:dyDescent="0.25">
      <c r="A167" s="623" t="s">
        <v>198</v>
      </c>
      <c r="B167" s="619" t="s">
        <v>69</v>
      </c>
      <c r="C167" s="623" t="s">
        <v>265</v>
      </c>
      <c r="D167" s="623" t="s">
        <v>321</v>
      </c>
      <c r="E167" s="619" t="s">
        <v>322</v>
      </c>
      <c r="F167" s="625" t="s">
        <v>323</v>
      </c>
      <c r="G167" s="626"/>
      <c r="H167" s="625" t="s">
        <v>324</v>
      </c>
      <c r="I167" s="626"/>
      <c r="J167" s="619" t="s">
        <v>98</v>
      </c>
    </row>
    <row r="168" spans="1:10" s="230" customFormat="1" x14ac:dyDescent="0.25">
      <c r="A168" s="624"/>
      <c r="B168" s="620"/>
      <c r="C168" s="624"/>
      <c r="D168" s="624"/>
      <c r="E168" s="620"/>
      <c r="F168" s="398" t="s">
        <v>325</v>
      </c>
      <c r="G168" s="398" t="s">
        <v>326</v>
      </c>
      <c r="H168" s="398" t="s">
        <v>325</v>
      </c>
      <c r="I168" s="398" t="s">
        <v>326</v>
      </c>
      <c r="J168" s="620"/>
    </row>
    <row r="169" spans="1:10" s="230" customFormat="1" x14ac:dyDescent="0.25">
      <c r="A169" s="395" t="s">
        <v>309</v>
      </c>
      <c r="B169" s="237" t="s">
        <v>85</v>
      </c>
      <c r="C169" s="395" t="s">
        <v>380</v>
      </c>
      <c r="D169" s="395" t="s">
        <v>86</v>
      </c>
      <c r="E169" s="248" t="s">
        <v>388</v>
      </c>
      <c r="F169" s="419">
        <v>1</v>
      </c>
      <c r="G169" s="419">
        <v>0</v>
      </c>
      <c r="H169" s="253">
        <v>275.83580000000001</v>
      </c>
      <c r="I169" s="253">
        <v>102.96850000000001</v>
      </c>
      <c r="J169" s="253">
        <v>0.85509999999999997</v>
      </c>
    </row>
    <row r="170" spans="1:10" s="230" customFormat="1" x14ac:dyDescent="0.25">
      <c r="A170" s="395" t="s">
        <v>309</v>
      </c>
      <c r="B170" s="237" t="s">
        <v>85</v>
      </c>
      <c r="C170" s="395" t="s">
        <v>380</v>
      </c>
      <c r="D170" s="395" t="s">
        <v>86</v>
      </c>
      <c r="E170" s="248" t="s">
        <v>388</v>
      </c>
      <c r="F170" s="419">
        <v>0</v>
      </c>
      <c r="G170" s="419">
        <v>1</v>
      </c>
      <c r="H170" s="253">
        <v>275.83580000000001</v>
      </c>
      <c r="I170" s="253">
        <v>102.96850000000001</v>
      </c>
      <c r="J170" s="253">
        <v>0.31919999999999998</v>
      </c>
    </row>
    <row r="171" spans="1:10" s="230" customFormat="1" x14ac:dyDescent="0.25">
      <c r="A171" s="622"/>
      <c r="B171" s="622"/>
      <c r="C171" s="622"/>
      <c r="D171" s="622"/>
      <c r="E171" s="622"/>
      <c r="F171" s="622" t="s">
        <v>328</v>
      </c>
      <c r="G171" s="622"/>
      <c r="H171" s="622"/>
      <c r="I171" s="622"/>
      <c r="J171" s="254">
        <v>1.1742999999999999</v>
      </c>
    </row>
    <row r="172" spans="1:10" s="230" customFormat="1" x14ac:dyDescent="0.25">
      <c r="A172" s="390" t="s">
        <v>221</v>
      </c>
      <c r="B172" s="398" t="s">
        <v>69</v>
      </c>
      <c r="C172" s="390" t="s">
        <v>265</v>
      </c>
      <c r="D172" s="390" t="s">
        <v>329</v>
      </c>
      <c r="E172" s="398" t="s">
        <v>322</v>
      </c>
      <c r="F172" s="621" t="s">
        <v>330</v>
      </c>
      <c r="G172" s="621"/>
      <c r="H172" s="621"/>
      <c r="I172" s="621"/>
      <c r="J172" s="398" t="s">
        <v>98</v>
      </c>
    </row>
    <row r="173" spans="1:10" s="230" customFormat="1" x14ac:dyDescent="0.25">
      <c r="A173" s="395" t="s">
        <v>309</v>
      </c>
      <c r="B173" s="237" t="s">
        <v>331</v>
      </c>
      <c r="C173" s="395" t="s">
        <v>380</v>
      </c>
      <c r="D173" s="395" t="s">
        <v>332</v>
      </c>
      <c r="E173" s="239">
        <v>2E-3</v>
      </c>
      <c r="F173" s="238" t="s">
        <v>300</v>
      </c>
      <c r="G173" s="633">
        <v>19.02</v>
      </c>
      <c r="H173" s="633"/>
      <c r="I173" s="611"/>
      <c r="J173" s="253">
        <v>3.7999999999999999E-2</v>
      </c>
    </row>
    <row r="174" spans="1:10" s="230" customFormat="1" ht="15" customHeight="1" x14ac:dyDescent="0.25">
      <c r="A174" s="622"/>
      <c r="B174" s="622"/>
      <c r="C174" s="622"/>
      <c r="D174" s="622"/>
      <c r="E174" s="622"/>
      <c r="F174" s="622" t="s">
        <v>333</v>
      </c>
      <c r="G174" s="622"/>
      <c r="H174" s="622"/>
      <c r="I174" s="622"/>
      <c r="J174" s="254">
        <v>3.7999999999999999E-2</v>
      </c>
    </row>
    <row r="175" spans="1:10" s="230" customFormat="1" ht="15" customHeight="1" x14ac:dyDescent="0.25">
      <c r="A175" s="622"/>
      <c r="B175" s="622"/>
      <c r="C175" s="622"/>
      <c r="D175" s="622"/>
      <c r="E175" s="622"/>
      <c r="F175" s="622" t="s">
        <v>334</v>
      </c>
      <c r="G175" s="622"/>
      <c r="H175" s="622"/>
      <c r="I175" s="622"/>
      <c r="J175" s="254"/>
    </row>
    <row r="176" spans="1:10" s="230" customFormat="1" ht="15" customHeight="1" x14ac:dyDescent="0.25">
      <c r="A176" s="622"/>
      <c r="B176" s="622"/>
      <c r="C176" s="622"/>
      <c r="D176" s="622"/>
      <c r="E176" s="622"/>
      <c r="F176" s="622" t="s">
        <v>335</v>
      </c>
      <c r="G176" s="622"/>
      <c r="H176" s="622"/>
      <c r="I176" s="622"/>
      <c r="J176" s="254">
        <v>0</v>
      </c>
    </row>
    <row r="177" spans="1:10" s="230" customFormat="1" ht="15" customHeight="1" x14ac:dyDescent="0.25">
      <c r="A177" s="622"/>
      <c r="B177" s="622"/>
      <c r="C177" s="622"/>
      <c r="D177" s="622"/>
      <c r="E177" s="622"/>
      <c r="F177" s="622" t="s">
        <v>336</v>
      </c>
      <c r="G177" s="622"/>
      <c r="H177" s="622"/>
      <c r="I177" s="622"/>
      <c r="J177" s="254">
        <v>0</v>
      </c>
    </row>
    <row r="178" spans="1:10" s="230" customFormat="1" ht="15" customHeight="1" x14ac:dyDescent="0.25">
      <c r="A178" s="622"/>
      <c r="B178" s="622"/>
      <c r="C178" s="622"/>
      <c r="D178" s="622"/>
      <c r="E178" s="622"/>
      <c r="F178" s="622" t="s">
        <v>337</v>
      </c>
      <c r="G178" s="622"/>
      <c r="H178" s="622"/>
      <c r="I178" s="622"/>
      <c r="J178" s="254">
        <v>1</v>
      </c>
    </row>
    <row r="179" spans="1:10" s="230" customFormat="1" ht="15" customHeight="1" x14ac:dyDescent="0.25">
      <c r="A179" s="622"/>
      <c r="B179" s="622"/>
      <c r="C179" s="622"/>
      <c r="D179" s="622"/>
      <c r="E179" s="622"/>
      <c r="F179" s="622" t="s">
        <v>338</v>
      </c>
      <c r="G179" s="622"/>
      <c r="H179" s="622"/>
      <c r="I179" s="622"/>
      <c r="J179" s="254">
        <v>1.1742999999999999</v>
      </c>
    </row>
    <row r="180" spans="1:10" s="230" customFormat="1" x14ac:dyDescent="0.25">
      <c r="A180" s="241"/>
      <c r="B180" s="241"/>
      <c r="C180" s="241"/>
      <c r="D180" s="241"/>
      <c r="E180" s="241"/>
      <c r="F180" s="255"/>
      <c r="G180" s="241"/>
      <c r="H180" s="255"/>
      <c r="I180" s="241"/>
      <c r="J180" s="255"/>
    </row>
    <row r="181" spans="1:10" s="230" customFormat="1" ht="15" customHeight="1" thickBot="1" x14ac:dyDescent="0.3">
      <c r="A181" s="241"/>
      <c r="B181" s="241"/>
      <c r="C181" s="241"/>
      <c r="D181" s="241"/>
      <c r="E181" s="241"/>
      <c r="F181" s="255"/>
      <c r="G181" s="241"/>
      <c r="H181" s="627" t="s">
        <v>301</v>
      </c>
      <c r="I181" s="627"/>
      <c r="J181" s="407">
        <v>1.47</v>
      </c>
    </row>
    <row r="182" spans="1:10" s="230" customFormat="1" ht="15.75" thickTop="1" x14ac:dyDescent="0.25">
      <c r="A182" s="244"/>
      <c r="B182" s="244"/>
      <c r="C182" s="244"/>
      <c r="D182" s="244"/>
      <c r="E182" s="244"/>
      <c r="F182" s="244"/>
      <c r="G182" s="244"/>
      <c r="H182" s="244"/>
      <c r="I182" s="244"/>
      <c r="J182" s="244"/>
    </row>
    <row r="183" spans="1:10" s="187" customFormat="1" ht="18" customHeight="1" x14ac:dyDescent="0.25">
      <c r="A183" s="414" t="s">
        <v>466</v>
      </c>
      <c r="B183" s="415" t="s">
        <v>69</v>
      </c>
      <c r="C183" s="414" t="s">
        <v>265</v>
      </c>
      <c r="D183" s="414" t="s">
        <v>80</v>
      </c>
      <c r="E183" s="634" t="s">
        <v>295</v>
      </c>
      <c r="F183" s="634"/>
      <c r="G183" s="416" t="s">
        <v>266</v>
      </c>
      <c r="H183" s="415" t="s">
        <v>267</v>
      </c>
      <c r="I183" s="415" t="s">
        <v>268</v>
      </c>
      <c r="J183" s="415" t="s">
        <v>81</v>
      </c>
    </row>
    <row r="184" spans="1:10" s="230" customFormat="1" ht="26.1" customHeight="1" x14ac:dyDescent="0.25">
      <c r="A184" s="394" t="s">
        <v>296</v>
      </c>
      <c r="B184" s="232" t="s">
        <v>452</v>
      </c>
      <c r="C184" s="394" t="s">
        <v>384</v>
      </c>
      <c r="D184" s="394" t="s">
        <v>451</v>
      </c>
      <c r="E184" s="613" t="s">
        <v>288</v>
      </c>
      <c r="F184" s="613"/>
      <c r="G184" s="233" t="s">
        <v>467</v>
      </c>
      <c r="H184" s="234">
        <v>1</v>
      </c>
      <c r="I184" s="252">
        <v>1841.47</v>
      </c>
      <c r="J184" s="252">
        <v>1841.47</v>
      </c>
    </row>
    <row r="185" spans="1:10" s="230" customFormat="1" ht="20.100000000000001" customHeight="1" x14ac:dyDescent="0.25">
      <c r="A185" s="622"/>
      <c r="B185" s="622"/>
      <c r="C185" s="622"/>
      <c r="D185" s="622"/>
      <c r="E185" s="622"/>
      <c r="F185" s="622" t="s">
        <v>334</v>
      </c>
      <c r="G185" s="622"/>
      <c r="H185" s="622"/>
      <c r="I185" s="622"/>
      <c r="J185" s="254">
        <v>0</v>
      </c>
    </row>
    <row r="186" spans="1:10" s="230" customFormat="1" ht="20.100000000000001" customHeight="1" x14ac:dyDescent="0.25">
      <c r="A186" s="622"/>
      <c r="B186" s="622"/>
      <c r="C186" s="622"/>
      <c r="D186" s="622"/>
      <c r="E186" s="622"/>
      <c r="F186" s="622" t="s">
        <v>335</v>
      </c>
      <c r="G186" s="622"/>
      <c r="H186" s="622"/>
      <c r="I186" s="622"/>
      <c r="J186" s="254">
        <v>0</v>
      </c>
    </row>
    <row r="187" spans="1:10" s="230" customFormat="1" ht="20.100000000000001" customHeight="1" x14ac:dyDescent="0.25">
      <c r="A187" s="622"/>
      <c r="B187" s="622"/>
      <c r="C187" s="622"/>
      <c r="D187" s="622"/>
      <c r="E187" s="622"/>
      <c r="F187" s="622" t="s">
        <v>336</v>
      </c>
      <c r="G187" s="622"/>
      <c r="H187" s="622"/>
      <c r="I187" s="622"/>
      <c r="J187" s="254">
        <v>0</v>
      </c>
    </row>
    <row r="188" spans="1:10" s="230" customFormat="1" ht="20.100000000000001" customHeight="1" x14ac:dyDescent="0.25">
      <c r="A188" s="622"/>
      <c r="B188" s="622"/>
      <c r="C188" s="622"/>
      <c r="D188" s="622"/>
      <c r="E188" s="622"/>
      <c r="F188" s="622" t="s">
        <v>337</v>
      </c>
      <c r="G188" s="622"/>
      <c r="H188" s="622"/>
      <c r="I188" s="622"/>
      <c r="J188" s="254">
        <v>1</v>
      </c>
    </row>
    <row r="189" spans="1:10" s="230" customFormat="1" ht="20.100000000000001" customHeight="1" x14ac:dyDescent="0.25">
      <c r="A189" s="622"/>
      <c r="B189" s="622"/>
      <c r="C189" s="622"/>
      <c r="D189" s="622"/>
      <c r="E189" s="622"/>
      <c r="F189" s="622" t="s">
        <v>338</v>
      </c>
      <c r="G189" s="622"/>
      <c r="H189" s="622"/>
      <c r="I189" s="622"/>
      <c r="J189" s="254">
        <v>0</v>
      </c>
    </row>
    <row r="190" spans="1:10" s="230" customFormat="1" ht="20.100000000000001" customHeight="1" x14ac:dyDescent="0.25">
      <c r="A190" s="390" t="s">
        <v>239</v>
      </c>
      <c r="B190" s="398" t="s">
        <v>265</v>
      </c>
      <c r="C190" s="390" t="s">
        <v>69</v>
      </c>
      <c r="D190" s="390" t="s">
        <v>343</v>
      </c>
      <c r="E190" s="398" t="s">
        <v>322</v>
      </c>
      <c r="F190" s="398" t="s">
        <v>344</v>
      </c>
      <c r="G190" s="621" t="s">
        <v>345</v>
      </c>
      <c r="H190" s="621"/>
      <c r="I190" s="621"/>
      <c r="J190" s="398" t="s">
        <v>98</v>
      </c>
    </row>
    <row r="191" spans="1:10" s="230" customFormat="1" ht="26.1" customHeight="1" x14ac:dyDescent="0.25">
      <c r="A191" s="395" t="s">
        <v>346</v>
      </c>
      <c r="B191" s="237" t="s">
        <v>384</v>
      </c>
      <c r="C191" s="395">
        <v>1107892</v>
      </c>
      <c r="D191" s="395" t="s">
        <v>468</v>
      </c>
      <c r="E191" s="239">
        <v>2.5139999999999998</v>
      </c>
      <c r="F191" s="238" t="s">
        <v>38</v>
      </c>
      <c r="G191" s="633">
        <v>440.93</v>
      </c>
      <c r="H191" s="633"/>
      <c r="I191" s="611"/>
      <c r="J191" s="253">
        <v>1108.498</v>
      </c>
    </row>
    <row r="192" spans="1:10" s="230" customFormat="1" ht="39" customHeight="1" x14ac:dyDescent="0.25">
      <c r="A192" s="395" t="s">
        <v>346</v>
      </c>
      <c r="B192" s="237" t="s">
        <v>384</v>
      </c>
      <c r="C192" s="395">
        <v>3103302</v>
      </c>
      <c r="D192" s="395" t="s">
        <v>469</v>
      </c>
      <c r="E192" s="239">
        <v>9.68</v>
      </c>
      <c r="F192" s="238" t="s">
        <v>27</v>
      </c>
      <c r="G192" s="633">
        <v>75.72</v>
      </c>
      <c r="H192" s="633"/>
      <c r="I192" s="611"/>
      <c r="J192" s="253">
        <v>732.96960000000001</v>
      </c>
    </row>
    <row r="193" spans="1:10" s="230" customFormat="1" ht="20.100000000000001" customHeight="1" x14ac:dyDescent="0.25">
      <c r="A193" s="622"/>
      <c r="B193" s="622"/>
      <c r="C193" s="622"/>
      <c r="D193" s="622"/>
      <c r="E193" s="622"/>
      <c r="F193" s="622" t="s">
        <v>348</v>
      </c>
      <c r="G193" s="622"/>
      <c r="H193" s="622"/>
      <c r="I193" s="622"/>
      <c r="J193" s="254">
        <v>1841.4675999999999</v>
      </c>
    </row>
    <row r="194" spans="1:10" s="230" customFormat="1" x14ac:dyDescent="0.25">
      <c r="A194" s="396"/>
      <c r="B194" s="396"/>
      <c r="C194" s="396"/>
      <c r="D194" s="396"/>
      <c r="E194" s="396"/>
      <c r="F194" s="255"/>
      <c r="G194" s="396"/>
      <c r="H194" s="255"/>
      <c r="I194" s="396"/>
      <c r="J194" s="255"/>
    </row>
    <row r="195" spans="1:10" s="230" customFormat="1" ht="15.75" thickBot="1" x14ac:dyDescent="0.3">
      <c r="A195" s="396"/>
      <c r="B195" s="396"/>
      <c r="C195" s="396"/>
      <c r="D195" s="396"/>
      <c r="E195" s="396"/>
      <c r="F195" s="255"/>
      <c r="G195" s="396"/>
      <c r="H195" s="627" t="s">
        <v>301</v>
      </c>
      <c r="I195" s="627"/>
      <c r="J195" s="255">
        <v>2245.85</v>
      </c>
    </row>
    <row r="196" spans="1:10" s="230" customFormat="1" ht="30" customHeight="1" thickBot="1" x14ac:dyDescent="0.3">
      <c r="A196" s="397"/>
      <c r="B196" s="397"/>
      <c r="C196" s="397"/>
      <c r="D196" s="397"/>
      <c r="E196" s="397"/>
      <c r="F196" s="397"/>
      <c r="G196" s="397"/>
      <c r="H196" s="417"/>
      <c r="I196" s="397"/>
      <c r="J196" s="418"/>
    </row>
    <row r="197" spans="1:10" s="230" customFormat="1" ht="0.95" customHeight="1" thickTop="1" x14ac:dyDescent="0.25">
      <c r="A197" s="244"/>
      <c r="B197" s="244"/>
      <c r="C197" s="244"/>
      <c r="D197" s="244"/>
      <c r="E197" s="244"/>
      <c r="F197" s="244"/>
      <c r="G197" s="244"/>
      <c r="H197" s="244"/>
      <c r="I197" s="244"/>
      <c r="J197" s="244"/>
    </row>
    <row r="198" spans="1:10" s="230" customFormat="1" ht="18" customHeight="1" x14ac:dyDescent="0.25">
      <c r="A198" s="390" t="s">
        <v>470</v>
      </c>
      <c r="B198" s="398" t="s">
        <v>69</v>
      </c>
      <c r="C198" s="390" t="s">
        <v>265</v>
      </c>
      <c r="D198" s="390" t="s">
        <v>80</v>
      </c>
      <c r="E198" s="606" t="s">
        <v>295</v>
      </c>
      <c r="F198" s="606"/>
      <c r="G198" s="229" t="s">
        <v>266</v>
      </c>
      <c r="H198" s="398" t="s">
        <v>267</v>
      </c>
      <c r="I198" s="398" t="s">
        <v>268</v>
      </c>
      <c r="J198" s="398" t="s">
        <v>81</v>
      </c>
    </row>
    <row r="199" spans="1:10" s="230" customFormat="1" ht="26.1" customHeight="1" x14ac:dyDescent="0.25">
      <c r="A199" s="394" t="s">
        <v>296</v>
      </c>
      <c r="B199" s="232" t="s">
        <v>453</v>
      </c>
      <c r="C199" s="394" t="s">
        <v>384</v>
      </c>
      <c r="D199" s="394" t="s">
        <v>454</v>
      </c>
      <c r="E199" s="613" t="s">
        <v>288</v>
      </c>
      <c r="F199" s="613"/>
      <c r="G199" s="233" t="s">
        <v>24</v>
      </c>
      <c r="H199" s="234">
        <v>1</v>
      </c>
      <c r="I199" s="252">
        <v>705.91</v>
      </c>
      <c r="J199" s="252">
        <v>705.91</v>
      </c>
    </row>
    <row r="200" spans="1:10" s="230" customFormat="1" ht="15" customHeight="1" x14ac:dyDescent="0.25">
      <c r="A200" s="606" t="s">
        <v>198</v>
      </c>
      <c r="B200" s="621" t="s">
        <v>69</v>
      </c>
      <c r="C200" s="606" t="s">
        <v>265</v>
      </c>
      <c r="D200" s="606" t="s">
        <v>321</v>
      </c>
      <c r="E200" s="621" t="s">
        <v>322</v>
      </c>
      <c r="F200" s="635" t="s">
        <v>323</v>
      </c>
      <c r="G200" s="621"/>
      <c r="H200" s="635" t="s">
        <v>324</v>
      </c>
      <c r="I200" s="621"/>
      <c r="J200" s="621" t="s">
        <v>98</v>
      </c>
    </row>
    <row r="201" spans="1:10" s="230" customFormat="1" ht="15" customHeight="1" x14ac:dyDescent="0.25">
      <c r="A201" s="621"/>
      <c r="B201" s="621"/>
      <c r="C201" s="621"/>
      <c r="D201" s="621"/>
      <c r="E201" s="621"/>
      <c r="F201" s="398" t="s">
        <v>325</v>
      </c>
      <c r="G201" s="398" t="s">
        <v>326</v>
      </c>
      <c r="H201" s="398" t="s">
        <v>325</v>
      </c>
      <c r="I201" s="398" t="s">
        <v>326</v>
      </c>
      <c r="J201" s="621"/>
    </row>
    <row r="202" spans="1:10" s="230" customFormat="1" ht="26.1" customHeight="1" x14ac:dyDescent="0.25">
      <c r="A202" s="395" t="s">
        <v>309</v>
      </c>
      <c r="B202" s="237" t="s">
        <v>471</v>
      </c>
      <c r="C202" s="395" t="s">
        <v>384</v>
      </c>
      <c r="D202" s="395" t="s">
        <v>472</v>
      </c>
      <c r="E202" s="239">
        <v>1</v>
      </c>
      <c r="F202" s="419">
        <v>1</v>
      </c>
      <c r="G202" s="419">
        <v>0</v>
      </c>
      <c r="H202" s="253">
        <v>306.78179999999998</v>
      </c>
      <c r="I202" s="253">
        <v>114.9179</v>
      </c>
      <c r="J202" s="253">
        <v>306.78179999999998</v>
      </c>
    </row>
    <row r="203" spans="1:10" s="230" customFormat="1" ht="20.100000000000001" customHeight="1" x14ac:dyDescent="0.25">
      <c r="A203" s="622"/>
      <c r="B203" s="622"/>
      <c r="C203" s="622"/>
      <c r="D203" s="622"/>
      <c r="E203" s="622"/>
      <c r="F203" s="622" t="s">
        <v>328</v>
      </c>
      <c r="G203" s="622"/>
      <c r="H203" s="622"/>
      <c r="I203" s="622"/>
      <c r="J203" s="254">
        <v>306.78179999999998</v>
      </c>
    </row>
    <row r="204" spans="1:10" s="230" customFormat="1" ht="20.100000000000001" customHeight="1" x14ac:dyDescent="0.25">
      <c r="A204" s="390" t="s">
        <v>221</v>
      </c>
      <c r="B204" s="398" t="s">
        <v>69</v>
      </c>
      <c r="C204" s="390" t="s">
        <v>265</v>
      </c>
      <c r="D204" s="390" t="s">
        <v>329</v>
      </c>
      <c r="E204" s="398" t="s">
        <v>322</v>
      </c>
      <c r="F204" s="621" t="s">
        <v>330</v>
      </c>
      <c r="G204" s="621"/>
      <c r="H204" s="621"/>
      <c r="I204" s="621"/>
      <c r="J204" s="398" t="s">
        <v>98</v>
      </c>
    </row>
    <row r="205" spans="1:10" s="230" customFormat="1" ht="24" customHeight="1" x14ac:dyDescent="0.25">
      <c r="A205" s="395" t="s">
        <v>309</v>
      </c>
      <c r="B205" s="237" t="s">
        <v>331</v>
      </c>
      <c r="C205" s="395" t="s">
        <v>384</v>
      </c>
      <c r="D205" s="395" t="s">
        <v>332</v>
      </c>
      <c r="E205" s="239">
        <v>3</v>
      </c>
      <c r="F205" s="395"/>
      <c r="G205" s="395"/>
      <c r="H205" s="395"/>
      <c r="I205" s="253">
        <v>19.4495</v>
      </c>
      <c r="J205" s="253">
        <v>58.348500000000001</v>
      </c>
    </row>
    <row r="206" spans="1:10" s="230" customFormat="1" ht="20.100000000000001" customHeight="1" x14ac:dyDescent="0.25">
      <c r="A206" s="622"/>
      <c r="B206" s="622"/>
      <c r="C206" s="622"/>
      <c r="D206" s="622"/>
      <c r="E206" s="622"/>
      <c r="F206" s="622" t="s">
        <v>333</v>
      </c>
      <c r="G206" s="622"/>
      <c r="H206" s="622"/>
      <c r="I206" s="622"/>
      <c r="J206" s="254">
        <v>58.348500000000001</v>
      </c>
    </row>
    <row r="207" spans="1:10" s="230" customFormat="1" ht="20.100000000000001" customHeight="1" x14ac:dyDescent="0.25">
      <c r="A207" s="622"/>
      <c r="B207" s="622"/>
      <c r="C207" s="622"/>
      <c r="D207" s="622"/>
      <c r="E207" s="622"/>
      <c r="F207" s="622" t="s">
        <v>378</v>
      </c>
      <c r="G207" s="622"/>
      <c r="H207" s="622"/>
      <c r="I207" s="622"/>
      <c r="J207" s="254">
        <v>0</v>
      </c>
    </row>
    <row r="208" spans="1:10" s="230" customFormat="1" ht="20.100000000000001" customHeight="1" x14ac:dyDescent="0.25">
      <c r="A208" s="622"/>
      <c r="B208" s="622"/>
      <c r="C208" s="622"/>
      <c r="D208" s="622"/>
      <c r="E208" s="622"/>
      <c r="F208" s="622" t="s">
        <v>334</v>
      </c>
      <c r="G208" s="622"/>
      <c r="H208" s="622"/>
      <c r="I208" s="622"/>
      <c r="J208" s="254">
        <v>365.13029999999998</v>
      </c>
    </row>
    <row r="209" spans="1:10" s="230" customFormat="1" ht="20.100000000000001" customHeight="1" x14ac:dyDescent="0.25">
      <c r="A209" s="622"/>
      <c r="B209" s="622"/>
      <c r="C209" s="622"/>
      <c r="D209" s="622"/>
      <c r="E209" s="622"/>
      <c r="F209" s="622" t="s">
        <v>335</v>
      </c>
      <c r="G209" s="622"/>
      <c r="H209" s="622"/>
      <c r="I209" s="622"/>
      <c r="J209" s="254">
        <v>0</v>
      </c>
    </row>
    <row r="210" spans="1:10" s="230" customFormat="1" ht="20.100000000000001" customHeight="1" x14ac:dyDescent="0.25">
      <c r="A210" s="622"/>
      <c r="B210" s="622"/>
      <c r="C210" s="622"/>
      <c r="D210" s="622"/>
      <c r="E210" s="622"/>
      <c r="F210" s="622" t="s">
        <v>336</v>
      </c>
      <c r="G210" s="622"/>
      <c r="H210" s="622"/>
      <c r="I210" s="622"/>
      <c r="J210" s="254">
        <v>0</v>
      </c>
    </row>
    <row r="211" spans="1:10" s="230" customFormat="1" ht="20.100000000000001" customHeight="1" x14ac:dyDescent="0.25">
      <c r="A211" s="622"/>
      <c r="B211" s="622"/>
      <c r="C211" s="622"/>
      <c r="D211" s="622"/>
      <c r="E211" s="622"/>
      <c r="F211" s="622" t="s">
        <v>337</v>
      </c>
      <c r="G211" s="622"/>
      <c r="H211" s="622"/>
      <c r="I211" s="622"/>
      <c r="J211" s="254">
        <v>3.1124999999999998</v>
      </c>
    </row>
    <row r="212" spans="1:10" s="230" customFormat="1" ht="20.100000000000001" customHeight="1" x14ac:dyDescent="0.25">
      <c r="A212" s="622"/>
      <c r="B212" s="622"/>
      <c r="C212" s="622"/>
      <c r="D212" s="622"/>
      <c r="E212" s="622"/>
      <c r="F212" s="622" t="s">
        <v>338</v>
      </c>
      <c r="G212" s="622"/>
      <c r="H212" s="622"/>
      <c r="I212" s="622"/>
      <c r="J212" s="254">
        <v>117.3109</v>
      </c>
    </row>
    <row r="213" spans="1:10" s="230" customFormat="1" ht="20.100000000000001" customHeight="1" x14ac:dyDescent="0.25">
      <c r="A213" s="390" t="s">
        <v>232</v>
      </c>
      <c r="B213" s="398" t="s">
        <v>265</v>
      </c>
      <c r="C213" s="390" t="s">
        <v>69</v>
      </c>
      <c r="D213" s="390" t="s">
        <v>312</v>
      </c>
      <c r="E213" s="398" t="s">
        <v>322</v>
      </c>
      <c r="F213" s="398" t="s">
        <v>344</v>
      </c>
      <c r="G213" s="621" t="s">
        <v>345</v>
      </c>
      <c r="H213" s="621"/>
      <c r="I213" s="621"/>
      <c r="J213" s="398" t="s">
        <v>98</v>
      </c>
    </row>
    <row r="214" spans="1:10" s="230" customFormat="1" ht="24" customHeight="1" x14ac:dyDescent="0.25">
      <c r="A214" s="395" t="s">
        <v>309</v>
      </c>
      <c r="B214" s="237" t="s">
        <v>384</v>
      </c>
      <c r="C214" s="395" t="s">
        <v>473</v>
      </c>
      <c r="D214" s="395" t="s">
        <v>474</v>
      </c>
      <c r="E214" s="239">
        <v>1</v>
      </c>
      <c r="F214" s="238" t="s">
        <v>24</v>
      </c>
      <c r="G214" s="633">
        <v>424.38979999999998</v>
      </c>
      <c r="H214" s="633"/>
      <c r="I214" s="611"/>
      <c r="J214" s="253">
        <v>424.38979999999998</v>
      </c>
    </row>
    <row r="215" spans="1:10" s="230" customFormat="1" ht="20.100000000000001" customHeight="1" x14ac:dyDescent="0.25">
      <c r="A215" s="622"/>
      <c r="B215" s="622"/>
      <c r="C215" s="622"/>
      <c r="D215" s="622"/>
      <c r="E215" s="622"/>
      <c r="F215" s="622" t="s">
        <v>475</v>
      </c>
      <c r="G215" s="622"/>
      <c r="H215" s="622"/>
      <c r="I215" s="622"/>
      <c r="J215" s="254">
        <v>424.38979999999998</v>
      </c>
    </row>
    <row r="216" spans="1:10" s="230" customFormat="1" ht="20.100000000000001" customHeight="1" x14ac:dyDescent="0.25">
      <c r="A216" s="390" t="s">
        <v>239</v>
      </c>
      <c r="B216" s="398" t="s">
        <v>265</v>
      </c>
      <c r="C216" s="390" t="s">
        <v>69</v>
      </c>
      <c r="D216" s="390" t="s">
        <v>343</v>
      </c>
      <c r="E216" s="398" t="s">
        <v>322</v>
      </c>
      <c r="F216" s="398" t="s">
        <v>344</v>
      </c>
      <c r="G216" s="621" t="s">
        <v>345</v>
      </c>
      <c r="H216" s="621"/>
      <c r="I216" s="621"/>
      <c r="J216" s="398" t="s">
        <v>98</v>
      </c>
    </row>
    <row r="217" spans="1:10" s="230" customFormat="1" ht="26.1" customHeight="1" x14ac:dyDescent="0.25">
      <c r="A217" s="395" t="s">
        <v>346</v>
      </c>
      <c r="B217" s="237" t="s">
        <v>384</v>
      </c>
      <c r="C217" s="395">
        <v>1109670</v>
      </c>
      <c r="D217" s="395" t="s">
        <v>476</v>
      </c>
      <c r="E217" s="239">
        <v>7.3499999999999998E-3</v>
      </c>
      <c r="F217" s="238" t="s">
        <v>38</v>
      </c>
      <c r="G217" s="633">
        <v>321.86</v>
      </c>
      <c r="H217" s="633"/>
      <c r="I217" s="611"/>
      <c r="J217" s="253">
        <v>2.3656999999999999</v>
      </c>
    </row>
    <row r="218" spans="1:10" s="230" customFormat="1" ht="39" customHeight="1" x14ac:dyDescent="0.25">
      <c r="A218" s="395" t="s">
        <v>346</v>
      </c>
      <c r="B218" s="237" t="s">
        <v>384</v>
      </c>
      <c r="C218" s="395">
        <v>1106164</v>
      </c>
      <c r="D218" s="395" t="s">
        <v>477</v>
      </c>
      <c r="E218" s="239">
        <v>0.40200000000000002</v>
      </c>
      <c r="F218" s="238" t="s">
        <v>38</v>
      </c>
      <c r="G218" s="633">
        <v>251.92</v>
      </c>
      <c r="H218" s="633"/>
      <c r="I218" s="611"/>
      <c r="J218" s="253">
        <v>101.2718</v>
      </c>
    </row>
    <row r="219" spans="1:10" s="230" customFormat="1" ht="39" customHeight="1" x14ac:dyDescent="0.25">
      <c r="A219" s="395" t="s">
        <v>346</v>
      </c>
      <c r="B219" s="237" t="s">
        <v>384</v>
      </c>
      <c r="C219" s="395">
        <v>3103302</v>
      </c>
      <c r="D219" s="395" t="s">
        <v>469</v>
      </c>
      <c r="E219" s="239">
        <v>0.8</v>
      </c>
      <c r="F219" s="238" t="s">
        <v>27</v>
      </c>
      <c r="G219" s="633">
        <v>75.72</v>
      </c>
      <c r="H219" s="633"/>
      <c r="I219" s="611"/>
      <c r="J219" s="253">
        <v>60.576000000000001</v>
      </c>
    </row>
    <row r="220" spans="1:10" s="230" customFormat="1" ht="20.100000000000001" customHeight="1" x14ac:dyDescent="0.25">
      <c r="A220" s="622"/>
      <c r="B220" s="622"/>
      <c r="C220" s="622"/>
      <c r="D220" s="622"/>
      <c r="E220" s="622"/>
      <c r="F220" s="622" t="s">
        <v>348</v>
      </c>
      <c r="G220" s="622"/>
      <c r="H220" s="622"/>
      <c r="I220" s="622"/>
      <c r="J220" s="254">
        <v>164.21350000000001</v>
      </c>
    </row>
    <row r="221" spans="1:10" s="230" customFormat="1" ht="20.100000000000001" customHeight="1" x14ac:dyDescent="0.25">
      <c r="A221" s="390" t="s">
        <v>478</v>
      </c>
      <c r="B221" s="398" t="s">
        <v>265</v>
      </c>
      <c r="C221" s="390" t="s">
        <v>309</v>
      </c>
      <c r="D221" s="390" t="s">
        <v>479</v>
      </c>
      <c r="E221" s="398" t="s">
        <v>322</v>
      </c>
      <c r="F221" s="398" t="s">
        <v>344</v>
      </c>
      <c r="G221" s="635" t="s">
        <v>480</v>
      </c>
      <c r="H221" s="621"/>
      <c r="I221" s="621"/>
      <c r="J221" s="398" t="s">
        <v>98</v>
      </c>
    </row>
    <row r="222" spans="1:10" s="230" customFormat="1" ht="20.100000000000001" customHeight="1" x14ac:dyDescent="0.25">
      <c r="A222" s="229"/>
      <c r="B222" s="229"/>
      <c r="C222" s="229"/>
      <c r="D222" s="229"/>
      <c r="E222" s="229"/>
      <c r="F222" s="229"/>
      <c r="G222" s="229" t="s">
        <v>481</v>
      </c>
      <c r="H222" s="229" t="s">
        <v>482</v>
      </c>
      <c r="I222" s="229" t="s">
        <v>483</v>
      </c>
      <c r="J222" s="229"/>
    </row>
    <row r="223" spans="1:10" s="230" customFormat="1" ht="50.1" customHeight="1" x14ac:dyDescent="0.25">
      <c r="A223" s="395" t="s">
        <v>479</v>
      </c>
      <c r="B223" s="237" t="s">
        <v>384</v>
      </c>
      <c r="C223" s="395" t="s">
        <v>473</v>
      </c>
      <c r="D223" s="395" t="s">
        <v>484</v>
      </c>
      <c r="E223" s="239">
        <v>0.78666999999999998</v>
      </c>
      <c r="F223" s="238" t="s">
        <v>285</v>
      </c>
      <c r="G223" s="237" t="s">
        <v>485</v>
      </c>
      <c r="H223" s="237" t="s">
        <v>486</v>
      </c>
      <c r="I223" s="237" t="s">
        <v>487</v>
      </c>
      <c r="J223" s="253">
        <v>0</v>
      </c>
    </row>
    <row r="224" spans="1:10" s="230" customFormat="1" ht="20.100000000000001" customHeight="1" x14ac:dyDescent="0.25">
      <c r="A224" s="622"/>
      <c r="B224" s="622"/>
      <c r="C224" s="622"/>
      <c r="D224" s="622"/>
      <c r="E224" s="622"/>
      <c r="F224" s="622" t="s">
        <v>488</v>
      </c>
      <c r="G224" s="622"/>
      <c r="H224" s="622"/>
      <c r="I224" s="622"/>
      <c r="J224" s="254">
        <v>0</v>
      </c>
    </row>
    <row r="225" spans="1:10" s="230" customFormat="1" x14ac:dyDescent="0.25">
      <c r="A225" s="396"/>
      <c r="B225" s="396"/>
      <c r="C225" s="396"/>
      <c r="D225" s="396"/>
      <c r="E225" s="396"/>
      <c r="F225" s="255"/>
      <c r="G225" s="396"/>
      <c r="H225" s="255"/>
      <c r="I225" s="396"/>
      <c r="J225" s="255"/>
    </row>
    <row r="226" spans="1:10" s="230" customFormat="1" x14ac:dyDescent="0.25">
      <c r="A226" s="396"/>
      <c r="B226" s="396"/>
      <c r="C226" s="396"/>
      <c r="D226" s="396"/>
      <c r="E226" s="396"/>
      <c r="F226" s="255"/>
      <c r="G226" s="396"/>
      <c r="H226" s="627" t="s">
        <v>301</v>
      </c>
      <c r="I226" s="627"/>
      <c r="J226" s="255">
        <v>860.92</v>
      </c>
    </row>
    <row r="227" spans="1:10" s="230" customFormat="1" ht="30" customHeight="1" thickBot="1" x14ac:dyDescent="0.3">
      <c r="A227" s="397"/>
      <c r="B227" s="397"/>
      <c r="C227" s="397"/>
      <c r="D227" s="397"/>
      <c r="E227" s="397"/>
      <c r="F227" s="397"/>
      <c r="G227" s="397"/>
      <c r="H227" s="417"/>
      <c r="I227" s="397"/>
      <c r="J227" s="418"/>
    </row>
    <row r="228" spans="1:10" s="230" customFormat="1" ht="0.95" customHeight="1" thickTop="1" x14ac:dyDescent="0.25">
      <c r="A228" s="244"/>
      <c r="B228" s="244"/>
      <c r="C228" s="244"/>
      <c r="D228" s="244"/>
      <c r="E228" s="244"/>
      <c r="F228" s="244"/>
      <c r="G228" s="244"/>
      <c r="H228" s="244"/>
      <c r="I228" s="244"/>
      <c r="J228" s="244"/>
    </row>
    <row r="229" spans="1:10" s="230" customFormat="1" ht="18" customHeight="1" x14ac:dyDescent="0.25">
      <c r="A229" s="390" t="s">
        <v>489</v>
      </c>
      <c r="B229" s="398" t="s">
        <v>69</v>
      </c>
      <c r="C229" s="390" t="s">
        <v>265</v>
      </c>
      <c r="D229" s="390" t="s">
        <v>80</v>
      </c>
      <c r="E229" s="606" t="s">
        <v>295</v>
      </c>
      <c r="F229" s="606"/>
      <c r="G229" s="229" t="s">
        <v>266</v>
      </c>
      <c r="H229" s="398" t="s">
        <v>267</v>
      </c>
      <c r="I229" s="398" t="s">
        <v>268</v>
      </c>
      <c r="J229" s="398" t="s">
        <v>81</v>
      </c>
    </row>
    <row r="230" spans="1:10" s="230" customFormat="1" ht="26.1" customHeight="1" x14ac:dyDescent="0.25">
      <c r="A230" s="394" t="s">
        <v>296</v>
      </c>
      <c r="B230" s="232" t="s">
        <v>455</v>
      </c>
      <c r="C230" s="394" t="s">
        <v>384</v>
      </c>
      <c r="D230" s="394" t="s">
        <v>456</v>
      </c>
      <c r="E230" s="613" t="s">
        <v>288</v>
      </c>
      <c r="F230" s="613"/>
      <c r="G230" s="233" t="s">
        <v>38</v>
      </c>
      <c r="H230" s="234">
        <v>1</v>
      </c>
      <c r="I230" s="252">
        <v>6.74</v>
      </c>
      <c r="J230" s="252">
        <v>6.74</v>
      </c>
    </row>
    <row r="231" spans="1:10" s="230" customFormat="1" ht="15" customHeight="1" x14ac:dyDescent="0.25">
      <c r="A231" s="606" t="s">
        <v>198</v>
      </c>
      <c r="B231" s="621" t="s">
        <v>69</v>
      </c>
      <c r="C231" s="606" t="s">
        <v>265</v>
      </c>
      <c r="D231" s="606" t="s">
        <v>321</v>
      </c>
      <c r="E231" s="621" t="s">
        <v>322</v>
      </c>
      <c r="F231" s="635" t="s">
        <v>323</v>
      </c>
      <c r="G231" s="621"/>
      <c r="H231" s="635" t="s">
        <v>324</v>
      </c>
      <c r="I231" s="621"/>
      <c r="J231" s="621" t="s">
        <v>98</v>
      </c>
    </row>
    <row r="232" spans="1:10" s="230" customFormat="1" ht="15" customHeight="1" x14ac:dyDescent="0.25">
      <c r="A232" s="621"/>
      <c r="B232" s="621"/>
      <c r="C232" s="621"/>
      <c r="D232" s="621"/>
      <c r="E232" s="621"/>
      <c r="F232" s="398" t="s">
        <v>325</v>
      </c>
      <c r="G232" s="398" t="s">
        <v>326</v>
      </c>
      <c r="H232" s="398" t="s">
        <v>325</v>
      </c>
      <c r="I232" s="398" t="s">
        <v>326</v>
      </c>
      <c r="J232" s="621"/>
    </row>
    <row r="233" spans="1:10" s="230" customFormat="1" ht="26.1" customHeight="1" x14ac:dyDescent="0.25">
      <c r="A233" s="395" t="s">
        <v>309</v>
      </c>
      <c r="B233" s="237" t="s">
        <v>490</v>
      </c>
      <c r="C233" s="395" t="s">
        <v>384</v>
      </c>
      <c r="D233" s="395" t="s">
        <v>491</v>
      </c>
      <c r="E233" s="239">
        <v>1</v>
      </c>
      <c r="F233" s="419">
        <v>1</v>
      </c>
      <c r="G233" s="419">
        <v>0</v>
      </c>
      <c r="H233" s="253">
        <v>152.83949999999999</v>
      </c>
      <c r="I233" s="253">
        <v>76.347899999999996</v>
      </c>
      <c r="J233" s="253">
        <v>152.83949999999999</v>
      </c>
    </row>
    <row r="234" spans="1:10" s="230" customFormat="1" ht="20.100000000000001" customHeight="1" x14ac:dyDescent="0.25">
      <c r="A234" s="622"/>
      <c r="B234" s="622"/>
      <c r="C234" s="622"/>
      <c r="D234" s="622"/>
      <c r="E234" s="622"/>
      <c r="F234" s="622" t="s">
        <v>328</v>
      </c>
      <c r="G234" s="622"/>
      <c r="H234" s="622"/>
      <c r="I234" s="622"/>
      <c r="J234" s="254">
        <v>152.83949999999999</v>
      </c>
    </row>
    <row r="235" spans="1:10" s="230" customFormat="1" ht="20.100000000000001" customHeight="1" x14ac:dyDescent="0.25">
      <c r="A235" s="390" t="s">
        <v>221</v>
      </c>
      <c r="B235" s="398" t="s">
        <v>69</v>
      </c>
      <c r="C235" s="390" t="s">
        <v>265</v>
      </c>
      <c r="D235" s="390" t="s">
        <v>329</v>
      </c>
      <c r="E235" s="398" t="s">
        <v>322</v>
      </c>
      <c r="F235" s="621" t="s">
        <v>330</v>
      </c>
      <c r="G235" s="621"/>
      <c r="H235" s="621"/>
      <c r="I235" s="621"/>
      <c r="J235" s="398" t="s">
        <v>98</v>
      </c>
    </row>
    <row r="236" spans="1:10" s="230" customFormat="1" ht="24" customHeight="1" x14ac:dyDescent="0.25">
      <c r="A236" s="395" t="s">
        <v>309</v>
      </c>
      <c r="B236" s="237" t="s">
        <v>331</v>
      </c>
      <c r="C236" s="395" t="s">
        <v>384</v>
      </c>
      <c r="D236" s="395" t="s">
        <v>332</v>
      </c>
      <c r="E236" s="239">
        <v>1</v>
      </c>
      <c r="F236" s="395"/>
      <c r="G236" s="395"/>
      <c r="H236" s="395"/>
      <c r="I236" s="253">
        <v>19.4495</v>
      </c>
      <c r="J236" s="253">
        <v>19.4495</v>
      </c>
    </row>
    <row r="237" spans="1:10" s="230" customFormat="1" ht="20.100000000000001" customHeight="1" x14ac:dyDescent="0.25">
      <c r="A237" s="622"/>
      <c r="B237" s="622"/>
      <c r="C237" s="622"/>
      <c r="D237" s="622"/>
      <c r="E237" s="622"/>
      <c r="F237" s="622" t="s">
        <v>333</v>
      </c>
      <c r="G237" s="622"/>
      <c r="H237" s="622"/>
      <c r="I237" s="622"/>
      <c r="J237" s="254">
        <v>19.4495</v>
      </c>
    </row>
    <row r="238" spans="1:10" s="230" customFormat="1" ht="20.100000000000001" customHeight="1" x14ac:dyDescent="0.25">
      <c r="A238" s="622"/>
      <c r="B238" s="622"/>
      <c r="C238" s="622"/>
      <c r="D238" s="622"/>
      <c r="E238" s="622"/>
      <c r="F238" s="622" t="s">
        <v>378</v>
      </c>
      <c r="G238" s="622"/>
      <c r="H238" s="622"/>
      <c r="I238" s="622"/>
      <c r="J238" s="254">
        <v>0</v>
      </c>
    </row>
    <row r="239" spans="1:10" s="230" customFormat="1" ht="20.100000000000001" customHeight="1" x14ac:dyDescent="0.25">
      <c r="A239" s="622"/>
      <c r="B239" s="622"/>
      <c r="C239" s="622"/>
      <c r="D239" s="622"/>
      <c r="E239" s="622"/>
      <c r="F239" s="622" t="s">
        <v>334</v>
      </c>
      <c r="G239" s="622"/>
      <c r="H239" s="622"/>
      <c r="I239" s="622"/>
      <c r="J239" s="254">
        <v>172.28899999999999</v>
      </c>
    </row>
    <row r="240" spans="1:10" s="230" customFormat="1" ht="20.100000000000001" customHeight="1" x14ac:dyDescent="0.25">
      <c r="A240" s="622"/>
      <c r="B240" s="622"/>
      <c r="C240" s="622"/>
      <c r="D240" s="622"/>
      <c r="E240" s="622"/>
      <c r="F240" s="622" t="s">
        <v>335</v>
      </c>
      <c r="G240" s="622"/>
      <c r="H240" s="622"/>
      <c r="I240" s="622"/>
      <c r="J240" s="254">
        <v>1.7299999999999999E-2</v>
      </c>
    </row>
    <row r="241" spans="1:10" s="230" customFormat="1" ht="20.100000000000001" customHeight="1" x14ac:dyDescent="0.25">
      <c r="A241" s="622"/>
      <c r="B241" s="622"/>
      <c r="C241" s="622"/>
      <c r="D241" s="622"/>
      <c r="E241" s="622"/>
      <c r="F241" s="622" t="s">
        <v>336</v>
      </c>
      <c r="G241" s="622"/>
      <c r="H241" s="622"/>
      <c r="I241" s="622"/>
      <c r="J241" s="254">
        <v>0.1145</v>
      </c>
    </row>
    <row r="242" spans="1:10" s="230" customFormat="1" ht="20.100000000000001" customHeight="1" x14ac:dyDescent="0.25">
      <c r="A242" s="622"/>
      <c r="B242" s="622"/>
      <c r="C242" s="622"/>
      <c r="D242" s="622"/>
      <c r="E242" s="622"/>
      <c r="F242" s="622" t="s">
        <v>337</v>
      </c>
      <c r="G242" s="622"/>
      <c r="H242" s="622"/>
      <c r="I242" s="622"/>
      <c r="J242" s="254">
        <v>26</v>
      </c>
    </row>
    <row r="243" spans="1:10" s="230" customFormat="1" ht="20.100000000000001" customHeight="1" x14ac:dyDescent="0.25">
      <c r="A243" s="622"/>
      <c r="B243" s="622"/>
      <c r="C243" s="622"/>
      <c r="D243" s="622"/>
      <c r="E243" s="622"/>
      <c r="F243" s="622" t="s">
        <v>338</v>
      </c>
      <c r="G243" s="622"/>
      <c r="H243" s="622"/>
      <c r="I243" s="622"/>
      <c r="J243" s="254">
        <v>6.6265000000000001</v>
      </c>
    </row>
    <row r="244" spans="1:10" s="230" customFormat="1" x14ac:dyDescent="0.25">
      <c r="A244" s="396"/>
      <c r="B244" s="396"/>
      <c r="C244" s="396"/>
      <c r="D244" s="396"/>
      <c r="E244" s="396"/>
      <c r="F244" s="255"/>
      <c r="G244" s="396"/>
      <c r="H244" s="255"/>
      <c r="I244" s="396"/>
      <c r="J244" s="255"/>
    </row>
    <row r="245" spans="1:10" s="230" customFormat="1" x14ac:dyDescent="0.25">
      <c r="A245" s="396"/>
      <c r="B245" s="396"/>
      <c r="C245" s="396"/>
      <c r="D245" s="396"/>
      <c r="E245" s="396"/>
      <c r="F245" s="255"/>
      <c r="G245" s="396"/>
      <c r="H245" s="627" t="s">
        <v>301</v>
      </c>
      <c r="I245" s="627"/>
      <c r="J245" s="255">
        <v>8.2200000000000006</v>
      </c>
    </row>
    <row r="246" spans="1:10" s="230" customFormat="1" ht="30" customHeight="1" thickBot="1" x14ac:dyDescent="0.3">
      <c r="A246" s="397"/>
      <c r="B246" s="397"/>
      <c r="C246" s="397"/>
      <c r="D246" s="397"/>
      <c r="E246" s="397"/>
      <c r="F246" s="397"/>
      <c r="G246" s="397"/>
      <c r="H246" s="417"/>
      <c r="I246" s="397"/>
      <c r="J246" s="418"/>
    </row>
    <row r="247" spans="1:10" s="230" customFormat="1" ht="0.95" customHeight="1" thickTop="1" x14ac:dyDescent="0.25">
      <c r="A247" s="244"/>
      <c r="B247" s="244"/>
      <c r="C247" s="244"/>
      <c r="D247" s="244"/>
      <c r="E247" s="244"/>
      <c r="F247" s="244"/>
      <c r="G247" s="244"/>
      <c r="H247" s="244"/>
      <c r="I247" s="244"/>
      <c r="J247" s="244"/>
    </row>
    <row r="248" spans="1:10" s="230" customFormat="1" ht="18" customHeight="1" x14ac:dyDescent="0.25">
      <c r="A248" s="390" t="s">
        <v>492</v>
      </c>
      <c r="B248" s="398" t="s">
        <v>69</v>
      </c>
      <c r="C248" s="390" t="s">
        <v>265</v>
      </c>
      <c r="D248" s="390" t="s">
        <v>80</v>
      </c>
      <c r="E248" s="606" t="s">
        <v>295</v>
      </c>
      <c r="F248" s="606"/>
      <c r="G248" s="229" t="s">
        <v>266</v>
      </c>
      <c r="H248" s="398" t="s">
        <v>267</v>
      </c>
      <c r="I248" s="398" t="s">
        <v>268</v>
      </c>
      <c r="J248" s="398" t="s">
        <v>81</v>
      </c>
    </row>
    <row r="249" spans="1:10" s="230" customFormat="1" ht="24" customHeight="1" x14ac:dyDescent="0.25">
      <c r="A249" s="394" t="s">
        <v>296</v>
      </c>
      <c r="B249" s="232" t="s">
        <v>457</v>
      </c>
      <c r="C249" s="394" t="s">
        <v>384</v>
      </c>
      <c r="D249" s="394" t="s">
        <v>458</v>
      </c>
      <c r="E249" s="613" t="s">
        <v>288</v>
      </c>
      <c r="F249" s="613"/>
      <c r="G249" s="233" t="s">
        <v>38</v>
      </c>
      <c r="H249" s="234">
        <v>1</v>
      </c>
      <c r="I249" s="252">
        <v>15.44</v>
      </c>
      <c r="J249" s="252">
        <v>15.44</v>
      </c>
    </row>
    <row r="250" spans="1:10" s="230" customFormat="1" ht="15" customHeight="1" x14ac:dyDescent="0.25">
      <c r="A250" s="606" t="s">
        <v>198</v>
      </c>
      <c r="B250" s="621" t="s">
        <v>69</v>
      </c>
      <c r="C250" s="606" t="s">
        <v>265</v>
      </c>
      <c r="D250" s="606" t="s">
        <v>321</v>
      </c>
      <c r="E250" s="621" t="s">
        <v>322</v>
      </c>
      <c r="F250" s="635" t="s">
        <v>323</v>
      </c>
      <c r="G250" s="621"/>
      <c r="H250" s="635" t="s">
        <v>324</v>
      </c>
      <c r="I250" s="621"/>
      <c r="J250" s="621" t="s">
        <v>98</v>
      </c>
    </row>
    <row r="251" spans="1:10" s="230" customFormat="1" ht="15" customHeight="1" x14ac:dyDescent="0.25">
      <c r="A251" s="621"/>
      <c r="B251" s="621"/>
      <c r="C251" s="621"/>
      <c r="D251" s="621"/>
      <c r="E251" s="621"/>
      <c r="F251" s="398" t="s">
        <v>325</v>
      </c>
      <c r="G251" s="398" t="s">
        <v>326</v>
      </c>
      <c r="H251" s="398" t="s">
        <v>325</v>
      </c>
      <c r="I251" s="398" t="s">
        <v>326</v>
      </c>
      <c r="J251" s="621"/>
    </row>
    <row r="252" spans="1:10" s="230" customFormat="1" ht="26.1" customHeight="1" x14ac:dyDescent="0.25">
      <c r="A252" s="395" t="s">
        <v>309</v>
      </c>
      <c r="B252" s="237" t="s">
        <v>493</v>
      </c>
      <c r="C252" s="395" t="s">
        <v>384</v>
      </c>
      <c r="D252" s="395" t="s">
        <v>494</v>
      </c>
      <c r="E252" s="239">
        <v>1</v>
      </c>
      <c r="F252" s="419">
        <v>1</v>
      </c>
      <c r="G252" s="419">
        <v>0</v>
      </c>
      <c r="H252" s="253">
        <v>9.1560000000000006</v>
      </c>
      <c r="I252" s="253">
        <v>1.048</v>
      </c>
      <c r="J252" s="253">
        <v>9.1560000000000006</v>
      </c>
    </row>
    <row r="253" spans="1:10" s="230" customFormat="1" ht="20.100000000000001" customHeight="1" x14ac:dyDescent="0.25">
      <c r="A253" s="622"/>
      <c r="B253" s="622"/>
      <c r="C253" s="622"/>
      <c r="D253" s="622"/>
      <c r="E253" s="622"/>
      <c r="F253" s="622" t="s">
        <v>328</v>
      </c>
      <c r="G253" s="622"/>
      <c r="H253" s="622"/>
      <c r="I253" s="622"/>
      <c r="J253" s="254">
        <v>9.1560000000000006</v>
      </c>
    </row>
    <row r="254" spans="1:10" s="230" customFormat="1" ht="20.100000000000001" customHeight="1" x14ac:dyDescent="0.25">
      <c r="A254" s="390" t="s">
        <v>221</v>
      </c>
      <c r="B254" s="398" t="s">
        <v>69</v>
      </c>
      <c r="C254" s="390" t="s">
        <v>265</v>
      </c>
      <c r="D254" s="390" t="s">
        <v>329</v>
      </c>
      <c r="E254" s="398" t="s">
        <v>322</v>
      </c>
      <c r="F254" s="621" t="s">
        <v>330</v>
      </c>
      <c r="G254" s="621"/>
      <c r="H254" s="621"/>
      <c r="I254" s="621"/>
      <c r="J254" s="398" t="s">
        <v>98</v>
      </c>
    </row>
    <row r="255" spans="1:10" s="230" customFormat="1" ht="24" customHeight="1" x14ac:dyDescent="0.25">
      <c r="A255" s="395" t="s">
        <v>309</v>
      </c>
      <c r="B255" s="237" t="s">
        <v>331</v>
      </c>
      <c r="C255" s="395" t="s">
        <v>384</v>
      </c>
      <c r="D255" s="395" t="s">
        <v>332</v>
      </c>
      <c r="E255" s="239">
        <v>2</v>
      </c>
      <c r="F255" s="395"/>
      <c r="G255" s="395"/>
      <c r="H255" s="395"/>
      <c r="I255" s="253">
        <v>19.4495</v>
      </c>
      <c r="J255" s="253">
        <v>38.899000000000001</v>
      </c>
    </row>
    <row r="256" spans="1:10" s="230" customFormat="1" ht="20.100000000000001" customHeight="1" x14ac:dyDescent="0.25">
      <c r="A256" s="622"/>
      <c r="B256" s="622"/>
      <c r="C256" s="622"/>
      <c r="D256" s="622"/>
      <c r="E256" s="622"/>
      <c r="F256" s="622" t="s">
        <v>333</v>
      </c>
      <c r="G256" s="622"/>
      <c r="H256" s="622"/>
      <c r="I256" s="622"/>
      <c r="J256" s="254">
        <v>38.899000000000001</v>
      </c>
    </row>
    <row r="257" spans="1:10" s="230" customFormat="1" ht="20.100000000000001" customHeight="1" x14ac:dyDescent="0.25">
      <c r="A257" s="622"/>
      <c r="B257" s="622"/>
      <c r="C257" s="622"/>
      <c r="D257" s="622"/>
      <c r="E257" s="622"/>
      <c r="F257" s="622" t="s">
        <v>378</v>
      </c>
      <c r="G257" s="622"/>
      <c r="H257" s="622"/>
      <c r="I257" s="622"/>
      <c r="J257" s="254">
        <v>0</v>
      </c>
    </row>
    <row r="258" spans="1:10" s="230" customFormat="1" ht="20.100000000000001" customHeight="1" x14ac:dyDescent="0.25">
      <c r="A258" s="622"/>
      <c r="B258" s="622"/>
      <c r="C258" s="622"/>
      <c r="D258" s="622"/>
      <c r="E258" s="622"/>
      <c r="F258" s="622" t="s">
        <v>334</v>
      </c>
      <c r="G258" s="622"/>
      <c r="H258" s="622"/>
      <c r="I258" s="622"/>
      <c r="J258" s="254">
        <v>48.055</v>
      </c>
    </row>
    <row r="259" spans="1:10" s="230" customFormat="1" ht="20.100000000000001" customHeight="1" x14ac:dyDescent="0.25">
      <c r="A259" s="622"/>
      <c r="B259" s="622"/>
      <c r="C259" s="622"/>
      <c r="D259" s="622"/>
      <c r="E259" s="622"/>
      <c r="F259" s="622" t="s">
        <v>335</v>
      </c>
      <c r="G259" s="622"/>
      <c r="H259" s="622"/>
      <c r="I259" s="622"/>
      <c r="J259" s="254">
        <v>0</v>
      </c>
    </row>
    <row r="260" spans="1:10" s="230" customFormat="1" ht="20.100000000000001" customHeight="1" x14ac:dyDescent="0.25">
      <c r="A260" s="622"/>
      <c r="B260" s="622"/>
      <c r="C260" s="622"/>
      <c r="D260" s="622"/>
      <c r="E260" s="622"/>
      <c r="F260" s="622" t="s">
        <v>336</v>
      </c>
      <c r="G260" s="622"/>
      <c r="H260" s="622"/>
      <c r="I260" s="622"/>
      <c r="J260" s="254">
        <v>0</v>
      </c>
    </row>
    <row r="261" spans="1:10" s="230" customFormat="1" ht="20.100000000000001" customHeight="1" x14ac:dyDescent="0.25">
      <c r="A261" s="622"/>
      <c r="B261" s="622"/>
      <c r="C261" s="622"/>
      <c r="D261" s="622"/>
      <c r="E261" s="622"/>
      <c r="F261" s="622" t="s">
        <v>337</v>
      </c>
      <c r="G261" s="622"/>
      <c r="H261" s="622"/>
      <c r="I261" s="622"/>
      <c r="J261" s="254">
        <v>3.1124999999999998</v>
      </c>
    </row>
    <row r="262" spans="1:10" s="230" customFormat="1" ht="20.100000000000001" customHeight="1" x14ac:dyDescent="0.25">
      <c r="A262" s="622"/>
      <c r="B262" s="622"/>
      <c r="C262" s="622"/>
      <c r="D262" s="622"/>
      <c r="E262" s="622"/>
      <c r="F262" s="622" t="s">
        <v>338</v>
      </c>
      <c r="G262" s="622"/>
      <c r="H262" s="622"/>
      <c r="I262" s="622"/>
      <c r="J262" s="254">
        <v>15.439399999999999</v>
      </c>
    </row>
    <row r="263" spans="1:10" s="230" customFormat="1" x14ac:dyDescent="0.25">
      <c r="A263" s="396"/>
      <c r="B263" s="396"/>
      <c r="C263" s="396"/>
      <c r="D263" s="396"/>
      <c r="E263" s="396"/>
      <c r="F263" s="255"/>
      <c r="G263" s="396"/>
      <c r="H263" s="255"/>
      <c r="I263" s="396"/>
      <c r="J263" s="255"/>
    </row>
    <row r="264" spans="1:10" s="230" customFormat="1" x14ac:dyDescent="0.25">
      <c r="A264" s="396"/>
      <c r="B264" s="396"/>
      <c r="C264" s="396"/>
      <c r="D264" s="396"/>
      <c r="E264" s="396"/>
      <c r="F264" s="255"/>
      <c r="G264" s="396"/>
      <c r="H264" s="627" t="s">
        <v>301</v>
      </c>
      <c r="I264" s="627"/>
      <c r="J264" s="255">
        <v>18.829999999999998</v>
      </c>
    </row>
    <row r="265" spans="1:10" s="230" customFormat="1" ht="30" customHeight="1" thickBot="1" x14ac:dyDescent="0.3">
      <c r="A265" s="397"/>
      <c r="B265" s="397"/>
      <c r="C265" s="397"/>
      <c r="D265" s="397"/>
      <c r="E265" s="397"/>
      <c r="F265" s="397"/>
      <c r="G265" s="397"/>
      <c r="H265" s="417"/>
      <c r="I265" s="397"/>
      <c r="J265" s="418"/>
    </row>
    <row r="266" spans="1:10" s="230" customFormat="1" ht="0.95" customHeight="1" thickTop="1" x14ac:dyDescent="0.25">
      <c r="A266" s="244"/>
      <c r="B266" s="244"/>
      <c r="C266" s="244"/>
      <c r="D266" s="244"/>
      <c r="E266" s="244"/>
      <c r="F266" s="244"/>
      <c r="G266" s="244"/>
      <c r="H266" s="244"/>
      <c r="I266" s="244"/>
      <c r="J266" s="244"/>
    </row>
    <row r="267" spans="1:10" s="230" customFormat="1" ht="24" customHeight="1" x14ac:dyDescent="0.25">
      <c r="A267" s="420" t="s">
        <v>495</v>
      </c>
      <c r="B267" s="420"/>
      <c r="C267" s="420"/>
      <c r="D267" s="420" t="s">
        <v>464</v>
      </c>
      <c r="E267" s="420"/>
      <c r="F267" s="636"/>
      <c r="G267" s="636"/>
      <c r="H267" s="421"/>
      <c r="I267" s="420"/>
      <c r="J267" s="422">
        <v>488.4</v>
      </c>
    </row>
    <row r="268" spans="1:10" s="230" customFormat="1" ht="18" customHeight="1" x14ac:dyDescent="0.25">
      <c r="A268" s="390" t="s">
        <v>496</v>
      </c>
      <c r="B268" s="398" t="s">
        <v>69</v>
      </c>
      <c r="C268" s="390" t="s">
        <v>265</v>
      </c>
      <c r="D268" s="390" t="s">
        <v>80</v>
      </c>
      <c r="E268" s="606" t="s">
        <v>295</v>
      </c>
      <c r="F268" s="606"/>
      <c r="G268" s="229" t="s">
        <v>266</v>
      </c>
      <c r="H268" s="398" t="s">
        <v>267</v>
      </c>
      <c r="I268" s="398" t="s">
        <v>268</v>
      </c>
      <c r="J268" s="398" t="s">
        <v>81</v>
      </c>
    </row>
    <row r="269" spans="1:10" s="230" customFormat="1" ht="26.1" customHeight="1" x14ac:dyDescent="0.25">
      <c r="A269" s="394" t="s">
        <v>296</v>
      </c>
      <c r="B269" s="232" t="s">
        <v>459</v>
      </c>
      <c r="C269" s="394" t="s">
        <v>365</v>
      </c>
      <c r="D269" s="394" t="s">
        <v>460</v>
      </c>
      <c r="E269" s="613" t="s">
        <v>497</v>
      </c>
      <c r="F269" s="613"/>
      <c r="G269" s="233" t="s">
        <v>21</v>
      </c>
      <c r="H269" s="234">
        <v>1</v>
      </c>
      <c r="I269" s="252">
        <v>400.46</v>
      </c>
      <c r="J269" s="252">
        <v>400.46</v>
      </c>
    </row>
    <row r="270" spans="1:10" s="230" customFormat="1" ht="26.1" customHeight="1" x14ac:dyDescent="0.25">
      <c r="A270" s="395" t="s">
        <v>298</v>
      </c>
      <c r="B270" s="237" t="s">
        <v>498</v>
      </c>
      <c r="C270" s="395" t="s">
        <v>384</v>
      </c>
      <c r="D270" s="395" t="s">
        <v>499</v>
      </c>
      <c r="E270" s="611" t="s">
        <v>288</v>
      </c>
      <c r="F270" s="611"/>
      <c r="G270" s="238" t="s">
        <v>38</v>
      </c>
      <c r="H270" s="239">
        <v>5.0000000000000001E-3</v>
      </c>
      <c r="I270" s="419">
        <v>65.95</v>
      </c>
      <c r="J270" s="419">
        <v>0.32</v>
      </c>
    </row>
    <row r="271" spans="1:10" s="230" customFormat="1" ht="26.1" customHeight="1" x14ac:dyDescent="0.25">
      <c r="A271" s="395" t="s">
        <v>298</v>
      </c>
      <c r="B271" s="237" t="s">
        <v>500</v>
      </c>
      <c r="C271" s="395" t="s">
        <v>384</v>
      </c>
      <c r="D271" s="395" t="s">
        <v>501</v>
      </c>
      <c r="E271" s="611" t="s">
        <v>288</v>
      </c>
      <c r="F271" s="611"/>
      <c r="G271" s="238" t="s">
        <v>38</v>
      </c>
      <c r="H271" s="239">
        <v>5.0000000000000001E-3</v>
      </c>
      <c r="I271" s="419">
        <v>425.95</v>
      </c>
      <c r="J271" s="419">
        <v>2.12</v>
      </c>
    </row>
    <row r="272" spans="1:10" s="230" customFormat="1" ht="26.1" customHeight="1" x14ac:dyDescent="0.25">
      <c r="A272" s="395" t="s">
        <v>298</v>
      </c>
      <c r="B272" s="237" t="s">
        <v>502</v>
      </c>
      <c r="C272" s="395" t="s">
        <v>384</v>
      </c>
      <c r="D272" s="395" t="s">
        <v>503</v>
      </c>
      <c r="E272" s="611" t="s">
        <v>288</v>
      </c>
      <c r="F272" s="611"/>
      <c r="G272" s="238" t="s">
        <v>27</v>
      </c>
      <c r="H272" s="239">
        <v>0.64</v>
      </c>
      <c r="I272" s="419">
        <v>560.65</v>
      </c>
      <c r="J272" s="419">
        <v>358.81</v>
      </c>
    </row>
    <row r="273" spans="1:10" s="230" customFormat="1" ht="24" customHeight="1" x14ac:dyDescent="0.25">
      <c r="A273" s="395" t="s">
        <v>309</v>
      </c>
      <c r="B273" s="237" t="s">
        <v>504</v>
      </c>
      <c r="C273" s="395" t="s">
        <v>384</v>
      </c>
      <c r="D273" s="395" t="s">
        <v>332</v>
      </c>
      <c r="E273" s="611" t="s">
        <v>329</v>
      </c>
      <c r="F273" s="611"/>
      <c r="G273" s="238" t="s">
        <v>505</v>
      </c>
      <c r="H273" s="239">
        <v>0.2</v>
      </c>
      <c r="I273" s="419">
        <v>19.4495</v>
      </c>
      <c r="J273" s="419">
        <v>3.88</v>
      </c>
    </row>
    <row r="274" spans="1:10" s="230" customFormat="1" ht="24" customHeight="1" x14ac:dyDescent="0.25">
      <c r="A274" s="395" t="s">
        <v>309</v>
      </c>
      <c r="B274" s="237" t="s">
        <v>506</v>
      </c>
      <c r="C274" s="395" t="s">
        <v>384</v>
      </c>
      <c r="D274" s="395" t="s">
        <v>507</v>
      </c>
      <c r="E274" s="611" t="s">
        <v>329</v>
      </c>
      <c r="F274" s="611"/>
      <c r="G274" s="238" t="s">
        <v>505</v>
      </c>
      <c r="H274" s="239">
        <v>0.4</v>
      </c>
      <c r="I274" s="419">
        <v>24.6022</v>
      </c>
      <c r="J274" s="419">
        <v>9.84</v>
      </c>
    </row>
    <row r="275" spans="1:10" s="230" customFormat="1" ht="26.1" customHeight="1" x14ac:dyDescent="0.25">
      <c r="A275" s="395" t="s">
        <v>309</v>
      </c>
      <c r="B275" s="237" t="s">
        <v>508</v>
      </c>
      <c r="C275" s="395" t="s">
        <v>366</v>
      </c>
      <c r="D275" s="395" t="s">
        <v>509</v>
      </c>
      <c r="E275" s="611" t="s">
        <v>312</v>
      </c>
      <c r="F275" s="611"/>
      <c r="G275" s="238" t="s">
        <v>510</v>
      </c>
      <c r="H275" s="239">
        <v>3</v>
      </c>
      <c r="I275" s="419">
        <v>1.26</v>
      </c>
      <c r="J275" s="419">
        <v>3.78</v>
      </c>
    </row>
    <row r="276" spans="1:10" s="230" customFormat="1" ht="26.1" customHeight="1" x14ac:dyDescent="0.25">
      <c r="A276" s="395" t="s">
        <v>309</v>
      </c>
      <c r="B276" s="237" t="s">
        <v>511</v>
      </c>
      <c r="C276" s="395" t="s">
        <v>366</v>
      </c>
      <c r="D276" s="395" t="s">
        <v>512</v>
      </c>
      <c r="E276" s="611" t="s">
        <v>312</v>
      </c>
      <c r="F276" s="611"/>
      <c r="G276" s="238" t="s">
        <v>510</v>
      </c>
      <c r="H276" s="239">
        <v>2</v>
      </c>
      <c r="I276" s="419">
        <v>0.25</v>
      </c>
      <c r="J276" s="419">
        <v>0.5</v>
      </c>
    </row>
    <row r="277" spans="1:10" s="230" customFormat="1" ht="26.1" customHeight="1" x14ac:dyDescent="0.25">
      <c r="A277" s="395" t="s">
        <v>309</v>
      </c>
      <c r="B277" s="237" t="s">
        <v>513</v>
      </c>
      <c r="C277" s="395" t="s">
        <v>366</v>
      </c>
      <c r="D277" s="395" t="s">
        <v>514</v>
      </c>
      <c r="E277" s="611" t="s">
        <v>312</v>
      </c>
      <c r="F277" s="611"/>
      <c r="G277" s="238" t="s">
        <v>313</v>
      </c>
      <c r="H277" s="239">
        <v>3</v>
      </c>
      <c r="I277" s="419">
        <v>7.07</v>
      </c>
      <c r="J277" s="419">
        <v>21.21</v>
      </c>
    </row>
    <row r="278" spans="1:10" s="230" customFormat="1" x14ac:dyDescent="0.25">
      <c r="A278" s="396"/>
      <c r="B278" s="396"/>
      <c r="C278" s="396"/>
      <c r="D278" s="396"/>
      <c r="E278" s="396"/>
      <c r="F278" s="255"/>
      <c r="G278" s="396"/>
      <c r="H278" s="255"/>
      <c r="I278" s="396"/>
      <c r="J278" s="255"/>
    </row>
    <row r="279" spans="1:10" s="230" customFormat="1" x14ac:dyDescent="0.25">
      <c r="A279" s="396"/>
      <c r="B279" s="396"/>
      <c r="C279" s="396"/>
      <c r="D279" s="396"/>
      <c r="E279" s="396"/>
      <c r="F279" s="255"/>
      <c r="G279" s="396"/>
      <c r="H279" s="627" t="s">
        <v>301</v>
      </c>
      <c r="I279" s="627"/>
      <c r="J279" s="255">
        <v>488.4</v>
      </c>
    </row>
    <row r="280" spans="1:10" s="230" customFormat="1" ht="30" customHeight="1" x14ac:dyDescent="0.25">
      <c r="A280" s="397"/>
      <c r="B280" s="397"/>
      <c r="C280" s="397"/>
      <c r="D280" s="397"/>
      <c r="E280" s="397"/>
      <c r="F280" s="397"/>
      <c r="G280" s="397"/>
      <c r="H280" s="417"/>
      <c r="I280" s="397"/>
      <c r="J280" s="418"/>
    </row>
    <row r="281" spans="1:10" s="230" customFormat="1" x14ac:dyDescent="0.25"/>
  </sheetData>
  <mergeCells count="365">
    <mergeCell ref="E276:F276"/>
    <mergeCell ref="E277:F277"/>
    <mergeCell ref="H279:I279"/>
    <mergeCell ref="F267:G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A259:E259"/>
    <mergeCell ref="F259:I259"/>
    <mergeCell ref="A260:E260"/>
    <mergeCell ref="F260:I260"/>
    <mergeCell ref="A261:E261"/>
    <mergeCell ref="F261:I261"/>
    <mergeCell ref="A262:E262"/>
    <mergeCell ref="F262:I262"/>
    <mergeCell ref="H264:I264"/>
    <mergeCell ref="J250:J251"/>
    <mergeCell ref="A253:E253"/>
    <mergeCell ref="F253:I253"/>
    <mergeCell ref="F254:I254"/>
    <mergeCell ref="A256:E256"/>
    <mergeCell ref="F256:I256"/>
    <mergeCell ref="A257:E257"/>
    <mergeCell ref="F257:I257"/>
    <mergeCell ref="A258:E258"/>
    <mergeCell ref="F258:I258"/>
    <mergeCell ref="E248:F248"/>
    <mergeCell ref="E249:F249"/>
    <mergeCell ref="A250:A251"/>
    <mergeCell ref="B250:B251"/>
    <mergeCell ref="C250:C251"/>
    <mergeCell ref="D250:D251"/>
    <mergeCell ref="E250:E251"/>
    <mergeCell ref="F250:G250"/>
    <mergeCell ref="H250:I250"/>
    <mergeCell ref="A240:E240"/>
    <mergeCell ref="F240:I240"/>
    <mergeCell ref="A241:E241"/>
    <mergeCell ref="F241:I241"/>
    <mergeCell ref="A242:E242"/>
    <mergeCell ref="F242:I242"/>
    <mergeCell ref="A243:E243"/>
    <mergeCell ref="F243:I243"/>
    <mergeCell ref="H245:I245"/>
    <mergeCell ref="J231:J232"/>
    <mergeCell ref="A234:E234"/>
    <mergeCell ref="F234:I234"/>
    <mergeCell ref="F235:I235"/>
    <mergeCell ref="A237:E237"/>
    <mergeCell ref="F237:I237"/>
    <mergeCell ref="A238:E238"/>
    <mergeCell ref="F238:I238"/>
    <mergeCell ref="A239:E239"/>
    <mergeCell ref="F239:I239"/>
    <mergeCell ref="G221:I221"/>
    <mergeCell ref="A224:E224"/>
    <mergeCell ref="F224:I224"/>
    <mergeCell ref="H226:I226"/>
    <mergeCell ref="E229:F229"/>
    <mergeCell ref="E230:F230"/>
    <mergeCell ref="A231:A232"/>
    <mergeCell ref="B231:B232"/>
    <mergeCell ref="C231:C232"/>
    <mergeCell ref="D231:D232"/>
    <mergeCell ref="E231:E232"/>
    <mergeCell ref="F231:G231"/>
    <mergeCell ref="H231:I231"/>
    <mergeCell ref="G214:I214"/>
    <mergeCell ref="A215:E215"/>
    <mergeCell ref="F215:I215"/>
    <mergeCell ref="G216:I216"/>
    <mergeCell ref="G217:I217"/>
    <mergeCell ref="G218:I218"/>
    <mergeCell ref="G219:I219"/>
    <mergeCell ref="A220:E220"/>
    <mergeCell ref="F220:I220"/>
    <mergeCell ref="A209:E209"/>
    <mergeCell ref="F209:I209"/>
    <mergeCell ref="A210:E210"/>
    <mergeCell ref="F210:I210"/>
    <mergeCell ref="A211:E211"/>
    <mergeCell ref="F211:I211"/>
    <mergeCell ref="A212:E212"/>
    <mergeCell ref="F212:I212"/>
    <mergeCell ref="G213:I213"/>
    <mergeCell ref="J200:J201"/>
    <mergeCell ref="A203:E203"/>
    <mergeCell ref="F203:I203"/>
    <mergeCell ref="F204:I204"/>
    <mergeCell ref="A206:E206"/>
    <mergeCell ref="F206:I206"/>
    <mergeCell ref="A207:E207"/>
    <mergeCell ref="F207:I207"/>
    <mergeCell ref="A208:E208"/>
    <mergeCell ref="F208:I208"/>
    <mergeCell ref="A193:E193"/>
    <mergeCell ref="F193:I193"/>
    <mergeCell ref="H195:I195"/>
    <mergeCell ref="E198:F198"/>
    <mergeCell ref="E199:F199"/>
    <mergeCell ref="A200:A201"/>
    <mergeCell ref="B200:B201"/>
    <mergeCell ref="C200:C201"/>
    <mergeCell ref="D200:D201"/>
    <mergeCell ref="E200:E201"/>
    <mergeCell ref="F200:G200"/>
    <mergeCell ref="H200:I200"/>
    <mergeCell ref="A187:E187"/>
    <mergeCell ref="F187:I187"/>
    <mergeCell ref="A188:E188"/>
    <mergeCell ref="F188:I188"/>
    <mergeCell ref="A189:E189"/>
    <mergeCell ref="F189:I189"/>
    <mergeCell ref="G190:I190"/>
    <mergeCell ref="G191:I191"/>
    <mergeCell ref="G192:I192"/>
    <mergeCell ref="J79:J80"/>
    <mergeCell ref="H79:I79"/>
    <mergeCell ref="G173:I173"/>
    <mergeCell ref="E183:F183"/>
    <mergeCell ref="E184:F184"/>
    <mergeCell ref="A185:E185"/>
    <mergeCell ref="F185:I185"/>
    <mergeCell ref="A186:E186"/>
    <mergeCell ref="F186:I186"/>
    <mergeCell ref="F85:I85"/>
    <mergeCell ref="A86:E86"/>
    <mergeCell ref="F86:I86"/>
    <mergeCell ref="A87:E87"/>
    <mergeCell ref="F87:I87"/>
    <mergeCell ref="A79:A80"/>
    <mergeCell ref="A82:E82"/>
    <mergeCell ref="A129:E129"/>
    <mergeCell ref="F129:I129"/>
    <mergeCell ref="A127:E127"/>
    <mergeCell ref="F127:I127"/>
    <mergeCell ref="E95:F95"/>
    <mergeCell ref="E96:F96"/>
    <mergeCell ref="E114:F114"/>
    <mergeCell ref="A115:A116"/>
    <mergeCell ref="J56:J57"/>
    <mergeCell ref="A64:E64"/>
    <mergeCell ref="F64:I64"/>
    <mergeCell ref="F65:I65"/>
    <mergeCell ref="A67:E67"/>
    <mergeCell ref="F67:I67"/>
    <mergeCell ref="A68:E68"/>
    <mergeCell ref="F68:I68"/>
    <mergeCell ref="A69:E69"/>
    <mergeCell ref="F69:I69"/>
    <mergeCell ref="A56:A57"/>
    <mergeCell ref="B56:B57"/>
    <mergeCell ref="C56:C57"/>
    <mergeCell ref="D56:D57"/>
    <mergeCell ref="E56:E57"/>
    <mergeCell ref="F56:G56"/>
    <mergeCell ref="H56:I56"/>
    <mergeCell ref="B115:B116"/>
    <mergeCell ref="C115:C116"/>
    <mergeCell ref="D115:D116"/>
    <mergeCell ref="F108:I108"/>
    <mergeCell ref="A109:E109"/>
    <mergeCell ref="F109:I109"/>
    <mergeCell ref="H111:I111"/>
    <mergeCell ref="E154:F154"/>
    <mergeCell ref="A135:E135"/>
    <mergeCell ref="F135:I135"/>
    <mergeCell ref="G130:I130"/>
    <mergeCell ref="H137:I137"/>
    <mergeCell ref="E140:F140"/>
    <mergeCell ref="A132:E132"/>
    <mergeCell ref="F132:I132"/>
    <mergeCell ref="E139:F139"/>
    <mergeCell ref="H133:I133"/>
    <mergeCell ref="G131:I131"/>
    <mergeCell ref="H134:I134"/>
    <mergeCell ref="A73:E73"/>
    <mergeCell ref="F73:I73"/>
    <mergeCell ref="E55:F55"/>
    <mergeCell ref="E115:E116"/>
    <mergeCell ref="F115:G115"/>
    <mergeCell ref="H115:I115"/>
    <mergeCell ref="A126:E126"/>
    <mergeCell ref="F126:I126"/>
    <mergeCell ref="F121:I121"/>
    <mergeCell ref="A123:E123"/>
    <mergeCell ref="F123:I123"/>
    <mergeCell ref="A124:E124"/>
    <mergeCell ref="F124:I124"/>
    <mergeCell ref="A125:E125"/>
    <mergeCell ref="F125:I125"/>
    <mergeCell ref="A70:E70"/>
    <mergeCell ref="F70:I70"/>
    <mergeCell ref="A71:E71"/>
    <mergeCell ref="F71:I71"/>
    <mergeCell ref="A72:E72"/>
    <mergeCell ref="F72:I72"/>
    <mergeCell ref="F82:I82"/>
    <mergeCell ref="F83:I83"/>
    <mergeCell ref="A85:E85"/>
    <mergeCell ref="A155:A156"/>
    <mergeCell ref="B155:B156"/>
    <mergeCell ref="C155:C156"/>
    <mergeCell ref="D155:D156"/>
    <mergeCell ref="E155:E156"/>
    <mergeCell ref="F155:G155"/>
    <mergeCell ref="H155:I155"/>
    <mergeCell ref="E166:F166"/>
    <mergeCell ref="E165:F165"/>
    <mergeCell ref="H160:I160"/>
    <mergeCell ref="A161:J163"/>
    <mergeCell ref="J97:J98"/>
    <mergeCell ref="H97:I97"/>
    <mergeCell ref="J155:J156"/>
    <mergeCell ref="H151:I151"/>
    <mergeCell ref="J141:J142"/>
    <mergeCell ref="A144:E144"/>
    <mergeCell ref="F144:I144"/>
    <mergeCell ref="A145:E145"/>
    <mergeCell ref="F145:I145"/>
    <mergeCell ref="A146:E146"/>
    <mergeCell ref="F146:I146"/>
    <mergeCell ref="A147:E147"/>
    <mergeCell ref="F147:I147"/>
    <mergeCell ref="A141:A142"/>
    <mergeCell ref="B141:B142"/>
    <mergeCell ref="C141:C142"/>
    <mergeCell ref="D141:D142"/>
    <mergeCell ref="E141:E142"/>
    <mergeCell ref="F141:G141"/>
    <mergeCell ref="H141:I141"/>
    <mergeCell ref="A148:E148"/>
    <mergeCell ref="F148:I148"/>
    <mergeCell ref="A149:E149"/>
    <mergeCell ref="F149:I149"/>
    <mergeCell ref="F101:I101"/>
    <mergeCell ref="A103:E103"/>
    <mergeCell ref="F103:I103"/>
    <mergeCell ref="A104:E104"/>
    <mergeCell ref="F104:I104"/>
    <mergeCell ref="A105:E105"/>
    <mergeCell ref="F105:I105"/>
    <mergeCell ref="A97:A98"/>
    <mergeCell ref="B97:B98"/>
    <mergeCell ref="C97:C98"/>
    <mergeCell ref="D97:D98"/>
    <mergeCell ref="E97:E98"/>
    <mergeCell ref="F97:G97"/>
    <mergeCell ref="H181:I181"/>
    <mergeCell ref="A177:E177"/>
    <mergeCell ref="F177:I177"/>
    <mergeCell ref="A178:E178"/>
    <mergeCell ref="F178:I178"/>
    <mergeCell ref="A179:E179"/>
    <mergeCell ref="F179:I179"/>
    <mergeCell ref="E153:F153"/>
    <mergeCell ref="A88:E88"/>
    <mergeCell ref="F88:I88"/>
    <mergeCell ref="A176:E176"/>
    <mergeCell ref="F176:I176"/>
    <mergeCell ref="H93:I93"/>
    <mergeCell ref="A89:E89"/>
    <mergeCell ref="F89:I89"/>
    <mergeCell ref="A90:E90"/>
    <mergeCell ref="F90:I90"/>
    <mergeCell ref="A91:E91"/>
    <mergeCell ref="F91:I91"/>
    <mergeCell ref="A106:E106"/>
    <mergeCell ref="F106:I106"/>
    <mergeCell ref="A107:E107"/>
    <mergeCell ref="F107:I107"/>
    <mergeCell ref="A108:E108"/>
    <mergeCell ref="J167:J168"/>
    <mergeCell ref="F172:I172"/>
    <mergeCell ref="A171:E171"/>
    <mergeCell ref="F171:I171"/>
    <mergeCell ref="A174:E174"/>
    <mergeCell ref="F174:I174"/>
    <mergeCell ref="A175:E175"/>
    <mergeCell ref="F175:I175"/>
    <mergeCell ref="A167:A168"/>
    <mergeCell ref="B167:B168"/>
    <mergeCell ref="C167:C168"/>
    <mergeCell ref="D167:D168"/>
    <mergeCell ref="E167:E168"/>
    <mergeCell ref="F167:G167"/>
    <mergeCell ref="H167:I167"/>
    <mergeCell ref="A1:J1"/>
    <mergeCell ref="A2:J2"/>
    <mergeCell ref="A4:J4"/>
    <mergeCell ref="A5:J5"/>
    <mergeCell ref="A3:J3"/>
    <mergeCell ref="E19:F19"/>
    <mergeCell ref="E20:F20"/>
    <mergeCell ref="E21:F21"/>
    <mergeCell ref="E22:F22"/>
    <mergeCell ref="E6:F6"/>
    <mergeCell ref="E7:F7"/>
    <mergeCell ref="E8:F8"/>
    <mergeCell ref="E9:F9"/>
    <mergeCell ref="E10:F10"/>
    <mergeCell ref="E16:F16"/>
    <mergeCell ref="E17:F17"/>
    <mergeCell ref="J38:J39"/>
    <mergeCell ref="F44:I44"/>
    <mergeCell ref="A45:E45"/>
    <mergeCell ref="F45:I45"/>
    <mergeCell ref="A46:E46"/>
    <mergeCell ref="F46:I46"/>
    <mergeCell ref="E18:F18"/>
    <mergeCell ref="H14:I14"/>
    <mergeCell ref="E11:F11"/>
    <mergeCell ref="E12:F12"/>
    <mergeCell ref="E23:F23"/>
    <mergeCell ref="E24:F24"/>
    <mergeCell ref="E36:F36"/>
    <mergeCell ref="H26:I26"/>
    <mergeCell ref="E28:F28"/>
    <mergeCell ref="E29:F29"/>
    <mergeCell ref="E30:F30"/>
    <mergeCell ref="A32:D32"/>
    <mergeCell ref="H33:I33"/>
    <mergeCell ref="A47:E47"/>
    <mergeCell ref="F47:I47"/>
    <mergeCell ref="A41:E41"/>
    <mergeCell ref="F41:I41"/>
    <mergeCell ref="F42:I42"/>
    <mergeCell ref="A44:E44"/>
    <mergeCell ref="E37:F37"/>
    <mergeCell ref="A38:A39"/>
    <mergeCell ref="B38:B39"/>
    <mergeCell ref="C38:C39"/>
    <mergeCell ref="D38:D39"/>
    <mergeCell ref="E38:E39"/>
    <mergeCell ref="F38:G38"/>
    <mergeCell ref="H38:I38"/>
    <mergeCell ref="J115:J116"/>
    <mergeCell ref="A120:E120"/>
    <mergeCell ref="F120:I120"/>
    <mergeCell ref="E113:F113"/>
    <mergeCell ref="A128:E128"/>
    <mergeCell ref="F128:I128"/>
    <mergeCell ref="A100:E100"/>
    <mergeCell ref="A48:E48"/>
    <mergeCell ref="F48:I48"/>
    <mergeCell ref="A49:E49"/>
    <mergeCell ref="F49:I49"/>
    <mergeCell ref="A50:E50"/>
    <mergeCell ref="F50:I50"/>
    <mergeCell ref="H52:I52"/>
    <mergeCell ref="B79:B80"/>
    <mergeCell ref="C79:C80"/>
    <mergeCell ref="D79:D80"/>
    <mergeCell ref="E79:E80"/>
    <mergeCell ref="F79:G79"/>
    <mergeCell ref="E78:F78"/>
    <mergeCell ref="E54:F54"/>
    <mergeCell ref="E77:F77"/>
    <mergeCell ref="H75:I75"/>
    <mergeCell ref="F100:I100"/>
  </mergeCells>
  <printOptions horizontalCentered="1"/>
  <pageMargins left="0.51181102362204722" right="0.51181102362204722" top="1.9685039370078741" bottom="0.98425196850393704" header="0" footer="0"/>
  <pageSetup paperSize="9" scale="48" fitToHeight="0" orientation="portrait" r:id="rId1"/>
  <headerFooter>
    <oddHeader>&amp;C&amp;G</oddHeader>
    <oddFooter>&amp;C&amp;G</oddFooter>
  </headerFooter>
  <rowBreaks count="4" manualBreakCount="4">
    <brk id="75" max="9" man="1"/>
    <brk id="151" max="9" man="1"/>
    <brk id="215" max="9" man="1"/>
    <brk id="265" max="9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4"/>
  <sheetViews>
    <sheetView view="pageBreakPreview" topLeftCell="A4" zoomScale="80" zoomScaleNormal="100" zoomScaleSheetLayoutView="80" workbookViewId="0">
      <selection activeCell="D25" sqref="D25"/>
    </sheetView>
  </sheetViews>
  <sheetFormatPr defaultRowHeight="15" x14ac:dyDescent="0.25"/>
  <cols>
    <col min="1" max="1" width="7.28515625" customWidth="1"/>
    <col min="2" max="2" width="50.7109375" customWidth="1"/>
    <col min="3" max="3" width="25.7109375" customWidth="1"/>
    <col min="4" max="4" width="20.7109375" style="187" customWidth="1"/>
    <col min="5" max="9" width="20.7109375" customWidth="1"/>
    <col min="10" max="29" width="13.28515625" bestFit="1" customWidth="1"/>
  </cols>
  <sheetData>
    <row r="1" spans="1:10" ht="15.75" x14ac:dyDescent="0.25">
      <c r="A1" s="488" t="str">
        <f>RESUMO!A1</f>
        <v>OBRA: RECUPERAÇÃO DE ESTRADA VICINAL</v>
      </c>
      <c r="B1" s="488"/>
      <c r="C1" s="488"/>
      <c r="D1" s="488"/>
      <c r="E1" s="488"/>
      <c r="F1" s="488"/>
      <c r="G1" s="488"/>
      <c r="H1" s="488"/>
      <c r="I1" s="488"/>
    </row>
    <row r="2" spans="1:10" ht="15.75" x14ac:dyDescent="0.25">
      <c r="A2" s="488" t="str">
        <f>RESUMO!A2</f>
        <v>LOCAL: NOVA SANTA RITA - PI</v>
      </c>
      <c r="B2" s="488"/>
      <c r="C2" s="488"/>
      <c r="D2" s="488"/>
      <c r="E2" s="488"/>
      <c r="F2" s="488"/>
      <c r="G2" s="488"/>
      <c r="H2" s="488"/>
      <c r="I2" s="488"/>
    </row>
    <row r="3" spans="1:10" ht="37.15" customHeight="1" x14ac:dyDescent="0.25">
      <c r="A3" s="643" t="str">
        <f>RESUMO!A3</f>
        <v>TRECHO: POVOADO JATOBAZEIRO AO POVOADO QUINTAS - POVOADO SACO AO POVOADO CABOCLO - COM EXTENSÃO DE 23Km</v>
      </c>
      <c r="B3" s="643"/>
      <c r="C3" s="643"/>
      <c r="D3" s="643"/>
      <c r="E3" s="643"/>
      <c r="F3" s="643"/>
      <c r="G3" s="643"/>
      <c r="H3" s="643"/>
      <c r="I3" s="643"/>
    </row>
    <row r="4" spans="1:10" s="187" customFormat="1" ht="15.75" x14ac:dyDescent="0.25">
      <c r="A4" s="488" t="str">
        <f>RESUMO!A4</f>
        <v>BANCA: SINAPI - 10/2023 - Piauí / SICRO - 10/2023 - Sem desoneração - Horista: 113,05 % / Mensalista: 70,90% - BDI: 21,96 %</v>
      </c>
      <c r="B4" s="488"/>
      <c r="C4" s="488"/>
      <c r="D4" s="488"/>
      <c r="E4" s="488"/>
      <c r="F4" s="488"/>
      <c r="G4" s="488"/>
      <c r="H4" s="488"/>
      <c r="I4" s="488"/>
    </row>
    <row r="5" spans="1:10" ht="15.75" x14ac:dyDescent="0.25">
      <c r="A5" s="644" t="s">
        <v>292</v>
      </c>
      <c r="B5" s="644"/>
      <c r="C5" s="644"/>
      <c r="D5" s="644"/>
      <c r="E5" s="644"/>
      <c r="F5" s="644"/>
      <c r="G5" s="644"/>
      <c r="H5" s="644"/>
      <c r="I5" s="644"/>
    </row>
    <row r="6" spans="1:10" x14ac:dyDescent="0.25">
      <c r="A6" s="188" t="s">
        <v>70</v>
      </c>
      <c r="B6" s="485" t="s">
        <v>80</v>
      </c>
      <c r="C6" s="487"/>
      <c r="D6" s="434" t="s">
        <v>521</v>
      </c>
      <c r="E6" s="193">
        <v>1</v>
      </c>
      <c r="F6" s="193">
        <v>2</v>
      </c>
      <c r="G6" s="193">
        <v>3</v>
      </c>
      <c r="H6" s="193">
        <v>4</v>
      </c>
      <c r="I6" s="193">
        <v>5</v>
      </c>
    </row>
    <row r="7" spans="1:10" x14ac:dyDescent="0.25">
      <c r="A7" s="190" t="s">
        <v>260</v>
      </c>
      <c r="B7" s="482" t="s">
        <v>17</v>
      </c>
      <c r="C7" s="484"/>
      <c r="D7" s="265">
        <f>RESUMO!G7</f>
        <v>202753.46000000002</v>
      </c>
      <c r="E7" s="266">
        <f>$D$7*E8</f>
        <v>81101.38400000002</v>
      </c>
      <c r="F7" s="266">
        <f t="shared" ref="F7:I7" si="0">$D$7*F8</f>
        <v>30413.019</v>
      </c>
      <c r="G7" s="266">
        <f t="shared" si="0"/>
        <v>30413.019</v>
      </c>
      <c r="H7" s="266">
        <f t="shared" si="0"/>
        <v>30413.019</v>
      </c>
      <c r="I7" s="266">
        <f t="shared" si="0"/>
        <v>30413.019</v>
      </c>
    </row>
    <row r="8" spans="1:10" s="187" customFormat="1" x14ac:dyDescent="0.25">
      <c r="A8" s="206"/>
      <c r="B8" s="215"/>
      <c r="C8" s="216"/>
      <c r="D8" s="265"/>
      <c r="E8" s="259">
        <v>0.4</v>
      </c>
      <c r="F8" s="441">
        <f>(1-E8)/4</f>
        <v>0.15</v>
      </c>
      <c r="G8" s="441">
        <f>F8</f>
        <v>0.15</v>
      </c>
      <c r="H8" s="441">
        <f>F8</f>
        <v>0.15</v>
      </c>
      <c r="I8" s="441">
        <f>F8</f>
        <v>0.15</v>
      </c>
      <c r="J8" s="261"/>
    </row>
    <row r="9" spans="1:10" x14ac:dyDescent="0.25">
      <c r="A9" s="190" t="s">
        <v>261</v>
      </c>
      <c r="B9" s="482" t="s">
        <v>59</v>
      </c>
      <c r="C9" s="484"/>
      <c r="D9" s="265">
        <f>RESUMO!G8</f>
        <v>635047.48</v>
      </c>
      <c r="E9" s="266">
        <f>$D$9*E10</f>
        <v>127009.496</v>
      </c>
      <c r="F9" s="266">
        <f t="shared" ref="F9:I9" si="1">$D$9*F10</f>
        <v>127009.496</v>
      </c>
      <c r="G9" s="266">
        <f t="shared" si="1"/>
        <v>127009.496</v>
      </c>
      <c r="H9" s="266">
        <f t="shared" si="1"/>
        <v>127009.496</v>
      </c>
      <c r="I9" s="266">
        <f t="shared" si="1"/>
        <v>127009.496</v>
      </c>
    </row>
    <row r="10" spans="1:10" s="187" customFormat="1" x14ac:dyDescent="0.25">
      <c r="A10" s="206"/>
      <c r="B10" s="215"/>
      <c r="C10" s="216"/>
      <c r="D10" s="265"/>
      <c r="E10" s="259">
        <f>1/5</f>
        <v>0.2</v>
      </c>
      <c r="F10" s="435">
        <f>E10</f>
        <v>0.2</v>
      </c>
      <c r="G10" s="435">
        <f>E10</f>
        <v>0.2</v>
      </c>
      <c r="H10" s="435">
        <f>E10</f>
        <v>0.2</v>
      </c>
      <c r="I10" s="435">
        <f>E10</f>
        <v>0.2</v>
      </c>
    </row>
    <row r="11" spans="1:10" x14ac:dyDescent="0.25">
      <c r="A11" s="190" t="s">
        <v>262</v>
      </c>
      <c r="B11" s="482" t="s">
        <v>243</v>
      </c>
      <c r="C11" s="484"/>
      <c r="D11" s="265">
        <f>RESUMO!G9</f>
        <v>589065.17000000004</v>
      </c>
      <c r="E11" s="266">
        <f>$D$11*E12</f>
        <v>117813.03400000001</v>
      </c>
      <c r="F11" s="266">
        <f t="shared" ref="F11:I11" si="2">$D$11*F12</f>
        <v>117813.03400000001</v>
      </c>
      <c r="G11" s="266">
        <f t="shared" si="2"/>
        <v>117813.03400000001</v>
      </c>
      <c r="H11" s="266">
        <f t="shared" si="2"/>
        <v>117813.03400000001</v>
      </c>
      <c r="I11" s="266">
        <f t="shared" si="2"/>
        <v>117813.03400000001</v>
      </c>
    </row>
    <row r="12" spans="1:10" s="187" customFormat="1" x14ac:dyDescent="0.25">
      <c r="A12" s="206"/>
      <c r="B12" s="215"/>
      <c r="C12" s="216"/>
      <c r="D12" s="265"/>
      <c r="E12" s="259">
        <f>1/5</f>
        <v>0.2</v>
      </c>
      <c r="F12" s="435">
        <f>E12</f>
        <v>0.2</v>
      </c>
      <c r="G12" s="435">
        <f>E12</f>
        <v>0.2</v>
      </c>
      <c r="H12" s="435">
        <f>E12</f>
        <v>0.2</v>
      </c>
      <c r="I12" s="435">
        <f>E12</f>
        <v>0.2</v>
      </c>
    </row>
    <row r="13" spans="1:10" x14ac:dyDescent="0.25">
      <c r="A13" s="190" t="s">
        <v>263</v>
      </c>
      <c r="B13" s="482" t="s">
        <v>75</v>
      </c>
      <c r="C13" s="484"/>
      <c r="D13" s="265">
        <f>RESUMO!G10</f>
        <v>42600.6</v>
      </c>
      <c r="E13" s="266">
        <f>$D$13*E14</f>
        <v>8520.1200000000008</v>
      </c>
      <c r="F13" s="266">
        <f t="shared" ref="F13:I13" si="3">$D$13*F14</f>
        <v>8520.1200000000008</v>
      </c>
      <c r="G13" s="266">
        <f t="shared" si="3"/>
        <v>8520.1200000000008</v>
      </c>
      <c r="H13" s="266">
        <f t="shared" si="3"/>
        <v>8520.1200000000008</v>
      </c>
      <c r="I13" s="266">
        <f t="shared" si="3"/>
        <v>8520.1200000000008</v>
      </c>
    </row>
    <row r="14" spans="1:10" s="187" customFormat="1" x14ac:dyDescent="0.25">
      <c r="A14" s="206"/>
      <c r="B14" s="215"/>
      <c r="C14" s="270"/>
      <c r="D14" s="271"/>
      <c r="E14" s="259">
        <f>1/5</f>
        <v>0.2</v>
      </c>
      <c r="F14" s="435">
        <f>E14</f>
        <v>0.2</v>
      </c>
      <c r="G14" s="435">
        <f>E14</f>
        <v>0.2</v>
      </c>
      <c r="H14" s="435">
        <f>E14</f>
        <v>0.2</v>
      </c>
      <c r="I14" s="435">
        <f>E14</f>
        <v>0.2</v>
      </c>
    </row>
    <row r="15" spans="1:10" s="187" customFormat="1" x14ac:dyDescent="0.25">
      <c r="A15" s="429">
        <v>5</v>
      </c>
      <c r="B15" s="476" t="str">
        <f>RESUMO!B11</f>
        <v>OBRAS DE ARTE</v>
      </c>
      <c r="C15" s="478"/>
      <c r="D15" s="436">
        <f>RESUMO!G11</f>
        <v>172259.74</v>
      </c>
      <c r="E15" s="437">
        <f>$D$15*E16</f>
        <v>34451.947999999997</v>
      </c>
      <c r="F15" s="437">
        <f t="shared" ref="F15:I15" si="4">$D$15*F16</f>
        <v>34451.947999999997</v>
      </c>
      <c r="G15" s="437">
        <f t="shared" si="4"/>
        <v>34451.947999999997</v>
      </c>
      <c r="H15" s="437">
        <f t="shared" si="4"/>
        <v>34451.947999999997</v>
      </c>
      <c r="I15" s="437">
        <f t="shared" si="4"/>
        <v>34451.947999999997</v>
      </c>
    </row>
    <row r="16" spans="1:10" s="187" customFormat="1" x14ac:dyDescent="0.25">
      <c r="A16" s="429"/>
      <c r="B16" s="438"/>
      <c r="C16" s="439"/>
      <c r="D16" s="440"/>
      <c r="E16" s="259">
        <f>1/5</f>
        <v>0.2</v>
      </c>
      <c r="F16" s="435">
        <f>E16</f>
        <v>0.2</v>
      </c>
      <c r="G16" s="435">
        <f>E16</f>
        <v>0.2</v>
      </c>
      <c r="H16" s="435">
        <f>E16</f>
        <v>0.2</v>
      </c>
      <c r="I16" s="435">
        <f>E16</f>
        <v>0.2</v>
      </c>
    </row>
    <row r="17" spans="1:9" s="187" customFormat="1" x14ac:dyDescent="0.25">
      <c r="A17" s="429">
        <v>6</v>
      </c>
      <c r="B17" s="476" t="str">
        <f>RESUMO!B12</f>
        <v>SINALIZAÇÃO</v>
      </c>
      <c r="C17" s="478"/>
      <c r="D17" s="436">
        <f>RESUMO!G12</f>
        <v>13675.2</v>
      </c>
      <c r="E17" s="437">
        <f>$D$17*E18</f>
        <v>2735.0400000000004</v>
      </c>
      <c r="F17" s="437">
        <f t="shared" ref="F17:I17" si="5">$D$17*F18</f>
        <v>2735.0400000000004</v>
      </c>
      <c r="G17" s="437">
        <f t="shared" si="5"/>
        <v>2735.0400000000004</v>
      </c>
      <c r="H17" s="437">
        <f t="shared" si="5"/>
        <v>2735.0400000000004</v>
      </c>
      <c r="I17" s="437">
        <f t="shared" si="5"/>
        <v>2735.0400000000004</v>
      </c>
    </row>
    <row r="18" spans="1:9" s="187" customFormat="1" x14ac:dyDescent="0.25">
      <c r="A18" s="429"/>
      <c r="B18" s="438"/>
      <c r="C18" s="439"/>
      <c r="D18" s="440"/>
      <c r="E18" s="259">
        <f>1/5</f>
        <v>0.2</v>
      </c>
      <c r="F18" s="435">
        <f>E18</f>
        <v>0.2</v>
      </c>
      <c r="G18" s="435">
        <f>E18</f>
        <v>0.2</v>
      </c>
      <c r="H18" s="435">
        <f>E18</f>
        <v>0.2</v>
      </c>
      <c r="I18" s="435">
        <f>E18</f>
        <v>0.2</v>
      </c>
    </row>
    <row r="19" spans="1:9" ht="15" customHeight="1" x14ac:dyDescent="0.25">
      <c r="A19" s="641" t="s">
        <v>289</v>
      </c>
      <c r="B19" s="642"/>
      <c r="C19" s="201"/>
      <c r="D19" s="201"/>
      <c r="E19" s="269">
        <f>E20/$D$22</f>
        <v>0.22449598379946037</v>
      </c>
      <c r="F19" s="269">
        <f t="shared" ref="F19:I19" si="6">F20/$D$22</f>
        <v>0.19387600405013489</v>
      </c>
      <c r="G19" s="269">
        <f t="shared" si="6"/>
        <v>0.19387600405013489</v>
      </c>
      <c r="H19" s="269">
        <f t="shared" si="6"/>
        <v>0.19387600405013489</v>
      </c>
      <c r="I19" s="269">
        <f t="shared" si="6"/>
        <v>0.19387600405013489</v>
      </c>
    </row>
    <row r="20" spans="1:9" ht="15" customHeight="1" x14ac:dyDescent="0.25">
      <c r="A20" s="637" t="s">
        <v>124</v>
      </c>
      <c r="B20" s="638"/>
      <c r="C20" s="202"/>
      <c r="D20" s="202"/>
      <c r="E20" s="267">
        <f>E7+E9+E11+E13+E15+E17</f>
        <v>371631.02199999994</v>
      </c>
      <c r="F20" s="267">
        <f t="shared" ref="F20:I20" si="7">F7+F9+F11+F13+F15+F17</f>
        <v>320942.65699999995</v>
      </c>
      <c r="G20" s="267">
        <f t="shared" si="7"/>
        <v>320942.65699999995</v>
      </c>
      <c r="H20" s="267">
        <f t="shared" si="7"/>
        <v>320942.65699999995</v>
      </c>
      <c r="I20" s="267">
        <f t="shared" si="7"/>
        <v>320942.65699999995</v>
      </c>
    </row>
    <row r="21" spans="1:9" ht="14.45" customHeight="1" x14ac:dyDescent="0.25">
      <c r="A21" s="637" t="s">
        <v>290</v>
      </c>
      <c r="B21" s="638"/>
      <c r="C21" s="202"/>
      <c r="D21" s="202"/>
      <c r="E21" s="269">
        <f>E19</f>
        <v>0.22449598379946037</v>
      </c>
      <c r="F21" s="443">
        <f>E21+F19</f>
        <v>0.41837198784959528</v>
      </c>
      <c r="G21" s="443">
        <f t="shared" ref="G21:I21" si="8">F21+G19</f>
        <v>0.61224799189973012</v>
      </c>
      <c r="H21" s="443">
        <f t="shared" si="8"/>
        <v>0.80612399594986495</v>
      </c>
      <c r="I21" s="443">
        <f t="shared" si="8"/>
        <v>0.99999999999999978</v>
      </c>
    </row>
    <row r="22" spans="1:9" ht="14.45" customHeight="1" x14ac:dyDescent="0.25">
      <c r="A22" s="639" t="s">
        <v>291</v>
      </c>
      <c r="B22" s="640"/>
      <c r="C22" s="203"/>
      <c r="D22" s="272">
        <f>SUM(D7:D18)</f>
        <v>1655401.65</v>
      </c>
      <c r="E22" s="267">
        <f>E20</f>
        <v>371631.02199999994</v>
      </c>
      <c r="F22" s="442">
        <f>E22+F20</f>
        <v>692573.67899999989</v>
      </c>
      <c r="G22" s="442">
        <f t="shared" ref="G22:I22" si="9">F22+G20</f>
        <v>1013516.3359999999</v>
      </c>
      <c r="H22" s="442">
        <f t="shared" si="9"/>
        <v>1334458.9929999998</v>
      </c>
      <c r="I22" s="442">
        <f t="shared" si="9"/>
        <v>1655401.6499999997</v>
      </c>
    </row>
    <row r="23" spans="1:9" x14ac:dyDescent="0.25">
      <c r="A23" s="172"/>
      <c r="B23" s="172"/>
      <c r="C23" s="172"/>
      <c r="D23" s="263">
        <f>RESUMO!H14</f>
        <v>1655401.65</v>
      </c>
      <c r="E23" s="172"/>
      <c r="F23" s="172"/>
    </row>
    <row r="24" spans="1:9" x14ac:dyDescent="0.25">
      <c r="A24" s="174"/>
      <c r="B24" s="173"/>
      <c r="C24" s="173"/>
      <c r="D24" s="264">
        <f>D23-D22</f>
        <v>0</v>
      </c>
      <c r="E24" s="268"/>
      <c r="F24" s="173"/>
    </row>
  </sheetData>
  <mergeCells count="16">
    <mergeCell ref="A1:I1"/>
    <mergeCell ref="A2:I2"/>
    <mergeCell ref="A3:I3"/>
    <mergeCell ref="A4:I4"/>
    <mergeCell ref="A5:I5"/>
    <mergeCell ref="A20:B20"/>
    <mergeCell ref="A21:B21"/>
    <mergeCell ref="A22:B22"/>
    <mergeCell ref="A19:B19"/>
    <mergeCell ref="B6:C6"/>
    <mergeCell ref="B7:C7"/>
    <mergeCell ref="B9:C9"/>
    <mergeCell ref="B11:C11"/>
    <mergeCell ref="B13:C13"/>
    <mergeCell ref="B15:C15"/>
    <mergeCell ref="B17:C17"/>
  </mergeCells>
  <printOptions horizontalCentered="1"/>
  <pageMargins left="0.51181102362204722" right="0.51181102362204722" top="2.0418750000000001" bottom="0.98425196850393704" header="0" footer="0"/>
  <pageSetup paperSize="9" scale="65" orientation="landscape" r:id="rId1"/>
  <headerFooter>
    <oddHeader>&amp;C&amp;G</oddHeader>
    <oddFooter>&amp;C&amp;G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K73"/>
  <sheetViews>
    <sheetView view="pageBreakPreview" topLeftCell="A43" zoomScale="70" zoomScaleNormal="60" zoomScaleSheetLayoutView="70" workbookViewId="0">
      <selection activeCell="C75" sqref="C75"/>
    </sheetView>
  </sheetViews>
  <sheetFormatPr defaultRowHeight="15.75" x14ac:dyDescent="0.25"/>
  <cols>
    <col min="1" max="1" width="15.7109375" customWidth="1"/>
    <col min="2" max="2" width="63.7109375" style="1" customWidth="1"/>
    <col min="3" max="3" width="36.7109375" style="1" customWidth="1"/>
    <col min="4" max="5" width="15.7109375" style="1" customWidth="1"/>
    <col min="6" max="6" width="19.28515625" style="1" customWidth="1"/>
    <col min="7" max="7" width="15.7109375" style="1" customWidth="1"/>
    <col min="9" max="9" width="12.28515625" customWidth="1"/>
  </cols>
  <sheetData>
    <row r="1" spans="1:11" x14ac:dyDescent="0.25">
      <c r="A1" s="495" t="str">
        <f>RESUMO!A1</f>
        <v>OBRA: RECUPERAÇÃO DE ESTRADA VICINAL</v>
      </c>
      <c r="B1" s="496"/>
      <c r="C1" s="496"/>
      <c r="D1" s="496"/>
      <c r="E1" s="496"/>
      <c r="F1" s="496"/>
      <c r="G1" s="496"/>
      <c r="H1" s="497"/>
      <c r="I1" s="205"/>
    </row>
    <row r="2" spans="1:11" x14ac:dyDescent="0.25">
      <c r="A2" s="495" t="str">
        <f>RESUMO!A2</f>
        <v>LOCAL: NOVA SANTA RITA - PI</v>
      </c>
      <c r="B2" s="496"/>
      <c r="C2" s="496"/>
      <c r="D2" s="496"/>
      <c r="E2" s="496"/>
      <c r="F2" s="496"/>
      <c r="G2" s="496"/>
      <c r="H2" s="497"/>
      <c r="I2" s="205"/>
    </row>
    <row r="3" spans="1:11" x14ac:dyDescent="0.25">
      <c r="A3" s="495" t="str">
        <f>RESUMO!A3</f>
        <v>TRECHO: POVOADO JATOBAZEIRO AO POVOADO QUINTAS - POVOADO SACO AO POVOADO CABOCLO - COM EXTENSÃO DE 23Km</v>
      </c>
      <c r="B3" s="496"/>
      <c r="C3" s="496"/>
      <c r="D3" s="496"/>
      <c r="E3" s="496"/>
      <c r="F3" s="496"/>
      <c r="G3" s="496"/>
      <c r="H3" s="497"/>
      <c r="I3" s="205"/>
    </row>
    <row r="4" spans="1:11" ht="15.75" customHeight="1" x14ac:dyDescent="0.25">
      <c r="A4" s="495" t="str">
        <f>RESUMO!A4</f>
        <v>BANCA: SINAPI - 10/2023 - Piauí / SICRO - 10/2023 - Sem desoneração - Horista: 113,05 % / Mensalista: 70,90% - BDI: 21,96 %</v>
      </c>
      <c r="B4" s="496"/>
      <c r="C4" s="496"/>
      <c r="D4" s="496"/>
      <c r="E4" s="496"/>
      <c r="F4" s="496"/>
      <c r="G4" s="496"/>
      <c r="H4" s="497"/>
      <c r="I4" s="205"/>
    </row>
    <row r="5" spans="1:11" ht="15.6" customHeight="1" x14ac:dyDescent="0.25">
      <c r="A5" s="649" t="s">
        <v>127</v>
      </c>
      <c r="B5" s="650"/>
      <c r="C5" s="650"/>
      <c r="D5" s="650"/>
      <c r="E5" s="650"/>
      <c r="F5" s="650"/>
      <c r="G5" s="650"/>
      <c r="H5" s="651"/>
    </row>
    <row r="6" spans="1:11" ht="15" x14ac:dyDescent="0.25">
      <c r="A6" s="176"/>
      <c r="B6" s="662"/>
      <c r="C6" s="662"/>
      <c r="D6" s="662"/>
      <c r="E6" s="662"/>
      <c r="F6" s="177"/>
      <c r="G6" s="177"/>
      <c r="H6" s="178"/>
    </row>
    <row r="7" spans="1:11" ht="15" x14ac:dyDescent="0.25">
      <c r="A7" s="179"/>
      <c r="B7" s="180"/>
      <c r="C7" s="180"/>
      <c r="D7" s="180"/>
      <c r="E7" s="180"/>
      <c r="F7" s="180"/>
      <c r="G7" s="180"/>
      <c r="H7" s="181"/>
      <c r="I7" s="56"/>
      <c r="J7" s="57"/>
      <c r="K7" s="57"/>
    </row>
    <row r="8" spans="1:11" x14ac:dyDescent="0.25">
      <c r="A8" s="663" t="s">
        <v>128</v>
      </c>
      <c r="B8" s="664"/>
      <c r="C8" s="175"/>
      <c r="D8" s="175"/>
      <c r="E8" s="175"/>
      <c r="F8" s="175"/>
      <c r="G8" s="175"/>
      <c r="H8" s="93"/>
      <c r="I8" s="56"/>
      <c r="J8" s="57"/>
      <c r="K8" s="57"/>
    </row>
    <row r="9" spans="1:11" x14ac:dyDescent="0.25">
      <c r="A9" s="82"/>
      <c r="B9" s="83"/>
      <c r="C9" s="84"/>
      <c r="D9" s="84"/>
      <c r="E9" s="84"/>
      <c r="F9" s="84"/>
      <c r="G9" s="84"/>
      <c r="H9" s="93"/>
      <c r="I9" s="56"/>
      <c r="J9" s="57"/>
      <c r="K9" s="57"/>
    </row>
    <row r="10" spans="1:11" x14ac:dyDescent="0.25">
      <c r="A10" s="94"/>
      <c r="B10" s="95" t="s">
        <v>129</v>
      </c>
      <c r="C10" s="88"/>
      <c r="D10" s="96">
        <f>IF(C10="x",1,0)</f>
        <v>0</v>
      </c>
      <c r="E10" s="97"/>
      <c r="F10" s="98"/>
      <c r="G10" s="99"/>
      <c r="H10" s="100">
        <f>IF(F10="x",1,0)</f>
        <v>0</v>
      </c>
      <c r="I10" s="56"/>
      <c r="J10" s="57"/>
      <c r="K10" s="57"/>
    </row>
    <row r="11" spans="1:11" x14ac:dyDescent="0.25">
      <c r="A11" s="94"/>
      <c r="B11" s="95" t="s">
        <v>131</v>
      </c>
      <c r="C11" s="88" t="s">
        <v>130</v>
      </c>
      <c r="D11" s="96">
        <f>IF(C11="x",1,0)</f>
        <v>1</v>
      </c>
      <c r="E11" s="101"/>
      <c r="F11" s="98"/>
      <c r="G11" s="99"/>
      <c r="H11" s="100">
        <f>IF(F11="x",1,0)</f>
        <v>0</v>
      </c>
      <c r="I11" s="56"/>
      <c r="J11" s="57"/>
      <c r="K11" s="57"/>
    </row>
    <row r="12" spans="1:11" ht="16.5" thickBot="1" x14ac:dyDescent="0.3">
      <c r="A12" s="89"/>
      <c r="B12" s="645" t="str">
        <f>IF(D12&gt;1,"SELECIONE SOMENTE UM TIPO DE BDI",IF(D12=0,"SELECIONE UM TIPO DE BDI",""))</f>
        <v/>
      </c>
      <c r="C12" s="645"/>
      <c r="D12" s="102">
        <f>SUM(D10:D11)</f>
        <v>1</v>
      </c>
      <c r="E12" s="646"/>
      <c r="F12" s="646"/>
      <c r="G12" s="646"/>
      <c r="H12" s="103">
        <f>SUM(H10:H11)</f>
        <v>0</v>
      </c>
      <c r="I12" s="56"/>
      <c r="J12" s="57"/>
      <c r="K12" s="57"/>
    </row>
    <row r="13" spans="1:11" thickBot="1" x14ac:dyDescent="0.3">
      <c r="A13" s="55"/>
      <c r="B13" s="55"/>
      <c r="C13" s="55"/>
      <c r="D13" s="55"/>
      <c r="E13" s="55"/>
      <c r="F13" s="55"/>
      <c r="G13" s="61"/>
      <c r="H13" s="61"/>
      <c r="I13" s="56"/>
      <c r="J13" s="57"/>
      <c r="K13" s="57"/>
    </row>
    <row r="14" spans="1:11" x14ac:dyDescent="0.25">
      <c r="A14" s="652" t="s">
        <v>132</v>
      </c>
      <c r="B14" s="653"/>
      <c r="C14" s="80"/>
      <c r="D14" s="80"/>
      <c r="E14" s="80"/>
      <c r="F14" s="80"/>
      <c r="G14" s="81"/>
      <c r="H14" s="62"/>
      <c r="I14" s="56">
        <f>IF(H22&lt;&gt;0,VLOOKUP("x",G16:I21,3,FALSE),0)</f>
        <v>2</v>
      </c>
      <c r="J14" s="57"/>
      <c r="K14" s="57"/>
    </row>
    <row r="15" spans="1:11" x14ac:dyDescent="0.25">
      <c r="A15" s="82"/>
      <c r="B15" s="83"/>
      <c r="C15" s="84"/>
      <c r="D15" s="84"/>
      <c r="E15" s="84"/>
      <c r="F15" s="84"/>
      <c r="G15" s="85"/>
      <c r="H15" s="63"/>
      <c r="I15" s="56"/>
      <c r="J15" s="57"/>
      <c r="K15" s="57"/>
    </row>
    <row r="16" spans="1:11" x14ac:dyDescent="0.25">
      <c r="A16" s="86"/>
      <c r="B16" s="84"/>
      <c r="C16" s="84"/>
      <c r="D16" s="84"/>
      <c r="E16" s="84"/>
      <c r="F16" s="87" t="s">
        <v>133</v>
      </c>
      <c r="G16" s="88"/>
      <c r="H16" s="59">
        <f t="shared" ref="H16:H21" si="0">IF(G16="x",1,0)</f>
        <v>0</v>
      </c>
      <c r="I16" s="56">
        <v>1</v>
      </c>
      <c r="J16" s="57"/>
      <c r="K16" s="57"/>
    </row>
    <row r="17" spans="1:11" x14ac:dyDescent="0.25">
      <c r="A17" s="86"/>
      <c r="B17" s="84"/>
      <c r="C17" s="84"/>
      <c r="D17" s="84"/>
      <c r="E17" s="84"/>
      <c r="F17" s="87" t="s">
        <v>134</v>
      </c>
      <c r="G17" s="88" t="s">
        <v>130</v>
      </c>
      <c r="H17" s="59">
        <f t="shared" si="0"/>
        <v>1</v>
      </c>
      <c r="I17" s="56">
        <v>2</v>
      </c>
      <c r="J17" s="57"/>
      <c r="K17" s="57"/>
    </row>
    <row r="18" spans="1:11" x14ac:dyDescent="0.25">
      <c r="A18" s="86"/>
      <c r="B18" s="84"/>
      <c r="C18" s="84"/>
      <c r="D18" s="84"/>
      <c r="E18" s="84"/>
      <c r="F18" s="87" t="s">
        <v>135</v>
      </c>
      <c r="G18" s="88"/>
      <c r="H18" s="59">
        <f t="shared" si="0"/>
        <v>0</v>
      </c>
      <c r="I18" s="56">
        <v>3</v>
      </c>
      <c r="J18" s="57"/>
      <c r="K18" s="57"/>
    </row>
    <row r="19" spans="1:11" x14ac:dyDescent="0.25">
      <c r="A19" s="86"/>
      <c r="B19" s="84"/>
      <c r="C19" s="84"/>
      <c r="D19" s="84"/>
      <c r="E19" s="84"/>
      <c r="F19" s="87" t="s">
        <v>136</v>
      </c>
      <c r="G19" s="88"/>
      <c r="H19" s="59">
        <f t="shared" si="0"/>
        <v>0</v>
      </c>
      <c r="I19" s="56">
        <v>4</v>
      </c>
      <c r="J19" s="57"/>
      <c r="K19" s="57"/>
    </row>
    <row r="20" spans="1:11" x14ac:dyDescent="0.25">
      <c r="A20" s="86"/>
      <c r="B20" s="84"/>
      <c r="C20" s="84"/>
      <c r="D20" s="84"/>
      <c r="E20" s="84"/>
      <c r="F20" s="87" t="s">
        <v>137</v>
      </c>
      <c r="G20" s="88"/>
      <c r="H20" s="59">
        <f t="shared" si="0"/>
        <v>0</v>
      </c>
      <c r="I20" s="56">
        <v>5</v>
      </c>
      <c r="J20" s="57"/>
      <c r="K20" s="57"/>
    </row>
    <row r="21" spans="1:11" x14ac:dyDescent="0.25">
      <c r="A21" s="86"/>
      <c r="B21" s="658" t="str">
        <f>IF(AND(C10="x",G21="x"),"NÃO HÁ DESONERAÇÃO PARA FORNECIMENTO DE MATERIAIS","")</f>
        <v/>
      </c>
      <c r="C21" s="658"/>
      <c r="D21" s="658"/>
      <c r="E21" s="84"/>
      <c r="F21" s="87" t="s">
        <v>138</v>
      </c>
      <c r="G21" s="88"/>
      <c r="H21" s="59">
        <f t="shared" si="0"/>
        <v>0</v>
      </c>
      <c r="I21" s="56">
        <v>6</v>
      </c>
      <c r="J21" s="57"/>
      <c r="K21" s="57"/>
    </row>
    <row r="22" spans="1:11" ht="16.5" thickBot="1" x14ac:dyDescent="0.3">
      <c r="A22" s="89"/>
      <c r="B22" s="659" t="str">
        <f>IF(H22&gt;1,"SELECIONE SOMENTE UM TIPO DE SERVIÇO",IF(H22=0,"SELECIONE UM TIPO DE SERVIÇO",""))</f>
        <v/>
      </c>
      <c r="C22" s="659"/>
      <c r="D22" s="90"/>
      <c r="E22" s="90"/>
      <c r="F22" s="91"/>
      <c r="G22" s="92"/>
      <c r="H22" s="60">
        <f>SUM(H16:H21)</f>
        <v>1</v>
      </c>
      <c r="I22" s="56"/>
      <c r="J22" s="57"/>
      <c r="K22" s="57"/>
    </row>
    <row r="23" spans="1:11" thickBot="1" x14ac:dyDescent="0.3">
      <c r="A23" s="55"/>
      <c r="B23" s="55"/>
      <c r="C23" s="55"/>
      <c r="D23" s="55"/>
      <c r="E23" s="64"/>
      <c r="F23" s="64"/>
      <c r="G23" s="56"/>
      <c r="H23" s="56"/>
      <c r="I23" s="56"/>
      <c r="J23" s="57"/>
      <c r="K23" s="57"/>
    </row>
    <row r="24" spans="1:11" x14ac:dyDescent="0.25">
      <c r="A24" s="652" t="s">
        <v>139</v>
      </c>
      <c r="B24" s="653"/>
      <c r="C24" s="80"/>
      <c r="D24" s="80"/>
      <c r="E24" s="660"/>
      <c r="F24" s="660"/>
      <c r="G24" s="104" t="s">
        <v>140</v>
      </c>
      <c r="H24" s="105"/>
      <c r="I24" s="56"/>
      <c r="J24" s="57"/>
      <c r="K24" s="57"/>
    </row>
    <row r="25" spans="1:11" ht="15" x14ac:dyDescent="0.25">
      <c r="A25" s="106"/>
      <c r="B25" s="107"/>
      <c r="C25" s="107"/>
      <c r="D25" s="107"/>
      <c r="E25" s="107"/>
      <c r="F25" s="107"/>
      <c r="G25" s="99"/>
      <c r="H25" s="108"/>
      <c r="I25" s="56"/>
      <c r="J25" s="57" t="s">
        <v>141</v>
      </c>
      <c r="K25" s="57" t="s">
        <v>142</v>
      </c>
    </row>
    <row r="26" spans="1:11" ht="15" x14ac:dyDescent="0.25">
      <c r="A26" s="106"/>
      <c r="B26" s="109" t="s">
        <v>143</v>
      </c>
      <c r="C26" s="110"/>
      <c r="D26" s="110" t="str">
        <f>IF(AND(G26&gt;=J26,G26&lt;=K26),"","FORA DO LIMITE")</f>
        <v/>
      </c>
      <c r="E26" s="110"/>
      <c r="F26" s="111" t="s">
        <v>144</v>
      </c>
      <c r="G26" s="112">
        <v>3.7999999999999999E-2</v>
      </c>
      <c r="H26" s="108"/>
      <c r="I26" s="56"/>
      <c r="J26" s="57">
        <f>VLOOKUP($I$14,[1]Referências!A12:D18,2,FALSE)</f>
        <v>3.7999999999999999E-2</v>
      </c>
      <c r="K26" s="57">
        <f>VLOOKUP($I$14,[1]Referências!A12:D18,4,FALSE)</f>
        <v>4.6699999999999998E-2</v>
      </c>
    </row>
    <row r="27" spans="1:11" ht="15" x14ac:dyDescent="0.25">
      <c r="A27" s="106"/>
      <c r="B27" s="113"/>
      <c r="C27" s="107"/>
      <c r="D27" s="107"/>
      <c r="E27" s="107"/>
      <c r="F27" s="87"/>
      <c r="G27" s="114"/>
      <c r="H27" s="108"/>
      <c r="I27" s="56"/>
      <c r="J27" s="57"/>
      <c r="K27" s="57"/>
    </row>
    <row r="28" spans="1:11" ht="15" x14ac:dyDescent="0.25">
      <c r="A28" s="106"/>
      <c r="B28" s="109" t="s">
        <v>145</v>
      </c>
      <c r="C28" s="110"/>
      <c r="D28" s="110" t="str">
        <f>IF(AND(G28&gt;=J28,G28&lt;=K28),"","FORA DO LIMITE")</f>
        <v/>
      </c>
      <c r="E28" s="110"/>
      <c r="F28" s="111" t="s">
        <v>146</v>
      </c>
      <c r="G28" s="115">
        <v>1.0200000000000001E-2</v>
      </c>
      <c r="H28" s="116"/>
      <c r="I28" s="56"/>
      <c r="J28" s="57">
        <f>VLOOKUP($I$14,[1]Referências!A39:D45,2,FALSE)</f>
        <v>1.0200000000000001E-2</v>
      </c>
      <c r="K28" s="57">
        <f>VLOOKUP($I$14,[1]Referências!A39:D45,4,FALSE)</f>
        <v>1.21E-2</v>
      </c>
    </row>
    <row r="29" spans="1:11" ht="15" x14ac:dyDescent="0.25">
      <c r="A29" s="106"/>
      <c r="B29" s="113"/>
      <c r="C29" s="107"/>
      <c r="D29" s="107"/>
      <c r="E29" s="107"/>
      <c r="F29" s="87"/>
      <c r="G29" s="117"/>
      <c r="H29" s="116"/>
      <c r="I29" s="56"/>
      <c r="J29" s="57"/>
      <c r="K29" s="57"/>
    </row>
    <row r="30" spans="1:11" x14ac:dyDescent="0.25">
      <c r="A30" s="106"/>
      <c r="B30" s="118" t="s">
        <v>147</v>
      </c>
      <c r="C30" s="119"/>
      <c r="D30" s="119"/>
      <c r="E30" s="119"/>
      <c r="F30" s="120"/>
      <c r="G30" s="121"/>
      <c r="H30" s="122"/>
      <c r="I30" s="56"/>
      <c r="J30" s="57"/>
      <c r="K30" s="57"/>
    </row>
    <row r="31" spans="1:11" x14ac:dyDescent="0.25">
      <c r="A31" s="106"/>
      <c r="B31" s="123"/>
      <c r="C31" s="107"/>
      <c r="D31" s="107" t="str">
        <f>IF(AND(G31&gt;=J31,G31&lt;=K31),"","FORA DO LIMITE")</f>
        <v/>
      </c>
      <c r="E31" s="107"/>
      <c r="F31" s="87" t="s">
        <v>148</v>
      </c>
      <c r="G31" s="124">
        <v>3.2000000000000002E-3</v>
      </c>
      <c r="H31" s="125"/>
      <c r="I31" s="56"/>
      <c r="J31" s="57">
        <f>VLOOKUP($I$14,[1]Referências!A21:D27,2,FALSE)</f>
        <v>3.2000000000000002E-3</v>
      </c>
      <c r="K31" s="57">
        <f>VLOOKUP($I$14,[1]Referências!A21:D27,4,FALSE)</f>
        <v>7.4000000000000003E-3</v>
      </c>
    </row>
    <row r="32" spans="1:11" ht="15" x14ac:dyDescent="0.25">
      <c r="A32" s="106"/>
      <c r="B32" s="126"/>
      <c r="C32" s="127"/>
      <c r="D32" s="127" t="str">
        <f>IF(AND(G32&gt;=J32,G32&lt;=K32),"","FORA DO LIMITE")</f>
        <v/>
      </c>
      <c r="E32" s="127"/>
      <c r="F32" s="128" t="s">
        <v>149</v>
      </c>
      <c r="G32" s="129">
        <v>7.1999999999999998E-3</v>
      </c>
      <c r="H32" s="108"/>
      <c r="I32" s="56"/>
      <c r="J32" s="57">
        <f>VLOOKUP($I$14,[1]Referências!A30:D36,2,FALSE)</f>
        <v>5.0000000000000001E-3</v>
      </c>
      <c r="K32" s="57">
        <f>VLOOKUP($I$14,[1]Referências!A30:D36,4,FALSE)</f>
        <v>9.7000000000000003E-3</v>
      </c>
    </row>
    <row r="33" spans="1:11" x14ac:dyDescent="0.25">
      <c r="A33" s="106"/>
      <c r="B33" s="107"/>
      <c r="C33" s="107"/>
      <c r="D33" s="107"/>
      <c r="E33" s="107"/>
      <c r="F33" s="87"/>
      <c r="G33" s="117"/>
      <c r="H33" s="125"/>
      <c r="I33" s="56"/>
      <c r="J33" s="57"/>
      <c r="K33" s="57"/>
    </row>
    <row r="34" spans="1:11" x14ac:dyDescent="0.25">
      <c r="A34" s="106"/>
      <c r="B34" s="95" t="s">
        <v>150</v>
      </c>
      <c r="C34" s="110"/>
      <c r="D34" s="110" t="str">
        <f t="shared" ref="D34" si="1">IF(AND(G34&gt;=J34,G34&lt;=K34),"","FORA DO LIMITE")</f>
        <v/>
      </c>
      <c r="E34" s="110"/>
      <c r="F34" s="111" t="s">
        <v>151</v>
      </c>
      <c r="G34" s="115">
        <v>7.4999999999999997E-2</v>
      </c>
      <c r="H34" s="125"/>
      <c r="I34" s="56"/>
      <c r="J34" s="57">
        <f>VLOOKUP($I$14,[1]Referências!A48:D54,2,FALSE)</f>
        <v>6.6400000000000001E-2</v>
      </c>
      <c r="K34" s="57">
        <f>VLOOKUP($I$14,[1]Referências!A48:D54,4,FALSE)</f>
        <v>8.6900000000000005E-2</v>
      </c>
    </row>
    <row r="35" spans="1:11" x14ac:dyDescent="0.25">
      <c r="A35" s="106"/>
      <c r="B35" s="107"/>
      <c r="C35" s="107"/>
      <c r="D35" s="107"/>
      <c r="E35" s="107"/>
      <c r="F35" s="87"/>
      <c r="G35" s="117"/>
      <c r="H35" s="125"/>
      <c r="I35" s="56"/>
      <c r="J35" s="57"/>
      <c r="K35" s="57"/>
    </row>
    <row r="36" spans="1:11" x14ac:dyDescent="0.25">
      <c r="A36" s="106"/>
      <c r="B36" s="118" t="s">
        <v>152</v>
      </c>
      <c r="C36" s="119"/>
      <c r="D36" s="119"/>
      <c r="E36" s="119"/>
      <c r="F36" s="120"/>
      <c r="G36" s="121"/>
      <c r="H36" s="125"/>
      <c r="I36" s="56"/>
      <c r="J36" s="57"/>
      <c r="K36" s="57"/>
    </row>
    <row r="37" spans="1:11" ht="15" x14ac:dyDescent="0.25">
      <c r="A37" s="106"/>
      <c r="B37" s="130"/>
      <c r="C37" s="107"/>
      <c r="D37" s="107"/>
      <c r="E37" s="107"/>
      <c r="F37" s="87" t="str">
        <f>IF(AND(C10="X",C10&lt;&gt;C11,I14&lt;&gt;6,F11&lt;&gt;"X"),"INSS =","")</f>
        <v/>
      </c>
      <c r="G37" s="131" t="str">
        <f>IF(AND(C10="x",I14&lt;&gt;6,B12&lt;&gt;"SELECIONE SOMENTE UM TIPO DE BDI"),K37,"")</f>
        <v/>
      </c>
      <c r="H37" s="132"/>
      <c r="I37" s="56"/>
      <c r="J37" s="57">
        <v>0</v>
      </c>
      <c r="K37" s="57">
        <v>4.4999999999999998E-2</v>
      </c>
    </row>
    <row r="38" spans="1:11" ht="15" x14ac:dyDescent="0.25">
      <c r="A38" s="106"/>
      <c r="B38" s="661" t="str">
        <f>IF(AND(G38&lt;&gt;"",I14=6),"APAGUE O PERCENTUAL DESTA LINHA","")</f>
        <v/>
      </c>
      <c r="C38" s="658"/>
      <c r="D38" s="107" t="str">
        <f>IF(B38="APAGUE O PERCENTUAL DESTA LINHA","",IF(AND(G38&gt;=J38,G38&lt;=K38),"","FORA DO LIMITE"))</f>
        <v/>
      </c>
      <c r="E38" s="107"/>
      <c r="F38" s="87" t="str">
        <f>IF(I14=6,"","ISSQN =")</f>
        <v>ISSQN =</v>
      </c>
      <c r="G38" s="124">
        <v>0.03</v>
      </c>
      <c r="H38" s="132"/>
      <c r="I38" s="56"/>
      <c r="J38" s="57">
        <v>1.2E-2</v>
      </c>
      <c r="K38" s="57">
        <v>0.03</v>
      </c>
    </row>
    <row r="39" spans="1:11" ht="15" x14ac:dyDescent="0.25">
      <c r="A39" s="106"/>
      <c r="B39" s="123"/>
      <c r="C39" s="107"/>
      <c r="D39" s="107" t="str">
        <f>IF(AND(G39&gt;=J39,G39&lt;=K39),"","FORA DO LIMITE")</f>
        <v/>
      </c>
      <c r="E39" s="107"/>
      <c r="F39" s="87" t="s">
        <v>153</v>
      </c>
      <c r="G39" s="133">
        <f>J39</f>
        <v>6.4999999999999997E-3</v>
      </c>
      <c r="H39" s="132"/>
      <c r="I39" s="56"/>
      <c r="J39" s="57">
        <v>6.4999999999999997E-3</v>
      </c>
      <c r="K39" s="57">
        <v>6.4999999999999997E-3</v>
      </c>
    </row>
    <row r="40" spans="1:11" ht="15" x14ac:dyDescent="0.25">
      <c r="A40" s="106"/>
      <c r="B40" s="123"/>
      <c r="C40" s="107"/>
      <c r="D40" s="107" t="str">
        <f t="shared" ref="D40" si="2">IF(AND(G40&gt;=J40,G40&lt;=K40),"","FORA DO LIMITE")</f>
        <v/>
      </c>
      <c r="E40" s="107"/>
      <c r="F40" s="87" t="s">
        <v>154</v>
      </c>
      <c r="G40" s="133">
        <f>J40</f>
        <v>0.03</v>
      </c>
      <c r="H40" s="132"/>
      <c r="I40" s="56"/>
      <c r="J40" s="57">
        <v>0.03</v>
      </c>
      <c r="K40" s="57">
        <v>0.03</v>
      </c>
    </row>
    <row r="41" spans="1:11" x14ac:dyDescent="0.25">
      <c r="A41" s="106"/>
      <c r="B41" s="126"/>
      <c r="C41" s="127"/>
      <c r="D41" s="127"/>
      <c r="E41" s="127"/>
      <c r="F41" s="128" t="s">
        <v>155</v>
      </c>
      <c r="G41" s="134">
        <f>SUM(G37:G40)</f>
        <v>6.6500000000000004E-2</v>
      </c>
      <c r="H41" s="125"/>
      <c r="I41" s="56"/>
      <c r="J41" s="57"/>
      <c r="K41" s="57"/>
    </row>
    <row r="42" spans="1:11" ht="16.5" thickBot="1" x14ac:dyDescent="0.3">
      <c r="A42" s="135"/>
      <c r="B42" s="91"/>
      <c r="C42" s="91"/>
      <c r="D42" s="91"/>
      <c r="E42" s="91"/>
      <c r="F42" s="136"/>
      <c r="G42" s="137"/>
      <c r="H42" s="138"/>
      <c r="I42" s="56"/>
      <c r="J42" s="57"/>
      <c r="K42" s="57"/>
    </row>
    <row r="43" spans="1:11" thickBot="1" x14ac:dyDescent="0.3">
      <c r="A43" s="64"/>
      <c r="B43" s="64"/>
      <c r="C43" s="64"/>
      <c r="D43" s="64"/>
      <c r="E43" s="64"/>
      <c r="F43" s="65"/>
      <c r="G43" s="66"/>
      <c r="H43" s="67"/>
      <c r="I43" s="56"/>
      <c r="J43" s="57"/>
      <c r="K43" s="57"/>
    </row>
    <row r="44" spans="1:11" x14ac:dyDescent="0.25">
      <c r="A44" s="652" t="s">
        <v>156</v>
      </c>
      <c r="B44" s="653"/>
      <c r="C44" s="80"/>
      <c r="D44" s="80"/>
      <c r="E44" s="80"/>
      <c r="F44" s="80"/>
      <c r="G44" s="104"/>
      <c r="H44" s="105"/>
      <c r="I44" s="56"/>
      <c r="J44" s="57" t="s">
        <v>157</v>
      </c>
      <c r="K44" s="57"/>
    </row>
    <row r="45" spans="1:11" ht="15" x14ac:dyDescent="0.25">
      <c r="A45" s="106"/>
      <c r="B45" s="107"/>
      <c r="C45" s="107"/>
      <c r="D45" s="107"/>
      <c r="E45" s="107"/>
      <c r="F45" s="107"/>
      <c r="G45" s="99"/>
      <c r="H45" s="108"/>
      <c r="I45" s="56"/>
      <c r="J45" s="68">
        <v>1</v>
      </c>
      <c r="K45" s="57" t="str">
        <f>IF(OR(B12="SELECIONE UM TIPO DE BDI",B12="SELECIONE SOMENTE UM TIPO DE BDI"),"VER TIPO DE BDI","OK")</f>
        <v>OK</v>
      </c>
    </row>
    <row r="46" spans="1:11" ht="15" x14ac:dyDescent="0.25">
      <c r="A46" s="106"/>
      <c r="B46" s="107"/>
      <c r="C46" s="107"/>
      <c r="D46" s="107"/>
      <c r="E46" s="107"/>
      <c r="F46" s="107"/>
      <c r="G46" s="99"/>
      <c r="H46" s="108"/>
      <c r="I46" s="56"/>
      <c r="J46" s="68">
        <v>2</v>
      </c>
      <c r="K46" s="57" t="str">
        <f>IF(OR(B22="SELECIONE SOMENTE UM TIPO DE SERVIÇO",B22="SELECIONE UM TIPO DE SERVIÇO",B21="NÃO HÁ DESONERAÇÃO PARA FORNECIMENTO DE MATERIAIS"),"VER TIPO DE SERVIÇO","OK")</f>
        <v>OK</v>
      </c>
    </row>
    <row r="47" spans="1:11" ht="15" x14ac:dyDescent="0.25">
      <c r="A47" s="106"/>
      <c r="B47" s="107"/>
      <c r="C47" s="107"/>
      <c r="D47" s="107"/>
      <c r="E47" s="107"/>
      <c r="F47" s="107"/>
      <c r="G47" s="99"/>
      <c r="H47" s="108"/>
      <c r="I47" s="56"/>
      <c r="J47" s="68">
        <v>3</v>
      </c>
      <c r="K47" s="57" t="str">
        <f t="shared" ref="K47:K48" si="3">IF(OR(B23="SELECIONE SOMENTE UM TIPO DE SERVIÇO",B23="SELECIONE UM TIPO DE SERVIÇO",B22="NÃO HÁ DESONERAÇÃO PARA FORNECIMENTO DE MATERIAIS"),"VER TIPO DE SERVIÇO","OK")</f>
        <v>OK</v>
      </c>
    </row>
    <row r="48" spans="1:11" ht="15" x14ac:dyDescent="0.25">
      <c r="A48" s="106"/>
      <c r="B48" s="107"/>
      <c r="C48" s="107"/>
      <c r="D48" s="107"/>
      <c r="E48" s="107"/>
      <c r="F48" s="107"/>
      <c r="G48" s="99"/>
      <c r="H48" s="108"/>
      <c r="I48" s="56"/>
      <c r="J48" s="68">
        <v>4</v>
      </c>
      <c r="K48" s="57" t="str">
        <f t="shared" si="3"/>
        <v>OK</v>
      </c>
    </row>
    <row r="49" spans="1:11" ht="15" x14ac:dyDescent="0.25">
      <c r="A49" s="106"/>
      <c r="B49" s="107"/>
      <c r="C49" s="107"/>
      <c r="D49" s="107"/>
      <c r="E49" s="107"/>
      <c r="F49" s="107"/>
      <c r="G49" s="99"/>
      <c r="H49" s="108"/>
      <c r="I49" s="56"/>
      <c r="J49" s="68"/>
      <c r="K49" s="57"/>
    </row>
    <row r="50" spans="1:11" ht="15" x14ac:dyDescent="0.25">
      <c r="A50" s="106"/>
      <c r="B50" s="107"/>
      <c r="C50" s="107"/>
      <c r="D50" s="107"/>
      <c r="E50" s="107"/>
      <c r="F50" s="107"/>
      <c r="G50" s="99"/>
      <c r="H50" s="108"/>
      <c r="I50" s="56"/>
      <c r="J50" s="57"/>
      <c r="K50" s="57"/>
    </row>
    <row r="51" spans="1:11" ht="15" x14ac:dyDescent="0.25">
      <c r="A51" s="106"/>
      <c r="B51" s="107"/>
      <c r="C51" s="107"/>
      <c r="D51" s="107"/>
      <c r="E51" s="107"/>
      <c r="F51" s="107"/>
      <c r="G51" s="99"/>
      <c r="H51" s="108"/>
      <c r="I51" s="56"/>
      <c r="J51" s="57"/>
      <c r="K51" s="57"/>
    </row>
    <row r="52" spans="1:11" ht="15" x14ac:dyDescent="0.25">
      <c r="A52" s="106" t="s">
        <v>158</v>
      </c>
      <c r="B52" s="97" t="s">
        <v>159</v>
      </c>
      <c r="C52" s="107"/>
      <c r="D52" s="107"/>
      <c r="E52" s="107"/>
      <c r="F52" s="107"/>
      <c r="G52" s="99"/>
      <c r="H52" s="108"/>
      <c r="I52" s="56"/>
      <c r="J52" s="57"/>
      <c r="K52" s="57"/>
    </row>
    <row r="53" spans="1:11" ht="15" x14ac:dyDescent="0.25">
      <c r="A53" s="106" t="s">
        <v>160</v>
      </c>
      <c r="B53" s="97" t="s">
        <v>161</v>
      </c>
      <c r="C53" s="107"/>
      <c r="D53" s="107"/>
      <c r="E53" s="107"/>
      <c r="F53" s="107"/>
      <c r="G53" s="99"/>
      <c r="H53" s="108"/>
      <c r="I53" s="56"/>
      <c r="J53" s="57"/>
      <c r="K53" s="57"/>
    </row>
    <row r="54" spans="1:11" ht="15" x14ac:dyDescent="0.25">
      <c r="A54" s="106" t="s">
        <v>162</v>
      </c>
      <c r="B54" s="97" t="s">
        <v>163</v>
      </c>
      <c r="C54" s="107"/>
      <c r="D54" s="107"/>
      <c r="E54" s="107"/>
      <c r="F54" s="107"/>
      <c r="G54" s="99"/>
      <c r="H54" s="108"/>
      <c r="I54" s="56"/>
      <c r="J54" s="57"/>
      <c r="K54" s="57"/>
    </row>
    <row r="55" spans="1:11" ht="15" x14ac:dyDescent="0.25">
      <c r="A55" s="106" t="s">
        <v>146</v>
      </c>
      <c r="B55" s="97" t="s">
        <v>164</v>
      </c>
      <c r="C55" s="107"/>
      <c r="D55" s="107"/>
      <c r="E55" s="107"/>
      <c r="F55" s="107"/>
      <c r="G55" s="99"/>
      <c r="H55" s="108"/>
      <c r="I55" s="56"/>
      <c r="J55" s="57"/>
      <c r="K55" s="57"/>
    </row>
    <row r="56" spans="1:11" ht="15" x14ac:dyDescent="0.25">
      <c r="A56" s="106" t="s">
        <v>151</v>
      </c>
      <c r="B56" s="97" t="s">
        <v>165</v>
      </c>
      <c r="C56" s="107"/>
      <c r="D56" s="107"/>
      <c r="E56" s="107"/>
      <c r="F56" s="107"/>
      <c r="G56" s="99"/>
      <c r="H56" s="108"/>
      <c r="I56" s="56"/>
      <c r="J56" s="57"/>
      <c r="K56" s="57"/>
    </row>
    <row r="57" spans="1:11" ht="15" x14ac:dyDescent="0.25">
      <c r="A57" s="106" t="s">
        <v>166</v>
      </c>
      <c r="B57" s="97" t="s">
        <v>167</v>
      </c>
      <c r="C57" s="107"/>
      <c r="D57" s="107"/>
      <c r="E57" s="107"/>
      <c r="F57" s="107"/>
      <c r="G57" s="99"/>
      <c r="H57" s="108"/>
      <c r="I57" s="56"/>
      <c r="J57" s="57"/>
      <c r="K57" s="57"/>
    </row>
    <row r="58" spans="1:11" thickBot="1" x14ac:dyDescent="0.3">
      <c r="A58" s="135"/>
      <c r="B58" s="139"/>
      <c r="C58" s="91"/>
      <c r="D58" s="91"/>
      <c r="E58" s="91"/>
      <c r="F58" s="91"/>
      <c r="G58" s="140"/>
      <c r="H58" s="141"/>
      <c r="I58" s="56"/>
      <c r="J58" s="57"/>
      <c r="K58" s="57"/>
    </row>
    <row r="59" spans="1:11" thickBot="1" x14ac:dyDescent="0.3">
      <c r="A59" s="64"/>
      <c r="B59" s="58"/>
      <c r="C59" s="64"/>
      <c r="D59" s="64"/>
      <c r="E59" s="64"/>
      <c r="F59" s="64"/>
      <c r="G59" s="56"/>
      <c r="H59" s="56"/>
      <c r="I59" s="56"/>
      <c r="J59" s="57"/>
      <c r="K59" s="57"/>
    </row>
    <row r="60" spans="1:11" x14ac:dyDescent="0.25">
      <c r="A60" s="652" t="s">
        <v>168</v>
      </c>
      <c r="B60" s="653"/>
      <c r="C60" s="142"/>
      <c r="D60" s="142"/>
      <c r="E60" s="653" t="s">
        <v>169</v>
      </c>
      <c r="F60" s="653"/>
      <c r="G60" s="104"/>
      <c r="H60" s="105"/>
      <c r="I60" s="69">
        <f>SUM(1+G26,G31,G32)</f>
        <v>1.0484000000000002</v>
      </c>
      <c r="J60" s="57"/>
      <c r="K60" s="57"/>
    </row>
    <row r="61" spans="1:11" x14ac:dyDescent="0.25">
      <c r="A61" s="82"/>
      <c r="B61" s="83"/>
      <c r="C61" s="107"/>
      <c r="D61" s="107"/>
      <c r="E61" s="107"/>
      <c r="F61" s="107"/>
      <c r="G61" s="99"/>
      <c r="H61" s="108"/>
      <c r="I61" s="56">
        <f>1+G28</f>
        <v>1.0102</v>
      </c>
      <c r="J61" s="57"/>
      <c r="K61" s="57"/>
    </row>
    <row r="62" spans="1:11" ht="15" x14ac:dyDescent="0.25">
      <c r="A62" s="106"/>
      <c r="B62" s="143" t="s">
        <v>170</v>
      </c>
      <c r="C62" s="144">
        <f>IF(C11="X",VLOOKUP(I14,[1]Referências!A57:D63,2,FALSE),VLOOKUP(I14,[1]Referências!A57:D63,2,FALSE))</f>
        <v>0.19600000000000001</v>
      </c>
      <c r="D62" s="113" t="str">
        <f>IF(AND(C62&gt;I65,C11="X"),"BDI ABAIXO","")</f>
        <v/>
      </c>
      <c r="E62" s="143" t="s">
        <v>170</v>
      </c>
      <c r="F62" s="144">
        <f>IF(C10="X",VLOOKUP(I14,[1]Referências!A66:D72,2,FALSE),VLOOKUP(I14,[1]Referências!A66:D72,2,FALSE))</f>
        <v>0.25600000000000001</v>
      </c>
      <c r="G62" s="113" t="str">
        <f>IF(AND(F62&gt;I65,C10="X"),"BDI ABAIXO","")</f>
        <v/>
      </c>
      <c r="H62" s="108"/>
      <c r="I62" s="56">
        <f>1+G34</f>
        <v>1.075</v>
      </c>
      <c r="J62" s="57"/>
      <c r="K62" s="57"/>
    </row>
    <row r="63" spans="1:11" ht="15" x14ac:dyDescent="0.25">
      <c r="A63" s="106"/>
      <c r="B63" s="143" t="s">
        <v>171</v>
      </c>
      <c r="C63" s="144">
        <f>IF(C11="X",VLOOKUP(I14,[1]Referências!A57:D63,4,FALSE),VLOOKUP(I14,[1]Referências!A57:D63,4,FALSE))</f>
        <v>0.24229999999999999</v>
      </c>
      <c r="D63" s="113" t="str">
        <f>IF(AND(C63&lt;I66,C11="X"),"BDI ACIMA","")</f>
        <v/>
      </c>
      <c r="E63" s="143" t="s">
        <v>171</v>
      </c>
      <c r="F63" s="144">
        <f>IF(C10="X",VLOOKUP(I14,[1]Referências!A66:D72,4,FALSE),VLOOKUP(I14,[1]Referências!A66:D72,4,FALSE))</f>
        <v>0.30520000000000003</v>
      </c>
      <c r="G63" s="113" t="str">
        <f>IF(AND(F63&lt;I65,C10="X"),"BDI ACIMA","")</f>
        <v/>
      </c>
      <c r="H63" s="108"/>
      <c r="I63" s="56">
        <f>1-G41</f>
        <v>0.9335</v>
      </c>
      <c r="J63" s="57"/>
      <c r="K63" s="57"/>
    </row>
    <row r="64" spans="1:11" thickBot="1" x14ac:dyDescent="0.3">
      <c r="A64" s="135"/>
      <c r="B64" s="139"/>
      <c r="C64" s="91"/>
      <c r="D64" s="145"/>
      <c r="E64" s="91"/>
      <c r="F64" s="145"/>
      <c r="G64" s="140"/>
      <c r="H64" s="141"/>
      <c r="I64" s="56">
        <f>I60*I61*I62/I63</f>
        <v>1.2196311794322443</v>
      </c>
      <c r="J64" s="57"/>
      <c r="K64" s="57"/>
    </row>
    <row r="65" spans="1:11" thickBot="1" x14ac:dyDescent="0.3">
      <c r="A65" s="64"/>
      <c r="B65" s="64"/>
      <c r="C65" s="64"/>
      <c r="D65" s="64"/>
      <c r="E65" s="64"/>
      <c r="F65" s="64"/>
      <c r="G65" s="56"/>
      <c r="H65" s="56"/>
      <c r="I65" s="56">
        <f>ROUND(I64-1,4)</f>
        <v>0.21959999999999999</v>
      </c>
      <c r="J65" s="57"/>
      <c r="K65" s="57"/>
    </row>
    <row r="66" spans="1:11" thickBot="1" x14ac:dyDescent="0.3">
      <c r="A66" s="64"/>
      <c r="B66" s="64"/>
      <c r="C66" s="64"/>
      <c r="D66" s="70"/>
      <c r="E66" s="654" t="s">
        <v>172</v>
      </c>
      <c r="F66" s="655"/>
      <c r="G66" s="71">
        <f>IF(AND(K45="OK",K46="OK",K47="OK",K48="OK"),I65,IF(K45="VER TIPO DE BDI","VER TIPO DE BDI",IF(K46="VER TIPO DE SERVIÇO","VER TIPO DE SERVIÇO",IF(K47="VER PERCENTUAIS","VER PERCENTUAIS",IF(K48="BDI FORA DO LIMITE","BDI FORA DO LIMITE","VÁRIOS ERROS")))))</f>
        <v>0.21959999999999999</v>
      </c>
      <c r="H66" s="72" t="str">
        <f>IF(AND(M66&gt;=P66,M66&lt;=Q66),"","FORA DO LIMITE")</f>
        <v/>
      </c>
      <c r="I66" s="73">
        <f>G72</f>
        <v>0.21959999999999999</v>
      </c>
      <c r="J66" s="57"/>
      <c r="K66" s="57"/>
    </row>
    <row r="67" spans="1:11" ht="15" x14ac:dyDescent="0.25">
      <c r="A67" s="64"/>
      <c r="B67" s="64"/>
      <c r="C67" s="64"/>
      <c r="D67" s="64"/>
      <c r="E67" s="55"/>
      <c r="F67" s="55"/>
      <c r="G67" s="74"/>
      <c r="H67" s="74"/>
      <c r="I67" s="64"/>
      <c r="J67" s="57"/>
      <c r="K67" s="57"/>
    </row>
    <row r="68" spans="1:11" x14ac:dyDescent="0.25">
      <c r="A68" s="55"/>
      <c r="B68" s="83" t="s">
        <v>173</v>
      </c>
      <c r="C68" s="55"/>
      <c r="D68" s="55"/>
      <c r="E68" s="64"/>
      <c r="F68" s="64"/>
      <c r="G68" s="64"/>
      <c r="H68" s="64"/>
      <c r="I68" s="64"/>
      <c r="J68" s="57"/>
      <c r="K68" s="57"/>
    </row>
    <row r="69" spans="1:11" ht="15" x14ac:dyDescent="0.25">
      <c r="A69" s="58"/>
      <c r="B69" s="33" t="s">
        <v>174</v>
      </c>
      <c r="C69" s="75"/>
      <c r="D69" s="75"/>
      <c r="E69" s="64"/>
      <c r="F69" s="64"/>
      <c r="G69" s="656"/>
      <c r="H69" s="656"/>
      <c r="I69" s="56"/>
      <c r="J69" s="57"/>
      <c r="K69" s="57"/>
    </row>
    <row r="70" spans="1:11" ht="15" x14ac:dyDescent="0.25">
      <c r="A70" s="64"/>
      <c r="B70" s="33" t="s">
        <v>175</v>
      </c>
      <c r="C70" s="76"/>
      <c r="D70" s="64"/>
      <c r="E70" s="64"/>
      <c r="F70" s="64"/>
      <c r="G70" s="657"/>
      <c r="H70" s="657"/>
      <c r="I70" s="56"/>
      <c r="J70" s="57"/>
      <c r="K70" s="57"/>
    </row>
    <row r="71" spans="1:11" ht="15" x14ac:dyDescent="0.25">
      <c r="A71" s="64"/>
      <c r="B71" s="33" t="s">
        <v>176</v>
      </c>
      <c r="C71" s="64"/>
      <c r="D71" s="64"/>
      <c r="E71" s="64"/>
      <c r="F71" s="73"/>
      <c r="G71" s="56"/>
      <c r="H71" s="56"/>
      <c r="I71" s="56"/>
      <c r="J71" s="57"/>
      <c r="K71" s="57"/>
    </row>
    <row r="72" spans="1:11" ht="15" x14ac:dyDescent="0.25">
      <c r="A72" s="64"/>
      <c r="B72" s="64"/>
      <c r="C72" s="64"/>
      <c r="D72" s="64"/>
      <c r="E72" s="64"/>
      <c r="F72" s="151" t="s">
        <v>177</v>
      </c>
      <c r="G72" s="647">
        <f>I65</f>
        <v>0.21959999999999999</v>
      </c>
      <c r="H72" s="648"/>
      <c r="I72" s="56"/>
      <c r="J72" s="57"/>
      <c r="K72" s="57"/>
    </row>
    <row r="73" spans="1:11" ht="15" x14ac:dyDescent="0.25">
      <c r="A73" s="77"/>
      <c r="B73" s="77"/>
      <c r="C73" s="77"/>
      <c r="D73" s="77"/>
      <c r="E73" s="77"/>
      <c r="F73" s="77"/>
      <c r="G73" s="78"/>
      <c r="H73" s="78"/>
      <c r="I73" s="78"/>
      <c r="J73" s="79"/>
      <c r="K73" s="79"/>
    </row>
  </sheetData>
  <mergeCells count="22">
    <mergeCell ref="B6:E6"/>
    <mergeCell ref="A8:B8"/>
    <mergeCell ref="A1:H1"/>
    <mergeCell ref="A2:H2"/>
    <mergeCell ref="A3:H3"/>
    <mergeCell ref="A4:H4"/>
    <mergeCell ref="B12:C12"/>
    <mergeCell ref="E12:G12"/>
    <mergeCell ref="G72:H72"/>
    <mergeCell ref="A5:H5"/>
    <mergeCell ref="A44:B44"/>
    <mergeCell ref="A60:B60"/>
    <mergeCell ref="E60:F60"/>
    <mergeCell ref="E66:F66"/>
    <mergeCell ref="G69:H69"/>
    <mergeCell ref="G70:H70"/>
    <mergeCell ref="A14:B14"/>
    <mergeCell ref="B21:D21"/>
    <mergeCell ref="B22:C22"/>
    <mergeCell ref="A24:B24"/>
    <mergeCell ref="E24:F24"/>
    <mergeCell ref="B38:C38"/>
  </mergeCells>
  <conditionalFormatting sqref="B22">
    <cfRule type="cellIs" dxfId="24" priority="25" operator="equal">
      <formula>"SELECIONE SOMENTE UM TIPO DE SERVIÇO"</formula>
    </cfRule>
  </conditionalFormatting>
  <conditionalFormatting sqref="D26 D38:D40">
    <cfRule type="cellIs" dxfId="23" priority="24" operator="equal">
      <formula>"FORA DO LIMITE"</formula>
    </cfRule>
  </conditionalFormatting>
  <conditionalFormatting sqref="D28">
    <cfRule type="cellIs" dxfId="22" priority="23" operator="equal">
      <formula>"FORA DO LIMITE"</formula>
    </cfRule>
  </conditionalFormatting>
  <conditionalFormatting sqref="D31">
    <cfRule type="cellIs" dxfId="21" priority="22" operator="equal">
      <formula>"FORA DO LIMITE"</formula>
    </cfRule>
  </conditionalFormatting>
  <conditionalFormatting sqref="D34">
    <cfRule type="cellIs" dxfId="20" priority="20" operator="equal">
      <formula>"FORA DO LIMITE"</formula>
    </cfRule>
  </conditionalFormatting>
  <conditionalFormatting sqref="D32">
    <cfRule type="cellIs" dxfId="19" priority="21" operator="equal">
      <formula>"FORA DO LIMITE"</formula>
    </cfRule>
  </conditionalFormatting>
  <conditionalFormatting sqref="B12">
    <cfRule type="cellIs" dxfId="18" priority="19" operator="equal">
      <formula>"SELECIONE SOMENTE UM TIPO DE BDI"</formula>
    </cfRule>
  </conditionalFormatting>
  <conditionalFormatting sqref="B38:C38">
    <cfRule type="cellIs" dxfId="17" priority="18" operator="equal">
      <formula>"APAGUE O PERCENTUAL DESTA LINHA"</formula>
    </cfRule>
  </conditionalFormatting>
  <conditionalFormatting sqref="G66:H67">
    <cfRule type="cellIs" dxfId="16" priority="1" operator="equal">
      <formula>"VER PERCENTUAIS"</formula>
    </cfRule>
    <cfRule type="cellIs" dxfId="15" priority="13" operator="equal">
      <formula>"VÁRIOS ERROS"</formula>
    </cfRule>
    <cfRule type="cellIs" dxfId="14" priority="14" operator="equal">
      <formula>"BDI FORA DO LIMITE"</formula>
    </cfRule>
    <cfRule type="cellIs" dxfId="13" priority="15" operator="equal">
      <formula>"VER TIPO DE BDI"</formula>
    </cfRule>
    <cfRule type="cellIs" dxfId="12" priority="17" operator="equal">
      <formula>"VER TIPO DE SERVIÇO"</formula>
    </cfRule>
  </conditionalFormatting>
  <conditionalFormatting sqref="C10:C11 G16:G21 G26 G28 G31:G32 G34 G39:G40">
    <cfRule type="cellIs" dxfId="11" priority="16" operator="equal">
      <formula>0</formula>
    </cfRule>
  </conditionalFormatting>
  <conditionalFormatting sqref="E12">
    <cfRule type="cellIs" dxfId="10" priority="12" operator="equal">
      <formula>"SELECIONE SOMENTE UM TIPO DE BDI"</formula>
    </cfRule>
  </conditionalFormatting>
  <conditionalFormatting sqref="E12:G12">
    <cfRule type="cellIs" dxfId="9" priority="7" operator="equal">
      <formula>"SOMENTE HÁ DESONERAÇÃO PARA OBRAS"</formula>
    </cfRule>
    <cfRule type="cellIs" dxfId="8" priority="11" operator="equal">
      <formula>"NÃO HÁ PROJETO PARA FORNECIMENTO"</formula>
    </cfRule>
  </conditionalFormatting>
  <conditionalFormatting sqref="G38">
    <cfRule type="cellIs" dxfId="7" priority="10" operator="equal">
      <formula>0</formula>
    </cfRule>
  </conditionalFormatting>
  <conditionalFormatting sqref="B12:C12 E12:G12">
    <cfRule type="cellIs" dxfId="6" priority="9" operator="equal">
      <formula>"SELECIONE UM TIPO DE BDI"</formula>
    </cfRule>
  </conditionalFormatting>
  <conditionalFormatting sqref="B22:C22">
    <cfRule type="cellIs" dxfId="5" priority="8" operator="equal">
      <formula>"SELECIONE UM TIPO DE SERVIÇO"</formula>
    </cfRule>
  </conditionalFormatting>
  <conditionalFormatting sqref="B21">
    <cfRule type="cellIs" dxfId="4" priority="6" operator="equal">
      <formula>"NÃO HÁ DESONERAÇÃO PARA FORNECIMENTO DE MATERIAIS"</formula>
    </cfRule>
  </conditionalFormatting>
  <conditionalFormatting sqref="D62">
    <cfRule type="cellIs" dxfId="3" priority="5" operator="equal">
      <formula>"BDI ABAIXO"</formula>
    </cfRule>
  </conditionalFormatting>
  <conditionalFormatting sqref="D63">
    <cfRule type="cellIs" dxfId="2" priority="4" operator="equal">
      <formula>"BDI ACIMA"</formula>
    </cfRule>
  </conditionalFormatting>
  <conditionalFormatting sqref="G62">
    <cfRule type="cellIs" dxfId="1" priority="3" operator="equal">
      <formula>"BDI ABAIXO"</formula>
    </cfRule>
  </conditionalFormatting>
  <conditionalFormatting sqref="G63">
    <cfRule type="cellIs" dxfId="0" priority="2" operator="equal">
      <formula>"BDI ACIMA"</formula>
    </cfRule>
  </conditionalFormatting>
  <dataValidations disablePrompts="1" count="3">
    <dataValidation type="list" allowBlank="1" showInputMessage="1" showErrorMessage="1" promptTitle="Alerta" prompt="Digite somente 'X'" sqref="G16:G21 C10:C11" xr:uid="{00000000-0002-0000-0600-000000000000}">
      <formula1>"x,X"</formula1>
    </dataValidation>
    <dataValidation type="decimal" allowBlank="1" showInputMessage="1" showErrorMessage="1" sqref="G38:G41 G26:G36" xr:uid="{00000000-0002-0000-0600-000001000000}">
      <formula1>0</formula1>
      <formula2>100</formula2>
    </dataValidation>
    <dataValidation allowBlank="1" promptTitle="Alerta" prompt="Digite somente 'X'" sqref="F10:F11" xr:uid="{00000000-0002-0000-0600-000002000000}"/>
  </dataValidations>
  <printOptions horizontalCentered="1"/>
  <pageMargins left="0.51181102362204722" right="0.51181102362204722" top="1.9685039370078741" bottom="0.98425196850393704" header="0" footer="0"/>
  <pageSetup paperSize="9" scale="48" fitToHeight="0" orientation="portrait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12</vt:i4>
      </vt:variant>
    </vt:vector>
  </HeadingPairs>
  <TitlesOfParts>
    <vt:vector size="22" baseType="lpstr">
      <vt:lpstr>GERAL</vt:lpstr>
      <vt:lpstr>RESUMO</vt:lpstr>
      <vt:lpstr>ORÇAMENTO</vt:lpstr>
      <vt:lpstr>MEMORIAL DE CALCULO</vt:lpstr>
      <vt:lpstr>DMTS</vt:lpstr>
      <vt:lpstr>MOBILIZAÇÃO E DESMOB.</vt:lpstr>
      <vt:lpstr>COMPOSIÇÃO UNIT.</vt:lpstr>
      <vt:lpstr>CRONOGRAMA</vt:lpstr>
      <vt:lpstr>BDI</vt:lpstr>
      <vt:lpstr>LEIS SOCIAIS</vt:lpstr>
      <vt:lpstr>BDI!Area_de_impressao</vt:lpstr>
      <vt:lpstr>'COMPOSIÇÃO UNIT.'!Area_de_impressao</vt:lpstr>
      <vt:lpstr>CRONOGRAMA!Area_de_impressao</vt:lpstr>
      <vt:lpstr>DMTS!Area_de_impressao</vt:lpstr>
      <vt:lpstr>GERAL!Area_de_impressao</vt:lpstr>
      <vt:lpstr>'LEIS SOCIAIS'!Area_de_impressao</vt:lpstr>
      <vt:lpstr>'MEMORIAL DE CALCULO'!Area_de_impressao</vt:lpstr>
      <vt:lpstr>'MOBILIZAÇÃO E DESMOB.'!Area_de_impressao</vt:lpstr>
      <vt:lpstr>ORÇAMENTO!Area_de_impressao</vt:lpstr>
      <vt:lpstr>RESUMO!Area_de_impressao</vt:lpstr>
      <vt:lpstr>'COMPOSIÇÃO UNIT.'!Titulos_de_impressao</vt:lpstr>
      <vt:lpstr>'MEMORIAL DE CALCULO'!Titulos_de_impressao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Maurício</dc:creator>
  <cp:lastModifiedBy>Dell</cp:lastModifiedBy>
  <cp:lastPrinted>2024-03-01T13:12:29Z</cp:lastPrinted>
  <dcterms:created xsi:type="dcterms:W3CDTF">2021-03-20T11:57:26Z</dcterms:created>
  <dcterms:modified xsi:type="dcterms:W3CDTF">2024-03-01T14:03:11Z</dcterms:modified>
</cp:coreProperties>
</file>