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https://d.docs.live.net/fb097b4fbaa07013/Documentos/SADA/SISTEMAS DE ABASTECIMENTO DE ÁGUA EM LAGOA DO PIAUÍ-PI/ORÇAMENTOS/SEM DESONERAÇÃO/"/>
    </mc:Choice>
  </mc:AlternateContent>
  <xr:revisionPtr revIDLastSave="228" documentId="8_{B61541C2-46D6-4E91-B6C6-1F158B89BB35}" xr6:coauthVersionLast="47" xr6:coauthVersionMax="47" xr10:uidLastSave="{21A65769-AC24-4663-8753-4BB43C7BAE0D}"/>
  <bookViews>
    <workbookView xWindow="-108" yWindow="-108" windowWidth="23256" windowHeight="12456" tabRatio="967" firstSheet="1" activeTab="14" xr2:uid="{41F64E6C-83AE-4BFC-B81C-D311BAA323F2}"/>
  </bookViews>
  <sheets>
    <sheet name="DADOS" sheetId="1" state="hidden" r:id="rId1"/>
    <sheet name="RESUMO" sheetId="2" r:id="rId2"/>
    <sheet name="CFF" sheetId="3" r:id="rId3"/>
    <sheet name="ORCAMENTO" sheetId="4" r:id="rId4"/>
    <sheet name="CO" sheetId="5" state="hidden" r:id="rId5"/>
    <sheet name="MEMORIA" sheetId="6" r:id="rId6"/>
    <sheet name="CPU" sheetId="7" r:id="rId7"/>
    <sheet name="CPUAUX1" sheetId="8" r:id="rId8"/>
    <sheet name="CPUAUX2" sheetId="9" r:id="rId9"/>
    <sheet name="CPUAUX3" sheetId="10" r:id="rId10"/>
    <sheet name="CPUAUX4" sheetId="11" r:id="rId11"/>
    <sheet name="CPUAUX5" sheetId="12" r:id="rId12"/>
    <sheet name="BDI" sheetId="13" r:id="rId13"/>
    <sheet name="LSINAPI" sheetId="14" r:id="rId14"/>
    <sheet name="ABC_S" sheetId="15" r:id="rId15"/>
    <sheet name="ABC_I" sheetId="16" r:id="rId16"/>
    <sheet name="COMPRAS" sheetId="17" state="hidden" r:id="rId17"/>
    <sheet name="CONTRATOS" sheetId="18" state="hidden" r:id="rId18"/>
    <sheet name="S" sheetId="19" state="hidden" r:id="rId19"/>
    <sheet name="I" sheetId="20" state="hidden" r:id="rId20"/>
  </sheets>
  <definedNames>
    <definedName name="_xlnm._FilterDatabase" localSheetId="16" hidden="1">COMPRAS!$A$6:$F$216</definedName>
    <definedName name="_xlnm._FilterDatabase" localSheetId="17" hidden="1">CONTRATOS!$A$6:$F$70</definedName>
    <definedName name="_xlnm.Print_Area" localSheetId="15">ABC_I!$A$1:$I$286</definedName>
    <definedName name="_xlnm.Print_Area" localSheetId="14">ABC_S!$A$1:$I$75</definedName>
    <definedName name="_xlnm.Print_Area" localSheetId="12">BDI!$A$1:$F$46</definedName>
    <definedName name="_xlnm.Print_Area" localSheetId="2">CFF!$A$1:$M$121</definedName>
    <definedName name="_xlnm.Print_Area" localSheetId="4">CO!$A$1:$V$477</definedName>
    <definedName name="_xlnm.Print_Area" localSheetId="16">COMPRAS!$A$1:$F$217</definedName>
    <definedName name="_xlnm.Print_Area" localSheetId="17">CONTRATOS!$A$1:$F$71</definedName>
    <definedName name="_xlnm.Print_Area" localSheetId="6">CPU!$A$1:$J$736</definedName>
    <definedName name="_xlnm.Print_Area" localSheetId="7">CPUAUX1!$A$1:$J$773</definedName>
    <definedName name="_xlnm.Print_Area" localSheetId="8">CPUAUX2!$A$1:$J$552</definedName>
    <definedName name="_xlnm.Print_Area" localSheetId="9">CPUAUX3!$A$1:$J$396</definedName>
    <definedName name="_xlnm.Print_Area" localSheetId="10">CPUAUX4!$A$1:$J$84</definedName>
    <definedName name="_xlnm.Print_Area" localSheetId="11">CPUAUX5!$A$1:$J$12</definedName>
    <definedName name="_xlnm.Print_Area" localSheetId="0">DADOS!$A$1:$F$47</definedName>
    <definedName name="_xlnm.Print_Area" localSheetId="19">I!$A$1:$G$281</definedName>
    <definedName name="_xlnm.Print_Area" localSheetId="13">LSINAPI!$A$1:$F$46</definedName>
    <definedName name="_xlnm.Print_Area" localSheetId="5">MEMORIA!$A$1:$N$892</definedName>
    <definedName name="_xlnm.Print_Area" localSheetId="3">ORCAMENTO!$A$1:$I$475</definedName>
    <definedName name="_xlnm.Print_Area" localSheetId="1">RESUMO!$A$1:$F$118</definedName>
    <definedName name="_xlnm.Print_Area" localSheetId="18">S!$A$1:$G$227</definedName>
    <definedName name="BDI">DADOS!$B$7</definedName>
    <definedName name="CIDADE">DADOS!$A$1</definedName>
    <definedName name="ETAPA">COMPRAS!$B$5</definedName>
    <definedName name="FOLHA">DADOS!$E$5</definedName>
    <definedName name="FONTE">DADOS!$B$5</definedName>
    <definedName name="icf">DADOS!$F$9</definedName>
    <definedName name="LEI">DADOS!$B$9</definedName>
    <definedName name="OBRA">DADOS!$A$2</definedName>
    <definedName name="pcf">DADOS!$F$8</definedName>
    <definedName name="_xlnm.Print_Titles" localSheetId="15">ABC_I!$1:$6</definedName>
    <definedName name="_xlnm.Print_Titles" localSheetId="14">ABC_S!$1:$6</definedName>
    <definedName name="_xlnm.Print_Titles" localSheetId="12">BDI!$1:$6</definedName>
    <definedName name="_xlnm.Print_Titles" localSheetId="2">CFF!$1:$7</definedName>
    <definedName name="_xlnm.Print_Titles" localSheetId="4">CO!$A:$A,CO!$1:$7</definedName>
    <definedName name="_xlnm.Print_Titles" localSheetId="16">COMPRAS!$1:$6</definedName>
    <definedName name="_xlnm.Print_Titles" localSheetId="17">CONTRATOS!$1:$6</definedName>
    <definedName name="_xlnm.Print_Titles" localSheetId="6">CPU!$1:$5</definedName>
    <definedName name="_xlnm.Print_Titles" localSheetId="7">CPUAUX1!$1:$5</definedName>
    <definedName name="_xlnm.Print_Titles" localSheetId="8">CPUAUX2!$1:$5</definedName>
    <definedName name="_xlnm.Print_Titles" localSheetId="9">CPUAUX3!$1:$5</definedName>
    <definedName name="_xlnm.Print_Titles" localSheetId="10">CPUAUX4!$1:$5</definedName>
    <definedName name="_xlnm.Print_Titles" localSheetId="11">CPUAUX5!$1:$5</definedName>
    <definedName name="_xlnm.Print_Titles" localSheetId="19">I!$1:$6</definedName>
    <definedName name="_xlnm.Print_Titles" localSheetId="13">LSINAPI!$1:$6</definedName>
    <definedName name="_xlnm.Print_Titles" localSheetId="5">MEMORIA!$1:$6</definedName>
    <definedName name="_xlnm.Print_Titles" localSheetId="3">ORCAMENTO!$1:$6</definedName>
    <definedName name="_xlnm.Print_Titles" localSheetId="1">RESUMO!$1:$6</definedName>
    <definedName name="_xlnm.Print_Titles" localSheetId="18">S!$1:$6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80" i="20" l="1"/>
  <c r="G467" i="9" s="1"/>
  <c r="I467" i="9" s="1"/>
  <c r="E279" i="20"/>
  <c r="G78" i="16" s="1"/>
  <c r="E278" i="20"/>
  <c r="E277" i="20"/>
  <c r="G37" i="16" s="1"/>
  <c r="E276" i="20"/>
  <c r="G242" i="16" s="1"/>
  <c r="E275" i="20"/>
  <c r="G64" i="16" s="1"/>
  <c r="E274" i="20"/>
  <c r="G536" i="9" s="1"/>
  <c r="I536" i="9" s="1"/>
  <c r="E273" i="20"/>
  <c r="G97" i="16" s="1"/>
  <c r="E272" i="20"/>
  <c r="G162" i="16" s="1"/>
  <c r="E271" i="20"/>
  <c r="G14" i="16" s="1"/>
  <c r="E270" i="20"/>
  <c r="G38" i="16" s="1"/>
  <c r="E269" i="20"/>
  <c r="G165" i="7" s="1"/>
  <c r="I165" i="7" s="1"/>
  <c r="E268" i="20"/>
  <c r="G63" i="16" s="1"/>
  <c r="E267" i="20"/>
  <c r="G706" i="7" s="1"/>
  <c r="I706" i="7" s="1"/>
  <c r="E266" i="20"/>
  <c r="E265" i="20"/>
  <c r="E264" i="20"/>
  <c r="G260" i="16" s="1"/>
  <c r="E263" i="20"/>
  <c r="G62" i="16" s="1"/>
  <c r="E262" i="20"/>
  <c r="G417" i="9" s="1"/>
  <c r="I417" i="9" s="1"/>
  <c r="E261" i="20"/>
  <c r="E260" i="20"/>
  <c r="E259" i="20"/>
  <c r="G199" i="16" s="1"/>
  <c r="E258" i="20"/>
  <c r="G224" i="16" s="1"/>
  <c r="E257" i="20"/>
  <c r="G229" i="16" s="1"/>
  <c r="E256" i="20"/>
  <c r="G216" i="16" s="1"/>
  <c r="E255" i="20"/>
  <c r="G145" i="16" s="1"/>
  <c r="E254" i="20"/>
  <c r="E253" i="20"/>
  <c r="E252" i="20"/>
  <c r="G160" i="16" s="1"/>
  <c r="E251" i="20"/>
  <c r="G196" i="16" s="1"/>
  <c r="E250" i="20"/>
  <c r="G204" i="16" s="1"/>
  <c r="E249" i="20"/>
  <c r="E248" i="20"/>
  <c r="E247" i="20"/>
  <c r="G91" i="16" s="1"/>
  <c r="E246" i="20"/>
  <c r="G306" i="10" s="1"/>
  <c r="I306" i="10" s="1"/>
  <c r="E245" i="20"/>
  <c r="G292" i="8" s="1"/>
  <c r="I292" i="8" s="1"/>
  <c r="E244" i="20"/>
  <c r="G344" i="8" s="1"/>
  <c r="I344" i="8" s="1"/>
  <c r="E243" i="20"/>
  <c r="G171" i="16" s="1"/>
  <c r="E242" i="20"/>
  <c r="E241" i="20"/>
  <c r="E240" i="20"/>
  <c r="E239" i="20"/>
  <c r="G218" i="16" s="1"/>
  <c r="E238" i="20"/>
  <c r="G234" i="16" s="1"/>
  <c r="E237" i="20"/>
  <c r="G515" i="9" s="1"/>
  <c r="E236" i="20"/>
  <c r="G111" i="16" s="1"/>
  <c r="E235" i="20"/>
  <c r="G494" i="9" s="1"/>
  <c r="I494" i="9" s="1"/>
  <c r="E234" i="20"/>
  <c r="G266" i="16" s="1"/>
  <c r="E233" i="20"/>
  <c r="G368" i="10" s="1"/>
  <c r="I368" i="10" s="1"/>
  <c r="E232" i="20"/>
  <c r="G244" i="16" s="1"/>
  <c r="E231" i="20"/>
  <c r="G381" i="10" s="1"/>
  <c r="I381" i="10" s="1"/>
  <c r="E230" i="20"/>
  <c r="E229" i="20"/>
  <c r="E228" i="20"/>
  <c r="G210" i="16" s="1"/>
  <c r="E227" i="20"/>
  <c r="G414" i="7" s="1"/>
  <c r="I414" i="7" s="1"/>
  <c r="E226" i="20"/>
  <c r="G154" i="16" s="1"/>
  <c r="E225" i="20"/>
  <c r="E224" i="20"/>
  <c r="E223" i="20"/>
  <c r="G58" i="16" s="1"/>
  <c r="E222" i="20"/>
  <c r="G83" i="16" s="1"/>
  <c r="E221" i="20"/>
  <c r="E220" i="20"/>
  <c r="G553" i="7" s="1"/>
  <c r="I553" i="7" s="1"/>
  <c r="E219" i="20"/>
  <c r="G254" i="16" s="1"/>
  <c r="E218" i="20"/>
  <c r="E217" i="20"/>
  <c r="G247" i="16" s="1"/>
  <c r="E216" i="20"/>
  <c r="E215" i="20"/>
  <c r="G233" i="16" s="1"/>
  <c r="E214" i="20"/>
  <c r="E213" i="20"/>
  <c r="E212" i="20"/>
  <c r="G193" i="16" s="1"/>
  <c r="E211" i="20"/>
  <c r="G293" i="8" s="1"/>
  <c r="I293" i="8" s="1"/>
  <c r="E210" i="20"/>
  <c r="G168" i="16" s="1"/>
  <c r="E209" i="20"/>
  <c r="G220" i="16" s="1"/>
  <c r="E208" i="20"/>
  <c r="G211" i="16" s="1"/>
  <c r="E207" i="20"/>
  <c r="G456" i="7" s="1"/>
  <c r="I456" i="7" s="1"/>
  <c r="E206" i="20"/>
  <c r="E205" i="20"/>
  <c r="G241" i="16" s="1"/>
  <c r="E204" i="20"/>
  <c r="G21" i="7" s="1"/>
  <c r="I21" i="7" s="1"/>
  <c r="E203" i="20"/>
  <c r="G296" i="9" s="1"/>
  <c r="I296" i="9" s="1"/>
  <c r="E202" i="20"/>
  <c r="G174" i="16" s="1"/>
  <c r="E201" i="20"/>
  <c r="E200" i="20"/>
  <c r="E199" i="20"/>
  <c r="G153" i="16" s="1"/>
  <c r="E198" i="20"/>
  <c r="G19" i="16" s="1"/>
  <c r="E197" i="20"/>
  <c r="G114" i="16" s="1"/>
  <c r="E196" i="20"/>
  <c r="G70" i="16" s="1"/>
  <c r="E195" i="20"/>
  <c r="G129" i="16" s="1"/>
  <c r="E194" i="20"/>
  <c r="E193" i="20"/>
  <c r="E192" i="20"/>
  <c r="G55" i="16" s="1"/>
  <c r="E191" i="20"/>
  <c r="G89" i="10" s="1"/>
  <c r="I89" i="10" s="1"/>
  <c r="E190" i="20"/>
  <c r="G80" i="11" s="1"/>
  <c r="I80" i="11" s="1"/>
  <c r="I81" i="11" s="1"/>
  <c r="G79" i="11" s="1"/>
  <c r="E189" i="20"/>
  <c r="E188" i="20"/>
  <c r="G275" i="16" s="1"/>
  <c r="E187" i="20"/>
  <c r="G100" i="16" s="1"/>
  <c r="E186" i="20"/>
  <c r="G34" i="16" s="1"/>
  <c r="E185" i="20"/>
  <c r="G77" i="16" s="1"/>
  <c r="E184" i="20"/>
  <c r="G203" i="16" s="1"/>
  <c r="E183" i="20"/>
  <c r="G339" i="10" s="1"/>
  <c r="I339" i="10" s="1"/>
  <c r="E182" i="20"/>
  <c r="E181" i="20"/>
  <c r="E180" i="20"/>
  <c r="G277" i="16" s="1"/>
  <c r="E179" i="20"/>
  <c r="G257" i="16" s="1"/>
  <c r="E178" i="20"/>
  <c r="G71" i="16" s="1"/>
  <c r="E177" i="20"/>
  <c r="E176" i="20"/>
  <c r="G389" i="10" s="1"/>
  <c r="E175" i="20"/>
  <c r="G181" i="16" s="1"/>
  <c r="E174" i="20"/>
  <c r="G225" i="16" s="1"/>
  <c r="E173" i="20"/>
  <c r="G124" i="16" s="1"/>
  <c r="E172" i="20"/>
  <c r="G176" i="16" s="1"/>
  <c r="E171" i="20"/>
  <c r="G230" i="7" s="1"/>
  <c r="I230" i="7" s="1"/>
  <c r="E170" i="20"/>
  <c r="G583" i="7" s="1"/>
  <c r="I583" i="7" s="1"/>
  <c r="E169" i="20"/>
  <c r="E168" i="20"/>
  <c r="E167" i="20"/>
  <c r="G103" i="16" s="1"/>
  <c r="E166" i="20"/>
  <c r="E165" i="20"/>
  <c r="E164" i="20"/>
  <c r="G256" i="16" s="1"/>
  <c r="E163" i="20"/>
  <c r="G201" i="16" s="1"/>
  <c r="E162" i="20"/>
  <c r="G575" i="7" s="1"/>
  <c r="I575" i="7" s="1"/>
  <c r="E161" i="20"/>
  <c r="G159" i="16" s="1"/>
  <c r="E160" i="20"/>
  <c r="G247" i="7" s="1"/>
  <c r="I247" i="7" s="1"/>
  <c r="E159" i="20"/>
  <c r="G223" i="16" s="1"/>
  <c r="E158" i="20"/>
  <c r="E157" i="20"/>
  <c r="E156" i="20"/>
  <c r="G150" i="16" s="1"/>
  <c r="E155" i="20"/>
  <c r="G44" i="16" s="1"/>
  <c r="E154" i="20"/>
  <c r="G86" i="16" s="1"/>
  <c r="E153" i="20"/>
  <c r="E152" i="20"/>
  <c r="G173" i="16" s="1"/>
  <c r="E151" i="20"/>
  <c r="G46" i="7" s="1"/>
  <c r="I46" i="7" s="1"/>
  <c r="E150" i="20"/>
  <c r="G30" i="7" s="1"/>
  <c r="I30" i="7" s="1"/>
  <c r="E149" i="20"/>
  <c r="G26" i="16" s="1"/>
  <c r="E148" i="20"/>
  <c r="G31" i="16" s="1"/>
  <c r="E147" i="20"/>
  <c r="G253" i="16" s="1"/>
  <c r="E146" i="20"/>
  <c r="E145" i="20"/>
  <c r="G262" i="16" s="1"/>
  <c r="E144" i="20"/>
  <c r="E143" i="20"/>
  <c r="G88" i="16" s="1"/>
  <c r="E142" i="20"/>
  <c r="G205" i="16" s="1"/>
  <c r="E141" i="20"/>
  <c r="E140" i="20"/>
  <c r="E139" i="20"/>
  <c r="G455" i="9" s="1"/>
  <c r="I455" i="9" s="1"/>
  <c r="E138" i="20"/>
  <c r="G257" i="9" s="1"/>
  <c r="I257" i="9" s="1"/>
  <c r="E137" i="20"/>
  <c r="E136" i="20"/>
  <c r="G246" i="16" s="1"/>
  <c r="E135" i="20"/>
  <c r="G20" i="8" s="1"/>
  <c r="I20" i="8" s="1"/>
  <c r="E134" i="20"/>
  <c r="E133" i="20"/>
  <c r="E132" i="20"/>
  <c r="G157" i="10" s="1"/>
  <c r="I157" i="10" s="1"/>
  <c r="E131" i="20"/>
  <c r="G206" i="16" s="1"/>
  <c r="E130" i="20"/>
  <c r="G488" i="9" s="1"/>
  <c r="I488" i="9" s="1"/>
  <c r="E129" i="20"/>
  <c r="E128" i="20"/>
  <c r="G251" i="10" s="1"/>
  <c r="E127" i="20"/>
  <c r="G209" i="16" s="1"/>
  <c r="E126" i="20"/>
  <c r="G212" i="16" s="1"/>
  <c r="E125" i="20"/>
  <c r="E124" i="20"/>
  <c r="G128" i="16" s="1"/>
  <c r="E123" i="20"/>
  <c r="G341" i="10" s="1"/>
  <c r="I341" i="10" s="1"/>
  <c r="E122" i="20"/>
  <c r="E121" i="20"/>
  <c r="G10" i="16" s="1"/>
  <c r="E120" i="20"/>
  <c r="G18" i="16" s="1"/>
  <c r="E119" i="20"/>
  <c r="G280" i="16" s="1"/>
  <c r="E118" i="20"/>
  <c r="G69" i="7" s="1"/>
  <c r="I69" i="7" s="1"/>
  <c r="E117" i="20"/>
  <c r="G25" i="16" s="1"/>
  <c r="E116" i="20"/>
  <c r="E115" i="20"/>
  <c r="G139" i="16" s="1"/>
  <c r="E114" i="20"/>
  <c r="G79" i="16" s="1"/>
  <c r="E113" i="20"/>
  <c r="G76" i="16" s="1"/>
  <c r="E112" i="20"/>
  <c r="G51" i="8" s="1"/>
  <c r="I51" i="8" s="1"/>
  <c r="E111" i="20"/>
  <c r="G19" i="8" s="1"/>
  <c r="I19" i="8" s="1"/>
  <c r="E110" i="20"/>
  <c r="E109" i="20"/>
  <c r="E108" i="20"/>
  <c r="G251" i="8" s="1"/>
  <c r="I251" i="8" s="1"/>
  <c r="E107" i="20"/>
  <c r="G121" i="16" s="1"/>
  <c r="E106" i="20"/>
  <c r="G28" i="16" s="1"/>
  <c r="E105" i="20"/>
  <c r="E104" i="20"/>
  <c r="G178" i="16" s="1"/>
  <c r="E103" i="20"/>
  <c r="G22" i="16" s="1"/>
  <c r="E102" i="20"/>
  <c r="G226" i="10" s="1"/>
  <c r="I226" i="10" s="1"/>
  <c r="I227" i="10" s="1"/>
  <c r="G225" i="10" s="1"/>
  <c r="E101" i="20"/>
  <c r="G192" i="16" s="1"/>
  <c r="E100" i="20"/>
  <c r="G587" i="8" s="1"/>
  <c r="I587" i="8" s="1"/>
  <c r="E99" i="20"/>
  <c r="G204" i="10" s="1"/>
  <c r="I204" i="10" s="1"/>
  <c r="I205" i="10" s="1"/>
  <c r="G203" i="10" s="1"/>
  <c r="E98" i="20"/>
  <c r="E97" i="20"/>
  <c r="E96" i="20"/>
  <c r="E95" i="20"/>
  <c r="G172" i="16" s="1"/>
  <c r="E94" i="20"/>
  <c r="G213" i="16" s="1"/>
  <c r="E93" i="20"/>
  <c r="E92" i="20"/>
  <c r="G208" i="16" s="1"/>
  <c r="E91" i="20"/>
  <c r="G270" i="16" s="1"/>
  <c r="E90" i="20"/>
  <c r="G274" i="16" s="1"/>
  <c r="E89" i="20"/>
  <c r="G244" i="7" s="1"/>
  <c r="I244" i="7" s="1"/>
  <c r="E88" i="20"/>
  <c r="G202" i="16" s="1"/>
  <c r="E87" i="20"/>
  <c r="G142" i="16" s="1"/>
  <c r="E86" i="20"/>
  <c r="E85" i="20"/>
  <c r="G190" i="16" s="1"/>
  <c r="E84" i="20"/>
  <c r="G136" i="16" s="1"/>
  <c r="E83" i="20"/>
  <c r="E82" i="20"/>
  <c r="G146" i="16" s="1"/>
  <c r="E81" i="20"/>
  <c r="E80" i="20"/>
  <c r="G130" i="16" s="1"/>
  <c r="E79" i="20"/>
  <c r="G512" i="9" s="1"/>
  <c r="I512" i="9" s="1"/>
  <c r="E78" i="20"/>
  <c r="G455" i="7" s="1"/>
  <c r="I455" i="7" s="1"/>
  <c r="E77" i="20"/>
  <c r="G268" i="16" s="1"/>
  <c r="E76" i="20"/>
  <c r="G496" i="9" s="1"/>
  <c r="I496" i="9" s="1"/>
  <c r="E75" i="20"/>
  <c r="G126" i="16" s="1"/>
  <c r="E74" i="20"/>
  <c r="E73" i="20"/>
  <c r="E72" i="20"/>
  <c r="E71" i="20"/>
  <c r="G613" i="8" s="1"/>
  <c r="I613" i="8" s="1"/>
  <c r="E70" i="20"/>
  <c r="G103" i="9" s="1"/>
  <c r="I103" i="9" s="1"/>
  <c r="E69" i="20"/>
  <c r="G46" i="16" s="1"/>
  <c r="E68" i="20"/>
  <c r="G133" i="16" s="1"/>
  <c r="E67" i="20"/>
  <c r="G617" i="8" s="1"/>
  <c r="I617" i="8" s="1"/>
  <c r="E66" i="20"/>
  <c r="G616" i="8" s="1"/>
  <c r="I616" i="8" s="1"/>
  <c r="E65" i="20"/>
  <c r="G65" i="16" s="1"/>
  <c r="E64" i="20"/>
  <c r="E63" i="20"/>
  <c r="G219" i="16" s="1"/>
  <c r="E62" i="20"/>
  <c r="G495" i="7" s="1"/>
  <c r="I495" i="7" s="1"/>
  <c r="E61" i="20"/>
  <c r="E60" i="20"/>
  <c r="G61" i="16" s="1"/>
  <c r="E59" i="20"/>
  <c r="G385" i="7" s="1"/>
  <c r="I385" i="7" s="1"/>
  <c r="E58" i="20"/>
  <c r="G16" i="16" s="1"/>
  <c r="E57" i="20"/>
  <c r="G82" i="16" s="1"/>
  <c r="E56" i="20"/>
  <c r="G109" i="16" s="1"/>
  <c r="E55" i="20"/>
  <c r="G85" i="16" s="1"/>
  <c r="E54" i="20"/>
  <c r="G122" i="16" s="1"/>
  <c r="E53" i="20"/>
  <c r="G163" i="16" s="1"/>
  <c r="E52" i="20"/>
  <c r="G317" i="10" s="1"/>
  <c r="I317" i="10" s="1"/>
  <c r="E51" i="20"/>
  <c r="G183" i="7" s="1"/>
  <c r="I183" i="7" s="1"/>
  <c r="E50" i="20"/>
  <c r="E49" i="20"/>
  <c r="G106" i="16" s="1"/>
  <c r="E48" i="20"/>
  <c r="G228" i="16" s="1"/>
  <c r="E47" i="20"/>
  <c r="G194" i="16" s="1"/>
  <c r="E46" i="20"/>
  <c r="G187" i="16" s="1"/>
  <c r="E45" i="20"/>
  <c r="E44" i="20"/>
  <c r="G73" i="16" s="1"/>
  <c r="E43" i="20"/>
  <c r="G54" i="16" s="1"/>
  <c r="E42" i="20"/>
  <c r="G113" i="8" s="1"/>
  <c r="I113" i="8" s="1"/>
  <c r="E41" i="20"/>
  <c r="G32" i="16" s="1"/>
  <c r="E40" i="20"/>
  <c r="G409" i="9" s="1"/>
  <c r="I409" i="9" s="1"/>
  <c r="E39" i="20"/>
  <c r="G430" i="9" s="1"/>
  <c r="I430" i="9" s="1"/>
  <c r="I431" i="9" s="1"/>
  <c r="G429" i="9" s="1"/>
  <c r="E38" i="20"/>
  <c r="E37" i="20"/>
  <c r="E36" i="20"/>
  <c r="G148" i="16" s="1"/>
  <c r="E35" i="20"/>
  <c r="G45" i="16" s="1"/>
  <c r="E34" i="20"/>
  <c r="G694" i="8" s="1"/>
  <c r="I694" i="8" s="1"/>
  <c r="E33" i="20"/>
  <c r="E32" i="20"/>
  <c r="G237" i="16" s="1"/>
  <c r="E31" i="20"/>
  <c r="G264" i="16" s="1"/>
  <c r="E30" i="20"/>
  <c r="G362" i="8" s="1"/>
  <c r="I362" i="8" s="1"/>
  <c r="E29" i="20"/>
  <c r="G749" i="8" s="1"/>
  <c r="I749" i="8" s="1"/>
  <c r="E28" i="20"/>
  <c r="G485" i="7" s="1"/>
  <c r="I485" i="7" s="1"/>
  <c r="E27" i="20"/>
  <c r="G47" i="16" s="1"/>
  <c r="E26" i="20"/>
  <c r="E25" i="20"/>
  <c r="E24" i="20"/>
  <c r="E23" i="20"/>
  <c r="G253" i="10" s="1"/>
  <c r="I253" i="10" s="1"/>
  <c r="E22" i="20"/>
  <c r="G261" i="16" s="1"/>
  <c r="E21" i="20"/>
  <c r="G267" i="16" s="1"/>
  <c r="E20" i="20"/>
  <c r="E19" i="20"/>
  <c r="G143" i="16" s="1"/>
  <c r="E18" i="20"/>
  <c r="E17" i="20"/>
  <c r="G726" i="7" s="1"/>
  <c r="I726" i="7" s="1"/>
  <c r="E16" i="20"/>
  <c r="G118" i="16" s="1"/>
  <c r="E15" i="20"/>
  <c r="G725" i="7" s="1"/>
  <c r="I725" i="7" s="1"/>
  <c r="E14" i="20"/>
  <c r="E13" i="20"/>
  <c r="G184" i="16" s="1"/>
  <c r="E12" i="20"/>
  <c r="G107" i="16" s="1"/>
  <c r="E11" i="20"/>
  <c r="G182" i="16" s="1"/>
  <c r="E10" i="20"/>
  <c r="G175" i="16" s="1"/>
  <c r="E9" i="20"/>
  <c r="E8" i="20"/>
  <c r="G112" i="16" s="1"/>
  <c r="E7" i="20"/>
  <c r="G115" i="16" s="1"/>
  <c r="B5" i="20"/>
  <c r="A2" i="20"/>
  <c r="A1" i="20"/>
  <c r="E226" i="19"/>
  <c r="K124" i="10" s="1"/>
  <c r="E225" i="19"/>
  <c r="K129" i="10" s="1"/>
  <c r="E224" i="19"/>
  <c r="E223" i="19"/>
  <c r="E222" i="19"/>
  <c r="K246" i="9" s="1"/>
  <c r="E221" i="19"/>
  <c r="K240" i="9" s="1"/>
  <c r="E220" i="19"/>
  <c r="E219" i="19"/>
  <c r="E218" i="19"/>
  <c r="K38" i="7" s="1"/>
  <c r="E217" i="19"/>
  <c r="K382" i="7" s="1"/>
  <c r="E216" i="19"/>
  <c r="K645" i="7" s="1"/>
  <c r="E215" i="19"/>
  <c r="E214" i="19"/>
  <c r="K373" i="7" s="1"/>
  <c r="E213" i="19"/>
  <c r="K467" i="8" s="1"/>
  <c r="E212" i="19"/>
  <c r="E211" i="19"/>
  <c r="E210" i="19"/>
  <c r="K34" i="11" s="1"/>
  <c r="E209" i="19"/>
  <c r="K39" i="11" s="1"/>
  <c r="E208" i="19"/>
  <c r="K12" i="11" s="1"/>
  <c r="E207" i="19"/>
  <c r="E206" i="19"/>
  <c r="K207" i="9" s="1"/>
  <c r="E205" i="19"/>
  <c r="K200" i="9" s="1"/>
  <c r="E204" i="19"/>
  <c r="E203" i="19"/>
  <c r="E202" i="19"/>
  <c r="K617" i="7" s="1"/>
  <c r="E201" i="19"/>
  <c r="K592" i="7" s="1"/>
  <c r="E200" i="19"/>
  <c r="E199" i="19"/>
  <c r="E198" i="19"/>
  <c r="K549" i="7" s="1"/>
  <c r="E197" i="19"/>
  <c r="K450" i="7" s="1"/>
  <c r="E196" i="19"/>
  <c r="E195" i="19"/>
  <c r="E194" i="19"/>
  <c r="K18" i="7" s="1"/>
  <c r="E193" i="19"/>
  <c r="K396" i="7" s="1"/>
  <c r="E192" i="19"/>
  <c r="K731" i="8" s="1"/>
  <c r="E191" i="19"/>
  <c r="K470" i="7" s="1"/>
  <c r="E190" i="19"/>
  <c r="K452" i="9" s="1"/>
  <c r="E189" i="19"/>
  <c r="K65" i="7" s="1"/>
  <c r="E188" i="19"/>
  <c r="E187" i="19"/>
  <c r="K85" i="7" s="1"/>
  <c r="E186" i="19"/>
  <c r="K55" i="7" s="1"/>
  <c r="E185" i="19"/>
  <c r="K45" i="7" s="1"/>
  <c r="E184" i="19"/>
  <c r="E183" i="19"/>
  <c r="E182" i="19"/>
  <c r="K22" i="11" s="1"/>
  <c r="E181" i="19"/>
  <c r="K274" i="10" s="1"/>
  <c r="E180" i="19"/>
  <c r="K71" i="9" s="1"/>
  <c r="E179" i="19"/>
  <c r="E178" i="19"/>
  <c r="K326" i="8" s="1"/>
  <c r="E177" i="19"/>
  <c r="K81" i="8" s="1"/>
  <c r="E176" i="19"/>
  <c r="E175" i="19"/>
  <c r="E174" i="19"/>
  <c r="E173" i="19"/>
  <c r="E172" i="19"/>
  <c r="E171" i="19"/>
  <c r="E170" i="19"/>
  <c r="K29" i="7" s="1"/>
  <c r="E169" i="19"/>
  <c r="K263" i="7" s="1"/>
  <c r="E168" i="19"/>
  <c r="K256" i="7" s="1"/>
  <c r="E167" i="19"/>
  <c r="K286" i="7" s="1"/>
  <c r="E166" i="19"/>
  <c r="K520" i="9" s="1"/>
  <c r="E165" i="19"/>
  <c r="K104" i="7" s="1"/>
  <c r="E164" i="19"/>
  <c r="E163" i="19"/>
  <c r="K685" i="8" s="1"/>
  <c r="E162" i="19"/>
  <c r="E161" i="19"/>
  <c r="K286" i="10" s="1"/>
  <c r="E160" i="19"/>
  <c r="E159" i="19"/>
  <c r="E158" i="19"/>
  <c r="K259" i="10" s="1"/>
  <c r="E157" i="19"/>
  <c r="K269" i="10" s="1"/>
  <c r="E156" i="19"/>
  <c r="K442" i="9" s="1"/>
  <c r="E155" i="19"/>
  <c r="E154" i="19"/>
  <c r="K198" i="7" s="1"/>
  <c r="E153" i="19"/>
  <c r="K171" i="7" s="1"/>
  <c r="E152" i="19"/>
  <c r="E151" i="19"/>
  <c r="E150" i="19"/>
  <c r="E149" i="19"/>
  <c r="K179" i="7" s="1"/>
  <c r="E148" i="19"/>
  <c r="E147" i="19"/>
  <c r="E146" i="19"/>
  <c r="E145" i="19"/>
  <c r="K289" i="9" s="1"/>
  <c r="E144" i="19"/>
  <c r="K287" i="8" s="1"/>
  <c r="E143" i="19"/>
  <c r="E142" i="19"/>
  <c r="K278" i="9" s="1"/>
  <c r="E141" i="19"/>
  <c r="K407" i="7" s="1"/>
  <c r="E140" i="19"/>
  <c r="E139" i="19"/>
  <c r="E138" i="19"/>
  <c r="K59" i="8" s="1"/>
  <c r="E137" i="19"/>
  <c r="K7" i="8" s="1"/>
  <c r="E136" i="19"/>
  <c r="E135" i="19"/>
  <c r="K464" i="9" s="1"/>
  <c r="E134" i="19"/>
  <c r="K323" i="10" s="1"/>
  <c r="E133" i="19"/>
  <c r="K621" i="8" s="1"/>
  <c r="E132" i="19"/>
  <c r="K352" i="10" s="1"/>
  <c r="E131" i="19"/>
  <c r="K532" i="9" s="1"/>
  <c r="E130" i="19"/>
  <c r="K389" i="9" s="1"/>
  <c r="E129" i="19"/>
  <c r="K584" i="8" s="1"/>
  <c r="E128" i="19"/>
  <c r="E127" i="19"/>
  <c r="K358" i="9" s="1"/>
  <c r="E126" i="19"/>
  <c r="K538" i="7" s="1"/>
  <c r="E125" i="19"/>
  <c r="E124" i="19"/>
  <c r="E123" i="19"/>
  <c r="E122" i="19"/>
  <c r="K135" i="7" s="1"/>
  <c r="E121" i="19"/>
  <c r="K114" i="7" s="1"/>
  <c r="E120" i="19"/>
  <c r="K570" i="8" s="1"/>
  <c r="E119" i="19"/>
  <c r="E118" i="19"/>
  <c r="K563" i="8" s="1"/>
  <c r="E117" i="19"/>
  <c r="K348" i="9" s="1"/>
  <c r="E116" i="19"/>
  <c r="E115" i="19"/>
  <c r="E114" i="19"/>
  <c r="E113" i="19"/>
  <c r="K47" i="10" s="1"/>
  <c r="E112" i="19"/>
  <c r="E111" i="19"/>
  <c r="E110" i="19"/>
  <c r="K42" i="9" s="1"/>
  <c r="E109" i="19"/>
  <c r="K32" i="9" s="1"/>
  <c r="E108" i="19"/>
  <c r="K7" i="9" s="1"/>
  <c r="E107" i="19"/>
  <c r="K12" i="9" s="1"/>
  <c r="E106" i="19"/>
  <c r="K225" i="10" s="1"/>
  <c r="E105" i="19"/>
  <c r="K203" i="10" s="1"/>
  <c r="E104" i="19"/>
  <c r="E103" i="19"/>
  <c r="E102" i="19"/>
  <c r="E101" i="19"/>
  <c r="K230" i="10" s="1"/>
  <c r="E100" i="19"/>
  <c r="E99" i="19"/>
  <c r="E98" i="19"/>
  <c r="K54" i="11" s="1"/>
  <c r="E97" i="19"/>
  <c r="K17" i="9" s="1"/>
  <c r="E96" i="19"/>
  <c r="K52" i="9" s="1"/>
  <c r="E95" i="19"/>
  <c r="K49" i="11" s="1"/>
  <c r="E94" i="19"/>
  <c r="K59" i="11" s="1"/>
  <c r="E93" i="19"/>
  <c r="E92" i="19"/>
  <c r="E91" i="19"/>
  <c r="E90" i="19"/>
  <c r="K308" i="9" s="1"/>
  <c r="E89" i="19"/>
  <c r="E88" i="19"/>
  <c r="E87" i="19"/>
  <c r="E86" i="19"/>
  <c r="K322" i="9" s="1"/>
  <c r="E85" i="19"/>
  <c r="K540" i="8" s="1"/>
  <c r="E84" i="19"/>
  <c r="E83" i="19"/>
  <c r="E82" i="19"/>
  <c r="K755" i="8" s="1"/>
  <c r="E81" i="19"/>
  <c r="K691" i="8" s="1"/>
  <c r="E80" i="19"/>
  <c r="E79" i="19"/>
  <c r="E78" i="19"/>
  <c r="K213" i="8" s="1"/>
  <c r="E77" i="19"/>
  <c r="K305" i="8" s="1"/>
  <c r="E76" i="19"/>
  <c r="E75" i="19"/>
  <c r="E74" i="19"/>
  <c r="K316" i="8" s="1"/>
  <c r="E73" i="19"/>
  <c r="K317" i="7" s="1"/>
  <c r="E72" i="19"/>
  <c r="K95" i="7" s="1"/>
  <c r="E71" i="19"/>
  <c r="K655" i="8" s="1"/>
  <c r="E70" i="19"/>
  <c r="K422" i="7" s="1"/>
  <c r="E69" i="19"/>
  <c r="K479" i="7" s="1"/>
  <c r="E68" i="19"/>
  <c r="E67" i="19"/>
  <c r="E66" i="19"/>
  <c r="E65" i="19"/>
  <c r="K462" i="7" s="1"/>
  <c r="E64" i="19"/>
  <c r="E63" i="19"/>
  <c r="E62" i="19"/>
  <c r="E61" i="19"/>
  <c r="K599" i="7" s="1"/>
  <c r="E60" i="19"/>
  <c r="K62" i="10" s="1"/>
  <c r="E59" i="19"/>
  <c r="E58" i="19"/>
  <c r="K52" i="10" s="1"/>
  <c r="E57" i="19"/>
  <c r="K57" i="10" s="1"/>
  <c r="E56" i="19"/>
  <c r="E55" i="19"/>
  <c r="E54" i="19"/>
  <c r="K17" i="10" s="1"/>
  <c r="E53" i="19"/>
  <c r="E52" i="19"/>
  <c r="E51" i="19"/>
  <c r="E50" i="19"/>
  <c r="K63" i="9" s="1"/>
  <c r="E49" i="19"/>
  <c r="K57" i="9" s="1"/>
  <c r="E48" i="19"/>
  <c r="K218" i="7" s="1"/>
  <c r="E47" i="19"/>
  <c r="E46" i="19"/>
  <c r="K49" i="8" s="1"/>
  <c r="E45" i="19"/>
  <c r="K148" i="8" s="1"/>
  <c r="E44" i="19"/>
  <c r="E43" i="19"/>
  <c r="E42" i="19"/>
  <c r="K710" i="8" s="1"/>
  <c r="E41" i="19"/>
  <c r="K349" i="8" s="1"/>
  <c r="E40" i="19"/>
  <c r="E39" i="19"/>
  <c r="E38" i="19"/>
  <c r="K403" i="8" s="1"/>
  <c r="E37" i="19"/>
  <c r="K394" i="8" s="1"/>
  <c r="E36" i="19"/>
  <c r="K385" i="8" s="1"/>
  <c r="E35" i="19"/>
  <c r="K376" i="8" s="1"/>
  <c r="E34" i="19"/>
  <c r="K448" i="8" s="1"/>
  <c r="E33" i="19"/>
  <c r="K412" i="8" s="1"/>
  <c r="E32" i="19"/>
  <c r="E31" i="19"/>
  <c r="E30" i="19"/>
  <c r="K439" i="8" s="1"/>
  <c r="E29" i="19"/>
  <c r="K179" i="10" s="1"/>
  <c r="E28" i="19"/>
  <c r="E27" i="19"/>
  <c r="E26" i="19"/>
  <c r="K272" i="8" s="1"/>
  <c r="E25" i="19"/>
  <c r="K479" i="8" s="1"/>
  <c r="E24" i="19"/>
  <c r="K488" i="8" s="1"/>
  <c r="E23" i="19"/>
  <c r="K279" i="8" s="1"/>
  <c r="E22" i="19"/>
  <c r="K591" i="8" s="1"/>
  <c r="E21" i="19"/>
  <c r="K495" i="8" s="1"/>
  <c r="E20" i="19"/>
  <c r="E19" i="19"/>
  <c r="E18" i="19"/>
  <c r="K160" i="8" s="1"/>
  <c r="E17" i="19"/>
  <c r="K154" i="7" s="1"/>
  <c r="E16" i="19"/>
  <c r="E15" i="19"/>
  <c r="E14" i="19"/>
  <c r="K363" i="7" s="1"/>
  <c r="E13" i="19"/>
  <c r="K27" i="8" s="1"/>
  <c r="E12" i="19"/>
  <c r="K105" i="8" s="1"/>
  <c r="E11" i="19"/>
  <c r="K167" i="10" s="1"/>
  <c r="E10" i="19"/>
  <c r="K228" i="9" s="1"/>
  <c r="E9" i="19"/>
  <c r="K7" i="7" s="1"/>
  <c r="E8" i="19"/>
  <c r="E7" i="19"/>
  <c r="B5" i="19"/>
  <c r="A2" i="19"/>
  <c r="A1" i="19"/>
  <c r="A2" i="18"/>
  <c r="A1" i="18"/>
  <c r="B5" i="17"/>
  <c r="B5" i="18" s="1"/>
  <c r="A2" i="17"/>
  <c r="A1" i="17"/>
  <c r="E280" i="16"/>
  <c r="D280" i="16"/>
  <c r="C280" i="16"/>
  <c r="E279" i="16"/>
  <c r="D279" i="16"/>
  <c r="C279" i="16"/>
  <c r="E278" i="16"/>
  <c r="D278" i="16"/>
  <c r="C278" i="16"/>
  <c r="E277" i="16"/>
  <c r="D277" i="16"/>
  <c r="C277" i="16"/>
  <c r="G276" i="16"/>
  <c r="E276" i="16"/>
  <c r="D276" i="16"/>
  <c r="C276" i="16"/>
  <c r="E275" i="16"/>
  <c r="D275" i="16"/>
  <c r="C275" i="16"/>
  <c r="E274" i="16"/>
  <c r="D274" i="16"/>
  <c r="C274" i="16"/>
  <c r="E273" i="16"/>
  <c r="D273" i="16"/>
  <c r="C273" i="16"/>
  <c r="E272" i="16"/>
  <c r="D272" i="16"/>
  <c r="C272" i="16"/>
  <c r="E271" i="16"/>
  <c r="D271" i="16"/>
  <c r="C271" i="16"/>
  <c r="E270" i="16"/>
  <c r="D270" i="16"/>
  <c r="C270" i="16"/>
  <c r="G269" i="16"/>
  <c r="E269" i="16"/>
  <c r="D269" i="16"/>
  <c r="C269" i="16"/>
  <c r="E268" i="16"/>
  <c r="D268" i="16"/>
  <c r="C268" i="16"/>
  <c r="E267" i="16"/>
  <c r="D267" i="16"/>
  <c r="C267" i="16"/>
  <c r="E266" i="16"/>
  <c r="D266" i="16"/>
  <c r="C266" i="16"/>
  <c r="E265" i="16"/>
  <c r="D265" i="16"/>
  <c r="C265" i="16"/>
  <c r="E264" i="16"/>
  <c r="D264" i="16"/>
  <c r="C264" i="16"/>
  <c r="E263" i="16"/>
  <c r="D263" i="16"/>
  <c r="C263" i="16"/>
  <c r="E262" i="16"/>
  <c r="D262" i="16"/>
  <c r="C262" i="16"/>
  <c r="E261" i="16"/>
  <c r="D261" i="16"/>
  <c r="C261" i="16"/>
  <c r="E260" i="16"/>
  <c r="D260" i="16"/>
  <c r="C260" i="16"/>
  <c r="E259" i="16"/>
  <c r="D259" i="16"/>
  <c r="C259" i="16"/>
  <c r="G258" i="16"/>
  <c r="E258" i="16"/>
  <c r="D258" i="16"/>
  <c r="C258" i="16"/>
  <c r="E257" i="16"/>
  <c r="D257" i="16"/>
  <c r="C257" i="16"/>
  <c r="E256" i="16"/>
  <c r="D256" i="16"/>
  <c r="C256" i="16"/>
  <c r="E255" i="16"/>
  <c r="D255" i="16"/>
  <c r="C255" i="16"/>
  <c r="E254" i="16"/>
  <c r="D254" i="16"/>
  <c r="C254" i="16"/>
  <c r="E253" i="16"/>
  <c r="D253" i="16"/>
  <c r="C253" i="16"/>
  <c r="G252" i="16"/>
  <c r="E252" i="16"/>
  <c r="D252" i="16"/>
  <c r="C252" i="16"/>
  <c r="E251" i="16"/>
  <c r="D251" i="16"/>
  <c r="C251" i="16"/>
  <c r="E250" i="16"/>
  <c r="D250" i="16"/>
  <c r="C250" i="16"/>
  <c r="E249" i="16"/>
  <c r="D249" i="16"/>
  <c r="C249" i="16"/>
  <c r="G248" i="16"/>
  <c r="E248" i="16"/>
  <c r="D248" i="16"/>
  <c r="C248" i="16"/>
  <c r="E247" i="16"/>
  <c r="D247" i="16"/>
  <c r="C247" i="16"/>
  <c r="E246" i="16"/>
  <c r="D246" i="16"/>
  <c r="C246" i="16"/>
  <c r="E245" i="16"/>
  <c r="D245" i="16"/>
  <c r="C245" i="16"/>
  <c r="E244" i="16"/>
  <c r="D244" i="16"/>
  <c r="C244" i="16"/>
  <c r="E243" i="16"/>
  <c r="D243" i="16"/>
  <c r="C243" i="16"/>
  <c r="E242" i="16"/>
  <c r="D242" i="16"/>
  <c r="C242" i="16"/>
  <c r="E241" i="16"/>
  <c r="D241" i="16"/>
  <c r="C241" i="16"/>
  <c r="E240" i="16"/>
  <c r="D240" i="16"/>
  <c r="C240" i="16"/>
  <c r="G239" i="16"/>
  <c r="E239" i="16"/>
  <c r="D239" i="16"/>
  <c r="C239" i="16"/>
  <c r="E238" i="16"/>
  <c r="D238" i="16"/>
  <c r="C238" i="16"/>
  <c r="E237" i="16"/>
  <c r="D237" i="16"/>
  <c r="C237" i="16"/>
  <c r="E236" i="16"/>
  <c r="D236" i="16"/>
  <c r="C236" i="16"/>
  <c r="E235" i="16"/>
  <c r="D235" i="16"/>
  <c r="C235" i="16"/>
  <c r="E234" i="16"/>
  <c r="D234" i="16"/>
  <c r="C234" i="16"/>
  <c r="E233" i="16"/>
  <c r="D233" i="16"/>
  <c r="C233" i="16"/>
  <c r="E232" i="16"/>
  <c r="D232" i="16"/>
  <c r="C232" i="16"/>
  <c r="G231" i="16"/>
  <c r="E231" i="16"/>
  <c r="D231" i="16"/>
  <c r="C231" i="16"/>
  <c r="G230" i="16"/>
  <c r="E230" i="16"/>
  <c r="D230" i="16"/>
  <c r="C230" i="16"/>
  <c r="E229" i="16"/>
  <c r="D229" i="16"/>
  <c r="C229" i="16"/>
  <c r="E228" i="16"/>
  <c r="D228" i="16"/>
  <c r="C228" i="16"/>
  <c r="G227" i="16"/>
  <c r="E227" i="16"/>
  <c r="D227" i="16"/>
  <c r="C227" i="16"/>
  <c r="E226" i="16"/>
  <c r="D226" i="16"/>
  <c r="C226" i="16"/>
  <c r="E225" i="16"/>
  <c r="D225" i="16"/>
  <c r="C225" i="16"/>
  <c r="E224" i="16"/>
  <c r="D224" i="16"/>
  <c r="C224" i="16"/>
  <c r="E223" i="16"/>
  <c r="D223" i="16"/>
  <c r="C223" i="16"/>
  <c r="G222" i="16"/>
  <c r="E222" i="16"/>
  <c r="D222" i="16"/>
  <c r="C222" i="16"/>
  <c r="E221" i="16"/>
  <c r="D221" i="16"/>
  <c r="C221" i="16"/>
  <c r="E220" i="16"/>
  <c r="D220" i="16"/>
  <c r="C220" i="16"/>
  <c r="E219" i="16"/>
  <c r="D219" i="16"/>
  <c r="C219" i="16"/>
  <c r="E218" i="16"/>
  <c r="D218" i="16"/>
  <c r="C218" i="16"/>
  <c r="G217" i="16"/>
  <c r="E217" i="16"/>
  <c r="D217" i="16"/>
  <c r="C217" i="16"/>
  <c r="E216" i="16"/>
  <c r="D216" i="16"/>
  <c r="C216" i="16"/>
  <c r="E215" i="16"/>
  <c r="D215" i="16"/>
  <c r="C215" i="16"/>
  <c r="E214" i="16"/>
  <c r="D214" i="16"/>
  <c r="C214" i="16"/>
  <c r="E213" i="16"/>
  <c r="D213" i="16"/>
  <c r="C213" i="16"/>
  <c r="E212" i="16"/>
  <c r="D212" i="16"/>
  <c r="C212" i="16"/>
  <c r="E211" i="16"/>
  <c r="D211" i="16"/>
  <c r="C211" i="16"/>
  <c r="E210" i="16"/>
  <c r="D210" i="16"/>
  <c r="C210" i="16"/>
  <c r="E209" i="16"/>
  <c r="D209" i="16"/>
  <c r="C209" i="16"/>
  <c r="E208" i="16"/>
  <c r="D208" i="16"/>
  <c r="C208" i="16"/>
  <c r="E207" i="16"/>
  <c r="D207" i="16"/>
  <c r="C207" i="16"/>
  <c r="E206" i="16"/>
  <c r="D206" i="16"/>
  <c r="C206" i="16"/>
  <c r="E205" i="16"/>
  <c r="D205" i="16"/>
  <c r="C205" i="16"/>
  <c r="E204" i="16"/>
  <c r="D204" i="16"/>
  <c r="C204" i="16"/>
  <c r="E203" i="16"/>
  <c r="D203" i="16"/>
  <c r="C203" i="16"/>
  <c r="E202" i="16"/>
  <c r="D202" i="16"/>
  <c r="C202" i="16"/>
  <c r="E201" i="16"/>
  <c r="D201" i="16"/>
  <c r="C201" i="16"/>
  <c r="E200" i="16"/>
  <c r="D200" i="16"/>
  <c r="C200" i="16"/>
  <c r="E199" i="16"/>
  <c r="D199" i="16"/>
  <c r="C199" i="16"/>
  <c r="G198" i="16"/>
  <c r="E198" i="16"/>
  <c r="D198" i="16"/>
  <c r="C198" i="16"/>
  <c r="E197" i="16"/>
  <c r="D197" i="16"/>
  <c r="C197" i="16"/>
  <c r="E196" i="16"/>
  <c r="D196" i="16"/>
  <c r="C196" i="16"/>
  <c r="E195" i="16"/>
  <c r="D195" i="16"/>
  <c r="C195" i="16"/>
  <c r="E194" i="16"/>
  <c r="D194" i="16"/>
  <c r="C194" i="16"/>
  <c r="E193" i="16"/>
  <c r="D193" i="16"/>
  <c r="C193" i="16"/>
  <c r="E192" i="16"/>
  <c r="D192" i="16"/>
  <c r="C192" i="16"/>
  <c r="G191" i="16"/>
  <c r="E191" i="16"/>
  <c r="D191" i="16"/>
  <c r="C191" i="16"/>
  <c r="E190" i="16"/>
  <c r="D190" i="16"/>
  <c r="C190" i="16"/>
  <c r="E189" i="16"/>
  <c r="D189" i="16"/>
  <c r="C189" i="16"/>
  <c r="G188" i="16"/>
  <c r="E188" i="16"/>
  <c r="D188" i="16"/>
  <c r="C188" i="16"/>
  <c r="E187" i="16"/>
  <c r="D187" i="16"/>
  <c r="C187" i="16"/>
  <c r="E186" i="16"/>
  <c r="D186" i="16"/>
  <c r="C186" i="16"/>
  <c r="E185" i="16"/>
  <c r="D185" i="16"/>
  <c r="C185" i="16"/>
  <c r="E184" i="16"/>
  <c r="D184" i="16"/>
  <c r="C184" i="16"/>
  <c r="E183" i="16"/>
  <c r="D183" i="16"/>
  <c r="C183" i="16"/>
  <c r="E182" i="16"/>
  <c r="D182" i="16"/>
  <c r="C182" i="16"/>
  <c r="E181" i="16"/>
  <c r="D181" i="16"/>
  <c r="C181" i="16"/>
  <c r="E180" i="16"/>
  <c r="D180" i="16"/>
  <c r="C180" i="16"/>
  <c r="G179" i="16"/>
  <c r="E179" i="16"/>
  <c r="D179" i="16"/>
  <c r="C179" i="16"/>
  <c r="E178" i="16"/>
  <c r="D178" i="16"/>
  <c r="C178" i="16"/>
  <c r="G177" i="16"/>
  <c r="E177" i="16"/>
  <c r="D177" i="16"/>
  <c r="C177" i="16"/>
  <c r="E176" i="16"/>
  <c r="D176" i="16"/>
  <c r="C176" i="16"/>
  <c r="E175" i="16"/>
  <c r="D175" i="16"/>
  <c r="C175" i="16"/>
  <c r="E174" i="16"/>
  <c r="D174" i="16"/>
  <c r="C174" i="16"/>
  <c r="E173" i="16"/>
  <c r="D173" i="16"/>
  <c r="C173" i="16"/>
  <c r="E172" i="16"/>
  <c r="D172" i="16"/>
  <c r="C172" i="16"/>
  <c r="E171" i="16"/>
  <c r="D171" i="16"/>
  <c r="C171" i="16"/>
  <c r="E170" i="16"/>
  <c r="D170" i="16"/>
  <c r="C170" i="16"/>
  <c r="E169" i="16"/>
  <c r="D169" i="16"/>
  <c r="C169" i="16"/>
  <c r="E168" i="16"/>
  <c r="D168" i="16"/>
  <c r="C168" i="16"/>
  <c r="E167" i="16"/>
  <c r="D167" i="16"/>
  <c r="C167" i="16"/>
  <c r="E166" i="16"/>
  <c r="D166" i="16"/>
  <c r="C166" i="16"/>
  <c r="G165" i="16"/>
  <c r="E165" i="16"/>
  <c r="D165" i="16"/>
  <c r="C165" i="16"/>
  <c r="G164" i="16"/>
  <c r="E164" i="16"/>
  <c r="D164" i="16"/>
  <c r="C164" i="16"/>
  <c r="E163" i="16"/>
  <c r="D163" i="16"/>
  <c r="C163" i="16"/>
  <c r="E162" i="16"/>
  <c r="D162" i="16"/>
  <c r="C162" i="16"/>
  <c r="G161" i="16"/>
  <c r="E161" i="16"/>
  <c r="D161" i="16"/>
  <c r="C161" i="16"/>
  <c r="E160" i="16"/>
  <c r="D160" i="16"/>
  <c r="C160" i="16"/>
  <c r="E159" i="16"/>
  <c r="D159" i="16"/>
  <c r="C159" i="16"/>
  <c r="E158" i="16"/>
  <c r="D158" i="16"/>
  <c r="C158" i="16"/>
  <c r="E157" i="16"/>
  <c r="D157" i="16"/>
  <c r="C157" i="16"/>
  <c r="G156" i="16"/>
  <c r="E156" i="16"/>
  <c r="D156" i="16"/>
  <c r="C156" i="16"/>
  <c r="E155" i="16"/>
  <c r="D155" i="16"/>
  <c r="C155" i="16"/>
  <c r="E154" i="16"/>
  <c r="D154" i="16"/>
  <c r="C154" i="16"/>
  <c r="E153" i="16"/>
  <c r="D153" i="16"/>
  <c r="C153" i="16"/>
  <c r="E152" i="16"/>
  <c r="D152" i="16"/>
  <c r="C152" i="16"/>
  <c r="E151" i="16"/>
  <c r="D151" i="16"/>
  <c r="C151" i="16"/>
  <c r="E150" i="16"/>
  <c r="D150" i="16"/>
  <c r="C150" i="16"/>
  <c r="G149" i="16"/>
  <c r="E149" i="16"/>
  <c r="D149" i="16"/>
  <c r="C149" i="16"/>
  <c r="E148" i="16"/>
  <c r="D148" i="16"/>
  <c r="C148" i="16"/>
  <c r="G147" i="16"/>
  <c r="E147" i="16"/>
  <c r="D147" i="16"/>
  <c r="C147" i="16"/>
  <c r="E146" i="16"/>
  <c r="D146" i="16"/>
  <c r="C146" i="16"/>
  <c r="E145" i="16"/>
  <c r="D145" i="16"/>
  <c r="C145" i="16"/>
  <c r="G144" i="16"/>
  <c r="E144" i="16"/>
  <c r="D144" i="16"/>
  <c r="C144" i="16"/>
  <c r="E143" i="16"/>
  <c r="D143" i="16"/>
  <c r="C143" i="16"/>
  <c r="E142" i="16"/>
  <c r="D142" i="16"/>
  <c r="C142" i="16"/>
  <c r="G141" i="16"/>
  <c r="E141" i="16"/>
  <c r="D141" i="16"/>
  <c r="C141" i="16"/>
  <c r="G140" i="16"/>
  <c r="E140" i="16"/>
  <c r="D140" i="16"/>
  <c r="C140" i="16"/>
  <c r="E139" i="16"/>
  <c r="D139" i="16"/>
  <c r="C139" i="16"/>
  <c r="G138" i="16"/>
  <c r="E138" i="16"/>
  <c r="D138" i="16"/>
  <c r="C138" i="16"/>
  <c r="G137" i="16"/>
  <c r="E137" i="16"/>
  <c r="D137" i="16"/>
  <c r="C137" i="16"/>
  <c r="E136" i="16"/>
  <c r="D136" i="16"/>
  <c r="C136" i="16"/>
  <c r="G135" i="16"/>
  <c r="E135" i="16"/>
  <c r="D135" i="16"/>
  <c r="C135" i="16"/>
  <c r="G134" i="16"/>
  <c r="E134" i="16"/>
  <c r="D134" i="16"/>
  <c r="C134" i="16"/>
  <c r="E133" i="16"/>
  <c r="D133" i="16"/>
  <c r="C133" i="16"/>
  <c r="E132" i="16"/>
  <c r="D132" i="16"/>
  <c r="C132" i="16"/>
  <c r="E131" i="16"/>
  <c r="D131" i="16"/>
  <c r="C131" i="16"/>
  <c r="E130" i="16"/>
  <c r="D130" i="16"/>
  <c r="C130" i="16"/>
  <c r="E129" i="16"/>
  <c r="D129" i="16"/>
  <c r="C129" i="16"/>
  <c r="E128" i="16"/>
  <c r="D128" i="16"/>
  <c r="C128" i="16"/>
  <c r="G127" i="16"/>
  <c r="E127" i="16"/>
  <c r="D127" i="16"/>
  <c r="C127" i="16"/>
  <c r="E126" i="16"/>
  <c r="D126" i="16"/>
  <c r="C126" i="16"/>
  <c r="E125" i="16"/>
  <c r="D125" i="16"/>
  <c r="C125" i="16"/>
  <c r="E124" i="16"/>
  <c r="D124" i="16"/>
  <c r="C124" i="16"/>
  <c r="E123" i="16"/>
  <c r="D123" i="16"/>
  <c r="C123" i="16"/>
  <c r="E122" i="16"/>
  <c r="D122" i="16"/>
  <c r="C122" i="16"/>
  <c r="E121" i="16"/>
  <c r="D121" i="16"/>
  <c r="C121" i="16"/>
  <c r="G120" i="16"/>
  <c r="E120" i="16"/>
  <c r="D120" i="16"/>
  <c r="C120" i="16"/>
  <c r="G119" i="16"/>
  <c r="E119" i="16"/>
  <c r="D119" i="16"/>
  <c r="C119" i="16"/>
  <c r="E118" i="16"/>
  <c r="D118" i="16"/>
  <c r="C118" i="16"/>
  <c r="G117" i="16"/>
  <c r="E117" i="16"/>
  <c r="D117" i="16"/>
  <c r="C117" i="16"/>
  <c r="G116" i="16"/>
  <c r="E116" i="16"/>
  <c r="D116" i="16"/>
  <c r="C116" i="16"/>
  <c r="E115" i="16"/>
  <c r="D115" i="16"/>
  <c r="C115" i="16"/>
  <c r="E114" i="16"/>
  <c r="D114" i="16"/>
  <c r="C114" i="16"/>
  <c r="G113" i="16"/>
  <c r="E113" i="16"/>
  <c r="D113" i="16"/>
  <c r="C113" i="16"/>
  <c r="E112" i="16"/>
  <c r="D112" i="16"/>
  <c r="C112" i="16"/>
  <c r="E111" i="16"/>
  <c r="D111" i="16"/>
  <c r="C111" i="16"/>
  <c r="G110" i="16"/>
  <c r="E110" i="16"/>
  <c r="D110" i="16"/>
  <c r="C110" i="16"/>
  <c r="E109" i="16"/>
  <c r="D109" i="16"/>
  <c r="C109" i="16"/>
  <c r="E108" i="16"/>
  <c r="D108" i="16"/>
  <c r="C108" i="16"/>
  <c r="E107" i="16"/>
  <c r="D107" i="16"/>
  <c r="C107" i="16"/>
  <c r="E106" i="16"/>
  <c r="D106" i="16"/>
  <c r="C106" i="16"/>
  <c r="E105" i="16"/>
  <c r="D105" i="16"/>
  <c r="C105" i="16"/>
  <c r="G104" i="16"/>
  <c r="E104" i="16"/>
  <c r="D104" i="16"/>
  <c r="C104" i="16"/>
  <c r="E103" i="16"/>
  <c r="D103" i="16"/>
  <c r="C103" i="16"/>
  <c r="G102" i="16"/>
  <c r="E102" i="16"/>
  <c r="D102" i="16"/>
  <c r="C102" i="16"/>
  <c r="E101" i="16"/>
  <c r="D101" i="16"/>
  <c r="C101" i="16"/>
  <c r="E100" i="16"/>
  <c r="D100" i="16"/>
  <c r="C100" i="16"/>
  <c r="E99" i="16"/>
  <c r="D99" i="16"/>
  <c r="C99" i="16"/>
  <c r="E98" i="16"/>
  <c r="D98" i="16"/>
  <c r="C98" i="16"/>
  <c r="E97" i="16"/>
  <c r="D97" i="16"/>
  <c r="C97" i="16"/>
  <c r="G96" i="16"/>
  <c r="E96" i="16"/>
  <c r="D96" i="16"/>
  <c r="C96" i="16"/>
  <c r="G95" i="16"/>
  <c r="E95" i="16"/>
  <c r="D95" i="16"/>
  <c r="C95" i="16"/>
  <c r="E94" i="16"/>
  <c r="D94" i="16"/>
  <c r="C94" i="16"/>
  <c r="G93" i="16"/>
  <c r="E93" i="16"/>
  <c r="D93" i="16"/>
  <c r="C93" i="16"/>
  <c r="E92" i="16"/>
  <c r="D92" i="16"/>
  <c r="C92" i="16"/>
  <c r="E91" i="16"/>
  <c r="D91" i="16"/>
  <c r="C91" i="16"/>
  <c r="E90" i="16"/>
  <c r="D90" i="16"/>
  <c r="C90" i="16"/>
  <c r="E89" i="16"/>
  <c r="D89" i="16"/>
  <c r="C89" i="16"/>
  <c r="E88" i="16"/>
  <c r="D88" i="16"/>
  <c r="C88" i="16"/>
  <c r="E87" i="16"/>
  <c r="D87" i="16"/>
  <c r="C87" i="16"/>
  <c r="E86" i="16"/>
  <c r="D86" i="16"/>
  <c r="C86" i="16"/>
  <c r="E85" i="16"/>
  <c r="D85" i="16"/>
  <c r="C85" i="16"/>
  <c r="E84" i="16"/>
  <c r="D84" i="16"/>
  <c r="C84" i="16"/>
  <c r="E83" i="16"/>
  <c r="D83" i="16"/>
  <c r="C83" i="16"/>
  <c r="E82" i="16"/>
  <c r="D82" i="16"/>
  <c r="C82" i="16"/>
  <c r="E81" i="16"/>
  <c r="D81" i="16"/>
  <c r="C81" i="16"/>
  <c r="G80" i="16"/>
  <c r="E80" i="16"/>
  <c r="D80" i="16"/>
  <c r="C80" i="16"/>
  <c r="E79" i="16"/>
  <c r="D79" i="16"/>
  <c r="C79" i="16"/>
  <c r="E78" i="16"/>
  <c r="D78" i="16"/>
  <c r="C78" i="16"/>
  <c r="E77" i="16"/>
  <c r="D77" i="16"/>
  <c r="C77" i="16"/>
  <c r="E76" i="16"/>
  <c r="D76" i="16"/>
  <c r="C76" i="16"/>
  <c r="G75" i="16"/>
  <c r="E75" i="16"/>
  <c r="D75" i="16"/>
  <c r="C75" i="16"/>
  <c r="E74" i="16"/>
  <c r="D74" i="16"/>
  <c r="C74" i="16"/>
  <c r="E73" i="16"/>
  <c r="D73" i="16"/>
  <c r="C73" i="16"/>
  <c r="G72" i="16"/>
  <c r="E72" i="16"/>
  <c r="D72" i="16"/>
  <c r="C72" i="16"/>
  <c r="E71" i="16"/>
  <c r="D71" i="16"/>
  <c r="C71" i="16"/>
  <c r="E70" i="16"/>
  <c r="D70" i="16"/>
  <c r="C70" i="16"/>
  <c r="E69" i="16"/>
  <c r="D69" i="16"/>
  <c r="C69" i="16"/>
  <c r="E68" i="16"/>
  <c r="D68" i="16"/>
  <c r="C68" i="16"/>
  <c r="E67" i="16"/>
  <c r="D67" i="16"/>
  <c r="C67" i="16"/>
  <c r="E66" i="16"/>
  <c r="D66" i="16"/>
  <c r="C66" i="16"/>
  <c r="E65" i="16"/>
  <c r="D65" i="16"/>
  <c r="C65" i="16"/>
  <c r="E64" i="16"/>
  <c r="D64" i="16"/>
  <c r="C64" i="16"/>
  <c r="E63" i="16"/>
  <c r="D63" i="16"/>
  <c r="C63" i="16"/>
  <c r="E62" i="16"/>
  <c r="D62" i="16"/>
  <c r="C62" i="16"/>
  <c r="E61" i="16"/>
  <c r="D61" i="16"/>
  <c r="C61" i="16"/>
  <c r="G60" i="16"/>
  <c r="E60" i="16"/>
  <c r="D60" i="16"/>
  <c r="C60" i="16"/>
  <c r="E59" i="16"/>
  <c r="D59" i="16"/>
  <c r="C59" i="16"/>
  <c r="E58" i="16"/>
  <c r="D58" i="16"/>
  <c r="C58" i="16"/>
  <c r="G57" i="16"/>
  <c r="E57" i="16"/>
  <c r="D57" i="16"/>
  <c r="C57" i="16"/>
  <c r="G56" i="16"/>
  <c r="E56" i="16"/>
  <c r="D56" i="16"/>
  <c r="C56" i="16"/>
  <c r="E55" i="16"/>
  <c r="D55" i="16"/>
  <c r="C55" i="16"/>
  <c r="E54" i="16"/>
  <c r="D54" i="16"/>
  <c r="C54" i="16"/>
  <c r="E53" i="16"/>
  <c r="D53" i="16"/>
  <c r="C53" i="16"/>
  <c r="E52" i="16"/>
  <c r="D52" i="16"/>
  <c r="C52" i="16"/>
  <c r="G51" i="16"/>
  <c r="E51" i="16"/>
  <c r="D51" i="16"/>
  <c r="C51" i="16"/>
  <c r="G50" i="16"/>
  <c r="E50" i="16"/>
  <c r="D50" i="16"/>
  <c r="C50" i="16"/>
  <c r="E49" i="16"/>
  <c r="D49" i="16"/>
  <c r="C49" i="16"/>
  <c r="G48" i="16"/>
  <c r="E48" i="16"/>
  <c r="D48" i="16"/>
  <c r="C48" i="16"/>
  <c r="E47" i="16"/>
  <c r="D47" i="16"/>
  <c r="C47" i="16"/>
  <c r="E46" i="16"/>
  <c r="D46" i="16"/>
  <c r="C46" i="16"/>
  <c r="E45" i="16"/>
  <c r="D45" i="16"/>
  <c r="C45" i="16"/>
  <c r="E44" i="16"/>
  <c r="D44" i="16"/>
  <c r="C44" i="16"/>
  <c r="E43" i="16"/>
  <c r="D43" i="16"/>
  <c r="C43" i="16"/>
  <c r="E42" i="16"/>
  <c r="D42" i="16"/>
  <c r="C42" i="16"/>
  <c r="G41" i="16"/>
  <c r="E41" i="16"/>
  <c r="D41" i="16"/>
  <c r="C41" i="16"/>
  <c r="E40" i="16"/>
  <c r="D40" i="16"/>
  <c r="C40" i="16"/>
  <c r="E39" i="16"/>
  <c r="D39" i="16"/>
  <c r="C39" i="16"/>
  <c r="E38" i="16"/>
  <c r="D38" i="16"/>
  <c r="C38" i="16"/>
  <c r="E37" i="16"/>
  <c r="D37" i="16"/>
  <c r="C37" i="16"/>
  <c r="G36" i="16"/>
  <c r="E36" i="16"/>
  <c r="D36" i="16"/>
  <c r="C36" i="16"/>
  <c r="E35" i="16"/>
  <c r="D35" i="16"/>
  <c r="C35" i="16"/>
  <c r="E34" i="16"/>
  <c r="D34" i="16"/>
  <c r="C34" i="16"/>
  <c r="G33" i="16"/>
  <c r="E33" i="16"/>
  <c r="D33" i="16"/>
  <c r="C33" i="16"/>
  <c r="E32" i="16"/>
  <c r="D32" i="16"/>
  <c r="C32" i="16"/>
  <c r="E31" i="16"/>
  <c r="D31" i="16"/>
  <c r="C31" i="16"/>
  <c r="E30" i="16"/>
  <c r="D30" i="16"/>
  <c r="C30" i="16"/>
  <c r="E29" i="16"/>
  <c r="D29" i="16"/>
  <c r="C29" i="16"/>
  <c r="E28" i="16"/>
  <c r="D28" i="16"/>
  <c r="C28" i="16"/>
  <c r="G27" i="16"/>
  <c r="E27" i="16"/>
  <c r="D27" i="16"/>
  <c r="C27" i="16"/>
  <c r="E26" i="16"/>
  <c r="D26" i="16"/>
  <c r="C26" i="16"/>
  <c r="E25" i="16"/>
  <c r="D25" i="16"/>
  <c r="C25" i="16"/>
  <c r="G24" i="16"/>
  <c r="E24" i="16"/>
  <c r="D24" i="16"/>
  <c r="C24" i="16"/>
  <c r="E23" i="16"/>
  <c r="D23" i="16"/>
  <c r="C23" i="16"/>
  <c r="E22" i="16"/>
  <c r="D22" i="16"/>
  <c r="C22" i="16"/>
  <c r="G21" i="16"/>
  <c r="E21" i="16"/>
  <c r="D21" i="16"/>
  <c r="C21" i="16"/>
  <c r="E20" i="16"/>
  <c r="D20" i="16"/>
  <c r="C20" i="16"/>
  <c r="E19" i="16"/>
  <c r="D19" i="16"/>
  <c r="C19" i="16"/>
  <c r="E18" i="16"/>
  <c r="D18" i="16"/>
  <c r="C18" i="16"/>
  <c r="E17" i="16"/>
  <c r="D17" i="16"/>
  <c r="C17" i="16"/>
  <c r="E16" i="16"/>
  <c r="D16" i="16"/>
  <c r="C16" i="16"/>
  <c r="E15" i="16"/>
  <c r="D15" i="16"/>
  <c r="C15" i="16"/>
  <c r="E14" i="16"/>
  <c r="D14" i="16"/>
  <c r="C14" i="16"/>
  <c r="E13" i="16"/>
  <c r="D13" i="16"/>
  <c r="C13" i="16"/>
  <c r="E12" i="16"/>
  <c r="D12" i="16"/>
  <c r="C12" i="16"/>
  <c r="G11" i="16"/>
  <c r="E11" i="16"/>
  <c r="D11" i="16"/>
  <c r="C11" i="16"/>
  <c r="E10" i="16"/>
  <c r="D10" i="16"/>
  <c r="C10" i="16"/>
  <c r="G9" i="16"/>
  <c r="E9" i="16"/>
  <c r="D9" i="16"/>
  <c r="C9" i="16"/>
  <c r="G8" i="16"/>
  <c r="E8" i="16"/>
  <c r="D8" i="16"/>
  <c r="C8" i="16"/>
  <c r="E7" i="16"/>
  <c r="D7" i="16"/>
  <c r="C7" i="16"/>
  <c r="B5" i="16"/>
  <c r="A2" i="16"/>
  <c r="A1" i="16"/>
  <c r="B5" i="15"/>
  <c r="A2" i="15"/>
  <c r="A1" i="15"/>
  <c r="B5" i="14"/>
  <c r="A2" i="14"/>
  <c r="A1" i="14"/>
  <c r="F18" i="13"/>
  <c r="B5" i="13"/>
  <c r="A2" i="13"/>
  <c r="A1" i="13"/>
  <c r="E8" i="12"/>
  <c r="D8" i="12"/>
  <c r="C8" i="12"/>
  <c r="E7" i="12"/>
  <c r="D7" i="12"/>
  <c r="C7" i="12"/>
  <c r="B5" i="12"/>
  <c r="A2" i="12"/>
  <c r="A1" i="12"/>
  <c r="E80" i="11"/>
  <c r="D80" i="11"/>
  <c r="C80" i="11"/>
  <c r="K79" i="11"/>
  <c r="E79" i="11"/>
  <c r="D79" i="11"/>
  <c r="C79" i="11"/>
  <c r="E75" i="11"/>
  <c r="D75" i="11"/>
  <c r="C75" i="11"/>
  <c r="K74" i="11"/>
  <c r="E74" i="11"/>
  <c r="D74" i="11"/>
  <c r="C74" i="11"/>
  <c r="E70" i="11"/>
  <c r="D70" i="11"/>
  <c r="C70" i="11"/>
  <c r="K69" i="11"/>
  <c r="E69" i="11"/>
  <c r="D69" i="11"/>
  <c r="C69" i="11"/>
  <c r="G65" i="11"/>
  <c r="I65" i="11" s="1"/>
  <c r="I66" i="11" s="1"/>
  <c r="G64" i="11" s="1"/>
  <c r="E65" i="11"/>
  <c r="D65" i="11"/>
  <c r="C65" i="11"/>
  <c r="K64" i="11"/>
  <c r="E64" i="11"/>
  <c r="D64" i="11"/>
  <c r="C64" i="11"/>
  <c r="E60" i="11"/>
  <c r="D60" i="11"/>
  <c r="C60" i="11"/>
  <c r="E59" i="11"/>
  <c r="D59" i="11"/>
  <c r="C59" i="11"/>
  <c r="G55" i="11"/>
  <c r="I55" i="11" s="1"/>
  <c r="I56" i="11" s="1"/>
  <c r="G54" i="11" s="1"/>
  <c r="E55" i="11"/>
  <c r="D55" i="11"/>
  <c r="C55" i="11"/>
  <c r="E54" i="11"/>
  <c r="D54" i="11"/>
  <c r="C54" i="11"/>
  <c r="G50" i="11"/>
  <c r="I50" i="11" s="1"/>
  <c r="I51" i="11" s="1"/>
  <c r="G49" i="11" s="1"/>
  <c r="E50" i="11"/>
  <c r="D50" i="11"/>
  <c r="C50" i="11"/>
  <c r="E49" i="11"/>
  <c r="D49" i="11"/>
  <c r="C49" i="11"/>
  <c r="E45" i="11"/>
  <c r="D45" i="11"/>
  <c r="C45" i="11"/>
  <c r="K44" i="11"/>
  <c r="E44" i="11"/>
  <c r="D44" i="11"/>
  <c r="C44" i="11"/>
  <c r="E40" i="11"/>
  <c r="D40" i="11"/>
  <c r="C40" i="11"/>
  <c r="E39" i="11"/>
  <c r="D39" i="11"/>
  <c r="C39" i="11"/>
  <c r="G35" i="11"/>
  <c r="I35" i="11" s="1"/>
  <c r="I36" i="11" s="1"/>
  <c r="G34" i="11" s="1"/>
  <c r="E35" i="11"/>
  <c r="D35" i="11"/>
  <c r="C35" i="11"/>
  <c r="E34" i="11"/>
  <c r="D34" i="11"/>
  <c r="C34" i="11"/>
  <c r="E30" i="11"/>
  <c r="D30" i="11"/>
  <c r="C30" i="11"/>
  <c r="G29" i="11"/>
  <c r="I29" i="11" s="1"/>
  <c r="E29" i="11"/>
  <c r="D29" i="11"/>
  <c r="C29" i="11"/>
  <c r="E28" i="11"/>
  <c r="D28" i="11"/>
  <c r="C28" i="11"/>
  <c r="G27" i="11"/>
  <c r="E27" i="11"/>
  <c r="D27" i="11"/>
  <c r="C27" i="11"/>
  <c r="G26" i="11"/>
  <c r="I26" i="11" s="1"/>
  <c r="E26" i="11"/>
  <c r="D26" i="11"/>
  <c r="C26" i="11"/>
  <c r="E25" i="11"/>
  <c r="D25" i="11"/>
  <c r="C25" i="11"/>
  <c r="E24" i="11"/>
  <c r="D24" i="11"/>
  <c r="C24" i="11"/>
  <c r="E23" i="11"/>
  <c r="D23" i="11"/>
  <c r="C23" i="11"/>
  <c r="E22" i="11"/>
  <c r="D22" i="11"/>
  <c r="C22" i="11"/>
  <c r="E18" i="11"/>
  <c r="D18" i="11"/>
  <c r="C18" i="11"/>
  <c r="K17" i="11"/>
  <c r="E17" i="11"/>
  <c r="D17" i="11"/>
  <c r="C17" i="11"/>
  <c r="G13" i="11"/>
  <c r="I13" i="11" s="1"/>
  <c r="I14" i="11" s="1"/>
  <c r="G12" i="11" s="1"/>
  <c r="L12" i="11" s="1"/>
  <c r="E13" i="11"/>
  <c r="D13" i="11"/>
  <c r="C13" i="11"/>
  <c r="E12" i="11"/>
  <c r="D12" i="11"/>
  <c r="C12" i="11"/>
  <c r="E8" i="11"/>
  <c r="D8" i="11"/>
  <c r="C8" i="11"/>
  <c r="E7" i="11"/>
  <c r="D7" i="11"/>
  <c r="C7" i="11"/>
  <c r="B5" i="11"/>
  <c r="A2" i="11"/>
  <c r="A1" i="11"/>
  <c r="E392" i="10"/>
  <c r="D392" i="10"/>
  <c r="C392" i="10"/>
  <c r="E391" i="10"/>
  <c r="D391" i="10"/>
  <c r="C391" i="10"/>
  <c r="E390" i="10"/>
  <c r="D390" i="10"/>
  <c r="C390" i="10"/>
  <c r="E389" i="10"/>
  <c r="D389" i="10"/>
  <c r="C389" i="10"/>
  <c r="E388" i="10"/>
  <c r="D388" i="10"/>
  <c r="C388" i="10"/>
  <c r="G387" i="10"/>
  <c r="I387" i="10" s="1"/>
  <c r="E387" i="10"/>
  <c r="D387" i="10"/>
  <c r="C387" i="10"/>
  <c r="E386" i="10"/>
  <c r="D386" i="10"/>
  <c r="C386" i="10"/>
  <c r="E385" i="10"/>
  <c r="D385" i="10"/>
  <c r="C385" i="10"/>
  <c r="E384" i="10"/>
  <c r="D384" i="10"/>
  <c r="C384" i="10"/>
  <c r="E383" i="10"/>
  <c r="D383" i="10"/>
  <c r="C383" i="10"/>
  <c r="G382" i="10"/>
  <c r="I382" i="10" s="1"/>
  <c r="E382" i="10"/>
  <c r="D382" i="10"/>
  <c r="C382" i="10"/>
  <c r="E381" i="10"/>
  <c r="D381" i="10"/>
  <c r="C381" i="10"/>
  <c r="E380" i="10"/>
  <c r="D380" i="10"/>
  <c r="C380" i="10"/>
  <c r="G379" i="10"/>
  <c r="I379" i="10" s="1"/>
  <c r="E379" i="10"/>
  <c r="D379" i="10"/>
  <c r="C379" i="10"/>
  <c r="E378" i="10"/>
  <c r="D378" i="10"/>
  <c r="C378" i="10"/>
  <c r="G377" i="10"/>
  <c r="I377" i="10" s="1"/>
  <c r="E377" i="10"/>
  <c r="D377" i="10"/>
  <c r="C377" i="10"/>
  <c r="K376" i="10"/>
  <c r="E376" i="10"/>
  <c r="D376" i="10"/>
  <c r="C376" i="10"/>
  <c r="E372" i="10"/>
  <c r="D372" i="10"/>
  <c r="C372" i="10"/>
  <c r="E371" i="10"/>
  <c r="D371" i="10"/>
  <c r="C371" i="10"/>
  <c r="E370" i="10"/>
  <c r="D370" i="10"/>
  <c r="C370" i="10"/>
  <c r="G369" i="10"/>
  <c r="I369" i="10" s="1"/>
  <c r="E369" i="10"/>
  <c r="D369" i="10"/>
  <c r="C369" i="10"/>
  <c r="E368" i="10"/>
  <c r="D368" i="10"/>
  <c r="C368" i="10"/>
  <c r="E367" i="10"/>
  <c r="D367" i="10"/>
  <c r="C367" i="10"/>
  <c r="G366" i="10"/>
  <c r="I366" i="10" s="1"/>
  <c r="E366" i="10"/>
  <c r="D366" i="10"/>
  <c r="C366" i="10"/>
  <c r="E365" i="10"/>
  <c r="D365" i="10"/>
  <c r="C365" i="10"/>
  <c r="G364" i="10"/>
  <c r="I364" i="10" s="1"/>
  <c r="E364" i="10"/>
  <c r="D364" i="10"/>
  <c r="C364" i="10"/>
  <c r="G363" i="10"/>
  <c r="I363" i="10" s="1"/>
  <c r="E363" i="10"/>
  <c r="D363" i="10"/>
  <c r="C363" i="10"/>
  <c r="G362" i="10"/>
  <c r="I362" i="10" s="1"/>
  <c r="E362" i="10"/>
  <c r="D362" i="10"/>
  <c r="C362" i="10"/>
  <c r="G361" i="10"/>
  <c r="I361" i="10" s="1"/>
  <c r="E361" i="10"/>
  <c r="D361" i="10"/>
  <c r="C361" i="10"/>
  <c r="E360" i="10"/>
  <c r="D360" i="10"/>
  <c r="C360" i="10"/>
  <c r="E359" i="10"/>
  <c r="D359" i="10"/>
  <c r="C359" i="10"/>
  <c r="G358" i="10"/>
  <c r="I358" i="10" s="1"/>
  <c r="E358" i="10"/>
  <c r="D358" i="10"/>
  <c r="C358" i="10"/>
  <c r="E357" i="10"/>
  <c r="D357" i="10"/>
  <c r="C357" i="10"/>
  <c r="E356" i="10"/>
  <c r="D356" i="10"/>
  <c r="C356" i="10"/>
  <c r="G355" i="10"/>
  <c r="I355" i="10" s="1"/>
  <c r="E355" i="10"/>
  <c r="D355" i="10"/>
  <c r="C355" i="10"/>
  <c r="E354" i="10"/>
  <c r="D354" i="10"/>
  <c r="C354" i="10"/>
  <c r="G353" i="10"/>
  <c r="I353" i="10" s="1"/>
  <c r="E353" i="10"/>
  <c r="D353" i="10"/>
  <c r="C353" i="10"/>
  <c r="E352" i="10"/>
  <c r="D352" i="10"/>
  <c r="C352" i="10"/>
  <c r="E348" i="10"/>
  <c r="D348" i="10"/>
  <c r="C348" i="10"/>
  <c r="E347" i="10"/>
  <c r="D347" i="10"/>
  <c r="C347" i="10"/>
  <c r="G346" i="10"/>
  <c r="I346" i="10" s="1"/>
  <c r="E346" i="10"/>
  <c r="D346" i="10"/>
  <c r="C346" i="10"/>
  <c r="G345" i="10"/>
  <c r="I345" i="10" s="1"/>
  <c r="E345" i="10"/>
  <c r="D345" i="10"/>
  <c r="C345" i="10"/>
  <c r="E344" i="10"/>
  <c r="D344" i="10"/>
  <c r="C344" i="10"/>
  <c r="G343" i="10"/>
  <c r="I343" i="10" s="1"/>
  <c r="E343" i="10"/>
  <c r="D343" i="10"/>
  <c r="C343" i="10"/>
  <c r="E342" i="10"/>
  <c r="D342" i="10"/>
  <c r="C342" i="10"/>
  <c r="E341" i="10"/>
  <c r="D341" i="10"/>
  <c r="C341" i="10"/>
  <c r="G340" i="10"/>
  <c r="I340" i="10" s="1"/>
  <c r="E340" i="10"/>
  <c r="D340" i="10"/>
  <c r="C340" i="10"/>
  <c r="E339" i="10"/>
  <c r="D339" i="10"/>
  <c r="C339" i="10"/>
  <c r="E338" i="10"/>
  <c r="D338" i="10"/>
  <c r="C338" i="10"/>
  <c r="G337" i="10"/>
  <c r="I337" i="10" s="1"/>
  <c r="E337" i="10"/>
  <c r="D337" i="10"/>
  <c r="C337" i="10"/>
  <c r="G336" i="10"/>
  <c r="I336" i="10" s="1"/>
  <c r="E336" i="10"/>
  <c r="D336" i="10"/>
  <c r="C336" i="10"/>
  <c r="G335" i="10"/>
  <c r="I335" i="10" s="1"/>
  <c r="E335" i="10"/>
  <c r="D335" i="10"/>
  <c r="C335" i="10"/>
  <c r="G334" i="10"/>
  <c r="I334" i="10" s="1"/>
  <c r="E334" i="10"/>
  <c r="D334" i="10"/>
  <c r="C334" i="10"/>
  <c r="G333" i="10"/>
  <c r="I333" i="10" s="1"/>
  <c r="E333" i="10"/>
  <c r="D333" i="10"/>
  <c r="C333" i="10"/>
  <c r="E332" i="10"/>
  <c r="D332" i="10"/>
  <c r="C332" i="10"/>
  <c r="E331" i="10"/>
  <c r="D331" i="10"/>
  <c r="C331" i="10"/>
  <c r="G330" i="10"/>
  <c r="I330" i="10" s="1"/>
  <c r="E330" i="10"/>
  <c r="D330" i="10"/>
  <c r="C330" i="10"/>
  <c r="E329" i="10"/>
  <c r="D329" i="10"/>
  <c r="C329" i="10"/>
  <c r="E328" i="10"/>
  <c r="D328" i="10"/>
  <c r="C328" i="10"/>
  <c r="G327" i="10"/>
  <c r="I327" i="10" s="1"/>
  <c r="E327" i="10"/>
  <c r="D327" i="10"/>
  <c r="C327" i="10"/>
  <c r="G326" i="10"/>
  <c r="E326" i="10"/>
  <c r="D326" i="10"/>
  <c r="C326" i="10"/>
  <c r="E325" i="10"/>
  <c r="D325" i="10"/>
  <c r="C325" i="10"/>
  <c r="G324" i="10"/>
  <c r="I324" i="10" s="1"/>
  <c r="E324" i="10"/>
  <c r="D324" i="10"/>
  <c r="C324" i="10"/>
  <c r="E323" i="10"/>
  <c r="D323" i="10"/>
  <c r="C323" i="10"/>
  <c r="E319" i="10"/>
  <c r="D319" i="10"/>
  <c r="C319" i="10"/>
  <c r="E318" i="10"/>
  <c r="D318" i="10"/>
  <c r="C318" i="10"/>
  <c r="E317" i="10"/>
  <c r="D317" i="10"/>
  <c r="C317" i="10"/>
  <c r="G316" i="10"/>
  <c r="I316" i="10" s="1"/>
  <c r="E316" i="10"/>
  <c r="D316" i="10"/>
  <c r="C316" i="10"/>
  <c r="E315" i="10"/>
  <c r="D315" i="10"/>
  <c r="C315" i="10"/>
  <c r="G314" i="10"/>
  <c r="I314" i="10" s="1"/>
  <c r="E314" i="10"/>
  <c r="D314" i="10"/>
  <c r="C314" i="10"/>
  <c r="E313" i="10"/>
  <c r="D313" i="10"/>
  <c r="C313" i="10"/>
  <c r="G312" i="10"/>
  <c r="I312" i="10" s="1"/>
  <c r="E312" i="10"/>
  <c r="D312" i="10"/>
  <c r="C312" i="10"/>
  <c r="E311" i="10"/>
  <c r="D311" i="10"/>
  <c r="C311" i="10"/>
  <c r="G310" i="10"/>
  <c r="I310" i="10" s="1"/>
  <c r="E310" i="10"/>
  <c r="D310" i="10"/>
  <c r="C310" i="10"/>
  <c r="G309" i="10"/>
  <c r="I309" i="10" s="1"/>
  <c r="E309" i="10"/>
  <c r="D309" i="10"/>
  <c r="C309" i="10"/>
  <c r="E308" i="10"/>
  <c r="D308" i="10"/>
  <c r="C308" i="10"/>
  <c r="E307" i="10"/>
  <c r="D307" i="10"/>
  <c r="C307" i="10"/>
  <c r="E306" i="10"/>
  <c r="D306" i="10"/>
  <c r="C306" i="10"/>
  <c r="E305" i="10"/>
  <c r="D305" i="10"/>
  <c r="C305" i="10"/>
  <c r="G304" i="10"/>
  <c r="I304" i="10" s="1"/>
  <c r="E304" i="10"/>
  <c r="D304" i="10"/>
  <c r="C304" i="10"/>
  <c r="E303" i="10"/>
  <c r="D303" i="10"/>
  <c r="C303" i="10"/>
  <c r="G302" i="10"/>
  <c r="I302" i="10" s="1"/>
  <c r="E302" i="10"/>
  <c r="D302" i="10"/>
  <c r="C302" i="10"/>
  <c r="K301" i="10"/>
  <c r="E301" i="10"/>
  <c r="D301" i="10"/>
  <c r="C301" i="10"/>
  <c r="G297" i="10"/>
  <c r="I297" i="10" s="1"/>
  <c r="I298" i="10" s="1"/>
  <c r="G296" i="10" s="1"/>
  <c r="E297" i="10"/>
  <c r="D297" i="10"/>
  <c r="C297" i="10"/>
  <c r="K296" i="10"/>
  <c r="E296" i="10"/>
  <c r="D296" i="10"/>
  <c r="C296" i="10"/>
  <c r="G292" i="10"/>
  <c r="I292" i="10" s="1"/>
  <c r="I293" i="10" s="1"/>
  <c r="G291" i="10" s="1"/>
  <c r="E292" i="10"/>
  <c r="D292" i="10"/>
  <c r="C292" i="10"/>
  <c r="K291" i="10"/>
  <c r="E291" i="10"/>
  <c r="D291" i="10"/>
  <c r="C291" i="10"/>
  <c r="G287" i="10"/>
  <c r="I287" i="10" s="1"/>
  <c r="I288" i="10" s="1"/>
  <c r="G286" i="10" s="1"/>
  <c r="E287" i="10"/>
  <c r="D287" i="10"/>
  <c r="C287" i="10"/>
  <c r="E286" i="10"/>
  <c r="D286" i="10"/>
  <c r="C286" i="10"/>
  <c r="E282" i="10"/>
  <c r="D282" i="10"/>
  <c r="C282" i="10"/>
  <c r="E281" i="10"/>
  <c r="D281" i="10"/>
  <c r="C281" i="10"/>
  <c r="E280" i="10"/>
  <c r="D280" i="10"/>
  <c r="C280" i="10"/>
  <c r="G279" i="10"/>
  <c r="I279" i="10" s="1"/>
  <c r="E279" i="10"/>
  <c r="D279" i="10"/>
  <c r="C279" i="10"/>
  <c r="G278" i="10"/>
  <c r="I278" i="10" s="1"/>
  <c r="E278" i="10"/>
  <c r="D278" i="10"/>
  <c r="C278" i="10"/>
  <c r="E277" i="10"/>
  <c r="D277" i="10"/>
  <c r="C277" i="10"/>
  <c r="E276" i="10"/>
  <c r="D276" i="10"/>
  <c r="C276" i="10"/>
  <c r="E275" i="10"/>
  <c r="D275" i="10"/>
  <c r="C275" i="10"/>
  <c r="E274" i="10"/>
  <c r="D274" i="10"/>
  <c r="C274" i="10"/>
  <c r="G270" i="10"/>
  <c r="I270" i="10" s="1"/>
  <c r="I271" i="10" s="1"/>
  <c r="G269" i="10" s="1"/>
  <c r="E270" i="10"/>
  <c r="D270" i="10"/>
  <c r="C270" i="10"/>
  <c r="E269" i="10"/>
  <c r="D269" i="10"/>
  <c r="C269" i="10"/>
  <c r="G265" i="10"/>
  <c r="I265" i="10" s="1"/>
  <c r="I266" i="10" s="1"/>
  <c r="G264" i="10" s="1"/>
  <c r="E265" i="10"/>
  <c r="D265" i="10"/>
  <c r="C265" i="10"/>
  <c r="K264" i="10"/>
  <c r="E264" i="10"/>
  <c r="D264" i="10"/>
  <c r="C264" i="10"/>
  <c r="G260" i="10"/>
  <c r="I260" i="10" s="1"/>
  <c r="I261" i="10" s="1"/>
  <c r="G259" i="10" s="1"/>
  <c r="E260" i="10"/>
  <c r="D260" i="10"/>
  <c r="C260" i="10"/>
  <c r="E259" i="10"/>
  <c r="D259" i="10"/>
  <c r="C259" i="10"/>
  <c r="E255" i="10"/>
  <c r="D255" i="10"/>
  <c r="C255" i="10"/>
  <c r="E254" i="10"/>
  <c r="D254" i="10"/>
  <c r="C254" i="10"/>
  <c r="E253" i="10"/>
  <c r="D253" i="10"/>
  <c r="C253" i="10"/>
  <c r="G252" i="10"/>
  <c r="I252" i="10" s="1"/>
  <c r="E252" i="10"/>
  <c r="D252" i="10"/>
  <c r="C252" i="10"/>
  <c r="E251" i="10"/>
  <c r="D251" i="10"/>
  <c r="C251" i="10"/>
  <c r="G250" i="10"/>
  <c r="I250" i="10" s="1"/>
  <c r="E250" i="10"/>
  <c r="D250" i="10"/>
  <c r="C250" i="10"/>
  <c r="G249" i="10"/>
  <c r="I249" i="10" s="1"/>
  <c r="E249" i="10"/>
  <c r="D249" i="10"/>
  <c r="C249" i="10"/>
  <c r="G248" i="10"/>
  <c r="I248" i="10" s="1"/>
  <c r="E248" i="10"/>
  <c r="D248" i="10"/>
  <c r="C248" i="10"/>
  <c r="K247" i="10"/>
  <c r="E247" i="10"/>
  <c r="D247" i="10"/>
  <c r="C247" i="10"/>
  <c r="E243" i="10"/>
  <c r="D243" i="10"/>
  <c r="C243" i="10"/>
  <c r="E242" i="10"/>
  <c r="D242" i="10"/>
  <c r="C242" i="10"/>
  <c r="G241" i="10"/>
  <c r="I241" i="10" s="1"/>
  <c r="E241" i="10"/>
  <c r="D241" i="10"/>
  <c r="C241" i="10"/>
  <c r="G240" i="10"/>
  <c r="I240" i="10" s="1"/>
  <c r="E240" i="10"/>
  <c r="D240" i="10"/>
  <c r="C240" i="10"/>
  <c r="G239" i="10"/>
  <c r="I239" i="10" s="1"/>
  <c r="E239" i="10"/>
  <c r="D239" i="10"/>
  <c r="C239" i="10"/>
  <c r="E238" i="10"/>
  <c r="D238" i="10"/>
  <c r="C238" i="10"/>
  <c r="G237" i="10"/>
  <c r="I237" i="10" s="1"/>
  <c r="E237" i="10"/>
  <c r="D237" i="10"/>
  <c r="C237" i="10"/>
  <c r="G236" i="10"/>
  <c r="I236" i="10" s="1"/>
  <c r="E236" i="10"/>
  <c r="D236" i="10"/>
  <c r="C236" i="10"/>
  <c r="K235" i="10"/>
  <c r="E235" i="10"/>
  <c r="D235" i="10"/>
  <c r="C235" i="10"/>
  <c r="G231" i="10"/>
  <c r="I231" i="10" s="1"/>
  <c r="I232" i="10" s="1"/>
  <c r="G230" i="10" s="1"/>
  <c r="E231" i="10"/>
  <c r="D231" i="10"/>
  <c r="C231" i="10"/>
  <c r="E230" i="10"/>
  <c r="D230" i="10"/>
  <c r="C230" i="10"/>
  <c r="E226" i="10"/>
  <c r="D226" i="10"/>
  <c r="C226" i="10"/>
  <c r="E225" i="10"/>
  <c r="D225" i="10"/>
  <c r="C225" i="10"/>
  <c r="E221" i="10"/>
  <c r="D221" i="10"/>
  <c r="C221" i="10"/>
  <c r="G220" i="10"/>
  <c r="I220" i="10" s="1"/>
  <c r="E220" i="10"/>
  <c r="D220" i="10"/>
  <c r="C220" i="10"/>
  <c r="E219" i="10"/>
  <c r="D219" i="10"/>
  <c r="C219" i="10"/>
  <c r="G218" i="10"/>
  <c r="I218" i="10" s="1"/>
  <c r="E218" i="10"/>
  <c r="D218" i="10"/>
  <c r="C218" i="10"/>
  <c r="G217" i="10"/>
  <c r="I217" i="10" s="1"/>
  <c r="E217" i="10"/>
  <c r="D217" i="10"/>
  <c r="C217" i="10"/>
  <c r="E216" i="10"/>
  <c r="D216" i="10"/>
  <c r="C216" i="10"/>
  <c r="G215" i="10"/>
  <c r="I215" i="10" s="1"/>
  <c r="E215" i="10"/>
  <c r="D215" i="10"/>
  <c r="C215" i="10"/>
  <c r="G214" i="10"/>
  <c r="I214" i="10" s="1"/>
  <c r="E214" i="10"/>
  <c r="D214" i="10"/>
  <c r="C214" i="10"/>
  <c r="K213" i="10"/>
  <c r="E213" i="10"/>
  <c r="D213" i="10"/>
  <c r="C213" i="10"/>
  <c r="G209" i="10"/>
  <c r="I209" i="10" s="1"/>
  <c r="I210" i="10" s="1"/>
  <c r="G208" i="10" s="1"/>
  <c r="E209" i="10"/>
  <c r="D209" i="10"/>
  <c r="C209" i="10"/>
  <c r="K208" i="10"/>
  <c r="E208" i="10"/>
  <c r="D208" i="10"/>
  <c r="C208" i="10"/>
  <c r="E204" i="10"/>
  <c r="D204" i="10"/>
  <c r="C204" i="10"/>
  <c r="E203" i="10"/>
  <c r="D203" i="10"/>
  <c r="C203" i="10"/>
  <c r="E199" i="10"/>
  <c r="D199" i="10"/>
  <c r="C199" i="10"/>
  <c r="E198" i="10"/>
  <c r="D198" i="10"/>
  <c r="C198" i="10"/>
  <c r="E197" i="10"/>
  <c r="D197" i="10"/>
  <c r="C197" i="10"/>
  <c r="G196" i="10"/>
  <c r="E196" i="10"/>
  <c r="D196" i="10"/>
  <c r="C196" i="10"/>
  <c r="G195" i="10"/>
  <c r="I195" i="10" s="1"/>
  <c r="E195" i="10"/>
  <c r="D195" i="10"/>
  <c r="C195" i="10"/>
  <c r="E194" i="10"/>
  <c r="D194" i="10"/>
  <c r="C194" i="10"/>
  <c r="E193" i="10"/>
  <c r="D193" i="10"/>
  <c r="C193" i="10"/>
  <c r="E192" i="10"/>
  <c r="D192" i="10"/>
  <c r="C192" i="10"/>
  <c r="K191" i="10"/>
  <c r="E191" i="10"/>
  <c r="D191" i="10"/>
  <c r="C191" i="10"/>
  <c r="E187" i="10"/>
  <c r="D187" i="10"/>
  <c r="C187" i="10"/>
  <c r="G186" i="10"/>
  <c r="I186" i="10" s="1"/>
  <c r="E186" i="10"/>
  <c r="D186" i="10"/>
  <c r="C186" i="10"/>
  <c r="G185" i="10"/>
  <c r="I185" i="10" s="1"/>
  <c r="E185" i="10"/>
  <c r="D185" i="10"/>
  <c r="C185" i="10"/>
  <c r="G184" i="10"/>
  <c r="E184" i="10"/>
  <c r="D184" i="10"/>
  <c r="C184" i="10"/>
  <c r="G183" i="10"/>
  <c r="I183" i="10" s="1"/>
  <c r="E183" i="10"/>
  <c r="D183" i="10"/>
  <c r="C183" i="10"/>
  <c r="E182" i="10"/>
  <c r="D182" i="10"/>
  <c r="C182" i="10"/>
  <c r="E181" i="10"/>
  <c r="D181" i="10"/>
  <c r="C181" i="10"/>
  <c r="E180" i="10"/>
  <c r="D180" i="10"/>
  <c r="C180" i="10"/>
  <c r="E179" i="10"/>
  <c r="D179" i="10"/>
  <c r="C179" i="10"/>
  <c r="E175" i="10"/>
  <c r="D175" i="10"/>
  <c r="C175" i="10"/>
  <c r="G174" i="10"/>
  <c r="I174" i="10" s="1"/>
  <c r="E174" i="10"/>
  <c r="D174" i="10"/>
  <c r="C174" i="10"/>
  <c r="E173" i="10"/>
  <c r="D173" i="10"/>
  <c r="C173" i="10"/>
  <c r="G172" i="10"/>
  <c r="I172" i="10" s="1"/>
  <c r="E172" i="10"/>
  <c r="D172" i="10"/>
  <c r="C172" i="10"/>
  <c r="G171" i="10"/>
  <c r="I171" i="10" s="1"/>
  <c r="E171" i="10"/>
  <c r="D171" i="10"/>
  <c r="C171" i="10"/>
  <c r="E170" i="10"/>
  <c r="D170" i="10"/>
  <c r="C170" i="10"/>
  <c r="G169" i="10"/>
  <c r="I169" i="10" s="1"/>
  <c r="E169" i="10"/>
  <c r="D169" i="10"/>
  <c r="C169" i="10"/>
  <c r="G168" i="10"/>
  <c r="I168" i="10" s="1"/>
  <c r="E168" i="10"/>
  <c r="D168" i="10"/>
  <c r="C168" i="10"/>
  <c r="E167" i="10"/>
  <c r="D167" i="10"/>
  <c r="C167" i="10"/>
  <c r="E163" i="10"/>
  <c r="D163" i="10"/>
  <c r="C163" i="10"/>
  <c r="E162" i="10"/>
  <c r="D162" i="10"/>
  <c r="C162" i="10"/>
  <c r="E161" i="10"/>
  <c r="D161" i="10"/>
  <c r="C161" i="10"/>
  <c r="G160" i="10"/>
  <c r="I160" i="10" s="1"/>
  <c r="E160" i="10"/>
  <c r="D160" i="10"/>
  <c r="C160" i="10"/>
  <c r="G159" i="10"/>
  <c r="I159" i="10" s="1"/>
  <c r="E159" i="10"/>
  <c r="D159" i="10"/>
  <c r="C159" i="10"/>
  <c r="E158" i="10"/>
  <c r="D158" i="10"/>
  <c r="C158" i="10"/>
  <c r="E157" i="10"/>
  <c r="D157" i="10"/>
  <c r="C157" i="10"/>
  <c r="G156" i="10"/>
  <c r="I156" i="10" s="1"/>
  <c r="E156" i="10"/>
  <c r="D156" i="10"/>
  <c r="C156" i="10"/>
  <c r="K155" i="10"/>
  <c r="E155" i="10"/>
  <c r="D155" i="10"/>
  <c r="C155" i="10"/>
  <c r="E151" i="10"/>
  <c r="D151" i="10"/>
  <c r="C151" i="10"/>
  <c r="E150" i="10"/>
  <c r="D150" i="10"/>
  <c r="C150" i="10"/>
  <c r="E149" i="10"/>
  <c r="D149" i="10"/>
  <c r="C149" i="10"/>
  <c r="E148" i="10"/>
  <c r="D148" i="10"/>
  <c r="C148" i="10"/>
  <c r="E147" i="10"/>
  <c r="D147" i="10"/>
  <c r="C147" i="10"/>
  <c r="K146" i="10"/>
  <c r="E146" i="10"/>
  <c r="D146" i="10"/>
  <c r="C146" i="10"/>
  <c r="E142" i="10"/>
  <c r="D142" i="10"/>
  <c r="C142" i="10"/>
  <c r="E141" i="10"/>
  <c r="D141" i="10"/>
  <c r="C141" i="10"/>
  <c r="E140" i="10"/>
  <c r="D140" i="10"/>
  <c r="C140" i="10"/>
  <c r="E139" i="10"/>
  <c r="D139" i="10"/>
  <c r="C139" i="10"/>
  <c r="E135" i="10"/>
  <c r="D135" i="10"/>
  <c r="C135" i="10"/>
  <c r="E134" i="10"/>
  <c r="D134" i="10"/>
  <c r="C134" i="10"/>
  <c r="E130" i="10"/>
  <c r="D130" i="10"/>
  <c r="C130" i="10"/>
  <c r="E129" i="10"/>
  <c r="D129" i="10"/>
  <c r="C129" i="10"/>
  <c r="G125" i="10"/>
  <c r="I125" i="10" s="1"/>
  <c r="I126" i="10" s="1"/>
  <c r="G124" i="10" s="1"/>
  <c r="E125" i="10"/>
  <c r="D125" i="10"/>
  <c r="C125" i="10"/>
  <c r="E124" i="10"/>
  <c r="D124" i="10"/>
  <c r="C124" i="10"/>
  <c r="E120" i="10"/>
  <c r="D120" i="10"/>
  <c r="C120" i="10"/>
  <c r="K119" i="10"/>
  <c r="E119" i="10"/>
  <c r="D119" i="10"/>
  <c r="C119" i="10"/>
  <c r="E115" i="10"/>
  <c r="D115" i="10"/>
  <c r="C115" i="10"/>
  <c r="K114" i="10"/>
  <c r="E114" i="10"/>
  <c r="D114" i="10"/>
  <c r="C114" i="10"/>
  <c r="E110" i="10"/>
  <c r="D110" i="10"/>
  <c r="C110" i="10"/>
  <c r="E109" i="10"/>
  <c r="D109" i="10"/>
  <c r="C109" i="10"/>
  <c r="G105" i="10"/>
  <c r="I105" i="10" s="1"/>
  <c r="I106" i="10" s="1"/>
  <c r="G104" i="10" s="1"/>
  <c r="E105" i="10"/>
  <c r="D105" i="10"/>
  <c r="C105" i="10"/>
  <c r="E104" i="10"/>
  <c r="D104" i="10"/>
  <c r="C104" i="10"/>
  <c r="E100" i="10"/>
  <c r="D100" i="10"/>
  <c r="C100" i="10"/>
  <c r="E99" i="10"/>
  <c r="D99" i="10"/>
  <c r="C99" i="10"/>
  <c r="G95" i="10"/>
  <c r="I95" i="10" s="1"/>
  <c r="I96" i="10" s="1"/>
  <c r="G94" i="10" s="1"/>
  <c r="E95" i="10"/>
  <c r="D95" i="10"/>
  <c r="C95" i="10"/>
  <c r="E94" i="10"/>
  <c r="D94" i="10"/>
  <c r="C94" i="10"/>
  <c r="E90" i="10"/>
  <c r="D90" i="10"/>
  <c r="C90" i="10"/>
  <c r="E89" i="10"/>
  <c r="D89" i="10"/>
  <c r="C89" i="10"/>
  <c r="E88" i="10"/>
  <c r="D88" i="10"/>
  <c r="C88" i="10"/>
  <c r="G87" i="10"/>
  <c r="I87" i="10" s="1"/>
  <c r="E87" i="10"/>
  <c r="D87" i="10"/>
  <c r="C87" i="10"/>
  <c r="G86" i="10"/>
  <c r="I86" i="10" s="1"/>
  <c r="E86" i="10"/>
  <c r="D86" i="10"/>
  <c r="C86" i="10"/>
  <c r="E85" i="10"/>
  <c r="D85" i="10"/>
  <c r="C85" i="10"/>
  <c r="E84" i="10"/>
  <c r="D84" i="10"/>
  <c r="C84" i="10"/>
  <c r="E83" i="10"/>
  <c r="D83" i="10"/>
  <c r="C83" i="10"/>
  <c r="E82" i="10"/>
  <c r="D82" i="10"/>
  <c r="C82" i="10"/>
  <c r="E78" i="10"/>
  <c r="D78" i="10"/>
  <c r="C78" i="10"/>
  <c r="K77" i="10"/>
  <c r="E77" i="10"/>
  <c r="D77" i="10"/>
  <c r="C77" i="10"/>
  <c r="G73" i="10"/>
  <c r="I73" i="10" s="1"/>
  <c r="I74" i="10" s="1"/>
  <c r="G72" i="10" s="1"/>
  <c r="E73" i="10"/>
  <c r="D73" i="10"/>
  <c r="C73" i="10"/>
  <c r="K72" i="10"/>
  <c r="E72" i="10"/>
  <c r="D72" i="10"/>
  <c r="C72" i="10"/>
  <c r="G68" i="10"/>
  <c r="I68" i="10" s="1"/>
  <c r="I69" i="10" s="1"/>
  <c r="G67" i="10" s="1"/>
  <c r="E68" i="10"/>
  <c r="D68" i="10"/>
  <c r="C68" i="10"/>
  <c r="K67" i="10"/>
  <c r="E67" i="10"/>
  <c r="D67" i="10"/>
  <c r="C67" i="10"/>
  <c r="G63" i="10"/>
  <c r="I63" i="10" s="1"/>
  <c r="I64" i="10" s="1"/>
  <c r="G62" i="10" s="1"/>
  <c r="E63" i="10"/>
  <c r="D63" i="10"/>
  <c r="C63" i="10"/>
  <c r="E62" i="10"/>
  <c r="D62" i="10"/>
  <c r="C62" i="10"/>
  <c r="G58" i="10"/>
  <c r="I58" i="10" s="1"/>
  <c r="I59" i="10" s="1"/>
  <c r="G57" i="10" s="1"/>
  <c r="E58" i="10"/>
  <c r="D58" i="10"/>
  <c r="C58" i="10"/>
  <c r="E57" i="10"/>
  <c r="D57" i="10"/>
  <c r="C57" i="10"/>
  <c r="G53" i="10"/>
  <c r="I53" i="10" s="1"/>
  <c r="I54" i="10" s="1"/>
  <c r="G52" i="10" s="1"/>
  <c r="E53" i="10"/>
  <c r="D53" i="10"/>
  <c r="C53" i="10"/>
  <c r="E52" i="10"/>
  <c r="D52" i="10"/>
  <c r="C52" i="10"/>
  <c r="E48" i="10"/>
  <c r="D48" i="10"/>
  <c r="C48" i="10"/>
  <c r="E47" i="10"/>
  <c r="D47" i="10"/>
  <c r="C47" i="10"/>
  <c r="G43" i="10"/>
  <c r="I43" i="10" s="1"/>
  <c r="I44" i="10" s="1"/>
  <c r="G42" i="10" s="1"/>
  <c r="E43" i="10"/>
  <c r="D43" i="10"/>
  <c r="C43" i="10"/>
  <c r="E42" i="10"/>
  <c r="D42" i="10"/>
  <c r="C42" i="10"/>
  <c r="E38" i="10"/>
  <c r="D38" i="10"/>
  <c r="C38" i="10"/>
  <c r="K37" i="10"/>
  <c r="E37" i="10"/>
  <c r="D37" i="10"/>
  <c r="C37" i="10"/>
  <c r="G33" i="10"/>
  <c r="I33" i="10" s="1"/>
  <c r="I34" i="10" s="1"/>
  <c r="G32" i="10" s="1"/>
  <c r="E33" i="10"/>
  <c r="D33" i="10"/>
  <c r="C33" i="10"/>
  <c r="K32" i="10"/>
  <c r="E32" i="10"/>
  <c r="D32" i="10"/>
  <c r="C32" i="10"/>
  <c r="G28" i="10"/>
  <c r="I28" i="10" s="1"/>
  <c r="I29" i="10" s="1"/>
  <c r="G27" i="10" s="1"/>
  <c r="E28" i="10"/>
  <c r="D28" i="10"/>
  <c r="C28" i="10"/>
  <c r="K27" i="10"/>
  <c r="E27" i="10"/>
  <c r="D27" i="10"/>
  <c r="C27" i="10"/>
  <c r="E23" i="10"/>
  <c r="D23" i="10"/>
  <c r="C23" i="10"/>
  <c r="K22" i="10"/>
  <c r="E22" i="10"/>
  <c r="D22" i="10"/>
  <c r="C22" i="10"/>
  <c r="G18" i="10"/>
  <c r="I18" i="10" s="1"/>
  <c r="I19" i="10" s="1"/>
  <c r="G17" i="10" s="1"/>
  <c r="E18" i="10"/>
  <c r="D18" i="10"/>
  <c r="C18" i="10"/>
  <c r="E17" i="10"/>
  <c r="D17" i="10"/>
  <c r="C17" i="10"/>
  <c r="G13" i="10"/>
  <c r="I13" i="10" s="1"/>
  <c r="I14" i="10" s="1"/>
  <c r="G12" i="10" s="1"/>
  <c r="E13" i="10"/>
  <c r="D13" i="10"/>
  <c r="C13" i="10"/>
  <c r="K12" i="10"/>
  <c r="E12" i="10"/>
  <c r="D12" i="10"/>
  <c r="C12" i="10"/>
  <c r="E8" i="10"/>
  <c r="D8" i="10"/>
  <c r="C8" i="10"/>
  <c r="K7" i="10"/>
  <c r="E7" i="10"/>
  <c r="D7" i="10"/>
  <c r="C7" i="10"/>
  <c r="B5" i="10"/>
  <c r="A2" i="10"/>
  <c r="A1" i="10"/>
  <c r="E548" i="9"/>
  <c r="D548" i="9"/>
  <c r="C548" i="9"/>
  <c r="E547" i="9"/>
  <c r="D547" i="9"/>
  <c r="C547" i="9"/>
  <c r="G546" i="9"/>
  <c r="I546" i="9" s="1"/>
  <c r="E546" i="9"/>
  <c r="D546" i="9"/>
  <c r="C546" i="9"/>
  <c r="G545" i="9"/>
  <c r="I545" i="9" s="1"/>
  <c r="E545" i="9"/>
  <c r="D545" i="9"/>
  <c r="C545" i="9"/>
  <c r="E544" i="9"/>
  <c r="D544" i="9"/>
  <c r="C544" i="9"/>
  <c r="G543" i="9"/>
  <c r="I543" i="9" s="1"/>
  <c r="E543" i="9"/>
  <c r="D543" i="9"/>
  <c r="C543" i="9"/>
  <c r="G542" i="9"/>
  <c r="I542" i="9" s="1"/>
  <c r="E542" i="9"/>
  <c r="D542" i="9"/>
  <c r="C542" i="9"/>
  <c r="E541" i="9"/>
  <c r="D541" i="9"/>
  <c r="C541" i="9"/>
  <c r="E540" i="9"/>
  <c r="D540" i="9"/>
  <c r="C540" i="9"/>
  <c r="G539" i="9"/>
  <c r="I539" i="9" s="1"/>
  <c r="E539" i="9"/>
  <c r="D539" i="9"/>
  <c r="C539" i="9"/>
  <c r="E538" i="9"/>
  <c r="D538" i="9"/>
  <c r="C538" i="9"/>
  <c r="E537" i="9"/>
  <c r="D537" i="9"/>
  <c r="C537" i="9"/>
  <c r="E536" i="9"/>
  <c r="D536" i="9"/>
  <c r="C536" i="9"/>
  <c r="E535" i="9"/>
  <c r="D535" i="9"/>
  <c r="C535" i="9"/>
  <c r="E534" i="9"/>
  <c r="D534" i="9"/>
  <c r="C534" i="9"/>
  <c r="G533" i="9"/>
  <c r="I533" i="9" s="1"/>
  <c r="E533" i="9"/>
  <c r="D533" i="9"/>
  <c r="C533" i="9"/>
  <c r="E532" i="9"/>
  <c r="D532" i="9"/>
  <c r="C532" i="9"/>
  <c r="F528" i="9"/>
  <c r="E528" i="9"/>
  <c r="D528" i="9"/>
  <c r="C528" i="9"/>
  <c r="F527" i="9"/>
  <c r="E527" i="9"/>
  <c r="D527" i="9"/>
  <c r="C527" i="9"/>
  <c r="F526" i="9"/>
  <c r="E526" i="9"/>
  <c r="D526" i="9"/>
  <c r="C526" i="9"/>
  <c r="F525" i="9"/>
  <c r="E525" i="9"/>
  <c r="D525" i="9"/>
  <c r="C525" i="9"/>
  <c r="G524" i="9"/>
  <c r="I524" i="9" s="1"/>
  <c r="F524" i="9"/>
  <c r="E524" i="9"/>
  <c r="D524" i="9"/>
  <c r="C524" i="9"/>
  <c r="F523" i="9"/>
  <c r="E523" i="9"/>
  <c r="D523" i="9"/>
  <c r="C523" i="9"/>
  <c r="F522" i="9"/>
  <c r="E522" i="9"/>
  <c r="D522" i="9"/>
  <c r="C522" i="9"/>
  <c r="G521" i="9"/>
  <c r="F521" i="9"/>
  <c r="E521" i="9"/>
  <c r="D521" i="9"/>
  <c r="C521" i="9"/>
  <c r="E520" i="9"/>
  <c r="D520" i="9"/>
  <c r="C520" i="9"/>
  <c r="F516" i="9"/>
  <c r="E516" i="9"/>
  <c r="D516" i="9"/>
  <c r="C516" i="9"/>
  <c r="F515" i="9"/>
  <c r="E515" i="9"/>
  <c r="D515" i="9"/>
  <c r="C515" i="9"/>
  <c r="E514" i="9"/>
  <c r="D514" i="9"/>
  <c r="C514" i="9"/>
  <c r="G513" i="9"/>
  <c r="I513" i="9" s="1"/>
  <c r="E513" i="9"/>
  <c r="D513" i="9"/>
  <c r="C513" i="9"/>
  <c r="E512" i="9"/>
  <c r="D512" i="9"/>
  <c r="C512" i="9"/>
  <c r="G511" i="9"/>
  <c r="I511" i="9" s="1"/>
  <c r="E511" i="9"/>
  <c r="D511" i="9"/>
  <c r="C511" i="9"/>
  <c r="K510" i="9"/>
  <c r="E510" i="9"/>
  <c r="D510" i="9"/>
  <c r="C510" i="9"/>
  <c r="E506" i="9"/>
  <c r="D506" i="9"/>
  <c r="C506" i="9"/>
  <c r="E505" i="9"/>
  <c r="D505" i="9"/>
  <c r="C505" i="9"/>
  <c r="E504" i="9"/>
  <c r="D504" i="9"/>
  <c r="C504" i="9"/>
  <c r="G503" i="9"/>
  <c r="I503" i="9" s="1"/>
  <c r="E503" i="9"/>
  <c r="D503" i="9"/>
  <c r="C503" i="9"/>
  <c r="E502" i="9"/>
  <c r="D502" i="9"/>
  <c r="C502" i="9"/>
  <c r="E501" i="9"/>
  <c r="D501" i="9"/>
  <c r="C501" i="9"/>
  <c r="G500" i="9"/>
  <c r="I500" i="9" s="1"/>
  <c r="E500" i="9"/>
  <c r="D500" i="9"/>
  <c r="C500" i="9"/>
  <c r="E499" i="9"/>
  <c r="D499" i="9"/>
  <c r="C499" i="9"/>
  <c r="G498" i="9"/>
  <c r="I498" i="9" s="1"/>
  <c r="E498" i="9"/>
  <c r="D498" i="9"/>
  <c r="C498" i="9"/>
  <c r="E497" i="9"/>
  <c r="D497" i="9"/>
  <c r="C497" i="9"/>
  <c r="E496" i="9"/>
  <c r="D496" i="9"/>
  <c r="C496" i="9"/>
  <c r="G495" i="9"/>
  <c r="I495" i="9" s="1"/>
  <c r="E495" i="9"/>
  <c r="D495" i="9"/>
  <c r="C495" i="9"/>
  <c r="E494" i="9"/>
  <c r="D494" i="9"/>
  <c r="C494" i="9"/>
  <c r="G493" i="9"/>
  <c r="I493" i="9" s="1"/>
  <c r="E493" i="9"/>
  <c r="D493" i="9"/>
  <c r="C493" i="9"/>
  <c r="G492" i="9"/>
  <c r="I492" i="9" s="1"/>
  <c r="E492" i="9"/>
  <c r="D492" i="9"/>
  <c r="C492" i="9"/>
  <c r="E491" i="9"/>
  <c r="D491" i="9"/>
  <c r="C491" i="9"/>
  <c r="E490" i="9"/>
  <c r="D490" i="9"/>
  <c r="C490" i="9"/>
  <c r="G489" i="9"/>
  <c r="I489" i="9" s="1"/>
  <c r="E489" i="9"/>
  <c r="D489" i="9"/>
  <c r="C489" i="9"/>
  <c r="E488" i="9"/>
  <c r="D488" i="9"/>
  <c r="C488" i="9"/>
  <c r="G487" i="9"/>
  <c r="I487" i="9" s="1"/>
  <c r="E487" i="9"/>
  <c r="D487" i="9"/>
  <c r="C487" i="9"/>
  <c r="E486" i="9"/>
  <c r="D486" i="9"/>
  <c r="C486" i="9"/>
  <c r="E482" i="9"/>
  <c r="D482" i="9"/>
  <c r="C482" i="9"/>
  <c r="E481" i="9"/>
  <c r="D481" i="9"/>
  <c r="C481" i="9"/>
  <c r="G480" i="9"/>
  <c r="I480" i="9" s="1"/>
  <c r="E480" i="9"/>
  <c r="D480" i="9"/>
  <c r="C480" i="9"/>
  <c r="G479" i="9"/>
  <c r="E479" i="9"/>
  <c r="D479" i="9"/>
  <c r="C479" i="9"/>
  <c r="E478" i="9"/>
  <c r="D478" i="9"/>
  <c r="C478" i="9"/>
  <c r="G477" i="9"/>
  <c r="I477" i="9" s="1"/>
  <c r="E477" i="9"/>
  <c r="D477" i="9"/>
  <c r="C477" i="9"/>
  <c r="E476" i="9"/>
  <c r="D476" i="9"/>
  <c r="C476" i="9"/>
  <c r="G475" i="9"/>
  <c r="I475" i="9" s="1"/>
  <c r="E475" i="9"/>
  <c r="D475" i="9"/>
  <c r="C475" i="9"/>
  <c r="G474" i="9"/>
  <c r="I474" i="9" s="1"/>
  <c r="E474" i="9"/>
  <c r="D474" i="9"/>
  <c r="C474" i="9"/>
  <c r="G473" i="9"/>
  <c r="E473" i="9"/>
  <c r="D473" i="9"/>
  <c r="C473" i="9"/>
  <c r="G472" i="9"/>
  <c r="I472" i="9" s="1"/>
  <c r="E472" i="9"/>
  <c r="D472" i="9"/>
  <c r="C472" i="9"/>
  <c r="G471" i="9"/>
  <c r="I471" i="9" s="1"/>
  <c r="E471" i="9"/>
  <c r="D471" i="9"/>
  <c r="C471" i="9"/>
  <c r="E470" i="9"/>
  <c r="D470" i="9"/>
  <c r="C470" i="9"/>
  <c r="E469" i="9"/>
  <c r="D469" i="9"/>
  <c r="C469" i="9"/>
  <c r="E468" i="9"/>
  <c r="D468" i="9"/>
  <c r="C468" i="9"/>
  <c r="E467" i="9"/>
  <c r="D467" i="9"/>
  <c r="C467" i="9"/>
  <c r="E466" i="9"/>
  <c r="D466" i="9"/>
  <c r="C466" i="9"/>
  <c r="G465" i="9"/>
  <c r="I465" i="9" s="1"/>
  <c r="E465" i="9"/>
  <c r="D465" i="9"/>
  <c r="C465" i="9"/>
  <c r="E464" i="9"/>
  <c r="D464" i="9"/>
  <c r="C464" i="9"/>
  <c r="G460" i="9"/>
  <c r="I460" i="9" s="1"/>
  <c r="E460" i="9"/>
  <c r="D460" i="9"/>
  <c r="C460" i="9"/>
  <c r="E459" i="9"/>
  <c r="D459" i="9"/>
  <c r="C459" i="9"/>
  <c r="G458" i="9"/>
  <c r="I458" i="9" s="1"/>
  <c r="E458" i="9"/>
  <c r="D458" i="9"/>
  <c r="C458" i="9"/>
  <c r="G457" i="9"/>
  <c r="I457" i="9" s="1"/>
  <c r="E457" i="9"/>
  <c r="D457" i="9"/>
  <c r="C457" i="9"/>
  <c r="E456" i="9"/>
  <c r="D456" i="9"/>
  <c r="C456" i="9"/>
  <c r="E455" i="9"/>
  <c r="D455" i="9"/>
  <c r="C455" i="9"/>
  <c r="E454" i="9"/>
  <c r="D454" i="9"/>
  <c r="C454" i="9"/>
  <c r="E453" i="9"/>
  <c r="D453" i="9"/>
  <c r="C453" i="9"/>
  <c r="E452" i="9"/>
  <c r="D452" i="9"/>
  <c r="C452" i="9"/>
  <c r="E448" i="9"/>
  <c r="D448" i="9"/>
  <c r="C448" i="9"/>
  <c r="E447" i="9"/>
  <c r="D447" i="9"/>
  <c r="C447" i="9"/>
  <c r="E446" i="9"/>
  <c r="D446" i="9"/>
  <c r="C446" i="9"/>
  <c r="E445" i="9"/>
  <c r="D445" i="9"/>
  <c r="C445" i="9"/>
  <c r="E444" i="9"/>
  <c r="D444" i="9"/>
  <c r="C444" i="9"/>
  <c r="E443" i="9"/>
  <c r="D443" i="9"/>
  <c r="C443" i="9"/>
  <c r="E442" i="9"/>
  <c r="D442" i="9"/>
  <c r="C442" i="9"/>
  <c r="E438" i="9"/>
  <c r="D438" i="9"/>
  <c r="C438" i="9"/>
  <c r="E437" i="9"/>
  <c r="D437" i="9"/>
  <c r="C437" i="9"/>
  <c r="E436" i="9"/>
  <c r="D436" i="9"/>
  <c r="C436" i="9"/>
  <c r="E435" i="9"/>
  <c r="D435" i="9"/>
  <c r="C435" i="9"/>
  <c r="K434" i="9"/>
  <c r="E434" i="9"/>
  <c r="D434" i="9"/>
  <c r="C434" i="9"/>
  <c r="E430" i="9"/>
  <c r="D430" i="9"/>
  <c r="C430" i="9"/>
  <c r="K429" i="9"/>
  <c r="E429" i="9"/>
  <c r="D429" i="9"/>
  <c r="C429" i="9"/>
  <c r="E425" i="9"/>
  <c r="D425" i="9"/>
  <c r="C425" i="9"/>
  <c r="G424" i="9"/>
  <c r="I424" i="9" s="1"/>
  <c r="E424" i="9"/>
  <c r="D424" i="9"/>
  <c r="C424" i="9"/>
  <c r="F423" i="9"/>
  <c r="E423" i="9"/>
  <c r="D423" i="9"/>
  <c r="C423" i="9"/>
  <c r="F422" i="9"/>
  <c r="E422" i="9"/>
  <c r="D422" i="9"/>
  <c r="C422" i="9"/>
  <c r="K421" i="9"/>
  <c r="E421" i="9"/>
  <c r="D421" i="9"/>
  <c r="C421" i="9"/>
  <c r="E417" i="9"/>
  <c r="D417" i="9"/>
  <c r="C417" i="9"/>
  <c r="E416" i="9"/>
  <c r="D416" i="9"/>
  <c r="C416" i="9"/>
  <c r="F415" i="9"/>
  <c r="E415" i="9"/>
  <c r="D415" i="9"/>
  <c r="C415" i="9"/>
  <c r="F414" i="9"/>
  <c r="E414" i="9"/>
  <c r="D414" i="9"/>
  <c r="C414" i="9"/>
  <c r="K413" i="9"/>
  <c r="E413" i="9"/>
  <c r="D413" i="9"/>
  <c r="C413" i="9"/>
  <c r="E409" i="9"/>
  <c r="D409" i="9"/>
  <c r="C409" i="9"/>
  <c r="E408" i="9"/>
  <c r="D408" i="9"/>
  <c r="C408" i="9"/>
  <c r="G407" i="9"/>
  <c r="E407" i="9"/>
  <c r="D407" i="9"/>
  <c r="C407" i="9"/>
  <c r="G406" i="9"/>
  <c r="I406" i="9" s="1"/>
  <c r="E406" i="9"/>
  <c r="D406" i="9"/>
  <c r="C406" i="9"/>
  <c r="E405" i="9"/>
  <c r="D405" i="9"/>
  <c r="C405" i="9"/>
  <c r="E404" i="9"/>
  <c r="D404" i="9"/>
  <c r="C404" i="9"/>
  <c r="E403" i="9"/>
  <c r="D403" i="9"/>
  <c r="C403" i="9"/>
  <c r="E402" i="9"/>
  <c r="D402" i="9"/>
  <c r="C402" i="9"/>
  <c r="K401" i="9"/>
  <c r="E401" i="9"/>
  <c r="D401" i="9"/>
  <c r="C401" i="9"/>
  <c r="E397" i="9"/>
  <c r="D397" i="9"/>
  <c r="C397" i="9"/>
  <c r="G396" i="9"/>
  <c r="I396" i="9" s="1"/>
  <c r="E396" i="9"/>
  <c r="D396" i="9"/>
  <c r="C396" i="9"/>
  <c r="G395" i="9"/>
  <c r="I395" i="9" s="1"/>
  <c r="E395" i="9"/>
  <c r="D395" i="9"/>
  <c r="C395" i="9"/>
  <c r="G394" i="9"/>
  <c r="I394" i="9" s="1"/>
  <c r="E394" i="9"/>
  <c r="D394" i="9"/>
  <c r="C394" i="9"/>
  <c r="E393" i="9"/>
  <c r="D393" i="9"/>
  <c r="C393" i="9"/>
  <c r="E392" i="9"/>
  <c r="D392" i="9"/>
  <c r="C392" i="9"/>
  <c r="G391" i="9"/>
  <c r="I391" i="9" s="1"/>
  <c r="E391" i="9"/>
  <c r="D391" i="9"/>
  <c r="C391" i="9"/>
  <c r="E390" i="9"/>
  <c r="D390" i="9"/>
  <c r="C390" i="9"/>
  <c r="E389" i="9"/>
  <c r="D389" i="9"/>
  <c r="C389" i="9"/>
  <c r="G385" i="9"/>
  <c r="I385" i="9" s="1"/>
  <c r="E385" i="9"/>
  <c r="D385" i="9"/>
  <c r="C385" i="9"/>
  <c r="E384" i="9"/>
  <c r="D384" i="9"/>
  <c r="C384" i="9"/>
  <c r="F383" i="9"/>
  <c r="E383" i="9"/>
  <c r="D383" i="9"/>
  <c r="C383" i="9"/>
  <c r="E382" i="9"/>
  <c r="D382" i="9"/>
  <c r="C382" i="9"/>
  <c r="G378" i="9"/>
  <c r="I378" i="9" s="1"/>
  <c r="E378" i="9"/>
  <c r="D378" i="9"/>
  <c r="C378" i="9"/>
  <c r="E377" i="9"/>
  <c r="D377" i="9"/>
  <c r="C377" i="9"/>
  <c r="G376" i="9"/>
  <c r="I376" i="9" s="1"/>
  <c r="E376" i="9"/>
  <c r="D376" i="9"/>
  <c r="C376" i="9"/>
  <c r="G375" i="9"/>
  <c r="I375" i="9" s="1"/>
  <c r="E375" i="9"/>
  <c r="D375" i="9"/>
  <c r="C375" i="9"/>
  <c r="E374" i="9"/>
  <c r="D374" i="9"/>
  <c r="C374" i="9"/>
  <c r="G373" i="9"/>
  <c r="I373" i="9" s="1"/>
  <c r="E373" i="9"/>
  <c r="D373" i="9"/>
  <c r="C373" i="9"/>
  <c r="G372" i="9"/>
  <c r="I372" i="9" s="1"/>
  <c r="E372" i="9"/>
  <c r="D372" i="9"/>
  <c r="C372" i="9"/>
  <c r="E371" i="9"/>
  <c r="D371" i="9"/>
  <c r="C371" i="9"/>
  <c r="K370" i="9"/>
  <c r="E370" i="9"/>
  <c r="D370" i="9"/>
  <c r="C370" i="9"/>
  <c r="E366" i="9"/>
  <c r="D366" i="9"/>
  <c r="C366" i="9"/>
  <c r="E365" i="9"/>
  <c r="D365" i="9"/>
  <c r="C365" i="9"/>
  <c r="G364" i="9"/>
  <c r="I364" i="9" s="1"/>
  <c r="E364" i="9"/>
  <c r="D364" i="9"/>
  <c r="C364" i="9"/>
  <c r="G363" i="9"/>
  <c r="I363" i="9" s="1"/>
  <c r="E363" i="9"/>
  <c r="D363" i="9"/>
  <c r="C363" i="9"/>
  <c r="E362" i="9"/>
  <c r="D362" i="9"/>
  <c r="C362" i="9"/>
  <c r="G361" i="9"/>
  <c r="E361" i="9"/>
  <c r="D361" i="9"/>
  <c r="C361" i="9"/>
  <c r="G360" i="9"/>
  <c r="I360" i="9" s="1"/>
  <c r="E360" i="9"/>
  <c r="D360" i="9"/>
  <c r="C360" i="9"/>
  <c r="E359" i="9"/>
  <c r="D359" i="9"/>
  <c r="C359" i="9"/>
  <c r="E358" i="9"/>
  <c r="D358" i="9"/>
  <c r="C358" i="9"/>
  <c r="G354" i="9"/>
  <c r="I354" i="9" s="1"/>
  <c r="I355" i="9" s="1"/>
  <c r="G353" i="9" s="1"/>
  <c r="E354" i="9"/>
  <c r="D354" i="9"/>
  <c r="C354" i="9"/>
  <c r="K353" i="9"/>
  <c r="E353" i="9"/>
  <c r="D353" i="9"/>
  <c r="C353" i="9"/>
  <c r="E349" i="9"/>
  <c r="D349" i="9"/>
  <c r="C349" i="9"/>
  <c r="E348" i="9"/>
  <c r="D348" i="9"/>
  <c r="C348" i="9"/>
  <c r="E344" i="9"/>
  <c r="D344" i="9"/>
  <c r="C344" i="9"/>
  <c r="F343" i="9"/>
  <c r="E343" i="9"/>
  <c r="D343" i="9"/>
  <c r="C343" i="9"/>
  <c r="K342" i="9"/>
  <c r="E342" i="9"/>
  <c r="D342" i="9"/>
  <c r="C342" i="9"/>
  <c r="G338" i="9"/>
  <c r="I338" i="9" s="1"/>
  <c r="E338" i="9"/>
  <c r="D338" i="9"/>
  <c r="C338" i="9"/>
  <c r="F337" i="9"/>
  <c r="E337" i="9"/>
  <c r="D337" i="9"/>
  <c r="C337" i="9"/>
  <c r="K336" i="9"/>
  <c r="E336" i="9"/>
  <c r="D336" i="9"/>
  <c r="C336" i="9"/>
  <c r="G332" i="9"/>
  <c r="I332" i="9" s="1"/>
  <c r="E332" i="9"/>
  <c r="D332" i="9"/>
  <c r="C332" i="9"/>
  <c r="F331" i="9"/>
  <c r="E331" i="9"/>
  <c r="D331" i="9"/>
  <c r="C331" i="9"/>
  <c r="F330" i="9"/>
  <c r="E330" i="9"/>
  <c r="D330" i="9"/>
  <c r="C330" i="9"/>
  <c r="K329" i="9"/>
  <c r="E329" i="9"/>
  <c r="D329" i="9"/>
  <c r="C329" i="9"/>
  <c r="E325" i="9"/>
  <c r="D325" i="9"/>
  <c r="C325" i="9"/>
  <c r="F324" i="9"/>
  <c r="E324" i="9"/>
  <c r="D324" i="9"/>
  <c r="C324" i="9"/>
  <c r="F323" i="9"/>
  <c r="E323" i="9"/>
  <c r="D323" i="9"/>
  <c r="C323" i="9"/>
  <c r="E322" i="9"/>
  <c r="D322" i="9"/>
  <c r="C322" i="9"/>
  <c r="G318" i="9"/>
  <c r="I318" i="9" s="1"/>
  <c r="E318" i="9"/>
  <c r="D318" i="9"/>
  <c r="C318" i="9"/>
  <c r="F317" i="9"/>
  <c r="E317" i="9"/>
  <c r="D317" i="9"/>
  <c r="C317" i="9"/>
  <c r="F316" i="9"/>
  <c r="E316" i="9"/>
  <c r="D316" i="9"/>
  <c r="C316" i="9"/>
  <c r="K315" i="9"/>
  <c r="E315" i="9"/>
  <c r="D315" i="9"/>
  <c r="C315" i="9"/>
  <c r="E311" i="9"/>
  <c r="D311" i="9"/>
  <c r="C311" i="9"/>
  <c r="F310" i="9"/>
  <c r="E310" i="9"/>
  <c r="D310" i="9"/>
  <c r="C310" i="9"/>
  <c r="F309" i="9"/>
  <c r="E309" i="9"/>
  <c r="D309" i="9"/>
  <c r="C309" i="9"/>
  <c r="E308" i="9"/>
  <c r="D308" i="9"/>
  <c r="C308" i="9"/>
  <c r="G304" i="9"/>
  <c r="I304" i="9" s="1"/>
  <c r="E304" i="9"/>
  <c r="D304" i="9"/>
  <c r="C304" i="9"/>
  <c r="F303" i="9"/>
  <c r="E303" i="9"/>
  <c r="D303" i="9"/>
  <c r="C303" i="9"/>
  <c r="F302" i="9"/>
  <c r="E302" i="9"/>
  <c r="D302" i="9"/>
  <c r="C302" i="9"/>
  <c r="K301" i="9"/>
  <c r="E301" i="9"/>
  <c r="D301" i="9"/>
  <c r="C301" i="9"/>
  <c r="E297" i="9"/>
  <c r="D297" i="9"/>
  <c r="C297" i="9"/>
  <c r="E296" i="9"/>
  <c r="D296" i="9"/>
  <c r="C296" i="9"/>
  <c r="E295" i="9"/>
  <c r="D295" i="9"/>
  <c r="C295" i="9"/>
  <c r="E294" i="9"/>
  <c r="D294" i="9"/>
  <c r="C294" i="9"/>
  <c r="F293" i="9"/>
  <c r="E293" i="9"/>
  <c r="D293" i="9"/>
  <c r="C293" i="9"/>
  <c r="F292" i="9"/>
  <c r="E292" i="9"/>
  <c r="D292" i="9"/>
  <c r="C292" i="9"/>
  <c r="E291" i="9"/>
  <c r="D291" i="9"/>
  <c r="C291" i="9"/>
  <c r="E290" i="9"/>
  <c r="D290" i="9"/>
  <c r="C290" i="9"/>
  <c r="E289" i="9"/>
  <c r="D289" i="9"/>
  <c r="C289" i="9"/>
  <c r="E285" i="9"/>
  <c r="D285" i="9"/>
  <c r="C285" i="9"/>
  <c r="E284" i="9"/>
  <c r="D284" i="9"/>
  <c r="C284" i="9"/>
  <c r="E283" i="9"/>
  <c r="D283" i="9"/>
  <c r="C283" i="9"/>
  <c r="F282" i="9"/>
  <c r="E282" i="9"/>
  <c r="D282" i="9"/>
  <c r="C282" i="9"/>
  <c r="F281" i="9"/>
  <c r="E281" i="9"/>
  <c r="D281" i="9"/>
  <c r="C281" i="9"/>
  <c r="E280" i="9"/>
  <c r="D280" i="9"/>
  <c r="C280" i="9"/>
  <c r="E279" i="9"/>
  <c r="D279" i="9"/>
  <c r="C279" i="9"/>
  <c r="E278" i="9"/>
  <c r="D278" i="9"/>
  <c r="C278" i="9"/>
  <c r="E274" i="9"/>
  <c r="D274" i="9"/>
  <c r="C274" i="9"/>
  <c r="E273" i="9"/>
  <c r="D273" i="9"/>
  <c r="C273" i="9"/>
  <c r="E272" i="9"/>
  <c r="D272" i="9"/>
  <c r="C272" i="9"/>
  <c r="E271" i="9"/>
  <c r="D271" i="9"/>
  <c r="C271" i="9"/>
  <c r="F270" i="9"/>
  <c r="E270" i="9"/>
  <c r="D270" i="9"/>
  <c r="C270" i="9"/>
  <c r="F269" i="9"/>
  <c r="E269" i="9"/>
  <c r="D269" i="9"/>
  <c r="C269" i="9"/>
  <c r="E268" i="9"/>
  <c r="D268" i="9"/>
  <c r="C268" i="9"/>
  <c r="E267" i="9"/>
  <c r="D267" i="9"/>
  <c r="C267" i="9"/>
  <c r="K266" i="9"/>
  <c r="E266" i="9"/>
  <c r="D266" i="9"/>
  <c r="C266" i="9"/>
  <c r="E262" i="9"/>
  <c r="D262" i="9"/>
  <c r="C262" i="9"/>
  <c r="E261" i="9"/>
  <c r="D261" i="9"/>
  <c r="C261" i="9"/>
  <c r="G260" i="9"/>
  <c r="I260" i="9" s="1"/>
  <c r="E260" i="9"/>
  <c r="D260" i="9"/>
  <c r="C260" i="9"/>
  <c r="G259" i="9"/>
  <c r="I259" i="9" s="1"/>
  <c r="E259" i="9"/>
  <c r="D259" i="9"/>
  <c r="C259" i="9"/>
  <c r="E258" i="9"/>
  <c r="D258" i="9"/>
  <c r="C258" i="9"/>
  <c r="E257" i="9"/>
  <c r="D257" i="9"/>
  <c r="C257" i="9"/>
  <c r="E256" i="9"/>
  <c r="D256" i="9"/>
  <c r="C256" i="9"/>
  <c r="E255" i="9"/>
  <c r="D255" i="9"/>
  <c r="C255" i="9"/>
  <c r="K254" i="9"/>
  <c r="E254" i="9"/>
  <c r="D254" i="9"/>
  <c r="C254" i="9"/>
  <c r="E250" i="9"/>
  <c r="D250" i="9"/>
  <c r="C250" i="9"/>
  <c r="E249" i="9"/>
  <c r="D249" i="9"/>
  <c r="C249" i="9"/>
  <c r="E248" i="9"/>
  <c r="D248" i="9"/>
  <c r="C248" i="9"/>
  <c r="E247" i="9"/>
  <c r="D247" i="9"/>
  <c r="C247" i="9"/>
  <c r="E246" i="9"/>
  <c r="D246" i="9"/>
  <c r="C246" i="9"/>
  <c r="E242" i="9"/>
  <c r="D242" i="9"/>
  <c r="C242" i="9"/>
  <c r="E241" i="9"/>
  <c r="D241" i="9"/>
  <c r="C241" i="9"/>
  <c r="E240" i="9"/>
  <c r="D240" i="9"/>
  <c r="C240" i="9"/>
  <c r="E236" i="9"/>
  <c r="D236" i="9"/>
  <c r="C236" i="9"/>
  <c r="E235" i="9"/>
  <c r="D235" i="9"/>
  <c r="C235" i="9"/>
  <c r="G234" i="9"/>
  <c r="I234" i="9" s="1"/>
  <c r="E234" i="9"/>
  <c r="D234" i="9"/>
  <c r="C234" i="9"/>
  <c r="G233" i="9"/>
  <c r="I233" i="9" s="1"/>
  <c r="E233" i="9"/>
  <c r="D233" i="9"/>
  <c r="C233" i="9"/>
  <c r="E232" i="9"/>
  <c r="D232" i="9"/>
  <c r="C232" i="9"/>
  <c r="E231" i="9"/>
  <c r="D231" i="9"/>
  <c r="C231" i="9"/>
  <c r="E230" i="9"/>
  <c r="D230" i="9"/>
  <c r="C230" i="9"/>
  <c r="E229" i="9"/>
  <c r="D229" i="9"/>
  <c r="C229" i="9"/>
  <c r="E228" i="9"/>
  <c r="D228" i="9"/>
  <c r="C228" i="9"/>
  <c r="G224" i="9"/>
  <c r="I224" i="9" s="1"/>
  <c r="E224" i="9"/>
  <c r="D224" i="9"/>
  <c r="C224" i="9"/>
  <c r="E223" i="9"/>
  <c r="D223" i="9"/>
  <c r="C223" i="9"/>
  <c r="G222" i="9"/>
  <c r="I222" i="9" s="1"/>
  <c r="E222" i="9"/>
  <c r="D222" i="9"/>
  <c r="C222" i="9"/>
  <c r="G221" i="9"/>
  <c r="I221" i="9" s="1"/>
  <c r="E221" i="9"/>
  <c r="D221" i="9"/>
  <c r="C221" i="9"/>
  <c r="E220" i="9"/>
  <c r="D220" i="9"/>
  <c r="C220" i="9"/>
  <c r="E219" i="9"/>
  <c r="D219" i="9"/>
  <c r="C219" i="9"/>
  <c r="E218" i="9"/>
  <c r="D218" i="9"/>
  <c r="C218" i="9"/>
  <c r="E217" i="9"/>
  <c r="D217" i="9"/>
  <c r="C217" i="9"/>
  <c r="E216" i="9"/>
  <c r="D216" i="9"/>
  <c r="C216" i="9"/>
  <c r="E212" i="9"/>
  <c r="D212" i="9"/>
  <c r="C212" i="9"/>
  <c r="E211" i="9"/>
  <c r="D211" i="9"/>
  <c r="C211" i="9"/>
  <c r="E210" i="9"/>
  <c r="D210" i="9"/>
  <c r="C210" i="9"/>
  <c r="E209" i="9"/>
  <c r="D209" i="9"/>
  <c r="C209" i="9"/>
  <c r="E208" i="9"/>
  <c r="D208" i="9"/>
  <c r="C208" i="9"/>
  <c r="E207" i="9"/>
  <c r="D207" i="9"/>
  <c r="C207" i="9"/>
  <c r="E203" i="9"/>
  <c r="D203" i="9"/>
  <c r="C203" i="9"/>
  <c r="E202" i="9"/>
  <c r="D202" i="9"/>
  <c r="C202" i="9"/>
  <c r="E201" i="9"/>
  <c r="D201" i="9"/>
  <c r="C201" i="9"/>
  <c r="E200" i="9"/>
  <c r="D200" i="9"/>
  <c r="C200" i="9"/>
  <c r="E196" i="9"/>
  <c r="D196" i="9"/>
  <c r="C196" i="9"/>
  <c r="E195" i="9"/>
  <c r="D195" i="9"/>
  <c r="C195" i="9"/>
  <c r="E194" i="9"/>
  <c r="D194" i="9"/>
  <c r="C194" i="9"/>
  <c r="E193" i="9"/>
  <c r="D193" i="9"/>
  <c r="C193" i="9"/>
  <c r="K192" i="9"/>
  <c r="E192" i="9"/>
  <c r="D192" i="9"/>
  <c r="C192" i="9"/>
  <c r="E188" i="9"/>
  <c r="D188" i="9"/>
  <c r="C188" i="9"/>
  <c r="E187" i="9"/>
  <c r="D187" i="9"/>
  <c r="C187" i="9"/>
  <c r="K186" i="9"/>
  <c r="E186" i="9"/>
  <c r="D186" i="9"/>
  <c r="C186" i="9"/>
  <c r="G182" i="9"/>
  <c r="I182" i="9" s="1"/>
  <c r="I183" i="9" s="1"/>
  <c r="G181" i="9" s="1"/>
  <c r="E182" i="9"/>
  <c r="D182" i="9"/>
  <c r="C182" i="9"/>
  <c r="E181" i="9"/>
  <c r="D181" i="9"/>
  <c r="C181" i="9"/>
  <c r="G177" i="9"/>
  <c r="I177" i="9" s="1"/>
  <c r="I178" i="9" s="1"/>
  <c r="G176" i="9" s="1"/>
  <c r="E177" i="9"/>
  <c r="D177" i="9"/>
  <c r="C177" i="9"/>
  <c r="K176" i="9"/>
  <c r="E176" i="9"/>
  <c r="D176" i="9"/>
  <c r="C176" i="9"/>
  <c r="E172" i="9"/>
  <c r="D172" i="9"/>
  <c r="C172" i="9"/>
  <c r="K171" i="9"/>
  <c r="E171" i="9"/>
  <c r="D171" i="9"/>
  <c r="C171" i="9"/>
  <c r="G167" i="9"/>
  <c r="I167" i="9" s="1"/>
  <c r="I168" i="9" s="1"/>
  <c r="G166" i="9" s="1"/>
  <c r="E167" i="9"/>
  <c r="D167" i="9"/>
  <c r="C167" i="9"/>
  <c r="E166" i="9"/>
  <c r="D166" i="9"/>
  <c r="C166" i="9"/>
  <c r="G162" i="9"/>
  <c r="I162" i="9" s="1"/>
  <c r="E162" i="9"/>
  <c r="D162" i="9"/>
  <c r="C162" i="9"/>
  <c r="G161" i="9"/>
  <c r="I161" i="9" s="1"/>
  <c r="E161" i="9"/>
  <c r="D161" i="9"/>
  <c r="C161" i="9"/>
  <c r="G160" i="9"/>
  <c r="I160" i="9" s="1"/>
  <c r="E160" i="9"/>
  <c r="D160" i="9"/>
  <c r="C160" i="9"/>
  <c r="G159" i="9"/>
  <c r="I159" i="9" s="1"/>
  <c r="E159" i="9"/>
  <c r="D159" i="9"/>
  <c r="C159" i="9"/>
  <c r="E158" i="9"/>
  <c r="D158" i="9"/>
  <c r="C158" i="9"/>
  <c r="E157" i="9"/>
  <c r="D157" i="9"/>
  <c r="C157" i="9"/>
  <c r="E156" i="9"/>
  <c r="D156" i="9"/>
  <c r="C156" i="9"/>
  <c r="E155" i="9"/>
  <c r="D155" i="9"/>
  <c r="C155" i="9"/>
  <c r="E154" i="9"/>
  <c r="D154" i="9"/>
  <c r="C154" i="9"/>
  <c r="E150" i="9"/>
  <c r="D150" i="9"/>
  <c r="C150" i="9"/>
  <c r="K149" i="9"/>
  <c r="E149" i="9"/>
  <c r="D149" i="9"/>
  <c r="C149" i="9"/>
  <c r="G145" i="9"/>
  <c r="I145" i="9" s="1"/>
  <c r="I146" i="9" s="1"/>
  <c r="G144" i="9" s="1"/>
  <c r="L144" i="9" s="1"/>
  <c r="E145" i="9"/>
  <c r="D145" i="9"/>
  <c r="C145" i="9"/>
  <c r="K144" i="9"/>
  <c r="E144" i="9"/>
  <c r="D144" i="9"/>
  <c r="C144" i="9"/>
  <c r="G140" i="9"/>
  <c r="I140" i="9" s="1"/>
  <c r="I141" i="9" s="1"/>
  <c r="G139" i="9" s="1"/>
  <c r="E140" i="9"/>
  <c r="D140" i="9"/>
  <c r="C140" i="9"/>
  <c r="K139" i="9"/>
  <c r="E139" i="9"/>
  <c r="D139" i="9"/>
  <c r="C139" i="9"/>
  <c r="E135" i="9"/>
  <c r="D135" i="9"/>
  <c r="C135" i="9"/>
  <c r="K134" i="9"/>
  <c r="E134" i="9"/>
  <c r="D134" i="9"/>
  <c r="C134" i="9"/>
  <c r="G130" i="9"/>
  <c r="I130" i="9" s="1"/>
  <c r="I131" i="9" s="1"/>
  <c r="G129" i="9" s="1"/>
  <c r="E130" i="9"/>
  <c r="D130" i="9"/>
  <c r="C130" i="9"/>
  <c r="E129" i="9"/>
  <c r="D129" i="9"/>
  <c r="C129" i="9"/>
  <c r="E125" i="9"/>
  <c r="D125" i="9"/>
  <c r="C125" i="9"/>
  <c r="E124" i="9"/>
  <c r="D124" i="9"/>
  <c r="C124" i="9"/>
  <c r="E120" i="9"/>
  <c r="D120" i="9"/>
  <c r="C120" i="9"/>
  <c r="K119" i="9"/>
  <c r="E119" i="9"/>
  <c r="D119" i="9"/>
  <c r="C119" i="9"/>
  <c r="G115" i="9"/>
  <c r="I115" i="9" s="1"/>
  <c r="E115" i="9"/>
  <c r="D115" i="9"/>
  <c r="C115" i="9"/>
  <c r="E114" i="9"/>
  <c r="D114" i="9"/>
  <c r="C114" i="9"/>
  <c r="G113" i="9"/>
  <c r="I113" i="9" s="1"/>
  <c r="E113" i="9"/>
  <c r="D113" i="9"/>
  <c r="C113" i="9"/>
  <c r="G112" i="9"/>
  <c r="I112" i="9" s="1"/>
  <c r="E112" i="9"/>
  <c r="D112" i="9"/>
  <c r="C112" i="9"/>
  <c r="E111" i="9"/>
  <c r="D111" i="9"/>
  <c r="C111" i="9"/>
  <c r="G110" i="9"/>
  <c r="I110" i="9" s="1"/>
  <c r="E110" i="9"/>
  <c r="D110" i="9"/>
  <c r="C110" i="9"/>
  <c r="G109" i="9"/>
  <c r="I109" i="9" s="1"/>
  <c r="E109" i="9"/>
  <c r="D109" i="9"/>
  <c r="C109" i="9"/>
  <c r="E108" i="9"/>
  <c r="D108" i="9"/>
  <c r="C108" i="9"/>
  <c r="E107" i="9"/>
  <c r="D107" i="9"/>
  <c r="C107" i="9"/>
  <c r="E103" i="9"/>
  <c r="D103" i="9"/>
  <c r="C103" i="9"/>
  <c r="E102" i="9"/>
  <c r="D102" i="9"/>
  <c r="C102" i="9"/>
  <c r="G101" i="9"/>
  <c r="E101" i="9"/>
  <c r="D101" i="9"/>
  <c r="C101" i="9"/>
  <c r="G100" i="9"/>
  <c r="I100" i="9" s="1"/>
  <c r="E100" i="9"/>
  <c r="D100" i="9"/>
  <c r="C100" i="9"/>
  <c r="E99" i="9"/>
  <c r="D99" i="9"/>
  <c r="C99" i="9"/>
  <c r="G98" i="9"/>
  <c r="I98" i="9" s="1"/>
  <c r="E98" i="9"/>
  <c r="D98" i="9"/>
  <c r="C98" i="9"/>
  <c r="G97" i="9"/>
  <c r="I97" i="9" s="1"/>
  <c r="E97" i="9"/>
  <c r="D97" i="9"/>
  <c r="C97" i="9"/>
  <c r="E96" i="9"/>
  <c r="D96" i="9"/>
  <c r="C96" i="9"/>
  <c r="K95" i="9"/>
  <c r="E95" i="9"/>
  <c r="D95" i="9"/>
  <c r="C95" i="9"/>
  <c r="G91" i="9"/>
  <c r="I91" i="9" s="1"/>
  <c r="E91" i="9"/>
  <c r="D91" i="9"/>
  <c r="C91" i="9"/>
  <c r="G90" i="9"/>
  <c r="I90" i="9" s="1"/>
  <c r="E90" i="9"/>
  <c r="D90" i="9"/>
  <c r="C90" i="9"/>
  <c r="G89" i="9"/>
  <c r="I89" i="9" s="1"/>
  <c r="E89" i="9"/>
  <c r="D89" i="9"/>
  <c r="C89" i="9"/>
  <c r="G88" i="9"/>
  <c r="I88" i="9" s="1"/>
  <c r="E88" i="9"/>
  <c r="D88" i="9"/>
  <c r="C88" i="9"/>
  <c r="E87" i="9"/>
  <c r="D87" i="9"/>
  <c r="C87" i="9"/>
  <c r="G86" i="9"/>
  <c r="I86" i="9" s="1"/>
  <c r="E86" i="9"/>
  <c r="D86" i="9"/>
  <c r="C86" i="9"/>
  <c r="G85" i="9"/>
  <c r="I85" i="9" s="1"/>
  <c r="E85" i="9"/>
  <c r="D85" i="9"/>
  <c r="C85" i="9"/>
  <c r="E84" i="9"/>
  <c r="D84" i="9"/>
  <c r="C84" i="9"/>
  <c r="K83" i="9"/>
  <c r="E83" i="9"/>
  <c r="D83" i="9"/>
  <c r="C83" i="9"/>
  <c r="G79" i="9"/>
  <c r="I79" i="9" s="1"/>
  <c r="E79" i="9"/>
  <c r="D79" i="9"/>
  <c r="C79" i="9"/>
  <c r="G78" i="9"/>
  <c r="I78" i="9" s="1"/>
  <c r="E78" i="9"/>
  <c r="D78" i="9"/>
  <c r="C78" i="9"/>
  <c r="G77" i="9"/>
  <c r="I77" i="9" s="1"/>
  <c r="E77" i="9"/>
  <c r="D77" i="9"/>
  <c r="C77" i="9"/>
  <c r="E76" i="9"/>
  <c r="D76" i="9"/>
  <c r="C76" i="9"/>
  <c r="G75" i="9"/>
  <c r="I75" i="9" s="1"/>
  <c r="E75" i="9"/>
  <c r="D75" i="9"/>
  <c r="C75" i="9"/>
  <c r="E74" i="9"/>
  <c r="D74" i="9"/>
  <c r="C74" i="9"/>
  <c r="E73" i="9"/>
  <c r="D73" i="9"/>
  <c r="C73" i="9"/>
  <c r="E72" i="9"/>
  <c r="D72" i="9"/>
  <c r="C72" i="9"/>
  <c r="E71" i="9"/>
  <c r="D71" i="9"/>
  <c r="C71" i="9"/>
  <c r="E67" i="9"/>
  <c r="D67" i="9"/>
  <c r="C67" i="9"/>
  <c r="E66" i="9"/>
  <c r="D66" i="9"/>
  <c r="C66" i="9"/>
  <c r="E65" i="9"/>
  <c r="D65" i="9"/>
  <c r="C65" i="9"/>
  <c r="E64" i="9"/>
  <c r="D64" i="9"/>
  <c r="C64" i="9"/>
  <c r="E63" i="9"/>
  <c r="D63" i="9"/>
  <c r="C63" i="9"/>
  <c r="E59" i="9"/>
  <c r="D59" i="9"/>
  <c r="C59" i="9"/>
  <c r="E58" i="9"/>
  <c r="D58" i="9"/>
  <c r="C58" i="9"/>
  <c r="E57" i="9"/>
  <c r="D57" i="9"/>
  <c r="C57" i="9"/>
  <c r="E53" i="9"/>
  <c r="D53" i="9"/>
  <c r="C53" i="9"/>
  <c r="E52" i="9"/>
  <c r="D52" i="9"/>
  <c r="C52" i="9"/>
  <c r="E48" i="9"/>
  <c r="D48" i="9"/>
  <c r="C48" i="9"/>
  <c r="E47" i="9"/>
  <c r="D47" i="9"/>
  <c r="C47" i="9"/>
  <c r="G43" i="9"/>
  <c r="I43" i="9" s="1"/>
  <c r="I44" i="9" s="1"/>
  <c r="G42" i="9" s="1"/>
  <c r="E43" i="9"/>
  <c r="D43" i="9"/>
  <c r="C43" i="9"/>
  <c r="E42" i="9"/>
  <c r="D42" i="9"/>
  <c r="C42" i="9"/>
  <c r="E38" i="9"/>
  <c r="D38" i="9"/>
  <c r="C38" i="9"/>
  <c r="E37" i="9"/>
  <c r="D37" i="9"/>
  <c r="C37" i="9"/>
  <c r="E33" i="9"/>
  <c r="D33" i="9"/>
  <c r="C33" i="9"/>
  <c r="E32" i="9"/>
  <c r="D32" i="9"/>
  <c r="C32" i="9"/>
  <c r="E28" i="9"/>
  <c r="D28" i="9"/>
  <c r="C28" i="9"/>
  <c r="K27" i="9"/>
  <c r="E27" i="9"/>
  <c r="D27" i="9"/>
  <c r="C27" i="9"/>
  <c r="G23" i="9"/>
  <c r="I23" i="9" s="1"/>
  <c r="I24" i="9" s="1"/>
  <c r="G22" i="9" s="1"/>
  <c r="E23" i="9"/>
  <c r="D23" i="9"/>
  <c r="C23" i="9"/>
  <c r="K22" i="9"/>
  <c r="E22" i="9"/>
  <c r="D22" i="9"/>
  <c r="C22" i="9"/>
  <c r="G18" i="9"/>
  <c r="I18" i="9" s="1"/>
  <c r="I19" i="9" s="1"/>
  <c r="G17" i="9" s="1"/>
  <c r="E18" i="9"/>
  <c r="D18" i="9"/>
  <c r="C18" i="9"/>
  <c r="E17" i="9"/>
  <c r="D17" i="9"/>
  <c r="C17" i="9"/>
  <c r="G13" i="9"/>
  <c r="I13" i="9" s="1"/>
  <c r="I14" i="9" s="1"/>
  <c r="G12" i="9" s="1"/>
  <c r="E13" i="9"/>
  <c r="D13" i="9"/>
  <c r="C13" i="9"/>
  <c r="E12" i="9"/>
  <c r="D12" i="9"/>
  <c r="C12" i="9"/>
  <c r="G8" i="9"/>
  <c r="I8" i="9" s="1"/>
  <c r="I9" i="9" s="1"/>
  <c r="G7" i="9" s="1"/>
  <c r="E8" i="9"/>
  <c r="D8" i="9"/>
  <c r="C8" i="9"/>
  <c r="E7" i="9"/>
  <c r="D7" i="9"/>
  <c r="C7" i="9"/>
  <c r="B5" i="9"/>
  <c r="A2" i="9"/>
  <c r="A1" i="9"/>
  <c r="F769" i="8"/>
  <c r="E769" i="8"/>
  <c r="D769" i="8"/>
  <c r="C769" i="8"/>
  <c r="F768" i="8"/>
  <c r="E768" i="8"/>
  <c r="D768" i="8"/>
  <c r="C768" i="8"/>
  <c r="E767" i="8"/>
  <c r="D767" i="8"/>
  <c r="C767" i="8"/>
  <c r="E766" i="8"/>
  <c r="D766" i="8"/>
  <c r="C766" i="8"/>
  <c r="E765" i="8"/>
  <c r="D765" i="8"/>
  <c r="C765" i="8"/>
  <c r="G764" i="8"/>
  <c r="I764" i="8" s="1"/>
  <c r="F764" i="8"/>
  <c r="E764" i="8"/>
  <c r="D764" i="8"/>
  <c r="C764" i="8"/>
  <c r="G763" i="8"/>
  <c r="I763" i="8" s="1"/>
  <c r="F763" i="8"/>
  <c r="E763" i="8"/>
  <c r="D763" i="8"/>
  <c r="C763" i="8"/>
  <c r="G762" i="8"/>
  <c r="I762" i="8" s="1"/>
  <c r="E762" i="8"/>
  <c r="D762" i="8"/>
  <c r="C762" i="8"/>
  <c r="K761" i="8"/>
  <c r="E761" i="8"/>
  <c r="D761" i="8"/>
  <c r="C761" i="8"/>
  <c r="E757" i="8"/>
  <c r="D757" i="8"/>
  <c r="C757" i="8"/>
  <c r="E756" i="8"/>
  <c r="D756" i="8"/>
  <c r="C756" i="8"/>
  <c r="E755" i="8"/>
  <c r="D755" i="8"/>
  <c r="C755" i="8"/>
  <c r="F751" i="8"/>
  <c r="E751" i="8"/>
  <c r="D751" i="8"/>
  <c r="C751" i="8"/>
  <c r="F750" i="8"/>
  <c r="E750" i="8"/>
  <c r="D750" i="8"/>
  <c r="C750" i="8"/>
  <c r="E749" i="8"/>
  <c r="D749" i="8"/>
  <c r="C749" i="8"/>
  <c r="E748" i="8"/>
  <c r="D748" i="8"/>
  <c r="C748" i="8"/>
  <c r="G747" i="8"/>
  <c r="I747" i="8" s="1"/>
  <c r="F747" i="8"/>
  <c r="E747" i="8"/>
  <c r="D747" i="8"/>
  <c r="C747" i="8"/>
  <c r="G746" i="8"/>
  <c r="I746" i="8" s="1"/>
  <c r="E746" i="8"/>
  <c r="D746" i="8"/>
  <c r="C746" i="8"/>
  <c r="E745" i="8"/>
  <c r="D745" i="8"/>
  <c r="C745" i="8"/>
  <c r="E744" i="8"/>
  <c r="D744" i="8"/>
  <c r="C744" i="8"/>
  <c r="G743" i="8"/>
  <c r="E743" i="8"/>
  <c r="D743" i="8"/>
  <c r="C743" i="8"/>
  <c r="F742" i="8"/>
  <c r="E742" i="8"/>
  <c r="D742" i="8"/>
  <c r="C742" i="8"/>
  <c r="G741" i="8"/>
  <c r="I741" i="8" s="1"/>
  <c r="E741" i="8"/>
  <c r="D741" i="8"/>
  <c r="C741" i="8"/>
  <c r="E740" i="8"/>
  <c r="D740" i="8"/>
  <c r="C740" i="8"/>
  <c r="K739" i="8"/>
  <c r="E739" i="8"/>
  <c r="D739" i="8"/>
  <c r="C739" i="8"/>
  <c r="E735" i="8"/>
  <c r="D735" i="8"/>
  <c r="C735" i="8"/>
  <c r="E734" i="8"/>
  <c r="D734" i="8"/>
  <c r="C734" i="8"/>
  <c r="F733" i="8"/>
  <c r="E733" i="8"/>
  <c r="D733" i="8"/>
  <c r="C733" i="8"/>
  <c r="F732" i="8"/>
  <c r="E732" i="8"/>
  <c r="D732" i="8"/>
  <c r="C732" i="8"/>
  <c r="E731" i="8"/>
  <c r="D731" i="8"/>
  <c r="C731" i="8"/>
  <c r="G727" i="8"/>
  <c r="I727" i="8" s="1"/>
  <c r="E727" i="8"/>
  <c r="D727" i="8"/>
  <c r="C727" i="8"/>
  <c r="F726" i="8"/>
  <c r="E726" i="8"/>
  <c r="D726" i="8"/>
  <c r="C726" i="8"/>
  <c r="F725" i="8"/>
  <c r="E725" i="8"/>
  <c r="D725" i="8"/>
  <c r="C725" i="8"/>
  <c r="E724" i="8"/>
  <c r="D724" i="8"/>
  <c r="C724" i="8"/>
  <c r="E723" i="8"/>
  <c r="D723" i="8"/>
  <c r="C723" i="8"/>
  <c r="K722" i="8"/>
  <c r="E722" i="8"/>
  <c r="D722" i="8"/>
  <c r="C722" i="8"/>
  <c r="E718" i="8"/>
  <c r="D718" i="8"/>
  <c r="C718" i="8"/>
  <c r="G717" i="8"/>
  <c r="I717" i="8" s="1"/>
  <c r="E717" i="8"/>
  <c r="D717" i="8"/>
  <c r="C717" i="8"/>
  <c r="G716" i="8"/>
  <c r="I716" i="8" s="1"/>
  <c r="E716" i="8"/>
  <c r="D716" i="8"/>
  <c r="C716" i="8"/>
  <c r="E715" i="8"/>
  <c r="D715" i="8"/>
  <c r="C715" i="8"/>
  <c r="E714" i="8"/>
  <c r="D714" i="8"/>
  <c r="C714" i="8"/>
  <c r="G713" i="8"/>
  <c r="I713" i="8" s="1"/>
  <c r="E713" i="8"/>
  <c r="D713" i="8"/>
  <c r="C713" i="8"/>
  <c r="E712" i="8"/>
  <c r="D712" i="8"/>
  <c r="C712" i="8"/>
  <c r="E711" i="8"/>
  <c r="D711" i="8"/>
  <c r="C711" i="8"/>
  <c r="E710" i="8"/>
  <c r="D710" i="8"/>
  <c r="C710" i="8"/>
  <c r="G706" i="8"/>
  <c r="I706" i="8" s="1"/>
  <c r="E706" i="8"/>
  <c r="D706" i="8"/>
  <c r="C706" i="8"/>
  <c r="G705" i="8"/>
  <c r="I705" i="8" s="1"/>
  <c r="E705" i="8"/>
  <c r="D705" i="8"/>
  <c r="C705" i="8"/>
  <c r="E704" i="8"/>
  <c r="D704" i="8"/>
  <c r="C704" i="8"/>
  <c r="G703" i="8"/>
  <c r="I703" i="8" s="1"/>
  <c r="E703" i="8"/>
  <c r="D703" i="8"/>
  <c r="C703" i="8"/>
  <c r="G702" i="8"/>
  <c r="I702" i="8" s="1"/>
  <c r="F702" i="8"/>
  <c r="E702" i="8"/>
  <c r="D702" i="8"/>
  <c r="C702" i="8"/>
  <c r="F701" i="8"/>
  <c r="E701" i="8"/>
  <c r="D701" i="8"/>
  <c r="C701" i="8"/>
  <c r="K700" i="8"/>
  <c r="E700" i="8"/>
  <c r="D700" i="8"/>
  <c r="C700" i="8"/>
  <c r="E696" i="8"/>
  <c r="D696" i="8"/>
  <c r="C696" i="8"/>
  <c r="E695" i="8"/>
  <c r="D695" i="8"/>
  <c r="C695" i="8"/>
  <c r="E694" i="8"/>
  <c r="D694" i="8"/>
  <c r="C694" i="8"/>
  <c r="G693" i="8"/>
  <c r="I693" i="8" s="1"/>
  <c r="F693" i="8"/>
  <c r="E693" i="8"/>
  <c r="D693" i="8"/>
  <c r="C693" i="8"/>
  <c r="F692" i="8"/>
  <c r="E692" i="8"/>
  <c r="D692" i="8"/>
  <c r="C692" i="8"/>
  <c r="E691" i="8"/>
  <c r="D691" i="8"/>
  <c r="C691" i="8"/>
  <c r="E687" i="8"/>
  <c r="D687" i="8"/>
  <c r="C687" i="8"/>
  <c r="E686" i="8"/>
  <c r="D686" i="8"/>
  <c r="C686" i="8"/>
  <c r="E685" i="8"/>
  <c r="D685" i="8"/>
  <c r="C685" i="8"/>
  <c r="E681" i="8"/>
  <c r="D681" i="8"/>
  <c r="C681" i="8"/>
  <c r="F680" i="8"/>
  <c r="E680" i="8"/>
  <c r="D680" i="8"/>
  <c r="C680" i="8"/>
  <c r="F679" i="8"/>
  <c r="E679" i="8"/>
  <c r="D679" i="8"/>
  <c r="C679" i="8"/>
  <c r="E678" i="8"/>
  <c r="D678" i="8"/>
  <c r="C678" i="8"/>
  <c r="K677" i="8"/>
  <c r="E677" i="8"/>
  <c r="D677" i="8"/>
  <c r="C677" i="8"/>
  <c r="G673" i="8"/>
  <c r="I673" i="8" s="1"/>
  <c r="E673" i="8"/>
  <c r="D673" i="8"/>
  <c r="C673" i="8"/>
  <c r="G672" i="8"/>
  <c r="I672" i="8" s="1"/>
  <c r="E672" i="8"/>
  <c r="D672" i="8"/>
  <c r="C672" i="8"/>
  <c r="F671" i="8"/>
  <c r="E671" i="8"/>
  <c r="D671" i="8"/>
  <c r="C671" i="8"/>
  <c r="F670" i="8"/>
  <c r="E670" i="8"/>
  <c r="D670" i="8"/>
  <c r="C670" i="8"/>
  <c r="K669" i="8"/>
  <c r="E669" i="8"/>
  <c r="D669" i="8"/>
  <c r="C669" i="8"/>
  <c r="E665" i="8"/>
  <c r="D665" i="8"/>
  <c r="C665" i="8"/>
  <c r="F664" i="8"/>
  <c r="E664" i="8"/>
  <c r="D664" i="8"/>
  <c r="C664" i="8"/>
  <c r="F663" i="8"/>
  <c r="E663" i="8"/>
  <c r="D663" i="8"/>
  <c r="C663" i="8"/>
  <c r="K662" i="8"/>
  <c r="E662" i="8"/>
  <c r="D662" i="8"/>
  <c r="C662" i="8"/>
  <c r="F658" i="8"/>
  <c r="E658" i="8"/>
  <c r="D658" i="8"/>
  <c r="C658" i="8"/>
  <c r="F657" i="8"/>
  <c r="E657" i="8"/>
  <c r="D657" i="8"/>
  <c r="C657" i="8"/>
  <c r="E656" i="8"/>
  <c r="D656" i="8"/>
  <c r="C656" i="8"/>
  <c r="E655" i="8"/>
  <c r="D655" i="8"/>
  <c r="C655" i="8"/>
  <c r="F651" i="8"/>
  <c r="E651" i="8"/>
  <c r="D651" i="8"/>
  <c r="C651" i="8"/>
  <c r="F650" i="8"/>
  <c r="E650" i="8"/>
  <c r="D650" i="8"/>
  <c r="C650" i="8"/>
  <c r="K649" i="8"/>
  <c r="E649" i="8"/>
  <c r="D649" i="8"/>
  <c r="C649" i="8"/>
  <c r="F645" i="8"/>
  <c r="E645" i="8"/>
  <c r="D645" i="8"/>
  <c r="C645" i="8"/>
  <c r="F644" i="8"/>
  <c r="E644" i="8"/>
  <c r="D644" i="8"/>
  <c r="C644" i="8"/>
  <c r="K643" i="8"/>
  <c r="E643" i="8"/>
  <c r="D643" i="8"/>
  <c r="C643" i="8"/>
  <c r="E639" i="8"/>
  <c r="D639" i="8"/>
  <c r="C639" i="8"/>
  <c r="E638" i="8"/>
  <c r="D638" i="8"/>
  <c r="C638" i="8"/>
  <c r="E637" i="8"/>
  <c r="D637" i="8"/>
  <c r="C637" i="8"/>
  <c r="G636" i="8"/>
  <c r="I636" i="8" s="1"/>
  <c r="E636" i="8"/>
  <c r="D636" i="8"/>
  <c r="C636" i="8"/>
  <c r="E635" i="8"/>
  <c r="D635" i="8"/>
  <c r="C635" i="8"/>
  <c r="G634" i="8"/>
  <c r="I634" i="8" s="1"/>
  <c r="E634" i="8"/>
  <c r="D634" i="8"/>
  <c r="C634" i="8"/>
  <c r="G633" i="8"/>
  <c r="I633" i="8" s="1"/>
  <c r="E633" i="8"/>
  <c r="D633" i="8"/>
  <c r="C633" i="8"/>
  <c r="G632" i="8"/>
  <c r="I632" i="8" s="1"/>
  <c r="E632" i="8"/>
  <c r="D632" i="8"/>
  <c r="C632" i="8"/>
  <c r="G631" i="8"/>
  <c r="I631" i="8" s="1"/>
  <c r="E631" i="8"/>
  <c r="D631" i="8"/>
  <c r="C631" i="8"/>
  <c r="G630" i="8"/>
  <c r="I630" i="8" s="1"/>
  <c r="E630" i="8"/>
  <c r="D630" i="8"/>
  <c r="C630" i="8"/>
  <c r="G629" i="8"/>
  <c r="I629" i="8" s="1"/>
  <c r="E629" i="8"/>
  <c r="D629" i="8"/>
  <c r="C629" i="8"/>
  <c r="G628" i="8"/>
  <c r="I628" i="8" s="1"/>
  <c r="E628" i="8"/>
  <c r="D628" i="8"/>
  <c r="C628" i="8"/>
  <c r="G627" i="8"/>
  <c r="I627" i="8" s="1"/>
  <c r="E627" i="8"/>
  <c r="D627" i="8"/>
  <c r="C627" i="8"/>
  <c r="G626" i="8"/>
  <c r="E626" i="8"/>
  <c r="D626" i="8"/>
  <c r="C626" i="8"/>
  <c r="G625" i="8"/>
  <c r="I625" i="8" s="1"/>
  <c r="E625" i="8"/>
  <c r="D625" i="8"/>
  <c r="C625" i="8"/>
  <c r="E624" i="8"/>
  <c r="D624" i="8"/>
  <c r="C624" i="8"/>
  <c r="G623" i="8"/>
  <c r="I623" i="8" s="1"/>
  <c r="E623" i="8"/>
  <c r="D623" i="8"/>
  <c r="C623" i="8"/>
  <c r="G622" i="8"/>
  <c r="I622" i="8" s="1"/>
  <c r="E622" i="8"/>
  <c r="D622" i="8"/>
  <c r="C622" i="8"/>
  <c r="E621" i="8"/>
  <c r="D621" i="8"/>
  <c r="C621" i="8"/>
  <c r="E617" i="8"/>
  <c r="D617" i="8"/>
  <c r="C617" i="8"/>
  <c r="E616" i="8"/>
  <c r="D616" i="8"/>
  <c r="C616" i="8"/>
  <c r="E615" i="8"/>
  <c r="D615" i="8"/>
  <c r="C615" i="8"/>
  <c r="G614" i="8"/>
  <c r="I614" i="8" s="1"/>
  <c r="E614" i="8"/>
  <c r="D614" i="8"/>
  <c r="C614" i="8"/>
  <c r="E613" i="8"/>
  <c r="D613" i="8"/>
  <c r="C613" i="8"/>
  <c r="E612" i="8"/>
  <c r="D612" i="8"/>
  <c r="C612" i="8"/>
  <c r="G611" i="8"/>
  <c r="I611" i="8" s="1"/>
  <c r="E611" i="8"/>
  <c r="D611" i="8"/>
  <c r="C611" i="8"/>
  <c r="G610" i="8"/>
  <c r="I610" i="8" s="1"/>
  <c r="E610" i="8"/>
  <c r="D610" i="8"/>
  <c r="C610" i="8"/>
  <c r="G609" i="8"/>
  <c r="I609" i="8" s="1"/>
  <c r="E609" i="8"/>
  <c r="D609" i="8"/>
  <c r="C609" i="8"/>
  <c r="G608" i="8"/>
  <c r="I608" i="8" s="1"/>
  <c r="E608" i="8"/>
  <c r="D608" i="8"/>
  <c r="C608" i="8"/>
  <c r="G607" i="8"/>
  <c r="I607" i="8" s="1"/>
  <c r="E607" i="8"/>
  <c r="D607" i="8"/>
  <c r="C607" i="8"/>
  <c r="E606" i="8"/>
  <c r="D606" i="8"/>
  <c r="C606" i="8"/>
  <c r="G605" i="8"/>
  <c r="I605" i="8" s="1"/>
  <c r="E605" i="8"/>
  <c r="D605" i="8"/>
  <c r="C605" i="8"/>
  <c r="E604" i="8"/>
  <c r="D604" i="8"/>
  <c r="C604" i="8"/>
  <c r="E603" i="8"/>
  <c r="D603" i="8"/>
  <c r="C603" i="8"/>
  <c r="E602" i="8"/>
  <c r="D602" i="8"/>
  <c r="C602" i="8"/>
  <c r="E601" i="8"/>
  <c r="D601" i="8"/>
  <c r="C601" i="8"/>
  <c r="G600" i="8"/>
  <c r="I600" i="8" s="1"/>
  <c r="E600" i="8"/>
  <c r="D600" i="8"/>
  <c r="C600" i="8"/>
  <c r="K599" i="8"/>
  <c r="E599" i="8"/>
  <c r="D599" i="8"/>
  <c r="C599" i="8"/>
  <c r="E595" i="8"/>
  <c r="D595" i="8"/>
  <c r="C595" i="8"/>
  <c r="E594" i="8"/>
  <c r="D594" i="8"/>
  <c r="C594" i="8"/>
  <c r="E593" i="8"/>
  <c r="D593" i="8"/>
  <c r="C593" i="8"/>
  <c r="F592" i="8"/>
  <c r="E592" i="8"/>
  <c r="D592" i="8"/>
  <c r="C592" i="8"/>
  <c r="E591" i="8"/>
  <c r="D591" i="8"/>
  <c r="C591" i="8"/>
  <c r="E587" i="8"/>
  <c r="D587" i="8"/>
  <c r="C587" i="8"/>
  <c r="F586" i="8"/>
  <c r="E586" i="8"/>
  <c r="D586" i="8"/>
  <c r="C586" i="8"/>
  <c r="F585" i="8"/>
  <c r="E585" i="8"/>
  <c r="D585" i="8"/>
  <c r="C585" i="8"/>
  <c r="E584" i="8"/>
  <c r="D584" i="8"/>
  <c r="C584" i="8"/>
  <c r="E580" i="8"/>
  <c r="D580" i="8"/>
  <c r="C580" i="8"/>
  <c r="F579" i="8"/>
  <c r="E579" i="8"/>
  <c r="D579" i="8"/>
  <c r="C579" i="8"/>
  <c r="F578" i="8"/>
  <c r="E578" i="8"/>
  <c r="D578" i="8"/>
  <c r="C578" i="8"/>
  <c r="K577" i="8"/>
  <c r="E577" i="8"/>
  <c r="D577" i="8"/>
  <c r="C577" i="8"/>
  <c r="G573" i="8"/>
  <c r="I573" i="8" s="1"/>
  <c r="E573" i="8"/>
  <c r="D573" i="8"/>
  <c r="C573" i="8"/>
  <c r="F572" i="8"/>
  <c r="E572" i="8"/>
  <c r="D572" i="8"/>
  <c r="C572" i="8"/>
  <c r="F571" i="8"/>
  <c r="E571" i="8"/>
  <c r="D571" i="8"/>
  <c r="C571" i="8"/>
  <c r="E570" i="8"/>
  <c r="D570" i="8"/>
  <c r="C570" i="8"/>
  <c r="G566" i="8"/>
  <c r="I566" i="8" s="1"/>
  <c r="E566" i="8"/>
  <c r="D566" i="8"/>
  <c r="C566" i="8"/>
  <c r="F565" i="8"/>
  <c r="E565" i="8"/>
  <c r="D565" i="8"/>
  <c r="C565" i="8"/>
  <c r="F564" i="8"/>
  <c r="E564" i="8"/>
  <c r="D564" i="8"/>
  <c r="C564" i="8"/>
  <c r="E563" i="8"/>
  <c r="D563" i="8"/>
  <c r="C563" i="8"/>
  <c r="G559" i="8"/>
  <c r="I559" i="8" s="1"/>
  <c r="E559" i="8"/>
  <c r="D559" i="8"/>
  <c r="C559" i="8"/>
  <c r="G558" i="8"/>
  <c r="I558" i="8" s="1"/>
  <c r="E558" i="8"/>
  <c r="D558" i="8"/>
  <c r="C558" i="8"/>
  <c r="F557" i="8"/>
  <c r="E557" i="8"/>
  <c r="D557" i="8"/>
  <c r="C557" i="8"/>
  <c r="F556" i="8"/>
  <c r="E556" i="8"/>
  <c r="D556" i="8"/>
  <c r="C556" i="8"/>
  <c r="K555" i="8"/>
  <c r="E555" i="8"/>
  <c r="D555" i="8"/>
  <c r="C555" i="8"/>
  <c r="E551" i="8"/>
  <c r="D551" i="8"/>
  <c r="C551" i="8"/>
  <c r="G550" i="8"/>
  <c r="I550" i="8" s="1"/>
  <c r="E550" i="8"/>
  <c r="D550" i="8"/>
  <c r="C550" i="8"/>
  <c r="F549" i="8"/>
  <c r="E549" i="8"/>
  <c r="D549" i="8"/>
  <c r="C549" i="8"/>
  <c r="F548" i="8"/>
  <c r="E548" i="8"/>
  <c r="D548" i="8"/>
  <c r="C548" i="8"/>
  <c r="K547" i="8"/>
  <c r="E547" i="8"/>
  <c r="D547" i="8"/>
  <c r="C547" i="8"/>
  <c r="E543" i="8"/>
  <c r="D543" i="8"/>
  <c r="C543" i="8"/>
  <c r="F542" i="8"/>
  <c r="E542" i="8"/>
  <c r="D542" i="8"/>
  <c r="C542" i="8"/>
  <c r="F541" i="8"/>
  <c r="E541" i="8"/>
  <c r="D541" i="8"/>
  <c r="C541" i="8"/>
  <c r="E540" i="8"/>
  <c r="D540" i="8"/>
  <c r="C540" i="8"/>
  <c r="G536" i="8"/>
  <c r="I536" i="8" s="1"/>
  <c r="E536" i="8"/>
  <c r="D536" i="8"/>
  <c r="C536" i="8"/>
  <c r="F535" i="8"/>
  <c r="E535" i="8"/>
  <c r="D535" i="8"/>
  <c r="C535" i="8"/>
  <c r="F534" i="8"/>
  <c r="E534" i="8"/>
  <c r="D534" i="8"/>
  <c r="C534" i="8"/>
  <c r="K533" i="8"/>
  <c r="E533" i="8"/>
  <c r="D533" i="8"/>
  <c r="C533" i="8"/>
  <c r="G529" i="8"/>
  <c r="I529" i="8" s="1"/>
  <c r="E529" i="8"/>
  <c r="D529" i="8"/>
  <c r="C529" i="8"/>
  <c r="F528" i="8"/>
  <c r="E528" i="8"/>
  <c r="D528" i="8"/>
  <c r="C528" i="8"/>
  <c r="F527" i="8"/>
  <c r="E527" i="8"/>
  <c r="D527" i="8"/>
  <c r="C527" i="8"/>
  <c r="K526" i="8"/>
  <c r="E526" i="8"/>
  <c r="D526" i="8"/>
  <c r="C526" i="8"/>
  <c r="G522" i="8"/>
  <c r="I522" i="8" s="1"/>
  <c r="E522" i="8"/>
  <c r="D522" i="8"/>
  <c r="C522" i="8"/>
  <c r="E521" i="8"/>
  <c r="D521" i="8"/>
  <c r="C521" i="8"/>
  <c r="E520" i="8"/>
  <c r="D520" i="8"/>
  <c r="C520" i="8"/>
  <c r="F519" i="8"/>
  <c r="E519" i="8"/>
  <c r="D519" i="8"/>
  <c r="C519" i="8"/>
  <c r="F518" i="8"/>
  <c r="E518" i="8"/>
  <c r="D518" i="8"/>
  <c r="C518" i="8"/>
  <c r="E517" i="8"/>
  <c r="D517" i="8"/>
  <c r="C517" i="8"/>
  <c r="E516" i="8"/>
  <c r="D516" i="8"/>
  <c r="C516" i="8"/>
  <c r="K515" i="8"/>
  <c r="E515" i="8"/>
  <c r="D515" i="8"/>
  <c r="C515" i="8"/>
  <c r="G511" i="8"/>
  <c r="I511" i="8" s="1"/>
  <c r="E511" i="8"/>
  <c r="D511" i="8"/>
  <c r="C511" i="8"/>
  <c r="E510" i="8"/>
  <c r="D510" i="8"/>
  <c r="C510" i="8"/>
  <c r="G509" i="8"/>
  <c r="I509" i="8" s="1"/>
  <c r="E509" i="8"/>
  <c r="D509" i="8"/>
  <c r="C509" i="8"/>
  <c r="G508" i="8"/>
  <c r="I508" i="8" s="1"/>
  <c r="E508" i="8"/>
  <c r="D508" i="8"/>
  <c r="C508" i="8"/>
  <c r="E507" i="8"/>
  <c r="D507" i="8"/>
  <c r="C507" i="8"/>
  <c r="E506" i="8"/>
  <c r="D506" i="8"/>
  <c r="C506" i="8"/>
  <c r="E505" i="8"/>
  <c r="D505" i="8"/>
  <c r="C505" i="8"/>
  <c r="E504" i="8"/>
  <c r="D504" i="8"/>
  <c r="C504" i="8"/>
  <c r="K503" i="8"/>
  <c r="E503" i="8"/>
  <c r="D503" i="8"/>
  <c r="C503" i="8"/>
  <c r="G499" i="8"/>
  <c r="E499" i="8"/>
  <c r="D499" i="8"/>
  <c r="C499" i="8"/>
  <c r="G498" i="8"/>
  <c r="I498" i="8" s="1"/>
  <c r="E498" i="8"/>
  <c r="D498" i="8"/>
  <c r="C498" i="8"/>
  <c r="E497" i="8"/>
  <c r="D497" i="8"/>
  <c r="C497" i="8"/>
  <c r="F496" i="8"/>
  <c r="E496" i="8"/>
  <c r="D496" i="8"/>
  <c r="C496" i="8"/>
  <c r="E495" i="8"/>
  <c r="D495" i="8"/>
  <c r="C495" i="8"/>
  <c r="G491" i="8"/>
  <c r="I491" i="8" s="1"/>
  <c r="E491" i="8"/>
  <c r="D491" i="8"/>
  <c r="C491" i="8"/>
  <c r="E490" i="8"/>
  <c r="D490" i="8"/>
  <c r="C490" i="8"/>
  <c r="F489" i="8"/>
  <c r="E489" i="8"/>
  <c r="D489" i="8"/>
  <c r="C489" i="8"/>
  <c r="E488" i="8"/>
  <c r="D488" i="8"/>
  <c r="C488" i="8"/>
  <c r="E484" i="8"/>
  <c r="D484" i="8"/>
  <c r="C484" i="8"/>
  <c r="E483" i="8"/>
  <c r="D483" i="8"/>
  <c r="C483" i="8"/>
  <c r="F482" i="8"/>
  <c r="E482" i="8"/>
  <c r="D482" i="8"/>
  <c r="C482" i="8"/>
  <c r="E481" i="8"/>
  <c r="D481" i="8"/>
  <c r="C481" i="8"/>
  <c r="E480" i="8"/>
  <c r="D480" i="8"/>
  <c r="C480" i="8"/>
  <c r="E479" i="8"/>
  <c r="D479" i="8"/>
  <c r="C479" i="8"/>
  <c r="G475" i="8"/>
  <c r="I475" i="8" s="1"/>
  <c r="E475" i="8"/>
  <c r="D475" i="8"/>
  <c r="C475" i="8"/>
  <c r="G474" i="8"/>
  <c r="I474" i="8" s="1"/>
  <c r="E474" i="8"/>
  <c r="D474" i="8"/>
  <c r="C474" i="8"/>
  <c r="G473" i="8"/>
  <c r="I473" i="8" s="1"/>
  <c r="E473" i="8"/>
  <c r="D473" i="8"/>
  <c r="C473" i="8"/>
  <c r="G472" i="8"/>
  <c r="I472" i="8" s="1"/>
  <c r="E472" i="8"/>
  <c r="D472" i="8"/>
  <c r="C472" i="8"/>
  <c r="E471" i="8"/>
  <c r="D471" i="8"/>
  <c r="C471" i="8"/>
  <c r="G470" i="8"/>
  <c r="I470" i="8" s="1"/>
  <c r="E470" i="8"/>
  <c r="D470" i="8"/>
  <c r="C470" i="8"/>
  <c r="G469" i="8"/>
  <c r="I469" i="8" s="1"/>
  <c r="E469" i="8"/>
  <c r="D469" i="8"/>
  <c r="C469" i="8"/>
  <c r="E468" i="8"/>
  <c r="D468" i="8"/>
  <c r="C468" i="8"/>
  <c r="E467" i="8"/>
  <c r="D467" i="8"/>
  <c r="C467" i="8"/>
  <c r="G463" i="8"/>
  <c r="I463" i="8" s="1"/>
  <c r="E463" i="8"/>
  <c r="D463" i="8"/>
  <c r="C463" i="8"/>
  <c r="G462" i="8"/>
  <c r="I462" i="8" s="1"/>
  <c r="E462" i="8"/>
  <c r="D462" i="8"/>
  <c r="C462" i="8"/>
  <c r="F461" i="8"/>
  <c r="E461" i="8"/>
  <c r="D461" i="8"/>
  <c r="C461" i="8"/>
  <c r="F460" i="8"/>
  <c r="E460" i="8"/>
  <c r="D460" i="8"/>
  <c r="C460" i="8"/>
  <c r="E459" i="8"/>
  <c r="D459" i="8"/>
  <c r="C459" i="8"/>
  <c r="E458" i="8"/>
  <c r="D458" i="8"/>
  <c r="C458" i="8"/>
  <c r="K457" i="8"/>
  <c r="E457" i="8"/>
  <c r="D457" i="8"/>
  <c r="C457" i="8"/>
  <c r="E453" i="8"/>
  <c r="D453" i="8"/>
  <c r="C453" i="8"/>
  <c r="E452" i="8"/>
  <c r="D452" i="8"/>
  <c r="C452" i="8"/>
  <c r="F451" i="8"/>
  <c r="E451" i="8"/>
  <c r="D451" i="8"/>
  <c r="C451" i="8"/>
  <c r="F450" i="8"/>
  <c r="E450" i="8"/>
  <c r="D450" i="8"/>
  <c r="C450" i="8"/>
  <c r="E449" i="8"/>
  <c r="D449" i="8"/>
  <c r="C449" i="8"/>
  <c r="E448" i="8"/>
  <c r="D448" i="8"/>
  <c r="C448" i="8"/>
  <c r="E444" i="8"/>
  <c r="D444" i="8"/>
  <c r="C444" i="8"/>
  <c r="E443" i="8"/>
  <c r="D443" i="8"/>
  <c r="C443" i="8"/>
  <c r="F442" i="8"/>
  <c r="E442" i="8"/>
  <c r="D442" i="8"/>
  <c r="C442" i="8"/>
  <c r="F441" i="8"/>
  <c r="E441" i="8"/>
  <c r="D441" i="8"/>
  <c r="C441" i="8"/>
  <c r="E440" i="8"/>
  <c r="D440" i="8"/>
  <c r="C440" i="8"/>
  <c r="E439" i="8"/>
  <c r="D439" i="8"/>
  <c r="C439" i="8"/>
  <c r="E435" i="8"/>
  <c r="D435" i="8"/>
  <c r="C435" i="8"/>
  <c r="E434" i="8"/>
  <c r="D434" i="8"/>
  <c r="C434" i="8"/>
  <c r="F433" i="8"/>
  <c r="E433" i="8"/>
  <c r="D433" i="8"/>
  <c r="C433" i="8"/>
  <c r="F432" i="8"/>
  <c r="E432" i="8"/>
  <c r="D432" i="8"/>
  <c r="C432" i="8"/>
  <c r="E431" i="8"/>
  <c r="D431" i="8"/>
  <c r="C431" i="8"/>
  <c r="K430" i="8"/>
  <c r="E430" i="8"/>
  <c r="D430" i="8"/>
  <c r="C430" i="8"/>
  <c r="E426" i="8"/>
  <c r="D426" i="8"/>
  <c r="C426" i="8"/>
  <c r="E425" i="8"/>
  <c r="D425" i="8"/>
  <c r="C425" i="8"/>
  <c r="F424" i="8"/>
  <c r="E424" i="8"/>
  <c r="D424" i="8"/>
  <c r="C424" i="8"/>
  <c r="F423" i="8"/>
  <c r="E423" i="8"/>
  <c r="D423" i="8"/>
  <c r="C423" i="8"/>
  <c r="E422" i="8"/>
  <c r="D422" i="8"/>
  <c r="C422" i="8"/>
  <c r="K421" i="8"/>
  <c r="E421" i="8"/>
  <c r="D421" i="8"/>
  <c r="C421" i="8"/>
  <c r="E417" i="8"/>
  <c r="D417" i="8"/>
  <c r="C417" i="8"/>
  <c r="E416" i="8"/>
  <c r="D416" i="8"/>
  <c r="C416" i="8"/>
  <c r="F415" i="8"/>
  <c r="E415" i="8"/>
  <c r="D415" i="8"/>
  <c r="C415" i="8"/>
  <c r="F414" i="8"/>
  <c r="E414" i="8"/>
  <c r="D414" i="8"/>
  <c r="C414" i="8"/>
  <c r="E413" i="8"/>
  <c r="D413" i="8"/>
  <c r="C413" i="8"/>
  <c r="E412" i="8"/>
  <c r="D412" i="8"/>
  <c r="C412" i="8"/>
  <c r="E408" i="8"/>
  <c r="D408" i="8"/>
  <c r="C408" i="8"/>
  <c r="E407" i="8"/>
  <c r="D407" i="8"/>
  <c r="C407" i="8"/>
  <c r="F406" i="8"/>
  <c r="E406" i="8"/>
  <c r="D406" i="8"/>
  <c r="C406" i="8"/>
  <c r="F405" i="8"/>
  <c r="E405" i="8"/>
  <c r="D405" i="8"/>
  <c r="C405" i="8"/>
  <c r="E404" i="8"/>
  <c r="D404" i="8"/>
  <c r="C404" i="8"/>
  <c r="E403" i="8"/>
  <c r="D403" i="8"/>
  <c r="C403" i="8"/>
  <c r="E399" i="8"/>
  <c r="D399" i="8"/>
  <c r="C399" i="8"/>
  <c r="E398" i="8"/>
  <c r="D398" i="8"/>
  <c r="C398" i="8"/>
  <c r="F397" i="8"/>
  <c r="E397" i="8"/>
  <c r="D397" i="8"/>
  <c r="C397" i="8"/>
  <c r="F396" i="8"/>
  <c r="E396" i="8"/>
  <c r="D396" i="8"/>
  <c r="C396" i="8"/>
  <c r="E395" i="8"/>
  <c r="D395" i="8"/>
  <c r="C395" i="8"/>
  <c r="E394" i="8"/>
  <c r="D394" i="8"/>
  <c r="C394" i="8"/>
  <c r="E390" i="8"/>
  <c r="D390" i="8"/>
  <c r="C390" i="8"/>
  <c r="E389" i="8"/>
  <c r="D389" i="8"/>
  <c r="C389" i="8"/>
  <c r="F388" i="8"/>
  <c r="E388" i="8"/>
  <c r="D388" i="8"/>
  <c r="C388" i="8"/>
  <c r="F387" i="8"/>
  <c r="E387" i="8"/>
  <c r="D387" i="8"/>
  <c r="C387" i="8"/>
  <c r="E386" i="8"/>
  <c r="D386" i="8"/>
  <c r="C386" i="8"/>
  <c r="E385" i="8"/>
  <c r="D385" i="8"/>
  <c r="C385" i="8"/>
  <c r="E381" i="8"/>
  <c r="D381" i="8"/>
  <c r="C381" i="8"/>
  <c r="E380" i="8"/>
  <c r="D380" i="8"/>
  <c r="C380" i="8"/>
  <c r="F379" i="8"/>
  <c r="E379" i="8"/>
  <c r="D379" i="8"/>
  <c r="C379" i="8"/>
  <c r="F378" i="8"/>
  <c r="E378" i="8"/>
  <c r="D378" i="8"/>
  <c r="C378" i="8"/>
  <c r="E377" i="8"/>
  <c r="D377" i="8"/>
  <c r="C377" i="8"/>
  <c r="E376" i="8"/>
  <c r="D376" i="8"/>
  <c r="C376" i="8"/>
  <c r="E372" i="8"/>
  <c r="D372" i="8"/>
  <c r="C372" i="8"/>
  <c r="E371" i="8"/>
  <c r="D371" i="8"/>
  <c r="C371" i="8"/>
  <c r="F370" i="8"/>
  <c r="E370" i="8"/>
  <c r="D370" i="8"/>
  <c r="C370" i="8"/>
  <c r="F369" i="8"/>
  <c r="E369" i="8"/>
  <c r="D369" i="8"/>
  <c r="C369" i="8"/>
  <c r="E368" i="8"/>
  <c r="D368" i="8"/>
  <c r="C368" i="8"/>
  <c r="K367" i="8"/>
  <c r="E367" i="8"/>
  <c r="D367" i="8"/>
  <c r="C367" i="8"/>
  <c r="E363" i="8"/>
  <c r="D363" i="8"/>
  <c r="C363" i="8"/>
  <c r="E362" i="8"/>
  <c r="D362" i="8"/>
  <c r="C362" i="8"/>
  <c r="F361" i="8"/>
  <c r="E361" i="8"/>
  <c r="D361" i="8"/>
  <c r="C361" i="8"/>
  <c r="F360" i="8"/>
  <c r="E360" i="8"/>
  <c r="D360" i="8"/>
  <c r="C360" i="8"/>
  <c r="E359" i="8"/>
  <c r="D359" i="8"/>
  <c r="C359" i="8"/>
  <c r="K358" i="8"/>
  <c r="E358" i="8"/>
  <c r="D358" i="8"/>
  <c r="C358" i="8"/>
  <c r="E354" i="8"/>
  <c r="D354" i="8"/>
  <c r="C354" i="8"/>
  <c r="E353" i="8"/>
  <c r="D353" i="8"/>
  <c r="C353" i="8"/>
  <c r="F352" i="8"/>
  <c r="E352" i="8"/>
  <c r="D352" i="8"/>
  <c r="C352" i="8"/>
  <c r="F351" i="8"/>
  <c r="E351" i="8"/>
  <c r="D351" i="8"/>
  <c r="C351" i="8"/>
  <c r="E350" i="8"/>
  <c r="D350" i="8"/>
  <c r="C350" i="8"/>
  <c r="E349" i="8"/>
  <c r="D349" i="8"/>
  <c r="C349" i="8"/>
  <c r="G345" i="8"/>
  <c r="E345" i="8"/>
  <c r="D345" i="8"/>
  <c r="C345" i="8"/>
  <c r="E344" i="8"/>
  <c r="D344" i="8"/>
  <c r="C344" i="8"/>
  <c r="E343" i="8"/>
  <c r="D343" i="8"/>
  <c r="C343" i="8"/>
  <c r="F342" i="8"/>
  <c r="E342" i="8"/>
  <c r="D342" i="8"/>
  <c r="C342" i="8"/>
  <c r="F341" i="8"/>
  <c r="E341" i="8"/>
  <c r="D341" i="8"/>
  <c r="C341" i="8"/>
  <c r="E340" i="8"/>
  <c r="D340" i="8"/>
  <c r="C340" i="8"/>
  <c r="E339" i="8"/>
  <c r="D339" i="8"/>
  <c r="C339" i="8"/>
  <c r="K338" i="8"/>
  <c r="E338" i="8"/>
  <c r="D338" i="8"/>
  <c r="C338" i="8"/>
  <c r="G334" i="8"/>
  <c r="I334" i="8" s="1"/>
  <c r="E334" i="8"/>
  <c r="D334" i="8"/>
  <c r="C334" i="8"/>
  <c r="G333" i="8"/>
  <c r="I333" i="8" s="1"/>
  <c r="E333" i="8"/>
  <c r="D333" i="8"/>
  <c r="C333" i="8"/>
  <c r="G332" i="8"/>
  <c r="I332" i="8" s="1"/>
  <c r="E332" i="8"/>
  <c r="D332" i="8"/>
  <c r="C332" i="8"/>
  <c r="F331" i="8"/>
  <c r="E331" i="8"/>
  <c r="D331" i="8"/>
  <c r="C331" i="8"/>
  <c r="E330" i="8"/>
  <c r="D330" i="8"/>
  <c r="C330" i="8"/>
  <c r="F329" i="8"/>
  <c r="E329" i="8"/>
  <c r="D329" i="8"/>
  <c r="C329" i="8"/>
  <c r="F328" i="8"/>
  <c r="E328" i="8"/>
  <c r="D328" i="8"/>
  <c r="C328" i="8"/>
  <c r="E327" i="8"/>
  <c r="D327" i="8"/>
  <c r="C327" i="8"/>
  <c r="E326" i="8"/>
  <c r="D326" i="8"/>
  <c r="C326" i="8"/>
  <c r="E322" i="8"/>
  <c r="D322" i="8"/>
  <c r="C322" i="8"/>
  <c r="F321" i="8"/>
  <c r="E321" i="8"/>
  <c r="D321" i="8"/>
  <c r="C321" i="8"/>
  <c r="F320" i="8"/>
  <c r="E320" i="8"/>
  <c r="D320" i="8"/>
  <c r="C320" i="8"/>
  <c r="F319" i="8"/>
  <c r="E319" i="8"/>
  <c r="D319" i="8"/>
  <c r="C319" i="8"/>
  <c r="E318" i="8"/>
  <c r="D318" i="8"/>
  <c r="C318" i="8"/>
  <c r="E317" i="8"/>
  <c r="D317" i="8"/>
  <c r="C317" i="8"/>
  <c r="E316" i="8"/>
  <c r="D316" i="8"/>
  <c r="C316" i="8"/>
  <c r="G312" i="8"/>
  <c r="I312" i="8" s="1"/>
  <c r="E312" i="8"/>
  <c r="D312" i="8"/>
  <c r="C312" i="8"/>
  <c r="E311" i="8"/>
  <c r="D311" i="8"/>
  <c r="C311" i="8"/>
  <c r="E310" i="8"/>
  <c r="D310" i="8"/>
  <c r="C310" i="8"/>
  <c r="F309" i="8"/>
  <c r="E309" i="8"/>
  <c r="D309" i="8"/>
  <c r="C309" i="8"/>
  <c r="F308" i="8"/>
  <c r="E308" i="8"/>
  <c r="D308" i="8"/>
  <c r="C308" i="8"/>
  <c r="E307" i="8"/>
  <c r="D307" i="8"/>
  <c r="C307" i="8"/>
  <c r="E306" i="8"/>
  <c r="D306" i="8"/>
  <c r="C306" i="8"/>
  <c r="E305" i="8"/>
  <c r="D305" i="8"/>
  <c r="C305" i="8"/>
  <c r="G301" i="8"/>
  <c r="I301" i="8" s="1"/>
  <c r="E301" i="8"/>
  <c r="D301" i="8"/>
  <c r="C301" i="8"/>
  <c r="F300" i="8"/>
  <c r="E300" i="8"/>
  <c r="D300" i="8"/>
  <c r="C300" i="8"/>
  <c r="F299" i="8"/>
  <c r="E299" i="8"/>
  <c r="D299" i="8"/>
  <c r="C299" i="8"/>
  <c r="K298" i="8"/>
  <c r="E298" i="8"/>
  <c r="D298" i="8"/>
  <c r="C298" i="8"/>
  <c r="E294" i="8"/>
  <c r="D294" i="8"/>
  <c r="C294" i="8"/>
  <c r="E293" i="8"/>
  <c r="D293" i="8"/>
  <c r="C293" i="8"/>
  <c r="E292" i="8"/>
  <c r="D292" i="8"/>
  <c r="C292" i="8"/>
  <c r="F291" i="8"/>
  <c r="E291" i="8"/>
  <c r="D291" i="8"/>
  <c r="C291" i="8"/>
  <c r="F290" i="8"/>
  <c r="E290" i="8"/>
  <c r="D290" i="8"/>
  <c r="C290" i="8"/>
  <c r="E289" i="8"/>
  <c r="D289" i="8"/>
  <c r="C289" i="8"/>
  <c r="E288" i="8"/>
  <c r="D288" i="8"/>
  <c r="C288" i="8"/>
  <c r="E287" i="8"/>
  <c r="D287" i="8"/>
  <c r="C287" i="8"/>
  <c r="G283" i="8"/>
  <c r="E283" i="8"/>
  <c r="D283" i="8"/>
  <c r="C283" i="8"/>
  <c r="E282" i="8"/>
  <c r="D282" i="8"/>
  <c r="C282" i="8"/>
  <c r="G281" i="8"/>
  <c r="I281" i="8" s="1"/>
  <c r="E281" i="8"/>
  <c r="D281" i="8"/>
  <c r="C281" i="8"/>
  <c r="F280" i="8"/>
  <c r="E280" i="8"/>
  <c r="D280" i="8"/>
  <c r="C280" i="8"/>
  <c r="E279" i="8"/>
  <c r="D279" i="8"/>
  <c r="C279" i="8"/>
  <c r="G275" i="8"/>
  <c r="I275" i="8" s="1"/>
  <c r="E275" i="8"/>
  <c r="D275" i="8"/>
  <c r="C275" i="8"/>
  <c r="E274" i="8"/>
  <c r="D274" i="8"/>
  <c r="C274" i="8"/>
  <c r="F273" i="8"/>
  <c r="E273" i="8"/>
  <c r="D273" i="8"/>
  <c r="C273" i="8"/>
  <c r="E272" i="8"/>
  <c r="D272" i="8"/>
  <c r="C272" i="8"/>
  <c r="G268" i="8"/>
  <c r="E268" i="8"/>
  <c r="D268" i="8"/>
  <c r="C268" i="8"/>
  <c r="E267" i="8"/>
  <c r="D267" i="8"/>
  <c r="C267" i="8"/>
  <c r="E266" i="8"/>
  <c r="D266" i="8"/>
  <c r="C266" i="8"/>
  <c r="F265" i="8"/>
  <c r="E265" i="8"/>
  <c r="D265" i="8"/>
  <c r="C265" i="8"/>
  <c r="F264" i="8"/>
  <c r="E264" i="8"/>
  <c r="D264" i="8"/>
  <c r="C264" i="8"/>
  <c r="E263" i="8"/>
  <c r="D263" i="8"/>
  <c r="C263" i="8"/>
  <c r="E262" i="8"/>
  <c r="D262" i="8"/>
  <c r="C262" i="8"/>
  <c r="K261" i="8"/>
  <c r="E261" i="8"/>
  <c r="D261" i="8"/>
  <c r="C261" i="8"/>
  <c r="G257" i="8"/>
  <c r="I257" i="8" s="1"/>
  <c r="E257" i="8"/>
  <c r="D257" i="8"/>
  <c r="C257" i="8"/>
  <c r="E256" i="8"/>
  <c r="D256" i="8"/>
  <c r="C256" i="8"/>
  <c r="G255" i="8"/>
  <c r="E255" i="8"/>
  <c r="D255" i="8"/>
  <c r="C255" i="8"/>
  <c r="G254" i="8"/>
  <c r="I254" i="8" s="1"/>
  <c r="E254" i="8"/>
  <c r="D254" i="8"/>
  <c r="C254" i="8"/>
  <c r="E253" i="8"/>
  <c r="D253" i="8"/>
  <c r="C253" i="8"/>
  <c r="G252" i="8"/>
  <c r="I252" i="8" s="1"/>
  <c r="E252" i="8"/>
  <c r="D252" i="8"/>
  <c r="C252" i="8"/>
  <c r="E251" i="8"/>
  <c r="D251" i="8"/>
  <c r="C251" i="8"/>
  <c r="E250" i="8"/>
  <c r="D250" i="8"/>
  <c r="C250" i="8"/>
  <c r="K249" i="8"/>
  <c r="E249" i="8"/>
  <c r="D249" i="8"/>
  <c r="C249" i="8"/>
  <c r="E245" i="8"/>
  <c r="D245" i="8"/>
  <c r="C245" i="8"/>
  <c r="G244" i="8"/>
  <c r="I244" i="8" s="1"/>
  <c r="E244" i="8"/>
  <c r="D244" i="8"/>
  <c r="C244" i="8"/>
  <c r="G243" i="8"/>
  <c r="I243" i="8" s="1"/>
  <c r="E243" i="8"/>
  <c r="D243" i="8"/>
  <c r="C243" i="8"/>
  <c r="G242" i="8"/>
  <c r="I242" i="8" s="1"/>
  <c r="E242" i="8"/>
  <c r="D242" i="8"/>
  <c r="C242" i="8"/>
  <c r="E241" i="8"/>
  <c r="D241" i="8"/>
  <c r="C241" i="8"/>
  <c r="G240" i="8"/>
  <c r="I240" i="8" s="1"/>
  <c r="E240" i="8"/>
  <c r="D240" i="8"/>
  <c r="C240" i="8"/>
  <c r="G239" i="8"/>
  <c r="I239" i="8" s="1"/>
  <c r="E239" i="8"/>
  <c r="D239" i="8"/>
  <c r="C239" i="8"/>
  <c r="E238" i="8"/>
  <c r="D238" i="8"/>
  <c r="C238" i="8"/>
  <c r="K237" i="8"/>
  <c r="E237" i="8"/>
  <c r="D237" i="8"/>
  <c r="C237" i="8"/>
  <c r="E233" i="8"/>
  <c r="D233" i="8"/>
  <c r="C233" i="8"/>
  <c r="E232" i="8"/>
  <c r="D232" i="8"/>
  <c r="C232" i="8"/>
  <c r="E231" i="8"/>
  <c r="D231" i="8"/>
  <c r="C231" i="8"/>
  <c r="E230" i="8"/>
  <c r="D230" i="8"/>
  <c r="C230" i="8"/>
  <c r="E229" i="8"/>
  <c r="D229" i="8"/>
  <c r="C229" i="8"/>
  <c r="E228" i="8"/>
  <c r="D228" i="8"/>
  <c r="C228" i="8"/>
  <c r="E224" i="8"/>
  <c r="D224" i="8"/>
  <c r="C224" i="8"/>
  <c r="E223" i="8"/>
  <c r="D223" i="8"/>
  <c r="C223" i="8"/>
  <c r="E222" i="8"/>
  <c r="D222" i="8"/>
  <c r="C222" i="8"/>
  <c r="E221" i="8"/>
  <c r="D221" i="8"/>
  <c r="C221" i="8"/>
  <c r="E217" i="8"/>
  <c r="D217" i="8"/>
  <c r="C217" i="8"/>
  <c r="E216" i="8"/>
  <c r="D216" i="8"/>
  <c r="C216" i="8"/>
  <c r="E215" i="8"/>
  <c r="D215" i="8"/>
  <c r="C215" i="8"/>
  <c r="F214" i="8"/>
  <c r="E214" i="8"/>
  <c r="D214" i="8"/>
  <c r="C214" i="8"/>
  <c r="E213" i="8"/>
  <c r="D213" i="8"/>
  <c r="C213" i="8"/>
  <c r="G209" i="8"/>
  <c r="I209" i="8" s="1"/>
  <c r="E209" i="8"/>
  <c r="D209" i="8"/>
  <c r="C209" i="8"/>
  <c r="E208" i="8"/>
  <c r="D208" i="8"/>
  <c r="C208" i="8"/>
  <c r="G207" i="8"/>
  <c r="I207" i="8" s="1"/>
  <c r="E207" i="8"/>
  <c r="D207" i="8"/>
  <c r="C207" i="8"/>
  <c r="G206" i="8"/>
  <c r="I206" i="8" s="1"/>
  <c r="E206" i="8"/>
  <c r="D206" i="8"/>
  <c r="C206" i="8"/>
  <c r="E205" i="8"/>
  <c r="D205" i="8"/>
  <c r="C205" i="8"/>
  <c r="G204" i="8"/>
  <c r="I204" i="8" s="1"/>
  <c r="E204" i="8"/>
  <c r="D204" i="8"/>
  <c r="C204" i="8"/>
  <c r="G203" i="8"/>
  <c r="I203" i="8" s="1"/>
  <c r="E203" i="8"/>
  <c r="D203" i="8"/>
  <c r="C203" i="8"/>
  <c r="E202" i="8"/>
  <c r="D202" i="8"/>
  <c r="C202" i="8"/>
  <c r="K201" i="8"/>
  <c r="E201" i="8"/>
  <c r="D201" i="8"/>
  <c r="C201" i="8"/>
  <c r="E197" i="8"/>
  <c r="D197" i="8"/>
  <c r="C197" i="8"/>
  <c r="G196" i="8"/>
  <c r="I196" i="8" s="1"/>
  <c r="E196" i="8"/>
  <c r="D196" i="8"/>
  <c r="C196" i="8"/>
  <c r="G195" i="8"/>
  <c r="I195" i="8" s="1"/>
  <c r="E195" i="8"/>
  <c r="D195" i="8"/>
  <c r="C195" i="8"/>
  <c r="G194" i="8"/>
  <c r="I194" i="8" s="1"/>
  <c r="E194" i="8"/>
  <c r="D194" i="8"/>
  <c r="C194" i="8"/>
  <c r="G193" i="8"/>
  <c r="I193" i="8" s="1"/>
  <c r="E193" i="8"/>
  <c r="D193" i="8"/>
  <c r="C193" i="8"/>
  <c r="G192" i="8"/>
  <c r="I192" i="8" s="1"/>
  <c r="E192" i="8"/>
  <c r="D192" i="8"/>
  <c r="C192" i="8"/>
  <c r="G191" i="8"/>
  <c r="I191" i="8" s="1"/>
  <c r="E191" i="8"/>
  <c r="D191" i="8"/>
  <c r="C191" i="8"/>
  <c r="E190" i="8"/>
  <c r="D190" i="8"/>
  <c r="C190" i="8"/>
  <c r="K189" i="8"/>
  <c r="E189" i="8"/>
  <c r="D189" i="8"/>
  <c r="C189" i="8"/>
  <c r="E185" i="8"/>
  <c r="D185" i="8"/>
  <c r="C185" i="8"/>
  <c r="G184" i="8"/>
  <c r="I184" i="8" s="1"/>
  <c r="E184" i="8"/>
  <c r="D184" i="8"/>
  <c r="C184" i="8"/>
  <c r="G183" i="8"/>
  <c r="I183" i="8" s="1"/>
  <c r="E183" i="8"/>
  <c r="D183" i="8"/>
  <c r="C183" i="8"/>
  <c r="G182" i="8"/>
  <c r="I182" i="8" s="1"/>
  <c r="E182" i="8"/>
  <c r="D182" i="8"/>
  <c r="C182" i="8"/>
  <c r="E181" i="8"/>
  <c r="D181" i="8"/>
  <c r="C181" i="8"/>
  <c r="E180" i="8"/>
  <c r="D180" i="8"/>
  <c r="C180" i="8"/>
  <c r="E179" i="8"/>
  <c r="D179" i="8"/>
  <c r="C179" i="8"/>
  <c r="E178" i="8"/>
  <c r="D178" i="8"/>
  <c r="C178" i="8"/>
  <c r="K177" i="8"/>
  <c r="E177" i="8"/>
  <c r="D177" i="8"/>
  <c r="C177" i="8"/>
  <c r="E173" i="8"/>
  <c r="D173" i="8"/>
  <c r="C173" i="8"/>
  <c r="E172" i="8"/>
  <c r="D172" i="8"/>
  <c r="C172" i="8"/>
  <c r="G171" i="8"/>
  <c r="I171" i="8" s="1"/>
  <c r="E171" i="8"/>
  <c r="D171" i="8"/>
  <c r="C171" i="8"/>
  <c r="G170" i="8"/>
  <c r="I170" i="8" s="1"/>
  <c r="E170" i="8"/>
  <c r="D170" i="8"/>
  <c r="C170" i="8"/>
  <c r="E169" i="8"/>
  <c r="D169" i="8"/>
  <c r="C169" i="8"/>
  <c r="E168" i="8"/>
  <c r="D168" i="8"/>
  <c r="C168" i="8"/>
  <c r="E167" i="8"/>
  <c r="D167" i="8"/>
  <c r="C167" i="8"/>
  <c r="E166" i="8"/>
  <c r="D166" i="8"/>
  <c r="C166" i="8"/>
  <c r="K165" i="8"/>
  <c r="E165" i="8"/>
  <c r="D165" i="8"/>
  <c r="C165" i="8"/>
  <c r="E161" i="8"/>
  <c r="D161" i="8"/>
  <c r="C161" i="8"/>
  <c r="E160" i="8"/>
  <c r="D160" i="8"/>
  <c r="C160" i="8"/>
  <c r="G156" i="8"/>
  <c r="I156" i="8" s="1"/>
  <c r="E156" i="8"/>
  <c r="D156" i="8"/>
  <c r="C156" i="8"/>
  <c r="G155" i="8"/>
  <c r="I155" i="8" s="1"/>
  <c r="E155" i="8"/>
  <c r="D155" i="8"/>
  <c r="C155" i="8"/>
  <c r="G154" i="8"/>
  <c r="I154" i="8" s="1"/>
  <c r="E154" i="8"/>
  <c r="D154" i="8"/>
  <c r="C154" i="8"/>
  <c r="G153" i="8"/>
  <c r="I153" i="8" s="1"/>
  <c r="E153" i="8"/>
  <c r="D153" i="8"/>
  <c r="C153" i="8"/>
  <c r="E152" i="8"/>
  <c r="D152" i="8"/>
  <c r="C152" i="8"/>
  <c r="E151" i="8"/>
  <c r="D151" i="8"/>
  <c r="C151" i="8"/>
  <c r="G150" i="8"/>
  <c r="I150" i="8" s="1"/>
  <c r="E150" i="8"/>
  <c r="D150" i="8"/>
  <c r="C150" i="8"/>
  <c r="E149" i="8"/>
  <c r="D149" i="8"/>
  <c r="C149" i="8"/>
  <c r="E148" i="8"/>
  <c r="D148" i="8"/>
  <c r="C148" i="8"/>
  <c r="G144" i="8"/>
  <c r="I144" i="8" s="1"/>
  <c r="E144" i="8"/>
  <c r="D144" i="8"/>
  <c r="C144" i="8"/>
  <c r="E143" i="8"/>
  <c r="D143" i="8"/>
  <c r="C143" i="8"/>
  <c r="E142" i="8"/>
  <c r="D142" i="8"/>
  <c r="C142" i="8"/>
  <c r="E141" i="8"/>
  <c r="D141" i="8"/>
  <c r="C141" i="8"/>
  <c r="E140" i="8"/>
  <c r="D140" i="8"/>
  <c r="C140" i="8"/>
  <c r="F139" i="8"/>
  <c r="E139" i="8"/>
  <c r="D139" i="8"/>
  <c r="C139" i="8"/>
  <c r="F138" i="8"/>
  <c r="E138" i="8"/>
  <c r="D138" i="8"/>
  <c r="C138" i="8"/>
  <c r="K137" i="8"/>
  <c r="E137" i="8"/>
  <c r="D137" i="8"/>
  <c r="C137" i="8"/>
  <c r="E133" i="8"/>
  <c r="D133" i="8"/>
  <c r="C133" i="8"/>
  <c r="E132" i="8"/>
  <c r="D132" i="8"/>
  <c r="C132" i="8"/>
  <c r="E131" i="8"/>
  <c r="D131" i="8"/>
  <c r="C131" i="8"/>
  <c r="F130" i="8"/>
  <c r="E130" i="8"/>
  <c r="D130" i="8"/>
  <c r="C130" i="8"/>
  <c r="F129" i="8"/>
  <c r="E129" i="8"/>
  <c r="D129" i="8"/>
  <c r="C129" i="8"/>
  <c r="E128" i="8"/>
  <c r="D128" i="8"/>
  <c r="C128" i="8"/>
  <c r="E127" i="8"/>
  <c r="D127" i="8"/>
  <c r="C127" i="8"/>
  <c r="K126" i="8"/>
  <c r="E126" i="8"/>
  <c r="D126" i="8"/>
  <c r="C126" i="8"/>
  <c r="G122" i="8"/>
  <c r="I122" i="8" s="1"/>
  <c r="E122" i="8"/>
  <c r="D122" i="8"/>
  <c r="C122" i="8"/>
  <c r="G121" i="8"/>
  <c r="I121" i="8" s="1"/>
  <c r="E121" i="8"/>
  <c r="D121" i="8"/>
  <c r="C121" i="8"/>
  <c r="F120" i="8"/>
  <c r="E120" i="8"/>
  <c r="D120" i="8"/>
  <c r="C120" i="8"/>
  <c r="E119" i="8"/>
  <c r="D119" i="8"/>
  <c r="C119" i="8"/>
  <c r="E118" i="8"/>
  <c r="D118" i="8"/>
  <c r="C118" i="8"/>
  <c r="K117" i="8"/>
  <c r="E117" i="8"/>
  <c r="D117" i="8"/>
  <c r="C117" i="8"/>
  <c r="E113" i="8"/>
  <c r="D113" i="8"/>
  <c r="C113" i="8"/>
  <c r="E112" i="8"/>
  <c r="D112" i="8"/>
  <c r="C112" i="8"/>
  <c r="G111" i="8"/>
  <c r="I111" i="8" s="1"/>
  <c r="E111" i="8"/>
  <c r="D111" i="8"/>
  <c r="C111" i="8"/>
  <c r="G110" i="8"/>
  <c r="I110" i="8" s="1"/>
  <c r="E110" i="8"/>
  <c r="D110" i="8"/>
  <c r="C110" i="8"/>
  <c r="E109" i="8"/>
  <c r="D109" i="8"/>
  <c r="C109" i="8"/>
  <c r="E108" i="8"/>
  <c r="D108" i="8"/>
  <c r="C108" i="8"/>
  <c r="E107" i="8"/>
  <c r="D107" i="8"/>
  <c r="C107" i="8"/>
  <c r="E106" i="8"/>
  <c r="D106" i="8"/>
  <c r="C106" i="8"/>
  <c r="E105" i="8"/>
  <c r="D105" i="8"/>
  <c r="C105" i="8"/>
  <c r="E101" i="8"/>
  <c r="D101" i="8"/>
  <c r="C101" i="8"/>
  <c r="E100" i="8"/>
  <c r="D100" i="8"/>
  <c r="C100" i="8"/>
  <c r="G99" i="8"/>
  <c r="I99" i="8" s="1"/>
  <c r="E99" i="8"/>
  <c r="D99" i="8"/>
  <c r="C99" i="8"/>
  <c r="G98" i="8"/>
  <c r="I98" i="8" s="1"/>
  <c r="E98" i="8"/>
  <c r="D98" i="8"/>
  <c r="C98" i="8"/>
  <c r="E97" i="8"/>
  <c r="D97" i="8"/>
  <c r="C97" i="8"/>
  <c r="E96" i="8"/>
  <c r="D96" i="8"/>
  <c r="C96" i="8"/>
  <c r="E95" i="8"/>
  <c r="D95" i="8"/>
  <c r="C95" i="8"/>
  <c r="E94" i="8"/>
  <c r="D94" i="8"/>
  <c r="C94" i="8"/>
  <c r="K93" i="8"/>
  <c r="E93" i="8"/>
  <c r="D93" i="8"/>
  <c r="C93" i="8"/>
  <c r="G89" i="8"/>
  <c r="I89" i="8" s="1"/>
  <c r="E89" i="8"/>
  <c r="D89" i="8"/>
  <c r="C89" i="8"/>
  <c r="E88" i="8"/>
  <c r="D88" i="8"/>
  <c r="C88" i="8"/>
  <c r="G87" i="8"/>
  <c r="I87" i="8" s="1"/>
  <c r="E87" i="8"/>
  <c r="D87" i="8"/>
  <c r="C87" i="8"/>
  <c r="G86" i="8"/>
  <c r="I86" i="8" s="1"/>
  <c r="E86" i="8"/>
  <c r="D86" i="8"/>
  <c r="C86" i="8"/>
  <c r="E85" i="8"/>
  <c r="D85" i="8"/>
  <c r="C85" i="8"/>
  <c r="E84" i="8"/>
  <c r="D84" i="8"/>
  <c r="C84" i="8"/>
  <c r="E83" i="8"/>
  <c r="D83" i="8"/>
  <c r="C83" i="8"/>
  <c r="E82" i="8"/>
  <c r="D82" i="8"/>
  <c r="C82" i="8"/>
  <c r="E81" i="8"/>
  <c r="D81" i="8"/>
  <c r="C81" i="8"/>
  <c r="G77" i="8"/>
  <c r="I77" i="8" s="1"/>
  <c r="E77" i="8"/>
  <c r="D77" i="8"/>
  <c r="C77" i="8"/>
  <c r="E76" i="8"/>
  <c r="D76" i="8"/>
  <c r="C76" i="8"/>
  <c r="G75" i="8"/>
  <c r="I75" i="8" s="1"/>
  <c r="E75" i="8"/>
  <c r="D75" i="8"/>
  <c r="C75" i="8"/>
  <c r="G74" i="8"/>
  <c r="I74" i="8" s="1"/>
  <c r="E74" i="8"/>
  <c r="D74" i="8"/>
  <c r="C74" i="8"/>
  <c r="E73" i="8"/>
  <c r="D73" i="8"/>
  <c r="C73" i="8"/>
  <c r="E72" i="8"/>
  <c r="D72" i="8"/>
  <c r="C72" i="8"/>
  <c r="E71" i="8"/>
  <c r="D71" i="8"/>
  <c r="C71" i="8"/>
  <c r="E70" i="8"/>
  <c r="D70" i="8"/>
  <c r="C70" i="8"/>
  <c r="E69" i="8"/>
  <c r="D69" i="8"/>
  <c r="C69" i="8"/>
  <c r="E65" i="8"/>
  <c r="D65" i="8"/>
  <c r="C65" i="8"/>
  <c r="G64" i="8"/>
  <c r="I64" i="8" s="1"/>
  <c r="E64" i="8"/>
  <c r="D64" i="8"/>
  <c r="C64" i="8"/>
  <c r="E63" i="8"/>
  <c r="D63" i="8"/>
  <c r="C63" i="8"/>
  <c r="E62" i="8"/>
  <c r="D62" i="8"/>
  <c r="C62" i="8"/>
  <c r="G61" i="8"/>
  <c r="I61" i="8" s="1"/>
  <c r="E61" i="8"/>
  <c r="D61" i="8"/>
  <c r="C61" i="8"/>
  <c r="E60" i="8"/>
  <c r="D60" i="8"/>
  <c r="C60" i="8"/>
  <c r="E59" i="8"/>
  <c r="D59" i="8"/>
  <c r="C59" i="8"/>
  <c r="E55" i="8"/>
  <c r="D55" i="8"/>
  <c r="C55" i="8"/>
  <c r="G54" i="8"/>
  <c r="I54" i="8" s="1"/>
  <c r="E54" i="8"/>
  <c r="D54" i="8"/>
  <c r="C54" i="8"/>
  <c r="E53" i="8"/>
  <c r="D53" i="8"/>
  <c r="C53" i="8"/>
  <c r="E52" i="8"/>
  <c r="D52" i="8"/>
  <c r="C52" i="8"/>
  <c r="E51" i="8"/>
  <c r="D51" i="8"/>
  <c r="C51" i="8"/>
  <c r="E50" i="8"/>
  <c r="D50" i="8"/>
  <c r="C50" i="8"/>
  <c r="E49" i="8"/>
  <c r="D49" i="8"/>
  <c r="C49" i="8"/>
  <c r="G45" i="8"/>
  <c r="I45" i="8" s="1"/>
  <c r="E45" i="8"/>
  <c r="D45" i="8"/>
  <c r="C45" i="8"/>
  <c r="G44" i="8"/>
  <c r="I44" i="8" s="1"/>
  <c r="E44" i="8"/>
  <c r="D44" i="8"/>
  <c r="C44" i="8"/>
  <c r="G43" i="8"/>
  <c r="I43" i="8" s="1"/>
  <c r="E43" i="8"/>
  <c r="D43" i="8"/>
  <c r="C43" i="8"/>
  <c r="G42" i="8"/>
  <c r="I42" i="8" s="1"/>
  <c r="E42" i="8"/>
  <c r="D42" i="8"/>
  <c r="C42" i="8"/>
  <c r="E41" i="8"/>
  <c r="D41" i="8"/>
  <c r="C41" i="8"/>
  <c r="G40" i="8"/>
  <c r="I40" i="8" s="1"/>
  <c r="E40" i="8"/>
  <c r="D40" i="8"/>
  <c r="C40" i="8"/>
  <c r="G39" i="8"/>
  <c r="I39" i="8" s="1"/>
  <c r="E39" i="8"/>
  <c r="D39" i="8"/>
  <c r="C39" i="8"/>
  <c r="E38" i="8"/>
  <c r="D38" i="8"/>
  <c r="C38" i="8"/>
  <c r="K37" i="8"/>
  <c r="E37" i="8"/>
  <c r="D37" i="8"/>
  <c r="C37" i="8"/>
  <c r="G33" i="8"/>
  <c r="I33" i="8" s="1"/>
  <c r="E33" i="8"/>
  <c r="D33" i="8"/>
  <c r="C33" i="8"/>
  <c r="G32" i="8"/>
  <c r="I32" i="8" s="1"/>
  <c r="E32" i="8"/>
  <c r="D32" i="8"/>
  <c r="C32" i="8"/>
  <c r="E31" i="8"/>
  <c r="D31" i="8"/>
  <c r="C31" i="8"/>
  <c r="G30" i="8"/>
  <c r="I30" i="8" s="1"/>
  <c r="E30" i="8"/>
  <c r="D30" i="8"/>
  <c r="C30" i="8"/>
  <c r="G29" i="8"/>
  <c r="I29" i="8" s="1"/>
  <c r="E29" i="8"/>
  <c r="D29" i="8"/>
  <c r="C29" i="8"/>
  <c r="E28" i="8"/>
  <c r="D28" i="8"/>
  <c r="C28" i="8"/>
  <c r="E27" i="8"/>
  <c r="D27" i="8"/>
  <c r="C27" i="8"/>
  <c r="E23" i="8"/>
  <c r="D23" i="8"/>
  <c r="C23" i="8"/>
  <c r="G22" i="8"/>
  <c r="I22" i="8" s="1"/>
  <c r="E22" i="8"/>
  <c r="D22" i="8"/>
  <c r="C22" i="8"/>
  <c r="E21" i="8"/>
  <c r="D21" i="8"/>
  <c r="C21" i="8"/>
  <c r="E20" i="8"/>
  <c r="D20" i="8"/>
  <c r="C20" i="8"/>
  <c r="E19" i="8"/>
  <c r="D19" i="8"/>
  <c r="C19" i="8"/>
  <c r="E18" i="8"/>
  <c r="D18" i="8"/>
  <c r="C18" i="8"/>
  <c r="K17" i="8"/>
  <c r="E17" i="8"/>
  <c r="D17" i="8"/>
  <c r="C17" i="8"/>
  <c r="G13" i="8"/>
  <c r="I13" i="8" s="1"/>
  <c r="E13" i="8"/>
  <c r="D13" i="8"/>
  <c r="C13" i="8"/>
  <c r="G12" i="8"/>
  <c r="I12" i="8" s="1"/>
  <c r="E12" i="8"/>
  <c r="D12" i="8"/>
  <c r="C12" i="8"/>
  <c r="G11" i="8"/>
  <c r="I11" i="8" s="1"/>
  <c r="E11" i="8"/>
  <c r="D11" i="8"/>
  <c r="C11" i="8"/>
  <c r="G10" i="8"/>
  <c r="I10" i="8" s="1"/>
  <c r="E10" i="8"/>
  <c r="D10" i="8"/>
  <c r="C10" i="8"/>
  <c r="E9" i="8"/>
  <c r="D9" i="8"/>
  <c r="C9" i="8"/>
  <c r="E8" i="8"/>
  <c r="D8" i="8"/>
  <c r="C8" i="8"/>
  <c r="E7" i="8"/>
  <c r="D7" i="8"/>
  <c r="C7" i="8"/>
  <c r="B5" i="8"/>
  <c r="A2" i="8"/>
  <c r="A1" i="8"/>
  <c r="F730" i="7"/>
  <c r="E730" i="7"/>
  <c r="D730" i="7"/>
  <c r="C730" i="7"/>
  <c r="F729" i="7"/>
  <c r="E729" i="7"/>
  <c r="D729" i="7"/>
  <c r="C729" i="7"/>
  <c r="G728" i="7"/>
  <c r="I728" i="7" s="1"/>
  <c r="E728" i="7"/>
  <c r="D728" i="7"/>
  <c r="C728" i="7"/>
  <c r="G727" i="7"/>
  <c r="E727" i="7"/>
  <c r="D727" i="7"/>
  <c r="C727" i="7"/>
  <c r="E726" i="7"/>
  <c r="D726" i="7"/>
  <c r="C726" i="7"/>
  <c r="E725" i="7"/>
  <c r="D725" i="7"/>
  <c r="C725" i="7"/>
  <c r="K724" i="7"/>
  <c r="E724" i="7"/>
  <c r="D724" i="7"/>
  <c r="C724" i="7"/>
  <c r="F718" i="7"/>
  <c r="E718" i="7"/>
  <c r="D718" i="7"/>
  <c r="C718" i="7"/>
  <c r="F717" i="7"/>
  <c r="E717" i="7"/>
  <c r="D717" i="7"/>
  <c r="C717" i="7"/>
  <c r="E716" i="7"/>
  <c r="D716" i="7"/>
  <c r="C716" i="7"/>
  <c r="G715" i="7"/>
  <c r="I715" i="7" s="1"/>
  <c r="E715" i="7"/>
  <c r="D715" i="7"/>
  <c r="C715" i="7"/>
  <c r="K714" i="7"/>
  <c r="E714" i="7"/>
  <c r="D714" i="7"/>
  <c r="C714" i="7"/>
  <c r="F708" i="7"/>
  <c r="E708" i="7"/>
  <c r="D708" i="7"/>
  <c r="C708" i="7"/>
  <c r="F707" i="7"/>
  <c r="E707" i="7"/>
  <c r="D707" i="7"/>
  <c r="C707" i="7"/>
  <c r="E706" i="7"/>
  <c r="D706" i="7"/>
  <c r="C706" i="7"/>
  <c r="G705" i="7"/>
  <c r="I705" i="7" s="1"/>
  <c r="E705" i="7"/>
  <c r="D705" i="7"/>
  <c r="C705" i="7"/>
  <c r="K704" i="7"/>
  <c r="E704" i="7"/>
  <c r="D704" i="7"/>
  <c r="C704" i="7"/>
  <c r="F698" i="7"/>
  <c r="E698" i="7"/>
  <c r="D698" i="7"/>
  <c r="C698" i="7"/>
  <c r="F697" i="7"/>
  <c r="E697" i="7"/>
  <c r="D697" i="7"/>
  <c r="C697" i="7"/>
  <c r="G696" i="7"/>
  <c r="I696" i="7" s="1"/>
  <c r="E696" i="7"/>
  <c r="D696" i="7"/>
  <c r="C696" i="7"/>
  <c r="K695" i="7"/>
  <c r="E695" i="7"/>
  <c r="D695" i="7"/>
  <c r="C695" i="7"/>
  <c r="F689" i="7"/>
  <c r="E689" i="7"/>
  <c r="D689" i="7"/>
  <c r="C689" i="7"/>
  <c r="F688" i="7"/>
  <c r="E688" i="7"/>
  <c r="D688" i="7"/>
  <c r="C688" i="7"/>
  <c r="G687" i="7"/>
  <c r="I687" i="7" s="1"/>
  <c r="E687" i="7"/>
  <c r="D687" i="7"/>
  <c r="C687" i="7"/>
  <c r="K686" i="7"/>
  <c r="E686" i="7"/>
  <c r="D686" i="7"/>
  <c r="C686" i="7"/>
  <c r="F680" i="7"/>
  <c r="E680" i="7"/>
  <c r="D680" i="7"/>
  <c r="C680" i="7"/>
  <c r="F679" i="7"/>
  <c r="E679" i="7"/>
  <c r="D679" i="7"/>
  <c r="C679" i="7"/>
  <c r="E678" i="7"/>
  <c r="D678" i="7"/>
  <c r="C678" i="7"/>
  <c r="G677" i="7"/>
  <c r="I677" i="7" s="1"/>
  <c r="E677" i="7"/>
  <c r="D677" i="7"/>
  <c r="C677" i="7"/>
  <c r="G676" i="7"/>
  <c r="I676" i="7" s="1"/>
  <c r="E676" i="7"/>
  <c r="D676" i="7"/>
  <c r="C676" i="7"/>
  <c r="K675" i="7"/>
  <c r="E675" i="7"/>
  <c r="D675" i="7"/>
  <c r="C675" i="7"/>
  <c r="G669" i="7"/>
  <c r="I669" i="7" s="1"/>
  <c r="E669" i="7"/>
  <c r="D669" i="7"/>
  <c r="C669" i="7"/>
  <c r="F668" i="7"/>
  <c r="E668" i="7"/>
  <c r="D668" i="7"/>
  <c r="C668" i="7"/>
  <c r="F667" i="7"/>
  <c r="E667" i="7"/>
  <c r="D667" i="7"/>
  <c r="C667" i="7"/>
  <c r="K666" i="7"/>
  <c r="E666" i="7"/>
  <c r="D666" i="7"/>
  <c r="C666" i="7"/>
  <c r="G660" i="7"/>
  <c r="I660" i="7" s="1"/>
  <c r="E660" i="7"/>
  <c r="D660" i="7"/>
  <c r="C660" i="7"/>
  <c r="E659" i="7"/>
  <c r="D659" i="7"/>
  <c r="C659" i="7"/>
  <c r="E658" i="7"/>
  <c r="D658" i="7"/>
  <c r="C658" i="7"/>
  <c r="F657" i="7"/>
  <c r="E657" i="7"/>
  <c r="D657" i="7"/>
  <c r="C657" i="7"/>
  <c r="F656" i="7"/>
  <c r="E656" i="7"/>
  <c r="D656" i="7"/>
  <c r="C656" i="7"/>
  <c r="K655" i="7"/>
  <c r="E655" i="7"/>
  <c r="D655" i="7"/>
  <c r="C655" i="7"/>
  <c r="G649" i="7"/>
  <c r="I649" i="7" s="1"/>
  <c r="E649" i="7"/>
  <c r="D649" i="7"/>
  <c r="C649" i="7"/>
  <c r="E648" i="7"/>
  <c r="D648" i="7"/>
  <c r="C648" i="7"/>
  <c r="F647" i="7"/>
  <c r="E647" i="7"/>
  <c r="D647" i="7"/>
  <c r="C647" i="7"/>
  <c r="F646" i="7"/>
  <c r="E646" i="7"/>
  <c r="D646" i="7"/>
  <c r="C646" i="7"/>
  <c r="E645" i="7"/>
  <c r="D645" i="7"/>
  <c r="C645" i="7"/>
  <c r="E639" i="7"/>
  <c r="D639" i="7"/>
  <c r="C639" i="7"/>
  <c r="E638" i="7"/>
  <c r="D638" i="7"/>
  <c r="C638" i="7"/>
  <c r="E637" i="7"/>
  <c r="D637" i="7"/>
  <c r="C637" i="7"/>
  <c r="K636" i="7"/>
  <c r="E636" i="7"/>
  <c r="D636" i="7"/>
  <c r="C636" i="7"/>
  <c r="E630" i="7"/>
  <c r="D630" i="7"/>
  <c r="C630" i="7"/>
  <c r="G629" i="7"/>
  <c r="I629" i="7" s="1"/>
  <c r="E629" i="7"/>
  <c r="D629" i="7"/>
  <c r="C629" i="7"/>
  <c r="E628" i="7"/>
  <c r="D628" i="7"/>
  <c r="C628" i="7"/>
  <c r="K627" i="7"/>
  <c r="E627" i="7"/>
  <c r="D627" i="7"/>
  <c r="C627" i="7"/>
  <c r="G621" i="7"/>
  <c r="I621" i="7" s="1"/>
  <c r="E621" i="7"/>
  <c r="D621" i="7"/>
  <c r="C621" i="7"/>
  <c r="E620" i="7"/>
  <c r="D620" i="7"/>
  <c r="C620" i="7"/>
  <c r="F619" i="7"/>
  <c r="E619" i="7"/>
  <c r="D619" i="7"/>
  <c r="C619" i="7"/>
  <c r="F618" i="7"/>
  <c r="E618" i="7"/>
  <c r="D618" i="7"/>
  <c r="C618" i="7"/>
  <c r="E617" i="7"/>
  <c r="D617" i="7"/>
  <c r="C617" i="7"/>
  <c r="E611" i="7"/>
  <c r="D611" i="7"/>
  <c r="C611" i="7"/>
  <c r="E610" i="7"/>
  <c r="D610" i="7"/>
  <c r="C610" i="7"/>
  <c r="F609" i="7"/>
  <c r="E609" i="7"/>
  <c r="D609" i="7"/>
  <c r="C609" i="7"/>
  <c r="F608" i="7"/>
  <c r="E608" i="7"/>
  <c r="D608" i="7"/>
  <c r="C608" i="7"/>
  <c r="K607" i="7"/>
  <c r="E607" i="7"/>
  <c r="D607" i="7"/>
  <c r="C607" i="7"/>
  <c r="E601" i="7"/>
  <c r="D601" i="7"/>
  <c r="C601" i="7"/>
  <c r="E600" i="7"/>
  <c r="D600" i="7"/>
  <c r="C600" i="7"/>
  <c r="E599" i="7"/>
  <c r="D599" i="7"/>
  <c r="C599" i="7"/>
  <c r="F593" i="7"/>
  <c r="E593" i="7"/>
  <c r="D593" i="7"/>
  <c r="C593" i="7"/>
  <c r="E592" i="7"/>
  <c r="D592" i="7"/>
  <c r="C592" i="7"/>
  <c r="F586" i="7"/>
  <c r="E586" i="7"/>
  <c r="D586" i="7"/>
  <c r="C586" i="7"/>
  <c r="F585" i="7"/>
  <c r="E585" i="7"/>
  <c r="D585" i="7"/>
  <c r="C585" i="7"/>
  <c r="E584" i="7"/>
  <c r="D584" i="7"/>
  <c r="C584" i="7"/>
  <c r="E583" i="7"/>
  <c r="D583" i="7"/>
  <c r="C583" i="7"/>
  <c r="K582" i="7"/>
  <c r="E582" i="7"/>
  <c r="D582" i="7"/>
  <c r="C582" i="7"/>
  <c r="E576" i="7"/>
  <c r="D576" i="7"/>
  <c r="C576" i="7"/>
  <c r="E575" i="7"/>
  <c r="D575" i="7"/>
  <c r="C575" i="7"/>
  <c r="F574" i="7"/>
  <c r="E574" i="7"/>
  <c r="D574" i="7"/>
  <c r="C574" i="7"/>
  <c r="F573" i="7"/>
  <c r="E573" i="7"/>
  <c r="D573" i="7"/>
  <c r="C573" i="7"/>
  <c r="K572" i="7"/>
  <c r="E572" i="7"/>
  <c r="D572" i="7"/>
  <c r="C572" i="7"/>
  <c r="E566" i="7"/>
  <c r="D566" i="7"/>
  <c r="C566" i="7"/>
  <c r="E565" i="7"/>
  <c r="D565" i="7"/>
  <c r="C565" i="7"/>
  <c r="E564" i="7"/>
  <c r="D564" i="7"/>
  <c r="C564" i="7"/>
  <c r="E563" i="7"/>
  <c r="D563" i="7"/>
  <c r="C563" i="7"/>
  <c r="E562" i="7"/>
  <c r="D562" i="7"/>
  <c r="C562" i="7"/>
  <c r="E561" i="7"/>
  <c r="D561" i="7"/>
  <c r="C561" i="7"/>
  <c r="E560" i="7"/>
  <c r="D560" i="7"/>
  <c r="C560" i="7"/>
  <c r="K559" i="7"/>
  <c r="E559" i="7"/>
  <c r="D559" i="7"/>
  <c r="C559" i="7"/>
  <c r="E553" i="7"/>
  <c r="D553" i="7"/>
  <c r="C553" i="7"/>
  <c r="E552" i="7"/>
  <c r="D552" i="7"/>
  <c r="C552" i="7"/>
  <c r="F551" i="7"/>
  <c r="E551" i="7"/>
  <c r="D551" i="7"/>
  <c r="C551" i="7"/>
  <c r="F550" i="7"/>
  <c r="E550" i="7"/>
  <c r="D550" i="7"/>
  <c r="C550" i="7"/>
  <c r="E549" i="7"/>
  <c r="D549" i="7"/>
  <c r="C549" i="7"/>
  <c r="F543" i="7"/>
  <c r="E543" i="7"/>
  <c r="D543" i="7"/>
  <c r="C543" i="7"/>
  <c r="F542" i="7"/>
  <c r="E542" i="7"/>
  <c r="D542" i="7"/>
  <c r="C542" i="7"/>
  <c r="G541" i="7"/>
  <c r="F541" i="7"/>
  <c r="E541" i="7"/>
  <c r="D541" i="7"/>
  <c r="C541" i="7"/>
  <c r="F540" i="7"/>
  <c r="E540" i="7"/>
  <c r="D540" i="7"/>
  <c r="C540" i="7"/>
  <c r="G539" i="7"/>
  <c r="I539" i="7" s="1"/>
  <c r="E539" i="7"/>
  <c r="D539" i="7"/>
  <c r="C539" i="7"/>
  <c r="E538" i="7"/>
  <c r="D538" i="7"/>
  <c r="C538" i="7"/>
  <c r="E532" i="7"/>
  <c r="D532" i="7"/>
  <c r="C532" i="7"/>
  <c r="G531" i="7"/>
  <c r="I531" i="7" s="1"/>
  <c r="E531" i="7"/>
  <c r="D531" i="7"/>
  <c r="C531" i="7"/>
  <c r="F530" i="7"/>
  <c r="E530" i="7"/>
  <c r="D530" i="7"/>
  <c r="C530" i="7"/>
  <c r="F529" i="7"/>
  <c r="E529" i="7"/>
  <c r="D529" i="7"/>
  <c r="C529" i="7"/>
  <c r="K528" i="7"/>
  <c r="E528" i="7"/>
  <c r="D528" i="7"/>
  <c r="C528" i="7"/>
  <c r="E522" i="7"/>
  <c r="D522" i="7"/>
  <c r="C522" i="7"/>
  <c r="G521" i="7"/>
  <c r="I521" i="7" s="1"/>
  <c r="E521" i="7"/>
  <c r="D521" i="7"/>
  <c r="C521" i="7"/>
  <c r="F520" i="7"/>
  <c r="E520" i="7"/>
  <c r="D520" i="7"/>
  <c r="C520" i="7"/>
  <c r="F519" i="7"/>
  <c r="E519" i="7"/>
  <c r="D519" i="7"/>
  <c r="C519" i="7"/>
  <c r="K518" i="7"/>
  <c r="E518" i="7"/>
  <c r="D518" i="7"/>
  <c r="C518" i="7"/>
  <c r="E512" i="7"/>
  <c r="D512" i="7"/>
  <c r="C512" i="7"/>
  <c r="F511" i="7"/>
  <c r="E511" i="7"/>
  <c r="D511" i="7"/>
  <c r="C511" i="7"/>
  <c r="F510" i="7"/>
  <c r="E510" i="7"/>
  <c r="D510" i="7"/>
  <c r="C510" i="7"/>
  <c r="E509" i="7"/>
  <c r="D509" i="7"/>
  <c r="C509" i="7"/>
  <c r="E508" i="7"/>
  <c r="D508" i="7"/>
  <c r="C508" i="7"/>
  <c r="E507" i="7"/>
  <c r="D507" i="7"/>
  <c r="C507" i="7"/>
  <c r="E506" i="7"/>
  <c r="D506" i="7"/>
  <c r="C506" i="7"/>
  <c r="E505" i="7"/>
  <c r="D505" i="7"/>
  <c r="C505" i="7"/>
  <c r="E504" i="7"/>
  <c r="D504" i="7"/>
  <c r="C504" i="7"/>
  <c r="E503" i="7"/>
  <c r="D503" i="7"/>
  <c r="C503" i="7"/>
  <c r="E502" i="7"/>
  <c r="D502" i="7"/>
  <c r="C502" i="7"/>
  <c r="E501" i="7"/>
  <c r="D501" i="7"/>
  <c r="C501" i="7"/>
  <c r="G500" i="7"/>
  <c r="I500" i="7" s="1"/>
  <c r="E500" i="7"/>
  <c r="D500" i="7"/>
  <c r="C500" i="7"/>
  <c r="E499" i="7"/>
  <c r="D499" i="7"/>
  <c r="C499" i="7"/>
  <c r="G498" i="7"/>
  <c r="I498" i="7" s="1"/>
  <c r="E498" i="7"/>
  <c r="D498" i="7"/>
  <c r="C498" i="7"/>
  <c r="E497" i="7"/>
  <c r="D497" i="7"/>
  <c r="C497" i="7"/>
  <c r="E496" i="7"/>
  <c r="D496" i="7"/>
  <c r="C496" i="7"/>
  <c r="E495" i="7"/>
  <c r="D495" i="7"/>
  <c r="C495" i="7"/>
  <c r="G494" i="7"/>
  <c r="I494" i="7" s="1"/>
  <c r="E494" i="7"/>
  <c r="D494" i="7"/>
  <c r="C494" i="7"/>
  <c r="G493" i="7"/>
  <c r="I493" i="7" s="1"/>
  <c r="E493" i="7"/>
  <c r="D493" i="7"/>
  <c r="C493" i="7"/>
  <c r="G492" i="7"/>
  <c r="I492" i="7" s="1"/>
  <c r="E492" i="7"/>
  <c r="D492" i="7"/>
  <c r="C492" i="7"/>
  <c r="K491" i="7"/>
  <c r="E491" i="7"/>
  <c r="D491" i="7"/>
  <c r="C491" i="7"/>
  <c r="E485" i="7"/>
  <c r="D485" i="7"/>
  <c r="C485" i="7"/>
  <c r="E484" i="7"/>
  <c r="D484" i="7"/>
  <c r="C484" i="7"/>
  <c r="G483" i="7"/>
  <c r="I483" i="7" s="1"/>
  <c r="E483" i="7"/>
  <c r="D483" i="7"/>
  <c r="C483" i="7"/>
  <c r="F482" i="7"/>
  <c r="E482" i="7"/>
  <c r="D482" i="7"/>
  <c r="C482" i="7"/>
  <c r="F481" i="7"/>
  <c r="E481" i="7"/>
  <c r="D481" i="7"/>
  <c r="C481" i="7"/>
  <c r="E480" i="7"/>
  <c r="D480" i="7"/>
  <c r="C480" i="7"/>
  <c r="E479" i="7"/>
  <c r="D479" i="7"/>
  <c r="C479" i="7"/>
  <c r="E473" i="7"/>
  <c r="D473" i="7"/>
  <c r="C473" i="7"/>
  <c r="G472" i="7"/>
  <c r="I472" i="7" s="1"/>
  <c r="E472" i="7"/>
  <c r="D472" i="7"/>
  <c r="C472" i="7"/>
  <c r="F471" i="7"/>
  <c r="E471" i="7"/>
  <c r="D471" i="7"/>
  <c r="C471" i="7"/>
  <c r="E470" i="7"/>
  <c r="D470" i="7"/>
  <c r="C470" i="7"/>
  <c r="F464" i="7"/>
  <c r="E464" i="7"/>
  <c r="D464" i="7"/>
  <c r="C464" i="7"/>
  <c r="G463" i="7"/>
  <c r="I463" i="7" s="1"/>
  <c r="E463" i="7"/>
  <c r="D463" i="7"/>
  <c r="C463" i="7"/>
  <c r="E462" i="7"/>
  <c r="D462" i="7"/>
  <c r="C462" i="7"/>
  <c r="E456" i="7"/>
  <c r="D456" i="7"/>
  <c r="C456" i="7"/>
  <c r="E455" i="7"/>
  <c r="D455" i="7"/>
  <c r="C455" i="7"/>
  <c r="G454" i="7"/>
  <c r="I454" i="7" s="1"/>
  <c r="E454" i="7"/>
  <c r="D454" i="7"/>
  <c r="C454" i="7"/>
  <c r="G453" i="7"/>
  <c r="I453" i="7" s="1"/>
  <c r="F453" i="7"/>
  <c r="E453" i="7"/>
  <c r="D453" i="7"/>
  <c r="C453" i="7"/>
  <c r="F452" i="7"/>
  <c r="E452" i="7"/>
  <c r="D452" i="7"/>
  <c r="C452" i="7"/>
  <c r="F451" i="7"/>
  <c r="E451" i="7"/>
  <c r="D451" i="7"/>
  <c r="C451" i="7"/>
  <c r="E450" i="7"/>
  <c r="D450" i="7"/>
  <c r="C450" i="7"/>
  <c r="E444" i="7"/>
  <c r="D444" i="7"/>
  <c r="C444" i="7"/>
  <c r="F443" i="7"/>
  <c r="E443" i="7"/>
  <c r="D443" i="7"/>
  <c r="C443" i="7"/>
  <c r="F442" i="7"/>
  <c r="E442" i="7"/>
  <c r="D442" i="7"/>
  <c r="C442" i="7"/>
  <c r="E441" i="7"/>
  <c r="D441" i="7"/>
  <c r="C441" i="7"/>
  <c r="K440" i="7"/>
  <c r="E440" i="7"/>
  <c r="D440" i="7"/>
  <c r="C440" i="7"/>
  <c r="E434" i="7"/>
  <c r="D434" i="7"/>
  <c r="C434" i="7"/>
  <c r="F433" i="7"/>
  <c r="E433" i="7"/>
  <c r="D433" i="7"/>
  <c r="C433" i="7"/>
  <c r="F432" i="7"/>
  <c r="E432" i="7"/>
  <c r="D432" i="7"/>
  <c r="C432" i="7"/>
  <c r="K431" i="7"/>
  <c r="E431" i="7"/>
  <c r="D431" i="7"/>
  <c r="C431" i="7"/>
  <c r="E425" i="7"/>
  <c r="D425" i="7"/>
  <c r="C425" i="7"/>
  <c r="F424" i="7"/>
  <c r="E424" i="7"/>
  <c r="D424" i="7"/>
  <c r="C424" i="7"/>
  <c r="F423" i="7"/>
  <c r="E423" i="7"/>
  <c r="D423" i="7"/>
  <c r="C423" i="7"/>
  <c r="E422" i="7"/>
  <c r="D422" i="7"/>
  <c r="C422" i="7"/>
  <c r="G416" i="7"/>
  <c r="I416" i="7" s="1"/>
  <c r="E416" i="7"/>
  <c r="D416" i="7"/>
  <c r="C416" i="7"/>
  <c r="G415" i="7"/>
  <c r="I415" i="7" s="1"/>
  <c r="E415" i="7"/>
  <c r="D415" i="7"/>
  <c r="C415" i="7"/>
  <c r="E414" i="7"/>
  <c r="D414" i="7"/>
  <c r="C414" i="7"/>
  <c r="E413" i="7"/>
  <c r="D413" i="7"/>
  <c r="C413" i="7"/>
  <c r="G412" i="7"/>
  <c r="I412" i="7" s="1"/>
  <c r="E412" i="7"/>
  <c r="D412" i="7"/>
  <c r="C412" i="7"/>
  <c r="F411" i="7"/>
  <c r="E411" i="7"/>
  <c r="D411" i="7"/>
  <c r="C411" i="7"/>
  <c r="F410" i="7"/>
  <c r="E410" i="7"/>
  <c r="D410" i="7"/>
  <c r="C410" i="7"/>
  <c r="F409" i="7"/>
  <c r="E409" i="7"/>
  <c r="D409" i="7"/>
  <c r="C409" i="7"/>
  <c r="E408" i="7"/>
  <c r="D408" i="7"/>
  <c r="C408" i="7"/>
  <c r="E407" i="7"/>
  <c r="D407" i="7"/>
  <c r="C407" i="7"/>
  <c r="G401" i="7"/>
  <c r="E401" i="7"/>
  <c r="D401" i="7"/>
  <c r="C401" i="7"/>
  <c r="G400" i="7"/>
  <c r="I400" i="7" s="1"/>
  <c r="E400" i="7"/>
  <c r="D400" i="7"/>
  <c r="C400" i="7"/>
  <c r="E399" i="7"/>
  <c r="D399" i="7"/>
  <c r="C399" i="7"/>
  <c r="F398" i="7"/>
  <c r="E398" i="7"/>
  <c r="D398" i="7"/>
  <c r="C398" i="7"/>
  <c r="F397" i="7"/>
  <c r="E397" i="7"/>
  <c r="D397" i="7"/>
  <c r="C397" i="7"/>
  <c r="E396" i="7"/>
  <c r="D396" i="7"/>
  <c r="C396" i="7"/>
  <c r="F390" i="7"/>
  <c r="E390" i="7"/>
  <c r="D390" i="7"/>
  <c r="C390" i="7"/>
  <c r="F389" i="7"/>
  <c r="E389" i="7"/>
  <c r="D389" i="7"/>
  <c r="C389" i="7"/>
  <c r="E388" i="7"/>
  <c r="D388" i="7"/>
  <c r="C388" i="7"/>
  <c r="G387" i="7"/>
  <c r="I387" i="7" s="1"/>
  <c r="E387" i="7"/>
  <c r="D387" i="7"/>
  <c r="C387" i="7"/>
  <c r="E386" i="7"/>
  <c r="D386" i="7"/>
  <c r="C386" i="7"/>
  <c r="E385" i="7"/>
  <c r="D385" i="7"/>
  <c r="C385" i="7"/>
  <c r="E384" i="7"/>
  <c r="D384" i="7"/>
  <c r="C384" i="7"/>
  <c r="G383" i="7"/>
  <c r="I383" i="7" s="1"/>
  <c r="E383" i="7"/>
  <c r="D383" i="7"/>
  <c r="C383" i="7"/>
  <c r="E382" i="7"/>
  <c r="D382" i="7"/>
  <c r="C382" i="7"/>
  <c r="F376" i="7"/>
  <c r="E376" i="7"/>
  <c r="D376" i="7"/>
  <c r="C376" i="7"/>
  <c r="F375" i="7"/>
  <c r="E375" i="7"/>
  <c r="D375" i="7"/>
  <c r="C375" i="7"/>
  <c r="E374" i="7"/>
  <c r="D374" i="7"/>
  <c r="C374" i="7"/>
  <c r="E373" i="7"/>
  <c r="D373" i="7"/>
  <c r="C373" i="7"/>
  <c r="E367" i="7"/>
  <c r="D367" i="7"/>
  <c r="C367" i="7"/>
  <c r="F366" i="7"/>
  <c r="E366" i="7"/>
  <c r="D366" i="7"/>
  <c r="C366" i="7"/>
  <c r="F365" i="7"/>
  <c r="E365" i="7"/>
  <c r="D365" i="7"/>
  <c r="C365" i="7"/>
  <c r="E364" i="7"/>
  <c r="D364" i="7"/>
  <c r="C364" i="7"/>
  <c r="E363" i="7"/>
  <c r="D363" i="7"/>
  <c r="C363" i="7"/>
  <c r="E357" i="7"/>
  <c r="D357" i="7"/>
  <c r="C357" i="7"/>
  <c r="G356" i="7"/>
  <c r="E356" i="7"/>
  <c r="D356" i="7"/>
  <c r="C356" i="7"/>
  <c r="G355" i="7"/>
  <c r="I355" i="7" s="1"/>
  <c r="E355" i="7"/>
  <c r="D355" i="7"/>
  <c r="C355" i="7"/>
  <c r="E354" i="7"/>
  <c r="D354" i="7"/>
  <c r="C354" i="7"/>
  <c r="F353" i="7"/>
  <c r="E353" i="7"/>
  <c r="D353" i="7"/>
  <c r="C353" i="7"/>
  <c r="F352" i="7"/>
  <c r="E352" i="7"/>
  <c r="D352" i="7"/>
  <c r="C352" i="7"/>
  <c r="K351" i="7"/>
  <c r="E351" i="7"/>
  <c r="D351" i="7"/>
  <c r="C351" i="7"/>
  <c r="E345" i="7"/>
  <c r="D345" i="7"/>
  <c r="C345" i="7"/>
  <c r="E344" i="7"/>
  <c r="D344" i="7"/>
  <c r="C344" i="7"/>
  <c r="E343" i="7"/>
  <c r="D343" i="7"/>
  <c r="C343" i="7"/>
  <c r="E342" i="7"/>
  <c r="D342" i="7"/>
  <c r="C342" i="7"/>
  <c r="E341" i="7"/>
  <c r="D341" i="7"/>
  <c r="C341" i="7"/>
  <c r="E340" i="7"/>
  <c r="D340" i="7"/>
  <c r="C340" i="7"/>
  <c r="E339" i="7"/>
  <c r="D339" i="7"/>
  <c r="C339" i="7"/>
  <c r="E338" i="7"/>
  <c r="D338" i="7"/>
  <c r="C338" i="7"/>
  <c r="E337" i="7"/>
  <c r="D337" i="7"/>
  <c r="C337" i="7"/>
  <c r="E336" i="7"/>
  <c r="D336" i="7"/>
  <c r="C336" i="7"/>
  <c r="E335" i="7"/>
  <c r="D335" i="7"/>
  <c r="C335" i="7"/>
  <c r="E334" i="7"/>
  <c r="D334" i="7"/>
  <c r="C334" i="7"/>
  <c r="E333" i="7"/>
  <c r="D333" i="7"/>
  <c r="C333" i="7"/>
  <c r="E332" i="7"/>
  <c r="D332" i="7"/>
  <c r="C332" i="7"/>
  <c r="E331" i="7"/>
  <c r="D331" i="7"/>
  <c r="C331" i="7"/>
  <c r="K330" i="7"/>
  <c r="E330" i="7"/>
  <c r="D330" i="7"/>
  <c r="C330" i="7"/>
  <c r="E324" i="7"/>
  <c r="D324" i="7"/>
  <c r="C324" i="7"/>
  <c r="E323" i="7"/>
  <c r="D323" i="7"/>
  <c r="C323" i="7"/>
  <c r="E322" i="7"/>
  <c r="D322" i="7"/>
  <c r="C322" i="7"/>
  <c r="F321" i="7"/>
  <c r="E321" i="7"/>
  <c r="D321" i="7"/>
  <c r="C321" i="7"/>
  <c r="F320" i="7"/>
  <c r="E320" i="7"/>
  <c r="D320" i="7"/>
  <c r="C320" i="7"/>
  <c r="E319" i="7"/>
  <c r="D319" i="7"/>
  <c r="C319" i="7"/>
  <c r="G318" i="7"/>
  <c r="I318" i="7" s="1"/>
  <c r="E318" i="7"/>
  <c r="D318" i="7"/>
  <c r="C318" i="7"/>
  <c r="E317" i="7"/>
  <c r="D317" i="7"/>
  <c r="C317" i="7"/>
  <c r="G311" i="7"/>
  <c r="I311" i="7" s="1"/>
  <c r="E311" i="7"/>
  <c r="D311" i="7"/>
  <c r="C311" i="7"/>
  <c r="E310" i="7"/>
  <c r="D310" i="7"/>
  <c r="C310" i="7"/>
  <c r="G309" i="7"/>
  <c r="I309" i="7" s="1"/>
  <c r="E309" i="7"/>
  <c r="D309" i="7"/>
  <c r="C309" i="7"/>
  <c r="E308" i="7"/>
  <c r="D308" i="7"/>
  <c r="C308" i="7"/>
  <c r="F307" i="7"/>
  <c r="E307" i="7"/>
  <c r="D307" i="7"/>
  <c r="C307" i="7"/>
  <c r="F306" i="7"/>
  <c r="E306" i="7"/>
  <c r="D306" i="7"/>
  <c r="C306" i="7"/>
  <c r="K305" i="7"/>
  <c r="E305" i="7"/>
  <c r="D305" i="7"/>
  <c r="C305" i="7"/>
  <c r="G299" i="7"/>
  <c r="I299" i="7" s="1"/>
  <c r="E299" i="7"/>
  <c r="D299" i="7"/>
  <c r="C299" i="7"/>
  <c r="F298" i="7"/>
  <c r="E298" i="7"/>
  <c r="D298" i="7"/>
  <c r="C298" i="7"/>
  <c r="F297" i="7"/>
  <c r="E297" i="7"/>
  <c r="D297" i="7"/>
  <c r="C297" i="7"/>
  <c r="E296" i="7"/>
  <c r="D296" i="7"/>
  <c r="C296" i="7"/>
  <c r="K295" i="7"/>
  <c r="E295" i="7"/>
  <c r="D295" i="7"/>
  <c r="C295" i="7"/>
  <c r="F289" i="7"/>
  <c r="E289" i="7"/>
  <c r="D289" i="7"/>
  <c r="C289" i="7"/>
  <c r="F288" i="7"/>
  <c r="E288" i="7"/>
  <c r="D288" i="7"/>
  <c r="C288" i="7"/>
  <c r="E287" i="7"/>
  <c r="D287" i="7"/>
  <c r="C287" i="7"/>
  <c r="E286" i="7"/>
  <c r="D286" i="7"/>
  <c r="C286" i="7"/>
  <c r="F280" i="7"/>
  <c r="E280" i="7"/>
  <c r="D280" i="7"/>
  <c r="C280" i="7"/>
  <c r="K279" i="7"/>
  <c r="E279" i="7"/>
  <c r="E244" i="6" s="1"/>
  <c r="E134" i="4" s="1"/>
  <c r="D279" i="7"/>
  <c r="C279" i="7"/>
  <c r="G273" i="7"/>
  <c r="I273" i="7" s="1"/>
  <c r="E273" i="7"/>
  <c r="D273" i="7"/>
  <c r="C273" i="7"/>
  <c r="G272" i="7"/>
  <c r="I272" i="7" s="1"/>
  <c r="E272" i="7"/>
  <c r="D272" i="7"/>
  <c r="C272" i="7"/>
  <c r="E271" i="7"/>
  <c r="D271" i="7"/>
  <c r="C271" i="7"/>
  <c r="G270" i="7"/>
  <c r="I270" i="7" s="1"/>
  <c r="E270" i="7"/>
  <c r="D270" i="7"/>
  <c r="C270" i="7"/>
  <c r="E269" i="7"/>
  <c r="D269" i="7"/>
  <c r="C269" i="7"/>
  <c r="F268" i="7"/>
  <c r="E268" i="7"/>
  <c r="D268" i="7"/>
  <c r="C268" i="7"/>
  <c r="F267" i="7"/>
  <c r="E267" i="7"/>
  <c r="D267" i="7"/>
  <c r="C267" i="7"/>
  <c r="E266" i="7"/>
  <c r="D266" i="7"/>
  <c r="C266" i="7"/>
  <c r="E265" i="7"/>
  <c r="D265" i="7"/>
  <c r="C265" i="7"/>
  <c r="E264" i="7"/>
  <c r="D264" i="7"/>
  <c r="C264" i="7"/>
  <c r="E263" i="7"/>
  <c r="D263" i="7"/>
  <c r="C263" i="7"/>
  <c r="F257" i="7"/>
  <c r="E257" i="7"/>
  <c r="D257" i="7"/>
  <c r="C257" i="7"/>
  <c r="E256" i="7"/>
  <c r="D256" i="7"/>
  <c r="C256" i="7"/>
  <c r="G250" i="7"/>
  <c r="I250" i="7" s="1"/>
  <c r="E250" i="7"/>
  <c r="D250" i="7"/>
  <c r="C250" i="7"/>
  <c r="G249" i="7"/>
  <c r="I249" i="7" s="1"/>
  <c r="E249" i="7"/>
  <c r="D249" i="7"/>
  <c r="C249" i="7"/>
  <c r="G248" i="7"/>
  <c r="E248" i="7"/>
  <c r="D248" i="7"/>
  <c r="C248" i="7"/>
  <c r="E247" i="7"/>
  <c r="D247" i="7"/>
  <c r="C247" i="7"/>
  <c r="E246" i="7"/>
  <c r="D246" i="7"/>
  <c r="C246" i="7"/>
  <c r="E245" i="7"/>
  <c r="D245" i="7"/>
  <c r="C245" i="7"/>
  <c r="E244" i="7"/>
  <c r="D244" i="7"/>
  <c r="C244" i="7"/>
  <c r="G243" i="7"/>
  <c r="I243" i="7" s="1"/>
  <c r="E243" i="7"/>
  <c r="D243" i="7"/>
  <c r="C243" i="7"/>
  <c r="E242" i="7"/>
  <c r="D242" i="7"/>
  <c r="C242" i="7"/>
  <c r="F241" i="7"/>
  <c r="E241" i="7"/>
  <c r="D241" i="7"/>
  <c r="C241" i="7"/>
  <c r="F240" i="7"/>
  <c r="E240" i="7"/>
  <c r="D240" i="7"/>
  <c r="C240" i="7"/>
  <c r="K239" i="7"/>
  <c r="E239" i="7"/>
  <c r="D239" i="7"/>
  <c r="C239" i="7"/>
  <c r="G233" i="7"/>
  <c r="I233" i="7" s="1"/>
  <c r="E233" i="7"/>
  <c r="D233" i="7"/>
  <c r="C233" i="7"/>
  <c r="E232" i="7"/>
  <c r="D232" i="7"/>
  <c r="C232" i="7"/>
  <c r="E231" i="7"/>
  <c r="D231" i="7"/>
  <c r="C231" i="7"/>
  <c r="E230" i="7"/>
  <c r="D230" i="7"/>
  <c r="C230" i="7"/>
  <c r="E229" i="7"/>
  <c r="D229" i="7"/>
  <c r="C229" i="7"/>
  <c r="G228" i="7"/>
  <c r="I228" i="7" s="1"/>
  <c r="E228" i="7"/>
  <c r="D228" i="7"/>
  <c r="C228" i="7"/>
  <c r="E227" i="7"/>
  <c r="D227" i="7"/>
  <c r="C227" i="7"/>
  <c r="G226" i="7"/>
  <c r="I226" i="7" s="1"/>
  <c r="E226" i="7"/>
  <c r="D226" i="7"/>
  <c r="C226" i="7"/>
  <c r="G225" i="7"/>
  <c r="I225" i="7" s="1"/>
  <c r="E225" i="7"/>
  <c r="D225" i="7"/>
  <c r="C225" i="7"/>
  <c r="G224" i="7"/>
  <c r="I224" i="7" s="1"/>
  <c r="E224" i="7"/>
  <c r="D224" i="7"/>
  <c r="C224" i="7"/>
  <c r="E223" i="7"/>
  <c r="D223" i="7"/>
  <c r="C223" i="7"/>
  <c r="G222" i="7"/>
  <c r="I222" i="7" s="1"/>
  <c r="E222" i="7"/>
  <c r="D222" i="7"/>
  <c r="C222" i="7"/>
  <c r="E221" i="7"/>
  <c r="D221" i="7"/>
  <c r="C221" i="7"/>
  <c r="F220" i="7"/>
  <c r="E220" i="7"/>
  <c r="D220" i="7"/>
  <c r="C220" i="7"/>
  <c r="F219" i="7"/>
  <c r="E219" i="7"/>
  <c r="D219" i="7"/>
  <c r="C219" i="7"/>
  <c r="E218" i="7"/>
  <c r="D218" i="7"/>
  <c r="C218" i="7"/>
  <c r="E212" i="7"/>
  <c r="D212" i="7"/>
  <c r="C212" i="7"/>
  <c r="F211" i="7"/>
  <c r="E211" i="7"/>
  <c r="D211" i="7"/>
  <c r="C211" i="7"/>
  <c r="F210" i="7"/>
  <c r="E210" i="7"/>
  <c r="D210" i="7"/>
  <c r="C210" i="7"/>
  <c r="K209" i="7"/>
  <c r="E209" i="7"/>
  <c r="D209" i="7"/>
  <c r="C209" i="7"/>
  <c r="E203" i="7"/>
  <c r="D203" i="7"/>
  <c r="C203" i="7"/>
  <c r="E202" i="7"/>
  <c r="D202" i="7"/>
  <c r="C202" i="7"/>
  <c r="E201" i="7"/>
  <c r="D201" i="7"/>
  <c r="C201" i="7"/>
  <c r="F200" i="7"/>
  <c r="E200" i="7"/>
  <c r="D200" i="7"/>
  <c r="C200" i="7"/>
  <c r="F199" i="7"/>
  <c r="E199" i="7"/>
  <c r="D199" i="7"/>
  <c r="C199" i="7"/>
  <c r="E198" i="7"/>
  <c r="D198" i="7"/>
  <c r="C198" i="7"/>
  <c r="G192" i="7"/>
  <c r="E192" i="7"/>
  <c r="D192" i="7"/>
  <c r="C192" i="7"/>
  <c r="F191" i="7"/>
  <c r="E191" i="7"/>
  <c r="D191" i="7"/>
  <c r="C191" i="7"/>
  <c r="F190" i="7"/>
  <c r="E190" i="7"/>
  <c r="D190" i="7"/>
  <c r="C190" i="7"/>
  <c r="K189" i="7"/>
  <c r="E189" i="7"/>
  <c r="D189" i="7"/>
  <c r="C189" i="7"/>
  <c r="E183" i="7"/>
  <c r="D183" i="7"/>
  <c r="C183" i="7"/>
  <c r="F182" i="7"/>
  <c r="E182" i="7"/>
  <c r="D182" i="7"/>
  <c r="C182" i="7"/>
  <c r="F181" i="7"/>
  <c r="E181" i="7"/>
  <c r="D181" i="7"/>
  <c r="C181" i="7"/>
  <c r="F180" i="7"/>
  <c r="E180" i="7"/>
  <c r="D180" i="7"/>
  <c r="C180" i="7"/>
  <c r="E179" i="7"/>
  <c r="D179" i="7"/>
  <c r="C179" i="7"/>
  <c r="E173" i="7"/>
  <c r="D173" i="7"/>
  <c r="C173" i="7"/>
  <c r="F172" i="7"/>
  <c r="E172" i="7"/>
  <c r="D172" i="7"/>
  <c r="C172" i="7"/>
  <c r="E171" i="7"/>
  <c r="D171" i="7"/>
  <c r="C171" i="7"/>
  <c r="E165" i="7"/>
  <c r="D165" i="7"/>
  <c r="C165" i="7"/>
  <c r="G164" i="7"/>
  <c r="I164" i="7" s="1"/>
  <c r="E164" i="7"/>
  <c r="D164" i="7"/>
  <c r="C164" i="7"/>
  <c r="F163" i="7"/>
  <c r="E163" i="7"/>
  <c r="D163" i="7"/>
  <c r="C163" i="7"/>
  <c r="F162" i="7"/>
  <c r="E162" i="7"/>
  <c r="D162" i="7"/>
  <c r="C162" i="7"/>
  <c r="K161" i="7"/>
  <c r="E161" i="7"/>
  <c r="D161" i="7"/>
  <c r="C161" i="7"/>
  <c r="E155" i="7"/>
  <c r="D155" i="7"/>
  <c r="C155" i="7"/>
  <c r="E154" i="7"/>
  <c r="D154" i="7"/>
  <c r="C154" i="7"/>
  <c r="G148" i="7"/>
  <c r="I148" i="7" s="1"/>
  <c r="I149" i="7" s="1"/>
  <c r="F148" i="7"/>
  <c r="E148" i="7"/>
  <c r="D148" i="7"/>
  <c r="C148" i="7"/>
  <c r="K147" i="7"/>
  <c r="E147" i="7"/>
  <c r="D147" i="7"/>
  <c r="C147" i="7"/>
  <c r="G141" i="7"/>
  <c r="E141" i="7"/>
  <c r="D141" i="7"/>
  <c r="C141" i="7"/>
  <c r="G140" i="7"/>
  <c r="I140" i="7" s="1"/>
  <c r="E140" i="7"/>
  <c r="D140" i="7"/>
  <c r="C140" i="7"/>
  <c r="G139" i="7"/>
  <c r="I139" i="7" s="1"/>
  <c r="E139" i="7"/>
  <c r="D139" i="7"/>
  <c r="C139" i="7"/>
  <c r="E138" i="7"/>
  <c r="D138" i="7"/>
  <c r="C138" i="7"/>
  <c r="E137" i="7"/>
  <c r="D137" i="7"/>
  <c r="C137" i="7"/>
  <c r="E136" i="7"/>
  <c r="D136" i="7"/>
  <c r="C136" i="7"/>
  <c r="E135" i="7"/>
  <c r="D135" i="7"/>
  <c r="C135" i="7"/>
  <c r="E129" i="7"/>
  <c r="D129" i="7"/>
  <c r="C129" i="7"/>
  <c r="E128" i="7"/>
  <c r="D128" i="7"/>
  <c r="C128" i="7"/>
  <c r="G127" i="7"/>
  <c r="I127" i="7" s="1"/>
  <c r="E127" i="7"/>
  <c r="D127" i="7"/>
  <c r="C127" i="7"/>
  <c r="E126" i="7"/>
  <c r="D126" i="7"/>
  <c r="C126" i="7"/>
  <c r="E125" i="7"/>
  <c r="D125" i="7"/>
  <c r="C125" i="7"/>
  <c r="K124" i="7"/>
  <c r="E124" i="7"/>
  <c r="D124" i="7"/>
  <c r="C124" i="7"/>
  <c r="G118" i="7"/>
  <c r="I118" i="7" s="1"/>
  <c r="E118" i="7"/>
  <c r="D118" i="7"/>
  <c r="C118" i="7"/>
  <c r="G117" i="7"/>
  <c r="I117" i="7" s="1"/>
  <c r="E117" i="7"/>
  <c r="D117" i="7"/>
  <c r="C117" i="7"/>
  <c r="E116" i="7"/>
  <c r="D116" i="7"/>
  <c r="C116" i="7"/>
  <c r="E115" i="7"/>
  <c r="D115" i="7"/>
  <c r="C115" i="7"/>
  <c r="E114" i="7"/>
  <c r="D114" i="7"/>
  <c r="C114" i="7"/>
  <c r="E108" i="7"/>
  <c r="D108" i="7"/>
  <c r="C108" i="7"/>
  <c r="E107" i="7"/>
  <c r="D107" i="7"/>
  <c r="C107" i="7"/>
  <c r="F106" i="7"/>
  <c r="E106" i="7"/>
  <c r="D106" i="7"/>
  <c r="C106" i="7"/>
  <c r="F105" i="7"/>
  <c r="E105" i="7"/>
  <c r="D105" i="7"/>
  <c r="C105" i="7"/>
  <c r="E104" i="7"/>
  <c r="D104" i="7"/>
  <c r="C104" i="7"/>
  <c r="E98" i="7"/>
  <c r="D98" i="7"/>
  <c r="C98" i="7"/>
  <c r="F97" i="7"/>
  <c r="E97" i="7"/>
  <c r="D97" i="7"/>
  <c r="C97" i="7"/>
  <c r="F96" i="7"/>
  <c r="E96" i="7"/>
  <c r="D96" i="7"/>
  <c r="C96" i="7"/>
  <c r="E95" i="7"/>
  <c r="D95" i="7"/>
  <c r="C95" i="7"/>
  <c r="G89" i="7"/>
  <c r="I89" i="7" s="1"/>
  <c r="E89" i="7"/>
  <c r="D89" i="7"/>
  <c r="C89" i="7"/>
  <c r="F88" i="7"/>
  <c r="E88" i="7"/>
  <c r="D88" i="7"/>
  <c r="C88" i="7"/>
  <c r="F87" i="7"/>
  <c r="E87" i="7"/>
  <c r="D87" i="7"/>
  <c r="C87" i="7"/>
  <c r="F86" i="7"/>
  <c r="E86" i="7"/>
  <c r="D86" i="7"/>
  <c r="C86" i="7"/>
  <c r="E85" i="7"/>
  <c r="D85" i="7"/>
  <c r="C85" i="7"/>
  <c r="E79" i="7"/>
  <c r="D79" i="7"/>
  <c r="C79" i="7"/>
  <c r="F78" i="7"/>
  <c r="E78" i="7"/>
  <c r="D78" i="7"/>
  <c r="C78" i="7"/>
  <c r="F77" i="7"/>
  <c r="E77" i="7"/>
  <c r="D77" i="7"/>
  <c r="C77" i="7"/>
  <c r="F76" i="7"/>
  <c r="E76" i="7"/>
  <c r="D76" i="7"/>
  <c r="C76" i="7"/>
  <c r="K75" i="7"/>
  <c r="E75" i="7"/>
  <c r="D75" i="7"/>
  <c r="C75" i="7"/>
  <c r="E69" i="7"/>
  <c r="D69" i="7"/>
  <c r="C69" i="7"/>
  <c r="F68" i="7"/>
  <c r="E68" i="7"/>
  <c r="D68" i="7"/>
  <c r="C68" i="7"/>
  <c r="F67" i="7"/>
  <c r="E67" i="7"/>
  <c r="D67" i="7"/>
  <c r="C67" i="7"/>
  <c r="F66" i="7"/>
  <c r="E66" i="7"/>
  <c r="D66" i="7"/>
  <c r="C66" i="7"/>
  <c r="E65" i="7"/>
  <c r="D65" i="7"/>
  <c r="C65" i="7"/>
  <c r="G59" i="7"/>
  <c r="I59" i="7" s="1"/>
  <c r="E59" i="7"/>
  <c r="D59" i="7"/>
  <c r="C59" i="7"/>
  <c r="F58" i="7"/>
  <c r="E58" i="7"/>
  <c r="D58" i="7"/>
  <c r="C58" i="7"/>
  <c r="F57" i="7"/>
  <c r="E57" i="7"/>
  <c r="D57" i="7"/>
  <c r="C57" i="7"/>
  <c r="F56" i="7"/>
  <c r="E56" i="7"/>
  <c r="D56" i="7"/>
  <c r="C56" i="7"/>
  <c r="E55" i="7"/>
  <c r="D55" i="7"/>
  <c r="C55" i="7"/>
  <c r="G49" i="7"/>
  <c r="I49" i="7" s="1"/>
  <c r="F49" i="7"/>
  <c r="E49" i="7"/>
  <c r="D49" i="7"/>
  <c r="C49" i="7"/>
  <c r="F48" i="7"/>
  <c r="E48" i="7"/>
  <c r="D48" i="7"/>
  <c r="C48" i="7"/>
  <c r="F47" i="7"/>
  <c r="E47" i="7"/>
  <c r="D47" i="7"/>
  <c r="C47" i="7"/>
  <c r="F46" i="7"/>
  <c r="E46" i="7"/>
  <c r="D46" i="7"/>
  <c r="C46" i="7"/>
  <c r="E45" i="7"/>
  <c r="D45" i="7"/>
  <c r="C45" i="7"/>
  <c r="E39" i="7"/>
  <c r="D39" i="7"/>
  <c r="C39" i="7"/>
  <c r="E38" i="7"/>
  <c r="D38" i="7"/>
  <c r="C38" i="7"/>
  <c r="G32" i="7"/>
  <c r="I32" i="7" s="1"/>
  <c r="F32" i="7"/>
  <c r="E32" i="7"/>
  <c r="D32" i="7"/>
  <c r="C32" i="7"/>
  <c r="F31" i="7"/>
  <c r="E31" i="7"/>
  <c r="D31" i="7"/>
  <c r="C31" i="7"/>
  <c r="F30" i="7"/>
  <c r="E30" i="7"/>
  <c r="D30" i="7"/>
  <c r="C30" i="7"/>
  <c r="E29" i="7"/>
  <c r="D29" i="7"/>
  <c r="C29" i="7"/>
  <c r="G23" i="7"/>
  <c r="I23" i="7" s="1"/>
  <c r="E23" i="7"/>
  <c r="D23" i="7"/>
  <c r="C23" i="7"/>
  <c r="G22" i="7"/>
  <c r="I22" i="7" s="1"/>
  <c r="E22" i="7"/>
  <c r="D22" i="7"/>
  <c r="C22" i="7"/>
  <c r="E21" i="7"/>
  <c r="D21" i="7"/>
  <c r="C21" i="7"/>
  <c r="F20" i="7"/>
  <c r="E20" i="7"/>
  <c r="D20" i="7"/>
  <c r="C20" i="7"/>
  <c r="G19" i="7"/>
  <c r="I19" i="7" s="1"/>
  <c r="E19" i="7"/>
  <c r="D19" i="7"/>
  <c r="C19" i="7"/>
  <c r="E18" i="7"/>
  <c r="D18" i="7"/>
  <c r="C18" i="7"/>
  <c r="G12" i="7"/>
  <c r="I12" i="7" s="1"/>
  <c r="E12" i="7"/>
  <c r="D12" i="7"/>
  <c r="C12" i="7"/>
  <c r="G11" i="7"/>
  <c r="I11" i="7" s="1"/>
  <c r="E11" i="7"/>
  <c r="D11" i="7"/>
  <c r="C11" i="7"/>
  <c r="E10" i="7"/>
  <c r="D10" i="7"/>
  <c r="C10" i="7"/>
  <c r="E9" i="7"/>
  <c r="D9" i="7"/>
  <c r="C9" i="7"/>
  <c r="E8" i="7"/>
  <c r="D8" i="7"/>
  <c r="C8" i="7"/>
  <c r="E7" i="7"/>
  <c r="D7" i="7"/>
  <c r="C7" i="7"/>
  <c r="B5" i="7"/>
  <c r="C886" i="6" s="1"/>
  <c r="C472" i="4" s="1"/>
  <c r="A2" i="7"/>
  <c r="A1" i="7"/>
  <c r="C261" i="6"/>
  <c r="C142" i="5" s="1"/>
  <c r="E30" i="6"/>
  <c r="B5" i="6"/>
  <c r="A2" i="6"/>
  <c r="B474" i="5" s="1"/>
  <c r="A1" i="6"/>
  <c r="B475" i="5"/>
  <c r="B473" i="5"/>
  <c r="B470" i="5"/>
  <c r="B469" i="5"/>
  <c r="B468" i="5"/>
  <c r="B467" i="5"/>
  <c r="B466" i="5"/>
  <c r="B464" i="5"/>
  <c r="B462" i="5"/>
  <c r="B461" i="5"/>
  <c r="B459" i="5"/>
  <c r="B458" i="5"/>
  <c r="B456" i="5"/>
  <c r="B455" i="5"/>
  <c r="B454" i="5"/>
  <c r="B453" i="5"/>
  <c r="B452" i="5"/>
  <c r="B451" i="5"/>
  <c r="B450" i="5"/>
  <c r="B448" i="5"/>
  <c r="B447" i="5"/>
  <c r="B446" i="5"/>
  <c r="B445" i="5"/>
  <c r="B444" i="5"/>
  <c r="B443" i="5"/>
  <c r="B442" i="5"/>
  <c r="B440" i="5"/>
  <c r="B439" i="5"/>
  <c r="B438" i="5"/>
  <c r="B437" i="5"/>
  <c r="F436" i="5"/>
  <c r="Q436" i="5" s="1"/>
  <c r="B436" i="5"/>
  <c r="B435" i="5"/>
  <c r="B434" i="5"/>
  <c r="B433" i="5"/>
  <c r="B431" i="5"/>
  <c r="B429" i="5"/>
  <c r="B428" i="5"/>
  <c r="F427" i="5"/>
  <c r="Q427" i="5" s="1"/>
  <c r="B426" i="5"/>
  <c r="B425" i="5"/>
  <c r="B422" i="5"/>
  <c r="B421" i="5"/>
  <c r="B420" i="5"/>
  <c r="B419" i="5"/>
  <c r="B418" i="5"/>
  <c r="B416" i="5"/>
  <c r="B415" i="5"/>
  <c r="B414" i="5"/>
  <c r="B413" i="5"/>
  <c r="B412" i="5"/>
  <c r="B410" i="5"/>
  <c r="B409" i="5"/>
  <c r="B407" i="5"/>
  <c r="B406" i="5"/>
  <c r="B405" i="5"/>
  <c r="F404" i="5"/>
  <c r="Q404" i="5" s="1"/>
  <c r="B404" i="5"/>
  <c r="B403" i="5"/>
  <c r="B402" i="5"/>
  <c r="B401" i="5"/>
  <c r="B400" i="5"/>
  <c r="B399" i="5"/>
  <c r="B398" i="5"/>
  <c r="B397" i="5"/>
  <c r="B396" i="5"/>
  <c r="B395" i="5"/>
  <c r="B392" i="5"/>
  <c r="B391" i="5"/>
  <c r="B390" i="5"/>
  <c r="B389" i="5"/>
  <c r="B388" i="5"/>
  <c r="B387" i="5"/>
  <c r="B386" i="5"/>
  <c r="B385" i="5"/>
  <c r="B384" i="5"/>
  <c r="B382" i="5"/>
  <c r="B380" i="5"/>
  <c r="B379" i="5"/>
  <c r="B378" i="5"/>
  <c r="B377" i="5"/>
  <c r="B376" i="5"/>
  <c r="B375" i="5"/>
  <c r="B374" i="5"/>
  <c r="B373" i="5"/>
  <c r="B372" i="5"/>
  <c r="B371" i="5"/>
  <c r="B370" i="5"/>
  <c r="B368" i="5"/>
  <c r="B367" i="5"/>
  <c r="B366" i="5"/>
  <c r="B365" i="5"/>
  <c r="B364" i="5"/>
  <c r="B363" i="5"/>
  <c r="F362" i="5"/>
  <c r="N362" i="5" s="1"/>
  <c r="B362" i="5"/>
  <c r="B361" i="5"/>
  <c r="B359" i="5"/>
  <c r="B358" i="5"/>
  <c r="B356" i="5"/>
  <c r="B355" i="5"/>
  <c r="B354" i="5"/>
  <c r="B353" i="5"/>
  <c r="B352" i="5"/>
  <c r="B351" i="5"/>
  <c r="B350" i="5"/>
  <c r="B349" i="5"/>
  <c r="B347" i="5"/>
  <c r="B346" i="5"/>
  <c r="B345" i="5"/>
  <c r="B344" i="5"/>
  <c r="B343" i="5"/>
  <c r="B342" i="5"/>
  <c r="B341" i="5"/>
  <c r="B340" i="5"/>
  <c r="B337" i="5"/>
  <c r="B336" i="5"/>
  <c r="B335" i="5"/>
  <c r="B334" i="5"/>
  <c r="B332" i="5"/>
  <c r="B331" i="5"/>
  <c r="B330" i="5"/>
  <c r="B329" i="5"/>
  <c r="B327" i="5"/>
  <c r="B326" i="5"/>
  <c r="B325" i="5"/>
  <c r="B324" i="5"/>
  <c r="B323" i="5"/>
  <c r="B322" i="5"/>
  <c r="B320" i="5"/>
  <c r="B319" i="5"/>
  <c r="B318" i="5"/>
  <c r="B316" i="5"/>
  <c r="B314" i="5"/>
  <c r="B313" i="5"/>
  <c r="B312" i="5"/>
  <c r="B311" i="5"/>
  <c r="B310" i="5"/>
  <c r="B308" i="5"/>
  <c r="B307" i="5"/>
  <c r="B305" i="5"/>
  <c r="B304" i="5"/>
  <c r="B303" i="5"/>
  <c r="B302" i="5"/>
  <c r="B301" i="5"/>
  <c r="F300" i="5"/>
  <c r="N300" i="5" s="1"/>
  <c r="B300" i="5"/>
  <c r="B299" i="5"/>
  <c r="B298" i="5"/>
  <c r="B296" i="5"/>
  <c r="B295" i="5"/>
  <c r="B294" i="5"/>
  <c r="B293" i="5"/>
  <c r="B292" i="5"/>
  <c r="B290" i="5"/>
  <c r="B289" i="5"/>
  <c r="B288" i="5"/>
  <c r="B287" i="5"/>
  <c r="B286" i="5"/>
  <c r="B284" i="5"/>
  <c r="B283" i="5"/>
  <c r="B282" i="5"/>
  <c r="B281" i="5"/>
  <c r="B279" i="5"/>
  <c r="B277" i="5"/>
  <c r="B276" i="5"/>
  <c r="B275" i="5"/>
  <c r="B274" i="5"/>
  <c r="B272" i="5"/>
  <c r="B271" i="5"/>
  <c r="B270" i="5"/>
  <c r="B268" i="5"/>
  <c r="B266" i="5"/>
  <c r="B265" i="5"/>
  <c r="B264" i="5"/>
  <c r="B263" i="5"/>
  <c r="F262" i="5"/>
  <c r="N262" i="5" s="1"/>
  <c r="B262" i="5"/>
  <c r="B260" i="5"/>
  <c r="B259" i="5"/>
  <c r="B257" i="5"/>
  <c r="B256" i="5"/>
  <c r="B255" i="5"/>
  <c r="B254" i="5"/>
  <c r="F253" i="5"/>
  <c r="N253" i="5" s="1"/>
  <c r="B253" i="5"/>
  <c r="B252" i="5"/>
  <c r="B251" i="5"/>
  <c r="B250" i="5"/>
  <c r="B248" i="5"/>
  <c r="B246" i="5"/>
  <c r="B245" i="5"/>
  <c r="B244" i="5"/>
  <c r="B242" i="5"/>
  <c r="B241" i="5"/>
  <c r="B240" i="5"/>
  <c r="B239" i="5"/>
  <c r="B238" i="5"/>
  <c r="B236" i="5"/>
  <c r="B235" i="5"/>
  <c r="B234" i="5"/>
  <c r="B233" i="5"/>
  <c r="F232" i="5"/>
  <c r="N232" i="5" s="1"/>
  <c r="B232" i="5"/>
  <c r="B230" i="5"/>
  <c r="B229" i="5"/>
  <c r="B228" i="5"/>
  <c r="B227" i="5"/>
  <c r="B226" i="5"/>
  <c r="B225" i="5"/>
  <c r="B224" i="5"/>
  <c r="B223" i="5"/>
  <c r="B222" i="5"/>
  <c r="B221" i="5"/>
  <c r="B220" i="5"/>
  <c r="B219" i="5"/>
  <c r="B218" i="5"/>
  <c r="B217" i="5"/>
  <c r="B216" i="5"/>
  <c r="B215" i="5"/>
  <c r="B214" i="5"/>
  <c r="B213" i="5"/>
  <c r="B212" i="5"/>
  <c r="B211" i="5"/>
  <c r="B210" i="5"/>
  <c r="B209" i="5"/>
  <c r="B207" i="5"/>
  <c r="B206" i="5"/>
  <c r="F205" i="5"/>
  <c r="N205" i="5" s="1"/>
  <c r="B205" i="5"/>
  <c r="B204" i="5"/>
  <c r="B203" i="5"/>
  <c r="B202" i="5"/>
  <c r="B201" i="5"/>
  <c r="B200" i="5"/>
  <c r="B199" i="5"/>
  <c r="B198" i="5"/>
  <c r="B197" i="5"/>
  <c r="B195" i="5"/>
  <c r="B194" i="5"/>
  <c r="B193" i="5"/>
  <c r="B192" i="5"/>
  <c r="B191" i="5"/>
  <c r="B190" i="5"/>
  <c r="B189" i="5"/>
  <c r="B188" i="5"/>
  <c r="B187" i="5"/>
  <c r="B186" i="5"/>
  <c r="B185" i="5"/>
  <c r="B184" i="5"/>
  <c r="B183" i="5"/>
  <c r="B182" i="5"/>
  <c r="B181" i="5"/>
  <c r="B180" i="5"/>
  <c r="B179" i="5"/>
  <c r="F178" i="5"/>
  <c r="K178" i="5" s="1"/>
  <c r="B177" i="5"/>
  <c r="B176" i="5"/>
  <c r="B175" i="5"/>
  <c r="B174" i="5"/>
  <c r="B173" i="5"/>
  <c r="B171" i="5"/>
  <c r="B170" i="5"/>
  <c r="B169" i="5"/>
  <c r="B168" i="5"/>
  <c r="B167" i="5"/>
  <c r="B166" i="5"/>
  <c r="B165" i="5"/>
  <c r="B164" i="5"/>
  <c r="B163" i="5"/>
  <c r="B162" i="5"/>
  <c r="B161" i="5"/>
  <c r="B159" i="5"/>
  <c r="B158" i="5"/>
  <c r="B157" i="5"/>
  <c r="B156" i="5"/>
  <c r="B155" i="5"/>
  <c r="B154" i="5"/>
  <c r="B153" i="5"/>
  <c r="B152" i="5"/>
  <c r="B151" i="5"/>
  <c r="B150" i="5"/>
  <c r="B149" i="5"/>
  <c r="B147" i="5"/>
  <c r="B146" i="5"/>
  <c r="B145" i="5"/>
  <c r="B144" i="5"/>
  <c r="B143" i="5"/>
  <c r="B142" i="5"/>
  <c r="B141" i="5"/>
  <c r="B140" i="5"/>
  <c r="B139" i="5"/>
  <c r="B138" i="5"/>
  <c r="B137" i="5"/>
  <c r="B135" i="5"/>
  <c r="B134" i="5"/>
  <c r="B133" i="5"/>
  <c r="B132" i="5"/>
  <c r="B131" i="5"/>
  <c r="B129" i="5"/>
  <c r="B128" i="5"/>
  <c r="B127" i="5"/>
  <c r="B126" i="5"/>
  <c r="B125" i="5"/>
  <c r="B124" i="5"/>
  <c r="B123" i="5"/>
  <c r="F122" i="5"/>
  <c r="K122" i="5" s="1"/>
  <c r="B122" i="5"/>
  <c r="B121" i="5"/>
  <c r="B120" i="5"/>
  <c r="B119" i="5"/>
  <c r="B118" i="5"/>
  <c r="B117" i="5"/>
  <c r="B116" i="5"/>
  <c r="B115" i="5"/>
  <c r="B114" i="5"/>
  <c r="B113" i="5"/>
  <c r="B111" i="5"/>
  <c r="B110" i="5"/>
  <c r="B109" i="5"/>
  <c r="B108" i="5"/>
  <c r="B107" i="5"/>
  <c r="B106" i="5"/>
  <c r="B105" i="5"/>
  <c r="B104" i="5"/>
  <c r="B103" i="5"/>
  <c r="B102" i="5"/>
  <c r="B101" i="5"/>
  <c r="B99" i="5"/>
  <c r="B98" i="5"/>
  <c r="B97" i="5"/>
  <c r="B96" i="5"/>
  <c r="B95" i="5"/>
  <c r="B94" i="5"/>
  <c r="B93" i="5"/>
  <c r="B92" i="5"/>
  <c r="B91" i="5"/>
  <c r="B90" i="5"/>
  <c r="B89" i="5"/>
  <c r="B87" i="5"/>
  <c r="B86" i="5"/>
  <c r="B85" i="5"/>
  <c r="B84" i="5"/>
  <c r="B83" i="5"/>
  <c r="B82" i="5"/>
  <c r="B81" i="5"/>
  <c r="B80" i="5"/>
  <c r="B79" i="5"/>
  <c r="B78" i="5"/>
  <c r="B77" i="5"/>
  <c r="B75" i="5"/>
  <c r="F74" i="5"/>
  <c r="K74" i="5" s="1"/>
  <c r="B74" i="5"/>
  <c r="B73" i="5"/>
  <c r="B72" i="5"/>
  <c r="B71" i="5"/>
  <c r="B69" i="5"/>
  <c r="B68" i="5"/>
  <c r="B67" i="5"/>
  <c r="B66" i="5"/>
  <c r="B65" i="5"/>
  <c r="B64" i="5"/>
  <c r="B63" i="5"/>
  <c r="B62" i="5"/>
  <c r="B61" i="5"/>
  <c r="B60" i="5"/>
  <c r="B59" i="5"/>
  <c r="B57" i="5"/>
  <c r="B56" i="5"/>
  <c r="B55" i="5"/>
  <c r="B54" i="5"/>
  <c r="B53" i="5"/>
  <c r="B52" i="5"/>
  <c r="B51" i="5"/>
  <c r="B50" i="5"/>
  <c r="B49" i="5"/>
  <c r="B48" i="5"/>
  <c r="B47" i="5"/>
  <c r="B45" i="5"/>
  <c r="B44" i="5"/>
  <c r="B43" i="5"/>
  <c r="B42" i="5"/>
  <c r="B41" i="5"/>
  <c r="B40" i="5"/>
  <c r="B39" i="5"/>
  <c r="B38" i="5"/>
  <c r="B37" i="5"/>
  <c r="B36" i="5"/>
  <c r="B35" i="5"/>
  <c r="B33" i="5"/>
  <c r="B32" i="5"/>
  <c r="F31" i="5"/>
  <c r="K31" i="5" s="1"/>
  <c r="B31" i="5"/>
  <c r="B30" i="5"/>
  <c r="B29" i="5"/>
  <c r="B27" i="5"/>
  <c r="B26" i="5"/>
  <c r="B25" i="5"/>
  <c r="B24" i="5"/>
  <c r="F23" i="5"/>
  <c r="K23" i="5" s="1"/>
  <c r="B23" i="5"/>
  <c r="B22" i="5"/>
  <c r="B21" i="5"/>
  <c r="F20" i="5"/>
  <c r="K20" i="5" s="1"/>
  <c r="B20" i="5"/>
  <c r="B19" i="5"/>
  <c r="B18" i="5"/>
  <c r="B17" i="5"/>
  <c r="B15" i="5"/>
  <c r="F14" i="5"/>
  <c r="K14" i="5" s="1"/>
  <c r="B14" i="5"/>
  <c r="B13" i="5"/>
  <c r="B12" i="5"/>
  <c r="B11" i="5"/>
  <c r="B10" i="5"/>
  <c r="B9" i="5"/>
  <c r="B8" i="5"/>
  <c r="B5" i="5"/>
  <c r="A2" i="5"/>
  <c r="A1" i="5"/>
  <c r="B474" i="4"/>
  <c r="B473" i="4"/>
  <c r="B472" i="4"/>
  <c r="B471" i="4"/>
  <c r="B470" i="4"/>
  <c r="B469" i="4"/>
  <c r="F468" i="4"/>
  <c r="B468" i="4"/>
  <c r="B467" i="4"/>
  <c r="B466" i="4"/>
  <c r="B465" i="4"/>
  <c r="B464" i="4"/>
  <c r="F463" i="4"/>
  <c r="B463" i="4"/>
  <c r="B462" i="4"/>
  <c r="B117" i="2" s="1"/>
  <c r="B461" i="4"/>
  <c r="B460" i="4"/>
  <c r="B117" i="3" s="1"/>
  <c r="B459" i="4"/>
  <c r="B458" i="4"/>
  <c r="B457" i="4"/>
  <c r="B456" i="4"/>
  <c r="B455" i="4"/>
  <c r="B454" i="4"/>
  <c r="F453" i="4"/>
  <c r="B453" i="4"/>
  <c r="B452" i="4"/>
  <c r="B114" i="3" s="1"/>
  <c r="B451" i="4"/>
  <c r="B450" i="4"/>
  <c r="F449" i="4"/>
  <c r="B449" i="4"/>
  <c r="B448" i="4"/>
  <c r="B447" i="4"/>
  <c r="B446" i="4"/>
  <c r="B445" i="4"/>
  <c r="B444" i="4"/>
  <c r="B443" i="4"/>
  <c r="B442" i="4"/>
  <c r="B441" i="4"/>
  <c r="B440" i="4"/>
  <c r="B439" i="4"/>
  <c r="B438" i="4"/>
  <c r="B437" i="4"/>
  <c r="B436" i="4"/>
  <c r="B435" i="4"/>
  <c r="B434" i="4"/>
  <c r="B433" i="4"/>
  <c r="B432" i="4"/>
  <c r="B431" i="4"/>
  <c r="B430" i="4"/>
  <c r="B429" i="4"/>
  <c r="B428" i="4"/>
  <c r="B427" i="4"/>
  <c r="B426" i="4"/>
  <c r="B425" i="4"/>
  <c r="B424" i="4"/>
  <c r="B423" i="4"/>
  <c r="B422" i="4"/>
  <c r="B421" i="4"/>
  <c r="B104" i="2" s="1"/>
  <c r="B420" i="4"/>
  <c r="B419" i="4"/>
  <c r="B418" i="4"/>
  <c r="B417" i="4"/>
  <c r="B416" i="4"/>
  <c r="B415" i="4"/>
  <c r="B414" i="4"/>
  <c r="B102" i="2" s="1"/>
  <c r="B413" i="4"/>
  <c r="B412" i="4"/>
  <c r="B411" i="4"/>
  <c r="B410" i="4"/>
  <c r="B409" i="4"/>
  <c r="B408" i="4"/>
  <c r="B407" i="4"/>
  <c r="B406" i="4"/>
  <c r="B405" i="4"/>
  <c r="B404" i="4"/>
  <c r="B403" i="4"/>
  <c r="F402" i="4"/>
  <c r="B402" i="4"/>
  <c r="B401" i="4"/>
  <c r="B400" i="4"/>
  <c r="B399" i="4"/>
  <c r="F398" i="4"/>
  <c r="B398" i="4"/>
  <c r="B397" i="4"/>
  <c r="B396" i="4"/>
  <c r="B395" i="4"/>
  <c r="B394" i="4"/>
  <c r="B393" i="4"/>
  <c r="B392" i="4"/>
  <c r="B391" i="4"/>
  <c r="B390" i="4"/>
  <c r="B389" i="4"/>
  <c r="B388" i="4"/>
  <c r="B387" i="4"/>
  <c r="B386" i="4"/>
  <c r="B385" i="4"/>
  <c r="B384" i="4"/>
  <c r="B383" i="4"/>
  <c r="B382" i="4"/>
  <c r="B381" i="4"/>
  <c r="B380" i="4"/>
  <c r="B379" i="4"/>
  <c r="B378" i="4"/>
  <c r="B377" i="4"/>
  <c r="B376" i="4"/>
  <c r="B375" i="4"/>
  <c r="B374" i="4"/>
  <c r="B373" i="4"/>
  <c r="B372" i="4"/>
  <c r="B371" i="4"/>
  <c r="B370" i="4"/>
  <c r="B369" i="4"/>
  <c r="B96" i="3" s="1"/>
  <c r="B368" i="4"/>
  <c r="B367" i="4"/>
  <c r="B95" i="3" s="1"/>
  <c r="B366" i="4"/>
  <c r="B365" i="4"/>
  <c r="B364" i="4"/>
  <c r="B363" i="4"/>
  <c r="B362" i="4"/>
  <c r="B361" i="4"/>
  <c r="B360" i="4"/>
  <c r="B359" i="4"/>
  <c r="B92" i="3" s="1"/>
  <c r="B358" i="4"/>
  <c r="B91" i="3" s="1"/>
  <c r="B357" i="4"/>
  <c r="B356" i="4"/>
  <c r="B355" i="4"/>
  <c r="B354" i="4"/>
  <c r="B353" i="4"/>
  <c r="B352" i="4"/>
  <c r="B351" i="4"/>
  <c r="F350" i="4"/>
  <c r="B350" i="4"/>
  <c r="B349" i="4"/>
  <c r="B89" i="2" s="1"/>
  <c r="B348" i="4"/>
  <c r="B347" i="4"/>
  <c r="B346" i="4"/>
  <c r="B345" i="4"/>
  <c r="B344" i="4"/>
  <c r="B343" i="4"/>
  <c r="B342" i="4"/>
  <c r="B341" i="4"/>
  <c r="F340" i="4"/>
  <c r="B340" i="4"/>
  <c r="B339" i="4"/>
  <c r="B338" i="4"/>
  <c r="B86" i="3" s="1"/>
  <c r="F337" i="4"/>
  <c r="B337" i="4"/>
  <c r="B336" i="4"/>
  <c r="B335" i="4"/>
  <c r="B334" i="4"/>
  <c r="B85" i="3" s="1"/>
  <c r="B333" i="4"/>
  <c r="B332" i="4"/>
  <c r="B331" i="4"/>
  <c r="B330" i="4"/>
  <c r="B329" i="4"/>
  <c r="B328" i="4"/>
  <c r="B82" i="2" s="1"/>
  <c r="B327" i="4"/>
  <c r="B326" i="4"/>
  <c r="B325" i="4"/>
  <c r="B81" i="2" s="1"/>
  <c r="B324" i="4"/>
  <c r="B323" i="4"/>
  <c r="B322" i="4"/>
  <c r="B321" i="4"/>
  <c r="B320" i="4"/>
  <c r="B319" i="4"/>
  <c r="B318" i="4"/>
  <c r="B317" i="4"/>
  <c r="B316" i="4"/>
  <c r="B79" i="3" s="1"/>
  <c r="B315" i="4"/>
  <c r="B77" i="2" s="1"/>
  <c r="B314" i="4"/>
  <c r="B313" i="4"/>
  <c r="B312" i="4"/>
  <c r="F311" i="4"/>
  <c r="B311" i="4"/>
  <c r="B310" i="4"/>
  <c r="B309" i="4"/>
  <c r="B308" i="4"/>
  <c r="B307" i="4"/>
  <c r="B306" i="4"/>
  <c r="B305" i="4"/>
  <c r="B304" i="4"/>
  <c r="B303" i="4"/>
  <c r="B302" i="4"/>
  <c r="B301" i="4"/>
  <c r="B300" i="4"/>
  <c r="B299" i="4"/>
  <c r="B298" i="4"/>
  <c r="B297" i="4"/>
  <c r="B296" i="4"/>
  <c r="B295" i="4"/>
  <c r="B294" i="4"/>
  <c r="B293" i="4"/>
  <c r="F292" i="4"/>
  <c r="B292" i="4"/>
  <c r="B291" i="4"/>
  <c r="B290" i="4"/>
  <c r="B289" i="4"/>
  <c r="B75" i="3" s="1"/>
  <c r="B288" i="4"/>
  <c r="B287" i="4"/>
  <c r="B286" i="4"/>
  <c r="B285" i="4"/>
  <c r="B284" i="4"/>
  <c r="B283" i="4"/>
  <c r="B282" i="4"/>
  <c r="F281" i="4"/>
  <c r="B281" i="4"/>
  <c r="B280" i="4"/>
  <c r="B279" i="4"/>
  <c r="B278" i="4"/>
  <c r="B277" i="4"/>
  <c r="B276" i="4"/>
  <c r="B74" i="3" s="1"/>
  <c r="F275" i="4"/>
  <c r="B275" i="4"/>
  <c r="B274" i="4"/>
  <c r="B73" i="3" s="1"/>
  <c r="B273" i="4"/>
  <c r="B272" i="4"/>
  <c r="B271" i="4"/>
  <c r="B270" i="4"/>
  <c r="B269" i="4"/>
  <c r="B268" i="4"/>
  <c r="B267" i="4"/>
  <c r="B266" i="4"/>
  <c r="B69" i="2" s="1"/>
  <c r="B265" i="4"/>
  <c r="B69" i="3" s="1"/>
  <c r="B264" i="4"/>
  <c r="B263" i="4"/>
  <c r="B262" i="4"/>
  <c r="B261" i="4"/>
  <c r="B260" i="4"/>
  <c r="B259" i="4"/>
  <c r="B258" i="4"/>
  <c r="B257" i="4"/>
  <c r="B256" i="4"/>
  <c r="B255" i="4"/>
  <c r="B254" i="4"/>
  <c r="B67" i="3" s="1"/>
  <c r="B253" i="4"/>
  <c r="B252" i="4"/>
  <c r="B251" i="4"/>
  <c r="B250" i="4"/>
  <c r="B249" i="4"/>
  <c r="B248" i="4"/>
  <c r="B247" i="4"/>
  <c r="B246" i="4"/>
  <c r="B245" i="4"/>
  <c r="B63" i="2" s="1"/>
  <c r="B244" i="4"/>
  <c r="B243" i="4"/>
  <c r="B242" i="4"/>
  <c r="B241" i="4"/>
  <c r="B240" i="4"/>
  <c r="B239" i="4"/>
  <c r="B238" i="4"/>
  <c r="B237" i="4"/>
  <c r="B236" i="4"/>
  <c r="B235" i="4"/>
  <c r="B234" i="4"/>
  <c r="B233" i="4"/>
  <c r="B232" i="4"/>
  <c r="B59" i="2" s="1"/>
  <c r="B231" i="4"/>
  <c r="B230" i="4"/>
  <c r="B229" i="4"/>
  <c r="B228" i="4"/>
  <c r="B59" i="3" s="1"/>
  <c r="B227" i="4"/>
  <c r="B226" i="4"/>
  <c r="B58" i="3" s="1"/>
  <c r="B225" i="4"/>
  <c r="B224" i="4"/>
  <c r="B223" i="4"/>
  <c r="B222" i="4"/>
  <c r="B221" i="4"/>
  <c r="B220" i="4"/>
  <c r="B219" i="4"/>
  <c r="B218" i="4"/>
  <c r="B217" i="4"/>
  <c r="B216" i="4"/>
  <c r="B215" i="4"/>
  <c r="B54" i="2" s="1"/>
  <c r="B214" i="4"/>
  <c r="B213" i="4"/>
  <c r="B212" i="4"/>
  <c r="B211" i="4"/>
  <c r="B210" i="4"/>
  <c r="B209" i="4"/>
  <c r="B208" i="4"/>
  <c r="B207" i="4"/>
  <c r="B206" i="4"/>
  <c r="B205" i="4"/>
  <c r="B204" i="4"/>
  <c r="B203" i="4"/>
  <c r="B202" i="4"/>
  <c r="B201" i="4"/>
  <c r="F200" i="4"/>
  <c r="B200" i="4"/>
  <c r="B199" i="4"/>
  <c r="B198" i="4"/>
  <c r="B197" i="4"/>
  <c r="B196" i="4"/>
  <c r="B52" i="2" s="1"/>
  <c r="B195" i="4"/>
  <c r="B194" i="4"/>
  <c r="B193" i="4"/>
  <c r="B192" i="4"/>
  <c r="B191" i="4"/>
  <c r="F190" i="4"/>
  <c r="B190" i="4"/>
  <c r="B189" i="4"/>
  <c r="B188" i="4"/>
  <c r="B187" i="4"/>
  <c r="B186" i="4"/>
  <c r="F185" i="4"/>
  <c r="B185" i="4"/>
  <c r="B184" i="4"/>
  <c r="B183" i="4"/>
  <c r="B52" i="3" s="1"/>
  <c r="B182" i="4"/>
  <c r="B181" i="4"/>
  <c r="B51" i="3" s="1"/>
  <c r="B180" i="4"/>
  <c r="B179" i="4"/>
  <c r="B178" i="4"/>
  <c r="B50" i="3" s="1"/>
  <c r="F177" i="4"/>
  <c r="B177" i="4"/>
  <c r="B176" i="4"/>
  <c r="B175" i="4"/>
  <c r="B174" i="4"/>
  <c r="B173" i="4"/>
  <c r="B172" i="4"/>
  <c r="B171" i="4"/>
  <c r="B170" i="4"/>
  <c r="B169" i="4"/>
  <c r="B168" i="4"/>
  <c r="B167" i="4"/>
  <c r="B166" i="4"/>
  <c r="B165" i="4"/>
  <c r="B164" i="4"/>
  <c r="B163" i="4"/>
  <c r="B45" i="2" s="1"/>
  <c r="B162" i="4"/>
  <c r="B161" i="4"/>
  <c r="B160" i="4"/>
  <c r="F159" i="4"/>
  <c r="B159" i="4"/>
  <c r="B158" i="4"/>
  <c r="B157" i="4"/>
  <c r="B156" i="4"/>
  <c r="B155" i="4"/>
  <c r="B154" i="4"/>
  <c r="B153" i="4"/>
  <c r="B152" i="4"/>
  <c r="B41" i="2" s="1"/>
  <c r="B151" i="4"/>
  <c r="B150" i="4"/>
  <c r="B149" i="4"/>
  <c r="B148" i="4"/>
  <c r="B40" i="2" s="1"/>
  <c r="B147" i="4"/>
  <c r="B146" i="4"/>
  <c r="B145" i="4"/>
  <c r="B144" i="4"/>
  <c r="B143" i="4"/>
  <c r="B142" i="4"/>
  <c r="B141" i="4"/>
  <c r="B140" i="4"/>
  <c r="B139" i="4"/>
  <c r="B138" i="4"/>
  <c r="B137" i="4"/>
  <c r="B136" i="4"/>
  <c r="B135" i="4"/>
  <c r="B134" i="4"/>
  <c r="B133" i="4"/>
  <c r="B132" i="4"/>
  <c r="B131" i="4"/>
  <c r="B130" i="4"/>
  <c r="B35" i="3" s="1"/>
  <c r="B129" i="4"/>
  <c r="B128" i="4"/>
  <c r="B127" i="4"/>
  <c r="B126" i="4"/>
  <c r="B125" i="4"/>
  <c r="B124" i="4"/>
  <c r="B123" i="4"/>
  <c r="B122" i="4"/>
  <c r="F121" i="4"/>
  <c r="B121" i="4"/>
  <c r="B120" i="4"/>
  <c r="B119" i="4"/>
  <c r="B118" i="4"/>
  <c r="B117" i="4"/>
  <c r="B116" i="4"/>
  <c r="B115" i="4"/>
  <c r="B114" i="4"/>
  <c r="B113" i="4"/>
  <c r="B112" i="4"/>
  <c r="F111" i="4"/>
  <c r="B111" i="4"/>
  <c r="B110" i="4"/>
  <c r="B109" i="4"/>
  <c r="B108" i="4"/>
  <c r="B107" i="4"/>
  <c r="B106" i="4"/>
  <c r="B105" i="4"/>
  <c r="B104" i="4"/>
  <c r="B103" i="4"/>
  <c r="B102" i="4"/>
  <c r="B101" i="4"/>
  <c r="B100" i="4"/>
  <c r="B99" i="4"/>
  <c r="B98" i="4"/>
  <c r="B97" i="4"/>
  <c r="B96" i="4"/>
  <c r="B95" i="4"/>
  <c r="B94" i="4"/>
  <c r="B93" i="4"/>
  <c r="B92" i="4"/>
  <c r="B91" i="4"/>
  <c r="B90" i="4"/>
  <c r="B89" i="4"/>
  <c r="B88" i="4"/>
  <c r="B87" i="4"/>
  <c r="B86" i="4"/>
  <c r="B85" i="4"/>
  <c r="B27" i="2" s="1"/>
  <c r="B84" i="4"/>
  <c r="B83" i="4"/>
  <c r="B26" i="2" s="1"/>
  <c r="F82" i="4"/>
  <c r="B82" i="4"/>
  <c r="B81" i="4"/>
  <c r="B80" i="4"/>
  <c r="B79" i="4"/>
  <c r="B25" i="3" s="1"/>
  <c r="B78" i="4"/>
  <c r="B77" i="4"/>
  <c r="B76" i="4"/>
  <c r="B75" i="4"/>
  <c r="B74" i="4"/>
  <c r="F73" i="4"/>
  <c r="B73" i="4"/>
  <c r="B72" i="4"/>
  <c r="B71" i="4"/>
  <c r="B70" i="4"/>
  <c r="B69" i="4"/>
  <c r="B68" i="4"/>
  <c r="B23" i="3" s="1"/>
  <c r="B67" i="4"/>
  <c r="B66" i="4"/>
  <c r="B65" i="4"/>
  <c r="B21" i="2" s="1"/>
  <c r="B64" i="4"/>
  <c r="B63" i="4"/>
  <c r="B62" i="4"/>
  <c r="B61" i="4"/>
  <c r="F60" i="4"/>
  <c r="B60" i="4"/>
  <c r="B59" i="4"/>
  <c r="B58" i="4"/>
  <c r="B57" i="4"/>
  <c r="B56" i="4"/>
  <c r="B55" i="4"/>
  <c r="B18" i="2" s="1"/>
  <c r="B54" i="4"/>
  <c r="B53" i="4"/>
  <c r="B52" i="4"/>
  <c r="B51" i="4"/>
  <c r="B50" i="4"/>
  <c r="B49" i="4"/>
  <c r="B17" i="3" s="1"/>
  <c r="B48" i="4"/>
  <c r="B47" i="4"/>
  <c r="B46" i="4"/>
  <c r="B45" i="4"/>
  <c r="B44" i="4"/>
  <c r="B43" i="4"/>
  <c r="B42" i="4"/>
  <c r="B15" i="3" s="1"/>
  <c r="B41" i="4"/>
  <c r="B40" i="4"/>
  <c r="B39" i="4"/>
  <c r="B38" i="4"/>
  <c r="B37" i="4"/>
  <c r="B36" i="4"/>
  <c r="B35" i="4"/>
  <c r="B34" i="4"/>
  <c r="B33" i="4"/>
  <c r="B32" i="4"/>
  <c r="B31" i="4"/>
  <c r="B30" i="4"/>
  <c r="B29" i="4"/>
  <c r="B11" i="3" s="1"/>
  <c r="B28" i="4"/>
  <c r="B27" i="4"/>
  <c r="B26" i="4"/>
  <c r="B25" i="4"/>
  <c r="B24" i="4"/>
  <c r="B23" i="4"/>
  <c r="B22" i="4"/>
  <c r="B21" i="4"/>
  <c r="B20" i="4"/>
  <c r="B19" i="4"/>
  <c r="B18" i="4"/>
  <c r="B17" i="4"/>
  <c r="B16" i="4"/>
  <c r="B15" i="4"/>
  <c r="B14" i="4"/>
  <c r="B13" i="4"/>
  <c r="B12" i="4"/>
  <c r="B11" i="4"/>
  <c r="B10" i="4"/>
  <c r="B8" i="2" s="1"/>
  <c r="B9" i="4"/>
  <c r="F8" i="4"/>
  <c r="B8" i="4"/>
  <c r="B7" i="4"/>
  <c r="B5" i="4"/>
  <c r="A2" i="4"/>
  <c r="A1" i="4"/>
  <c r="B5" i="3"/>
  <c r="A2" i="3"/>
  <c r="A1" i="3"/>
  <c r="B5" i="2"/>
  <c r="A2" i="2"/>
  <c r="A1" i="2"/>
  <c r="F41" i="14"/>
  <c r="E41" i="14"/>
  <c r="D41" i="14"/>
  <c r="C41" i="14"/>
  <c r="F37" i="14"/>
  <c r="E37" i="14"/>
  <c r="D37" i="14"/>
  <c r="C37" i="14"/>
  <c r="F30" i="14"/>
  <c r="E30" i="14"/>
  <c r="D30" i="14"/>
  <c r="C30" i="14"/>
  <c r="F18" i="14"/>
  <c r="F43" i="14" s="1"/>
  <c r="E18" i="14"/>
  <c r="D18" i="14"/>
  <c r="D43" i="14" s="1"/>
  <c r="C18" i="14"/>
  <c r="C43" i="14" s="1"/>
  <c r="F15" i="13"/>
  <c r="F12" i="13" s="1"/>
  <c r="F19" i="13" s="1"/>
  <c r="B7" i="1" s="1"/>
  <c r="M5" i="3" s="1"/>
  <c r="B15" i="13"/>
  <c r="A9" i="12"/>
  <c r="M8" i="12"/>
  <c r="A81" i="11"/>
  <c r="M80" i="11"/>
  <c r="A76" i="11"/>
  <c r="M75" i="11"/>
  <c r="A71" i="11"/>
  <c r="M70" i="11"/>
  <c r="A66" i="11"/>
  <c r="M65" i="11"/>
  <c r="A61" i="11"/>
  <c r="M60" i="11"/>
  <c r="A56" i="11"/>
  <c r="M55" i="11"/>
  <c r="A51" i="11"/>
  <c r="M50" i="11"/>
  <c r="A46" i="11"/>
  <c r="M45" i="11"/>
  <c r="A41" i="11"/>
  <c r="M40" i="11"/>
  <c r="A36" i="11"/>
  <c r="M35" i="11"/>
  <c r="A31" i="11"/>
  <c r="M30" i="11"/>
  <c r="M29" i="11"/>
  <c r="M28" i="11"/>
  <c r="M27" i="11"/>
  <c r="I27" i="11"/>
  <c r="M26" i="11"/>
  <c r="M25" i="11"/>
  <c r="M24" i="11"/>
  <c r="M23" i="11"/>
  <c r="A19" i="11"/>
  <c r="M18" i="11"/>
  <c r="A14" i="11"/>
  <c r="M13" i="11"/>
  <c r="A9" i="11"/>
  <c r="M8" i="11"/>
  <c r="A393" i="10"/>
  <c r="M392" i="10"/>
  <c r="M391" i="10"/>
  <c r="M390" i="10"/>
  <c r="M389" i="10"/>
  <c r="I389" i="10"/>
  <c r="M388" i="10"/>
  <c r="M387" i="10"/>
  <c r="M386" i="10"/>
  <c r="M385" i="10"/>
  <c r="M384" i="10"/>
  <c r="M383" i="10"/>
  <c r="M382" i="10"/>
  <c r="M381" i="10"/>
  <c r="M380" i="10"/>
  <c r="M379" i="10"/>
  <c r="M378" i="10"/>
  <c r="M377" i="10"/>
  <c r="A373" i="10"/>
  <c r="M372" i="10"/>
  <c r="M371" i="10"/>
  <c r="M370" i="10"/>
  <c r="M369" i="10"/>
  <c r="M368" i="10"/>
  <c r="M367" i="10"/>
  <c r="M366" i="10"/>
  <c r="M365" i="10"/>
  <c r="M364" i="10"/>
  <c r="M363" i="10"/>
  <c r="M362" i="10"/>
  <c r="M361" i="10"/>
  <c r="M360" i="10"/>
  <c r="M359" i="10"/>
  <c r="M358" i="10"/>
  <c r="M357" i="10"/>
  <c r="M356" i="10"/>
  <c r="M355" i="10"/>
  <c r="M354" i="10"/>
  <c r="M353" i="10"/>
  <c r="A349" i="10"/>
  <c r="M348" i="10"/>
  <c r="M347" i="10"/>
  <c r="M346" i="10"/>
  <c r="M345" i="10"/>
  <c r="M344" i="10"/>
  <c r="M343" i="10"/>
  <c r="M342" i="10"/>
  <c r="M341" i="10"/>
  <c r="M340" i="10"/>
  <c r="M339" i="10"/>
  <c r="M338" i="10"/>
  <c r="M337" i="10"/>
  <c r="M336" i="10"/>
  <c r="M335" i="10"/>
  <c r="M334" i="10"/>
  <c r="M333" i="10"/>
  <c r="M332" i="10"/>
  <c r="M331" i="10"/>
  <c r="M330" i="10"/>
  <c r="M329" i="10"/>
  <c r="M328" i="10"/>
  <c r="M327" i="10"/>
  <c r="M326" i="10"/>
  <c r="I326" i="10"/>
  <c r="M325" i="10"/>
  <c r="M324" i="10"/>
  <c r="A320" i="10"/>
  <c r="M319" i="10"/>
  <c r="M318" i="10"/>
  <c r="M317" i="10"/>
  <c r="M316" i="10"/>
  <c r="M315" i="10"/>
  <c r="M314" i="10"/>
  <c r="M313" i="10"/>
  <c r="M312" i="10"/>
  <c r="M311" i="10"/>
  <c r="M310" i="10"/>
  <c r="M309" i="10"/>
  <c r="M308" i="10"/>
  <c r="M307" i="10"/>
  <c r="M306" i="10"/>
  <c r="M305" i="10"/>
  <c r="M304" i="10"/>
  <c r="M303" i="10"/>
  <c r="M302" i="10"/>
  <c r="A298" i="10"/>
  <c r="M297" i="10"/>
  <c r="A293" i="10"/>
  <c r="M292" i="10"/>
  <c r="A288" i="10"/>
  <c r="M287" i="10"/>
  <c r="A283" i="10"/>
  <c r="M282" i="10"/>
  <c r="M281" i="10"/>
  <c r="M280" i="10"/>
  <c r="M279" i="10"/>
  <c r="M278" i="10"/>
  <c r="M277" i="10"/>
  <c r="M276" i="10"/>
  <c r="M275" i="10"/>
  <c r="A271" i="10"/>
  <c r="M270" i="10"/>
  <c r="A266" i="10"/>
  <c r="M265" i="10"/>
  <c r="A261" i="10"/>
  <c r="M260" i="10"/>
  <c r="A256" i="10"/>
  <c r="M255" i="10"/>
  <c r="M254" i="10"/>
  <c r="M253" i="10"/>
  <c r="M252" i="10"/>
  <c r="M251" i="10"/>
  <c r="I251" i="10"/>
  <c r="M250" i="10"/>
  <c r="M249" i="10"/>
  <c r="M248" i="10"/>
  <c r="A244" i="10"/>
  <c r="M243" i="10"/>
  <c r="M242" i="10"/>
  <c r="M241" i="10"/>
  <c r="M240" i="10"/>
  <c r="M239" i="10"/>
  <c r="M238" i="10"/>
  <c r="M237" i="10"/>
  <c r="M236" i="10"/>
  <c r="A232" i="10"/>
  <c r="M231" i="10"/>
  <c r="A227" i="10"/>
  <c r="M226" i="10"/>
  <c r="A222" i="10"/>
  <c r="M221" i="10"/>
  <c r="M220" i="10"/>
  <c r="M219" i="10"/>
  <c r="M218" i="10"/>
  <c r="M217" i="10"/>
  <c r="M216" i="10"/>
  <c r="M215" i="10"/>
  <c r="M214" i="10"/>
  <c r="A210" i="10"/>
  <c r="M209" i="10"/>
  <c r="A205" i="10"/>
  <c r="M204" i="10"/>
  <c r="A200" i="10"/>
  <c r="M199" i="10"/>
  <c r="M198" i="10"/>
  <c r="M197" i="10"/>
  <c r="M196" i="10"/>
  <c r="I196" i="10"/>
  <c r="M195" i="10"/>
  <c r="M194" i="10"/>
  <c r="M193" i="10"/>
  <c r="M192" i="10"/>
  <c r="A188" i="10"/>
  <c r="M187" i="10"/>
  <c r="M186" i="10"/>
  <c r="M185" i="10"/>
  <c r="M184" i="10"/>
  <c r="I184" i="10"/>
  <c r="M183" i="10"/>
  <c r="M182" i="10"/>
  <c r="M181" i="10"/>
  <c r="M180" i="10"/>
  <c r="A176" i="10"/>
  <c r="M175" i="10"/>
  <c r="M174" i="10"/>
  <c r="M173" i="10"/>
  <c r="M172" i="10"/>
  <c r="M171" i="10"/>
  <c r="M170" i="10"/>
  <c r="M169" i="10"/>
  <c r="M168" i="10"/>
  <c r="A164" i="10"/>
  <c r="M163" i="10"/>
  <c r="M162" i="10"/>
  <c r="M161" i="10"/>
  <c r="M160" i="10"/>
  <c r="M159" i="10"/>
  <c r="M158" i="10"/>
  <c r="M157" i="10"/>
  <c r="M156" i="10"/>
  <c r="A152" i="10"/>
  <c r="M151" i="10"/>
  <c r="M150" i="10"/>
  <c r="M149" i="10"/>
  <c r="M148" i="10"/>
  <c r="M147" i="10"/>
  <c r="A143" i="10"/>
  <c r="M142" i="10"/>
  <c r="M141" i="10"/>
  <c r="M140" i="10"/>
  <c r="A136" i="10"/>
  <c r="M135" i="10"/>
  <c r="A131" i="10"/>
  <c r="M130" i="10"/>
  <c r="A126" i="10"/>
  <c r="M125" i="10"/>
  <c r="A121" i="10"/>
  <c r="M120" i="10"/>
  <c r="A116" i="10"/>
  <c r="M115" i="10"/>
  <c r="A111" i="10"/>
  <c r="M110" i="10"/>
  <c r="A106" i="10"/>
  <c r="M105" i="10"/>
  <c r="A101" i="10"/>
  <c r="M100" i="10"/>
  <c r="A96" i="10"/>
  <c r="M95" i="10"/>
  <c r="A91" i="10"/>
  <c r="M90" i="10"/>
  <c r="M89" i="10"/>
  <c r="M88" i="10"/>
  <c r="M87" i="10"/>
  <c r="M86" i="10"/>
  <c r="M85" i="10"/>
  <c r="M84" i="10"/>
  <c r="M83" i="10"/>
  <c r="A79" i="10"/>
  <c r="M78" i="10"/>
  <c r="A74" i="10"/>
  <c r="M73" i="10"/>
  <c r="A69" i="10"/>
  <c r="M68" i="10"/>
  <c r="A64" i="10"/>
  <c r="M63" i="10"/>
  <c r="A59" i="10"/>
  <c r="M58" i="10"/>
  <c r="A54" i="10"/>
  <c r="M53" i="10"/>
  <c r="A49" i="10"/>
  <c r="M48" i="10"/>
  <c r="A44" i="10"/>
  <c r="M43" i="10"/>
  <c r="A39" i="10"/>
  <c r="M38" i="10"/>
  <c r="A34" i="10"/>
  <c r="M33" i="10"/>
  <c r="A29" i="10"/>
  <c r="M28" i="10"/>
  <c r="A24" i="10"/>
  <c r="M23" i="10"/>
  <c r="A19" i="10"/>
  <c r="M18" i="10"/>
  <c r="A14" i="10"/>
  <c r="M13" i="10"/>
  <c r="A9" i="10"/>
  <c r="M8" i="10"/>
  <c r="A549" i="9"/>
  <c r="M548" i="9"/>
  <c r="M547" i="9"/>
  <c r="M546" i="9"/>
  <c r="M545" i="9"/>
  <c r="M544" i="9"/>
  <c r="M543" i="9"/>
  <c r="M542" i="9"/>
  <c r="M541" i="9"/>
  <c r="M540" i="9"/>
  <c r="M539" i="9"/>
  <c r="M538" i="9"/>
  <c r="M537" i="9"/>
  <c r="M536" i="9"/>
  <c r="M535" i="9"/>
  <c r="M534" i="9"/>
  <c r="M533" i="9"/>
  <c r="A529" i="9"/>
  <c r="M528" i="9"/>
  <c r="M527" i="9"/>
  <c r="M526" i="9"/>
  <c r="M525" i="9"/>
  <c r="M524" i="9"/>
  <c r="M523" i="9"/>
  <c r="M522" i="9"/>
  <c r="M521" i="9"/>
  <c r="I521" i="9"/>
  <c r="A517" i="9"/>
  <c r="M516" i="9"/>
  <c r="M515" i="9"/>
  <c r="I515" i="9"/>
  <c r="M514" i="9"/>
  <c r="M513" i="9"/>
  <c r="M512" i="9"/>
  <c r="M511" i="9"/>
  <c r="A507" i="9"/>
  <c r="M506" i="9"/>
  <c r="M505" i="9"/>
  <c r="M504" i="9"/>
  <c r="M503" i="9"/>
  <c r="M502" i="9"/>
  <c r="M501" i="9"/>
  <c r="M500" i="9"/>
  <c r="M499" i="9"/>
  <c r="M498" i="9"/>
  <c r="M497" i="9"/>
  <c r="M496" i="9"/>
  <c r="M495" i="9"/>
  <c r="M494" i="9"/>
  <c r="M493" i="9"/>
  <c r="M492" i="9"/>
  <c r="M491" i="9"/>
  <c r="M490" i="9"/>
  <c r="M489" i="9"/>
  <c r="M488" i="9"/>
  <c r="M487" i="9"/>
  <c r="A483" i="9"/>
  <c r="M482" i="9"/>
  <c r="M481" i="9"/>
  <c r="M480" i="9"/>
  <c r="M479" i="9"/>
  <c r="I479" i="9"/>
  <c r="M478" i="9"/>
  <c r="M477" i="9"/>
  <c r="M476" i="9"/>
  <c r="M475" i="9"/>
  <c r="M474" i="9"/>
  <c r="M473" i="9"/>
  <c r="I473" i="9"/>
  <c r="M472" i="9"/>
  <c r="M471" i="9"/>
  <c r="M470" i="9"/>
  <c r="M469" i="9"/>
  <c r="M468" i="9"/>
  <c r="M467" i="9"/>
  <c r="M466" i="9"/>
  <c r="M465" i="9"/>
  <c r="A461" i="9"/>
  <c r="M460" i="9"/>
  <c r="M459" i="9"/>
  <c r="M458" i="9"/>
  <c r="M457" i="9"/>
  <c r="M456" i="9"/>
  <c r="M455" i="9"/>
  <c r="M454" i="9"/>
  <c r="M453" i="9"/>
  <c r="A449" i="9"/>
  <c r="M448" i="9"/>
  <c r="M447" i="9"/>
  <c r="M446" i="9"/>
  <c r="M445" i="9"/>
  <c r="M444" i="9"/>
  <c r="M443" i="9"/>
  <c r="A439" i="9"/>
  <c r="M438" i="9"/>
  <c r="M437" i="9"/>
  <c r="M436" i="9"/>
  <c r="M435" i="9"/>
  <c r="A431" i="9"/>
  <c r="M430" i="9"/>
  <c r="A426" i="9"/>
  <c r="M425" i="9"/>
  <c r="M424" i="9"/>
  <c r="M423" i="9"/>
  <c r="M422" i="9"/>
  <c r="A418" i="9"/>
  <c r="M417" i="9"/>
  <c r="M416" i="9"/>
  <c r="M415" i="9"/>
  <c r="M414" i="9"/>
  <c r="A410" i="9"/>
  <c r="M409" i="9"/>
  <c r="M408" i="9"/>
  <c r="M407" i="9"/>
  <c r="I407" i="9"/>
  <c r="M406" i="9"/>
  <c r="M405" i="9"/>
  <c r="M404" i="9"/>
  <c r="M403" i="9"/>
  <c r="M402" i="9"/>
  <c r="A398" i="9"/>
  <c r="M397" i="9"/>
  <c r="M396" i="9"/>
  <c r="M395" i="9"/>
  <c r="M394" i="9"/>
  <c r="M393" i="9"/>
  <c r="M392" i="9"/>
  <c r="M391" i="9"/>
  <c r="M390" i="9"/>
  <c r="A386" i="9"/>
  <c r="M385" i="9"/>
  <c r="M384" i="9"/>
  <c r="M383" i="9"/>
  <c r="A379" i="9"/>
  <c r="M378" i="9"/>
  <c r="M377" i="9"/>
  <c r="M376" i="9"/>
  <c r="M375" i="9"/>
  <c r="M374" i="9"/>
  <c r="M373" i="9"/>
  <c r="M372" i="9"/>
  <c r="M371" i="9"/>
  <c r="A367" i="9"/>
  <c r="M366" i="9"/>
  <c r="M365" i="9"/>
  <c r="M364" i="9"/>
  <c r="M363" i="9"/>
  <c r="M362" i="9"/>
  <c r="M361" i="9"/>
  <c r="I361" i="9"/>
  <c r="M360" i="9"/>
  <c r="M359" i="9"/>
  <c r="A355" i="9"/>
  <c r="M354" i="9"/>
  <c r="A350" i="9"/>
  <c r="M349" i="9"/>
  <c r="A345" i="9"/>
  <c r="M344" i="9"/>
  <c r="M343" i="9"/>
  <c r="A339" i="9"/>
  <c r="M338" i="9"/>
  <c r="M337" i="9"/>
  <c r="A333" i="9"/>
  <c r="M332" i="9"/>
  <c r="M331" i="9"/>
  <c r="M330" i="9"/>
  <c r="A326" i="9"/>
  <c r="M325" i="9"/>
  <c r="M324" i="9"/>
  <c r="M323" i="9"/>
  <c r="A319" i="9"/>
  <c r="M318" i="9"/>
  <c r="M317" i="9"/>
  <c r="M316" i="9"/>
  <c r="A312" i="9"/>
  <c r="M311" i="9"/>
  <c r="M310" i="9"/>
  <c r="M309" i="9"/>
  <c r="A305" i="9"/>
  <c r="M304" i="9"/>
  <c r="M303" i="9"/>
  <c r="M302" i="9"/>
  <c r="A298" i="9"/>
  <c r="M297" i="9"/>
  <c r="M296" i="9"/>
  <c r="M295" i="9"/>
  <c r="M294" i="9"/>
  <c r="M293" i="9"/>
  <c r="M292" i="9"/>
  <c r="M291" i="9"/>
  <c r="M290" i="9"/>
  <c r="A286" i="9"/>
  <c r="M285" i="9"/>
  <c r="M284" i="9"/>
  <c r="M283" i="9"/>
  <c r="M282" i="9"/>
  <c r="M281" i="9"/>
  <c r="M280" i="9"/>
  <c r="M279" i="9"/>
  <c r="A275" i="9"/>
  <c r="M274" i="9"/>
  <c r="M273" i="9"/>
  <c r="M272" i="9"/>
  <c r="M271" i="9"/>
  <c r="M270" i="9"/>
  <c r="M269" i="9"/>
  <c r="M268" i="9"/>
  <c r="M267" i="9"/>
  <c r="A263" i="9"/>
  <c r="M262" i="9"/>
  <c r="M261" i="9"/>
  <c r="M260" i="9"/>
  <c r="M259" i="9"/>
  <c r="M258" i="9"/>
  <c r="M257" i="9"/>
  <c r="M256" i="9"/>
  <c r="M255" i="9"/>
  <c r="A251" i="9"/>
  <c r="M250" i="9"/>
  <c r="M249" i="9"/>
  <c r="M248" i="9"/>
  <c r="M247" i="9"/>
  <c r="A243" i="9"/>
  <c r="M242" i="9"/>
  <c r="M241" i="9"/>
  <c r="A237" i="9"/>
  <c r="M236" i="9"/>
  <c r="M235" i="9"/>
  <c r="M234" i="9"/>
  <c r="M233" i="9"/>
  <c r="M232" i="9"/>
  <c r="M231" i="9"/>
  <c r="M230" i="9"/>
  <c r="M229" i="9"/>
  <c r="A225" i="9"/>
  <c r="M224" i="9"/>
  <c r="M223" i="9"/>
  <c r="M222" i="9"/>
  <c r="M221" i="9"/>
  <c r="M220" i="9"/>
  <c r="M219" i="9"/>
  <c r="M218" i="9"/>
  <c r="M217" i="9"/>
  <c r="A213" i="9"/>
  <c r="M212" i="9"/>
  <c r="M211" i="9"/>
  <c r="M210" i="9"/>
  <c r="M209" i="9"/>
  <c r="M208" i="9"/>
  <c r="A204" i="9"/>
  <c r="M203" i="9"/>
  <c r="M202" i="9"/>
  <c r="M201" i="9"/>
  <c r="A197" i="9"/>
  <c r="M196" i="9"/>
  <c r="M195" i="9"/>
  <c r="M194" i="9"/>
  <c r="M193" i="9"/>
  <c r="A189" i="9"/>
  <c r="M188" i="9"/>
  <c r="M187" i="9"/>
  <c r="A183" i="9"/>
  <c r="M182" i="9"/>
  <c r="A178" i="9"/>
  <c r="M177" i="9"/>
  <c r="A173" i="9"/>
  <c r="M172" i="9"/>
  <c r="A168" i="9"/>
  <c r="M167" i="9"/>
  <c r="A163" i="9"/>
  <c r="M162" i="9"/>
  <c r="M161" i="9"/>
  <c r="M160" i="9"/>
  <c r="M159" i="9"/>
  <c r="M158" i="9"/>
  <c r="M157" i="9"/>
  <c r="M156" i="9"/>
  <c r="M155" i="9"/>
  <c r="A151" i="9"/>
  <c r="M150" i="9"/>
  <c r="A146" i="9"/>
  <c r="M145" i="9"/>
  <c r="A141" i="9"/>
  <c r="M140" i="9"/>
  <c r="A136" i="9"/>
  <c r="M135" i="9"/>
  <c r="A131" i="9"/>
  <c r="M130" i="9"/>
  <c r="A126" i="9"/>
  <c r="M125" i="9"/>
  <c r="A121" i="9"/>
  <c r="M120" i="9"/>
  <c r="A116" i="9"/>
  <c r="M115" i="9"/>
  <c r="M114" i="9"/>
  <c r="M113" i="9"/>
  <c r="M112" i="9"/>
  <c r="M111" i="9"/>
  <c r="M110" i="9"/>
  <c r="M109" i="9"/>
  <c r="M108" i="9"/>
  <c r="A104" i="9"/>
  <c r="M103" i="9"/>
  <c r="M102" i="9"/>
  <c r="M101" i="9"/>
  <c r="I101" i="9"/>
  <c r="M100" i="9"/>
  <c r="M99" i="9"/>
  <c r="M98" i="9"/>
  <c r="M97" i="9"/>
  <c r="M96" i="9"/>
  <c r="A92" i="9"/>
  <c r="M91" i="9"/>
  <c r="M90" i="9"/>
  <c r="M89" i="9"/>
  <c r="M88" i="9"/>
  <c r="M87" i="9"/>
  <c r="M86" i="9"/>
  <c r="M85" i="9"/>
  <c r="M84" i="9"/>
  <c r="A80" i="9"/>
  <c r="M79" i="9"/>
  <c r="M78" i="9"/>
  <c r="M77" i="9"/>
  <c r="M76" i="9"/>
  <c r="M75" i="9"/>
  <c r="M74" i="9"/>
  <c r="M73" i="9"/>
  <c r="M72" i="9"/>
  <c r="A68" i="9"/>
  <c r="M67" i="9"/>
  <c r="M66" i="9"/>
  <c r="M65" i="9"/>
  <c r="M64" i="9"/>
  <c r="A60" i="9"/>
  <c r="M59" i="9"/>
  <c r="M58" i="9"/>
  <c r="A54" i="9"/>
  <c r="M53" i="9"/>
  <c r="A49" i="9"/>
  <c r="M48" i="9"/>
  <c r="A44" i="9"/>
  <c r="M43" i="9"/>
  <c r="A39" i="9"/>
  <c r="M38" i="9"/>
  <c r="A34" i="9"/>
  <c r="M33" i="9"/>
  <c r="A29" i="9"/>
  <c r="M28" i="9"/>
  <c r="A24" i="9"/>
  <c r="M23" i="9"/>
  <c r="A19" i="9"/>
  <c r="M18" i="9"/>
  <c r="A14" i="9"/>
  <c r="M13" i="9"/>
  <c r="A9" i="9"/>
  <c r="M8" i="9"/>
  <c r="A770" i="8"/>
  <c r="M769" i="8"/>
  <c r="M768" i="8"/>
  <c r="M767" i="8"/>
  <c r="M766" i="8"/>
  <c r="M765" i="8"/>
  <c r="M764" i="8"/>
  <c r="M763" i="8"/>
  <c r="M762" i="8"/>
  <c r="A758" i="8"/>
  <c r="M757" i="8"/>
  <c r="M756" i="8"/>
  <c r="A752" i="8"/>
  <c r="M751" i="8"/>
  <c r="M750" i="8"/>
  <c r="M749" i="8"/>
  <c r="M748" i="8"/>
  <c r="M747" i="8"/>
  <c r="M746" i="8"/>
  <c r="M745" i="8"/>
  <c r="M744" i="8"/>
  <c r="M743" i="8"/>
  <c r="I743" i="8"/>
  <c r="M742" i="8"/>
  <c r="M741" i="8"/>
  <c r="M740" i="8"/>
  <c r="A736" i="8"/>
  <c r="M735" i="8"/>
  <c r="M734" i="8"/>
  <c r="M733" i="8"/>
  <c r="M732" i="8"/>
  <c r="A728" i="8"/>
  <c r="M727" i="8"/>
  <c r="M726" i="8"/>
  <c r="M725" i="8"/>
  <c r="M724" i="8"/>
  <c r="M723" i="8"/>
  <c r="A719" i="8"/>
  <c r="M718" i="8"/>
  <c r="M717" i="8"/>
  <c r="M716" i="8"/>
  <c r="M715" i="8"/>
  <c r="M714" i="8"/>
  <c r="M713" i="8"/>
  <c r="M712" i="8"/>
  <c r="M711" i="8"/>
  <c r="A707" i="8"/>
  <c r="M706" i="8"/>
  <c r="M705" i="8"/>
  <c r="M704" i="8"/>
  <c r="M703" i="8"/>
  <c r="M702" i="8"/>
  <c r="M701" i="8"/>
  <c r="A697" i="8"/>
  <c r="M696" i="8"/>
  <c r="M695" i="8"/>
  <c r="M694" i="8"/>
  <c r="M693" i="8"/>
  <c r="M692" i="8"/>
  <c r="A688" i="8"/>
  <c r="M687" i="8"/>
  <c r="M686" i="8"/>
  <c r="A682" i="8"/>
  <c r="M681" i="8"/>
  <c r="M680" i="8"/>
  <c r="M679" i="8"/>
  <c r="M678" i="8"/>
  <c r="A674" i="8"/>
  <c r="M673" i="8"/>
  <c r="M672" i="8"/>
  <c r="M671" i="8"/>
  <c r="M670" i="8"/>
  <c r="A666" i="8"/>
  <c r="M665" i="8"/>
  <c r="M664" i="8"/>
  <c r="M663" i="8"/>
  <c r="A659" i="8"/>
  <c r="M658" i="8"/>
  <c r="M657" i="8"/>
  <c r="M656" i="8"/>
  <c r="A652" i="8"/>
  <c r="M651" i="8"/>
  <c r="M650" i="8"/>
  <c r="A646" i="8"/>
  <c r="M645" i="8"/>
  <c r="M644" i="8"/>
  <c r="A640" i="8"/>
  <c r="M639" i="8"/>
  <c r="M638" i="8"/>
  <c r="M637" i="8"/>
  <c r="M636" i="8"/>
  <c r="M635" i="8"/>
  <c r="M634" i="8"/>
  <c r="M633" i="8"/>
  <c r="M632" i="8"/>
  <c r="M631" i="8"/>
  <c r="M630" i="8"/>
  <c r="M629" i="8"/>
  <c r="M628" i="8"/>
  <c r="M627" i="8"/>
  <c r="M626" i="8"/>
  <c r="I626" i="8"/>
  <c r="M625" i="8"/>
  <c r="M624" i="8"/>
  <c r="M623" i="8"/>
  <c r="M622" i="8"/>
  <c r="A618" i="8"/>
  <c r="M617" i="8"/>
  <c r="M616" i="8"/>
  <c r="M615" i="8"/>
  <c r="M614" i="8"/>
  <c r="M613" i="8"/>
  <c r="M612" i="8"/>
  <c r="M611" i="8"/>
  <c r="M610" i="8"/>
  <c r="M609" i="8"/>
  <c r="M608" i="8"/>
  <c r="M607" i="8"/>
  <c r="M606" i="8"/>
  <c r="M605" i="8"/>
  <c r="M604" i="8"/>
  <c r="M603" i="8"/>
  <c r="M602" i="8"/>
  <c r="M601" i="8"/>
  <c r="M600" i="8"/>
  <c r="A596" i="8"/>
  <c r="M595" i="8"/>
  <c r="M594" i="8"/>
  <c r="M593" i="8"/>
  <c r="M592" i="8"/>
  <c r="A588" i="8"/>
  <c r="M587" i="8"/>
  <c r="M586" i="8"/>
  <c r="M585" i="8"/>
  <c r="A581" i="8"/>
  <c r="M580" i="8"/>
  <c r="M579" i="8"/>
  <c r="M578" i="8"/>
  <c r="A574" i="8"/>
  <c r="M573" i="8"/>
  <c r="M572" i="8"/>
  <c r="M571" i="8"/>
  <c r="A567" i="8"/>
  <c r="M566" i="8"/>
  <c r="M565" i="8"/>
  <c r="M564" i="8"/>
  <c r="A560" i="8"/>
  <c r="M559" i="8"/>
  <c r="M558" i="8"/>
  <c r="M557" i="8"/>
  <c r="M556" i="8"/>
  <c r="A552" i="8"/>
  <c r="M551" i="8"/>
  <c r="M550" i="8"/>
  <c r="M549" i="8"/>
  <c r="M548" i="8"/>
  <c r="A544" i="8"/>
  <c r="M543" i="8"/>
  <c r="M542" i="8"/>
  <c r="M541" i="8"/>
  <c r="A537" i="8"/>
  <c r="M536" i="8"/>
  <c r="M535" i="8"/>
  <c r="M534" i="8"/>
  <c r="A530" i="8"/>
  <c r="M529" i="8"/>
  <c r="M528" i="8"/>
  <c r="M527" i="8"/>
  <c r="A523" i="8"/>
  <c r="M522" i="8"/>
  <c r="M521" i="8"/>
  <c r="M520" i="8"/>
  <c r="M519" i="8"/>
  <c r="M518" i="8"/>
  <c r="M517" i="8"/>
  <c r="M516" i="8"/>
  <c r="A512" i="8"/>
  <c r="M511" i="8"/>
  <c r="M510" i="8"/>
  <c r="M509" i="8"/>
  <c r="M508" i="8"/>
  <c r="M507" i="8"/>
  <c r="M506" i="8"/>
  <c r="M505" i="8"/>
  <c r="M504" i="8"/>
  <c r="A500" i="8"/>
  <c r="M499" i="8"/>
  <c r="I499" i="8"/>
  <c r="M498" i="8"/>
  <c r="M497" i="8"/>
  <c r="M496" i="8"/>
  <c r="A492" i="8"/>
  <c r="M491" i="8"/>
  <c r="M490" i="8"/>
  <c r="M489" i="8"/>
  <c r="A485" i="8"/>
  <c r="M484" i="8"/>
  <c r="M483" i="8"/>
  <c r="M482" i="8"/>
  <c r="M481" i="8"/>
  <c r="M480" i="8"/>
  <c r="A476" i="8"/>
  <c r="M475" i="8"/>
  <c r="M474" i="8"/>
  <c r="M473" i="8"/>
  <c r="M472" i="8"/>
  <c r="M471" i="8"/>
  <c r="M470" i="8"/>
  <c r="M469" i="8"/>
  <c r="M468" i="8"/>
  <c r="A464" i="8"/>
  <c r="M463" i="8"/>
  <c r="M462" i="8"/>
  <c r="M461" i="8"/>
  <c r="M460" i="8"/>
  <c r="M459" i="8"/>
  <c r="M458" i="8"/>
  <c r="A454" i="8"/>
  <c r="M453" i="8"/>
  <c r="M452" i="8"/>
  <c r="M451" i="8"/>
  <c r="M450" i="8"/>
  <c r="M449" i="8"/>
  <c r="A445" i="8"/>
  <c r="M444" i="8"/>
  <c r="M443" i="8"/>
  <c r="M442" i="8"/>
  <c r="M441" i="8"/>
  <c r="M440" i="8"/>
  <c r="A436" i="8"/>
  <c r="M435" i="8"/>
  <c r="M434" i="8"/>
  <c r="M433" i="8"/>
  <c r="M432" i="8"/>
  <c r="M431" i="8"/>
  <c r="A427" i="8"/>
  <c r="M426" i="8"/>
  <c r="M425" i="8"/>
  <c r="M424" i="8"/>
  <c r="M423" i="8"/>
  <c r="M422" i="8"/>
  <c r="A418" i="8"/>
  <c r="M417" i="8"/>
  <c r="M416" i="8"/>
  <c r="M415" i="8"/>
  <c r="M414" i="8"/>
  <c r="M413" i="8"/>
  <c r="A409" i="8"/>
  <c r="M408" i="8"/>
  <c r="M407" i="8"/>
  <c r="M406" i="8"/>
  <c r="M405" i="8"/>
  <c r="M404" i="8"/>
  <c r="A400" i="8"/>
  <c r="M399" i="8"/>
  <c r="M398" i="8"/>
  <c r="M397" i="8"/>
  <c r="M396" i="8"/>
  <c r="M395" i="8"/>
  <c r="A391" i="8"/>
  <c r="M390" i="8"/>
  <c r="M389" i="8"/>
  <c r="M388" i="8"/>
  <c r="M387" i="8"/>
  <c r="M386" i="8"/>
  <c r="A382" i="8"/>
  <c r="M381" i="8"/>
  <c r="M380" i="8"/>
  <c r="M379" i="8"/>
  <c r="M378" i="8"/>
  <c r="M377" i="8"/>
  <c r="A373" i="8"/>
  <c r="M372" i="8"/>
  <c r="M371" i="8"/>
  <c r="M370" i="8"/>
  <c r="M369" i="8"/>
  <c r="M368" i="8"/>
  <c r="A364" i="8"/>
  <c r="M363" i="8"/>
  <c r="M362" i="8"/>
  <c r="M361" i="8"/>
  <c r="M360" i="8"/>
  <c r="M359" i="8"/>
  <c r="A355" i="8"/>
  <c r="M354" i="8"/>
  <c r="M353" i="8"/>
  <c r="M352" i="8"/>
  <c r="M351" i="8"/>
  <c r="M350" i="8"/>
  <c r="A346" i="8"/>
  <c r="M345" i="8"/>
  <c r="I345" i="8"/>
  <c r="M344" i="8"/>
  <c r="M343" i="8"/>
  <c r="M342" i="8"/>
  <c r="M341" i="8"/>
  <c r="M340" i="8"/>
  <c r="M339" i="8"/>
  <c r="A335" i="8"/>
  <c r="M334" i="8"/>
  <c r="M333" i="8"/>
  <c r="M332" i="8"/>
  <c r="M331" i="8"/>
  <c r="M330" i="8"/>
  <c r="M329" i="8"/>
  <c r="M328" i="8"/>
  <c r="M327" i="8"/>
  <c r="A323" i="8"/>
  <c r="M322" i="8"/>
  <c r="M321" i="8"/>
  <c r="M320" i="8"/>
  <c r="M319" i="8"/>
  <c r="M318" i="8"/>
  <c r="M317" i="8"/>
  <c r="A313" i="8"/>
  <c r="M312" i="8"/>
  <c r="M311" i="8"/>
  <c r="M310" i="8"/>
  <c r="M309" i="8"/>
  <c r="M308" i="8"/>
  <c r="M307" i="8"/>
  <c r="M306" i="8"/>
  <c r="A302" i="8"/>
  <c r="M301" i="8"/>
  <c r="M300" i="8"/>
  <c r="M299" i="8"/>
  <c r="A295" i="8"/>
  <c r="M294" i="8"/>
  <c r="M293" i="8"/>
  <c r="M292" i="8"/>
  <c r="M291" i="8"/>
  <c r="M290" i="8"/>
  <c r="M289" i="8"/>
  <c r="M288" i="8"/>
  <c r="A284" i="8"/>
  <c r="M283" i="8"/>
  <c r="I283" i="8"/>
  <c r="M282" i="8"/>
  <c r="M281" i="8"/>
  <c r="M280" i="8"/>
  <c r="A276" i="8"/>
  <c r="M275" i="8"/>
  <c r="M274" i="8"/>
  <c r="M273" i="8"/>
  <c r="A269" i="8"/>
  <c r="M268" i="8"/>
  <c r="I268" i="8"/>
  <c r="M267" i="8"/>
  <c r="M266" i="8"/>
  <c r="M265" i="8"/>
  <c r="M264" i="8"/>
  <c r="M263" i="8"/>
  <c r="M262" i="8"/>
  <c r="A258" i="8"/>
  <c r="M257" i="8"/>
  <c r="M256" i="8"/>
  <c r="M255" i="8"/>
  <c r="I255" i="8"/>
  <c r="M254" i="8"/>
  <c r="M253" i="8"/>
  <c r="M252" i="8"/>
  <c r="M251" i="8"/>
  <c r="M250" i="8"/>
  <c r="A246" i="8"/>
  <c r="M245" i="8"/>
  <c r="M244" i="8"/>
  <c r="M243" i="8"/>
  <c r="M242" i="8"/>
  <c r="M241" i="8"/>
  <c r="M240" i="8"/>
  <c r="M239" i="8"/>
  <c r="M238" i="8"/>
  <c r="A234" i="8"/>
  <c r="M233" i="8"/>
  <c r="M232" i="8"/>
  <c r="M231" i="8"/>
  <c r="M230" i="8"/>
  <c r="M229" i="8"/>
  <c r="A225" i="8"/>
  <c r="M224" i="8"/>
  <c r="M223" i="8"/>
  <c r="M222" i="8"/>
  <c r="A218" i="8"/>
  <c r="M217" i="8"/>
  <c r="M216" i="8"/>
  <c r="M215" i="8"/>
  <c r="M214" i="8"/>
  <c r="A210" i="8"/>
  <c r="M209" i="8"/>
  <c r="M208" i="8"/>
  <c r="M207" i="8"/>
  <c r="M206" i="8"/>
  <c r="M205" i="8"/>
  <c r="M204" i="8"/>
  <c r="M203" i="8"/>
  <c r="M202" i="8"/>
  <c r="A198" i="8"/>
  <c r="M197" i="8"/>
  <c r="M196" i="8"/>
  <c r="M195" i="8"/>
  <c r="M194" i="8"/>
  <c r="M193" i="8"/>
  <c r="M192" i="8"/>
  <c r="M191" i="8"/>
  <c r="M190" i="8"/>
  <c r="A186" i="8"/>
  <c r="M185" i="8"/>
  <c r="M184" i="8"/>
  <c r="M183" i="8"/>
  <c r="M182" i="8"/>
  <c r="M181" i="8"/>
  <c r="M180" i="8"/>
  <c r="M179" i="8"/>
  <c r="M178" i="8"/>
  <c r="A174" i="8"/>
  <c r="M173" i="8"/>
  <c r="M172" i="8"/>
  <c r="M171" i="8"/>
  <c r="M170" i="8"/>
  <c r="M169" i="8"/>
  <c r="M168" i="8"/>
  <c r="M167" i="8"/>
  <c r="M166" i="8"/>
  <c r="A162" i="8"/>
  <c r="M161" i="8"/>
  <c r="A157" i="8"/>
  <c r="M156" i="8"/>
  <c r="M155" i="8"/>
  <c r="M154" i="8"/>
  <c r="M153" i="8"/>
  <c r="M152" i="8"/>
  <c r="M151" i="8"/>
  <c r="M150" i="8"/>
  <c r="M149" i="8"/>
  <c r="A145" i="8"/>
  <c r="M144" i="8"/>
  <c r="M143" i="8"/>
  <c r="M142" i="8"/>
  <c r="M141" i="8"/>
  <c r="M140" i="8"/>
  <c r="M139" i="8"/>
  <c r="M138" i="8"/>
  <c r="A134" i="8"/>
  <c r="M133" i="8"/>
  <c r="M132" i="8"/>
  <c r="M131" i="8"/>
  <c r="M130" i="8"/>
  <c r="M129" i="8"/>
  <c r="M128" i="8"/>
  <c r="M127" i="8"/>
  <c r="A123" i="8"/>
  <c r="M122" i="8"/>
  <c r="M121" i="8"/>
  <c r="M120" i="8"/>
  <c r="M119" i="8"/>
  <c r="M118" i="8"/>
  <c r="A114" i="8"/>
  <c r="M113" i="8"/>
  <c r="M112" i="8"/>
  <c r="M111" i="8"/>
  <c r="M110" i="8"/>
  <c r="M109" i="8"/>
  <c r="M108" i="8"/>
  <c r="M107" i="8"/>
  <c r="M106" i="8"/>
  <c r="A102" i="8"/>
  <c r="M101" i="8"/>
  <c r="M100" i="8"/>
  <c r="M99" i="8"/>
  <c r="M98" i="8"/>
  <c r="M97" i="8"/>
  <c r="M96" i="8"/>
  <c r="M95" i="8"/>
  <c r="M94" i="8"/>
  <c r="A90" i="8"/>
  <c r="M89" i="8"/>
  <c r="M88" i="8"/>
  <c r="M87" i="8"/>
  <c r="M86" i="8"/>
  <c r="M85" i="8"/>
  <c r="M84" i="8"/>
  <c r="M83" i="8"/>
  <c r="M82" i="8"/>
  <c r="A78" i="8"/>
  <c r="M77" i="8"/>
  <c r="M76" i="8"/>
  <c r="M75" i="8"/>
  <c r="M74" i="8"/>
  <c r="M73" i="8"/>
  <c r="M72" i="8"/>
  <c r="M71" i="8"/>
  <c r="M70" i="8"/>
  <c r="A66" i="8"/>
  <c r="M65" i="8"/>
  <c r="M64" i="8"/>
  <c r="M63" i="8"/>
  <c r="M62" i="8"/>
  <c r="M61" i="8"/>
  <c r="M60" i="8"/>
  <c r="A56" i="8"/>
  <c r="M55" i="8"/>
  <c r="M54" i="8"/>
  <c r="M53" i="8"/>
  <c r="M52" i="8"/>
  <c r="M51" i="8"/>
  <c r="M50" i="8"/>
  <c r="A46" i="8"/>
  <c r="M45" i="8"/>
  <c r="M44" i="8"/>
  <c r="M43" i="8"/>
  <c r="M42" i="8"/>
  <c r="M41" i="8"/>
  <c r="M40" i="8"/>
  <c r="M39" i="8"/>
  <c r="M38" i="8"/>
  <c r="A34" i="8"/>
  <c r="M33" i="8"/>
  <c r="M32" i="8"/>
  <c r="M31" i="8"/>
  <c r="M30" i="8"/>
  <c r="M29" i="8"/>
  <c r="M28" i="8"/>
  <c r="A24" i="8"/>
  <c r="M23" i="8"/>
  <c r="M22" i="8"/>
  <c r="M21" i="8"/>
  <c r="M20" i="8"/>
  <c r="M19" i="8"/>
  <c r="M18" i="8"/>
  <c r="A14" i="8"/>
  <c r="M13" i="8"/>
  <c r="M12" i="8"/>
  <c r="M11" i="8"/>
  <c r="M10" i="8"/>
  <c r="M9" i="8"/>
  <c r="M8" i="8"/>
  <c r="A733" i="7"/>
  <c r="A731" i="7"/>
  <c r="M730" i="7"/>
  <c r="M729" i="7"/>
  <c r="M728" i="7"/>
  <c r="M727" i="7"/>
  <c r="I727" i="7"/>
  <c r="M726" i="7"/>
  <c r="M725" i="7"/>
  <c r="A721" i="7"/>
  <c r="A719" i="7"/>
  <c r="M718" i="7"/>
  <c r="M717" i="7"/>
  <c r="M716" i="7"/>
  <c r="M715" i="7"/>
  <c r="A711" i="7"/>
  <c r="A709" i="7"/>
  <c r="M708" i="7"/>
  <c r="M707" i="7"/>
  <c r="M706" i="7"/>
  <c r="M705" i="7"/>
  <c r="A701" i="7"/>
  <c r="A699" i="7"/>
  <c r="M698" i="7"/>
  <c r="M697" i="7"/>
  <c r="M696" i="7"/>
  <c r="A692" i="7"/>
  <c r="A690" i="7"/>
  <c r="M689" i="7"/>
  <c r="M688" i="7"/>
  <c r="M687" i="7"/>
  <c r="A683" i="7"/>
  <c r="A681" i="7"/>
  <c r="M680" i="7"/>
  <c r="M679" i="7"/>
  <c r="M678" i="7"/>
  <c r="M677" i="7"/>
  <c r="M676" i="7"/>
  <c r="A672" i="7"/>
  <c r="A670" i="7"/>
  <c r="M669" i="7"/>
  <c r="M668" i="7"/>
  <c r="M667" i="7"/>
  <c r="A663" i="7"/>
  <c r="A661" i="7"/>
  <c r="M660" i="7"/>
  <c r="M659" i="7"/>
  <c r="M658" i="7"/>
  <c r="M657" i="7"/>
  <c r="M656" i="7"/>
  <c r="A652" i="7"/>
  <c r="A650" i="7"/>
  <c r="M649" i="7"/>
  <c r="M648" i="7"/>
  <c r="M647" i="7"/>
  <c r="M646" i="7"/>
  <c r="A642" i="7"/>
  <c r="A640" i="7"/>
  <c r="M639" i="7"/>
  <c r="M638" i="7"/>
  <c r="M637" i="7"/>
  <c r="A633" i="7"/>
  <c r="A631" i="7"/>
  <c r="M630" i="7"/>
  <c r="M629" i="7"/>
  <c r="M628" i="7"/>
  <c r="A624" i="7"/>
  <c r="A622" i="7"/>
  <c r="M621" i="7"/>
  <c r="M620" i="7"/>
  <c r="M619" i="7"/>
  <c r="M618" i="7"/>
  <c r="A614" i="7"/>
  <c r="A612" i="7"/>
  <c r="M611" i="7"/>
  <c r="M610" i="7"/>
  <c r="M609" i="7"/>
  <c r="M608" i="7"/>
  <c r="A604" i="7"/>
  <c r="A602" i="7"/>
  <c r="M601" i="7"/>
  <c r="M600" i="7"/>
  <c r="A596" i="7"/>
  <c r="A594" i="7"/>
  <c r="M593" i="7"/>
  <c r="A589" i="7"/>
  <c r="A587" i="7"/>
  <c r="M586" i="7"/>
  <c r="M585" i="7"/>
  <c r="M584" i="7"/>
  <c r="M583" i="7"/>
  <c r="A579" i="7"/>
  <c r="A577" i="7"/>
  <c r="M576" i="7"/>
  <c r="M575" i="7"/>
  <c r="M574" i="7"/>
  <c r="M573" i="7"/>
  <c r="A569" i="7"/>
  <c r="A567" i="7"/>
  <c r="M566" i="7"/>
  <c r="M565" i="7"/>
  <c r="M564" i="7"/>
  <c r="M563" i="7"/>
  <c r="M562" i="7"/>
  <c r="M561" i="7"/>
  <c r="M560" i="7"/>
  <c r="A556" i="7"/>
  <c r="A554" i="7"/>
  <c r="M553" i="7"/>
  <c r="M552" i="7"/>
  <c r="M551" i="7"/>
  <c r="M550" i="7"/>
  <c r="A546" i="7"/>
  <c r="A544" i="7"/>
  <c r="M543" i="7"/>
  <c r="M542" i="7"/>
  <c r="M541" i="7"/>
  <c r="I541" i="7"/>
  <c r="M540" i="7"/>
  <c r="M539" i="7"/>
  <c r="A535" i="7"/>
  <c r="A533" i="7"/>
  <c r="M532" i="7"/>
  <c r="M531" i="7"/>
  <c r="M530" i="7"/>
  <c r="M529" i="7"/>
  <c r="A525" i="7"/>
  <c r="A523" i="7"/>
  <c r="M522" i="7"/>
  <c r="M521" i="7"/>
  <c r="M520" i="7"/>
  <c r="M519" i="7"/>
  <c r="A515" i="7"/>
  <c r="A513" i="7"/>
  <c r="M512" i="7"/>
  <c r="M511" i="7"/>
  <c r="M510" i="7"/>
  <c r="M509" i="7"/>
  <c r="M508" i="7"/>
  <c r="M507" i="7"/>
  <c r="M506" i="7"/>
  <c r="M505" i="7"/>
  <c r="M504" i="7"/>
  <c r="M503" i="7"/>
  <c r="M502" i="7"/>
  <c r="M501" i="7"/>
  <c r="M500" i="7"/>
  <c r="M499" i="7"/>
  <c r="M498" i="7"/>
  <c r="M497" i="7"/>
  <c r="M496" i="7"/>
  <c r="M495" i="7"/>
  <c r="M494" i="7"/>
  <c r="M493" i="7"/>
  <c r="M492" i="7"/>
  <c r="A488" i="7"/>
  <c r="A486" i="7"/>
  <c r="M485" i="7"/>
  <c r="M484" i="7"/>
  <c r="M483" i="7"/>
  <c r="M482" i="7"/>
  <c r="M481" i="7"/>
  <c r="M480" i="7"/>
  <c r="A476" i="7"/>
  <c r="A474" i="7"/>
  <c r="M473" i="7"/>
  <c r="M472" i="7"/>
  <c r="M471" i="7"/>
  <c r="A467" i="7"/>
  <c r="A465" i="7"/>
  <c r="M464" i="7"/>
  <c r="M463" i="7"/>
  <c r="A459" i="7"/>
  <c r="A457" i="7"/>
  <c r="M456" i="7"/>
  <c r="M455" i="7"/>
  <c r="M454" i="7"/>
  <c r="M453" i="7"/>
  <c r="M452" i="7"/>
  <c r="M451" i="7"/>
  <c r="A447" i="7"/>
  <c r="A445" i="7"/>
  <c r="M444" i="7"/>
  <c r="M443" i="7"/>
  <c r="M442" i="7"/>
  <c r="M441" i="7"/>
  <c r="A437" i="7"/>
  <c r="A435" i="7"/>
  <c r="M434" i="7"/>
  <c r="M433" i="7"/>
  <c r="M432" i="7"/>
  <c r="A428" i="7"/>
  <c r="A426" i="7"/>
  <c r="M425" i="7"/>
  <c r="M424" i="7"/>
  <c r="M423" i="7"/>
  <c r="A419" i="7"/>
  <c r="A417" i="7"/>
  <c r="M416" i="7"/>
  <c r="M415" i="7"/>
  <c r="M414" i="7"/>
  <c r="M413" i="7"/>
  <c r="M412" i="7"/>
  <c r="M411" i="7"/>
  <c r="M410" i="7"/>
  <c r="M409" i="7"/>
  <c r="M408" i="7"/>
  <c r="A404" i="7"/>
  <c r="A402" i="7"/>
  <c r="M401" i="7"/>
  <c r="I401" i="7"/>
  <c r="M400" i="7"/>
  <c r="M399" i="7"/>
  <c r="M398" i="7"/>
  <c r="M397" i="7"/>
  <c r="A393" i="7"/>
  <c r="A391" i="7"/>
  <c r="M390" i="7"/>
  <c r="M389" i="7"/>
  <c r="M388" i="7"/>
  <c r="M387" i="7"/>
  <c r="M386" i="7"/>
  <c r="M385" i="7"/>
  <c r="M384" i="7"/>
  <c r="M383" i="7"/>
  <c r="A379" i="7"/>
  <c r="A377" i="7"/>
  <c r="M376" i="7"/>
  <c r="M375" i="7"/>
  <c r="M374" i="7"/>
  <c r="A370" i="7"/>
  <c r="A368" i="7"/>
  <c r="M367" i="7"/>
  <c r="M366" i="7"/>
  <c r="M365" i="7"/>
  <c r="M364" i="7"/>
  <c r="A360" i="7"/>
  <c r="A358" i="7"/>
  <c r="M357" i="7"/>
  <c r="M356" i="7"/>
  <c r="I356" i="7"/>
  <c r="M355" i="7"/>
  <c r="M354" i="7"/>
  <c r="M353" i="7"/>
  <c r="M352" i="7"/>
  <c r="A348" i="7"/>
  <c r="A346" i="7"/>
  <c r="M345" i="7"/>
  <c r="M344" i="7"/>
  <c r="M343" i="7"/>
  <c r="M342" i="7"/>
  <c r="M341" i="7"/>
  <c r="M340" i="7"/>
  <c r="M339" i="7"/>
  <c r="M338" i="7"/>
  <c r="M337" i="7"/>
  <c r="M336" i="7"/>
  <c r="M335" i="7"/>
  <c r="M334" i="7"/>
  <c r="M333" i="7"/>
  <c r="M332" i="7"/>
  <c r="M331" i="7"/>
  <c r="A327" i="7"/>
  <c r="A325" i="7"/>
  <c r="M324" i="7"/>
  <c r="M323" i="7"/>
  <c r="M322" i="7"/>
  <c r="M321" i="7"/>
  <c r="M320" i="7"/>
  <c r="M319" i="7"/>
  <c r="M318" i="7"/>
  <c r="A314" i="7"/>
  <c r="A312" i="7"/>
  <c r="M311" i="7"/>
  <c r="M310" i="7"/>
  <c r="M309" i="7"/>
  <c r="M308" i="7"/>
  <c r="M307" i="7"/>
  <c r="M306" i="7"/>
  <c r="A302" i="7"/>
  <c r="A300" i="7"/>
  <c r="M299" i="7"/>
  <c r="M298" i="7"/>
  <c r="M297" i="7"/>
  <c r="M296" i="7"/>
  <c r="A292" i="7"/>
  <c r="A290" i="7"/>
  <c r="M289" i="7"/>
  <c r="M288" i="7"/>
  <c r="M287" i="7"/>
  <c r="A283" i="7"/>
  <c r="A281" i="7"/>
  <c r="M280" i="7"/>
  <c r="A276" i="7"/>
  <c r="A274" i="7"/>
  <c r="M273" i="7"/>
  <c r="M272" i="7"/>
  <c r="M271" i="7"/>
  <c r="M270" i="7"/>
  <c r="M269" i="7"/>
  <c r="M268" i="7"/>
  <c r="M267" i="7"/>
  <c r="M266" i="7"/>
  <c r="M265" i="7"/>
  <c r="M264" i="7"/>
  <c r="A260" i="7"/>
  <c r="A258" i="7"/>
  <c r="M257" i="7"/>
  <c r="A253" i="7"/>
  <c r="A251" i="7"/>
  <c r="M250" i="7"/>
  <c r="M249" i="7"/>
  <c r="M248" i="7"/>
  <c r="I248" i="7"/>
  <c r="M247" i="7"/>
  <c r="M246" i="7"/>
  <c r="M245" i="7"/>
  <c r="M244" i="7"/>
  <c r="M243" i="7"/>
  <c r="M242" i="7"/>
  <c r="M241" i="7"/>
  <c r="M240" i="7"/>
  <c r="A236" i="7"/>
  <c r="A234" i="7"/>
  <c r="M233" i="7"/>
  <c r="M232" i="7"/>
  <c r="M231" i="7"/>
  <c r="M230" i="7"/>
  <c r="M229" i="7"/>
  <c r="M228" i="7"/>
  <c r="M227" i="7"/>
  <c r="M226" i="7"/>
  <c r="M225" i="7"/>
  <c r="M224" i="7"/>
  <c r="M223" i="7"/>
  <c r="M222" i="7"/>
  <c r="M221" i="7"/>
  <c r="M220" i="7"/>
  <c r="M219" i="7"/>
  <c r="A215" i="7"/>
  <c r="A213" i="7"/>
  <c r="M212" i="7"/>
  <c r="M211" i="7"/>
  <c r="M210" i="7"/>
  <c r="A206" i="7"/>
  <c r="A204" i="7"/>
  <c r="M203" i="7"/>
  <c r="M202" i="7"/>
  <c r="M201" i="7"/>
  <c r="M200" i="7"/>
  <c r="M199" i="7"/>
  <c r="A195" i="7"/>
  <c r="A193" i="7"/>
  <c r="M192" i="7"/>
  <c r="I192" i="7"/>
  <c r="M191" i="7"/>
  <c r="M190" i="7"/>
  <c r="A186" i="7"/>
  <c r="A184" i="7"/>
  <c r="M183" i="7"/>
  <c r="M182" i="7"/>
  <c r="M181" i="7"/>
  <c r="M180" i="7"/>
  <c r="A176" i="7"/>
  <c r="A174" i="7"/>
  <c r="M173" i="7"/>
  <c r="M172" i="7"/>
  <c r="A168" i="7"/>
  <c r="A166" i="7"/>
  <c r="M165" i="7"/>
  <c r="M164" i="7"/>
  <c r="M163" i="7"/>
  <c r="M162" i="7"/>
  <c r="A158" i="7"/>
  <c r="A156" i="7"/>
  <c r="M155" i="7"/>
  <c r="A151" i="7"/>
  <c r="A149" i="7"/>
  <c r="M148" i="7"/>
  <c r="A144" i="7"/>
  <c r="A142" i="7"/>
  <c r="M141" i="7"/>
  <c r="I141" i="7"/>
  <c r="M140" i="7"/>
  <c r="M139" i="7"/>
  <c r="M138" i="7"/>
  <c r="M137" i="7"/>
  <c r="M136" i="7"/>
  <c r="A132" i="7"/>
  <c r="A130" i="7"/>
  <c r="M129" i="7"/>
  <c r="M128" i="7"/>
  <c r="M127" i="7"/>
  <c r="M126" i="7"/>
  <c r="M125" i="7"/>
  <c r="A121" i="7"/>
  <c r="A119" i="7"/>
  <c r="M118" i="7"/>
  <c r="M117" i="7"/>
  <c r="M116" i="7"/>
  <c r="M115" i="7"/>
  <c r="A111" i="7"/>
  <c r="A109" i="7"/>
  <c r="M108" i="7"/>
  <c r="M107" i="7"/>
  <c r="M106" i="7"/>
  <c r="M105" i="7"/>
  <c r="A101" i="7"/>
  <c r="A99" i="7"/>
  <c r="M98" i="7"/>
  <c r="M97" i="7"/>
  <c r="M96" i="7"/>
  <c r="A92" i="7"/>
  <c r="A90" i="7"/>
  <c r="M89" i="7"/>
  <c r="M88" i="7"/>
  <c r="M87" i="7"/>
  <c r="M86" i="7"/>
  <c r="A82" i="7"/>
  <c r="A80" i="7"/>
  <c r="M79" i="7"/>
  <c r="M78" i="7"/>
  <c r="M77" i="7"/>
  <c r="M76" i="7"/>
  <c r="A72" i="7"/>
  <c r="A70" i="7"/>
  <c r="M69" i="7"/>
  <c r="M68" i="7"/>
  <c r="M67" i="7"/>
  <c r="M66" i="7"/>
  <c r="A62" i="7"/>
  <c r="A60" i="7"/>
  <c r="M59" i="7"/>
  <c r="M58" i="7"/>
  <c r="M57" i="7"/>
  <c r="M56" i="7"/>
  <c r="A52" i="7"/>
  <c r="A50" i="7"/>
  <c r="M49" i="7"/>
  <c r="M48" i="7"/>
  <c r="M47" i="7"/>
  <c r="M46" i="7"/>
  <c r="A42" i="7"/>
  <c r="A40" i="7"/>
  <c r="M39" i="7"/>
  <c r="A35" i="7"/>
  <c r="A33" i="7"/>
  <c r="M32" i="7"/>
  <c r="M31" i="7"/>
  <c r="M30" i="7"/>
  <c r="A26" i="7"/>
  <c r="A24" i="7"/>
  <c r="M23" i="7"/>
  <c r="M22" i="7"/>
  <c r="M21" i="7"/>
  <c r="M20" i="7"/>
  <c r="M19" i="7"/>
  <c r="A15" i="7"/>
  <c r="A13" i="7"/>
  <c r="M12" i="7"/>
  <c r="M11" i="7"/>
  <c r="M10" i="7"/>
  <c r="M9" i="7"/>
  <c r="M8" i="7"/>
  <c r="K891" i="6"/>
  <c r="L891" i="6" s="1"/>
  <c r="M891" i="6" s="1"/>
  <c r="N890" i="6" s="1"/>
  <c r="L889" i="6"/>
  <c r="M889" i="6" s="1"/>
  <c r="N888" i="6" s="1"/>
  <c r="K889" i="6"/>
  <c r="L887" i="6"/>
  <c r="M887" i="6" s="1"/>
  <c r="N886" i="6" s="1"/>
  <c r="K887" i="6"/>
  <c r="K885" i="6"/>
  <c r="L885" i="6" s="1"/>
  <c r="M885" i="6" s="1"/>
  <c r="N884" i="6" s="1"/>
  <c r="K883" i="6"/>
  <c r="L883" i="6" s="1"/>
  <c r="M883" i="6" s="1"/>
  <c r="N882" i="6" s="1"/>
  <c r="K881" i="6"/>
  <c r="L881" i="6" s="1"/>
  <c r="M881" i="6" s="1"/>
  <c r="N880" i="6" s="1"/>
  <c r="K879" i="6"/>
  <c r="L879" i="6" s="1"/>
  <c r="M879" i="6" s="1"/>
  <c r="N878" i="6" s="1"/>
  <c r="F469" i="5" s="1"/>
  <c r="Q469" i="5" s="1"/>
  <c r="L877" i="6"/>
  <c r="M877" i="6" s="1"/>
  <c r="N876" i="6" s="1"/>
  <c r="K877" i="6"/>
  <c r="K875" i="6"/>
  <c r="L875" i="6" s="1"/>
  <c r="M875" i="6" s="1"/>
  <c r="N874" i="6" s="1"/>
  <c r="M873" i="6"/>
  <c r="N872" i="6" s="1"/>
  <c r="K873" i="6"/>
  <c r="L873" i="6" s="1"/>
  <c r="K871" i="6"/>
  <c r="L871" i="6" s="1"/>
  <c r="M871" i="6" s="1"/>
  <c r="N870" i="6" s="1"/>
  <c r="F465" i="5" s="1"/>
  <c r="Q465" i="5" s="1"/>
  <c r="K869" i="6"/>
  <c r="L869" i="6" s="1"/>
  <c r="M869" i="6" s="1"/>
  <c r="N868" i="6" s="1"/>
  <c r="F464" i="5" s="1"/>
  <c r="Q464" i="5" s="1"/>
  <c r="K866" i="6"/>
  <c r="L866" i="6" s="1"/>
  <c r="M866" i="6" s="1"/>
  <c r="N865" i="6" s="1"/>
  <c r="K863" i="6"/>
  <c r="L863" i="6" s="1"/>
  <c r="M863" i="6" s="1"/>
  <c r="N862" i="6"/>
  <c r="L861" i="6"/>
  <c r="M861" i="6" s="1"/>
  <c r="N860" i="6" s="1"/>
  <c r="K861" i="6"/>
  <c r="L858" i="6"/>
  <c r="M858" i="6" s="1"/>
  <c r="N857" i="6" s="1"/>
  <c r="K858" i="6"/>
  <c r="M855" i="6"/>
  <c r="N854" i="6" s="1"/>
  <c r="L855" i="6"/>
  <c r="K855" i="6"/>
  <c r="K853" i="6"/>
  <c r="L853" i="6" s="1"/>
  <c r="M853" i="6" s="1"/>
  <c r="N852" i="6"/>
  <c r="F454" i="5" s="1"/>
  <c r="Q454" i="5" s="1"/>
  <c r="L849" i="6"/>
  <c r="M849" i="6" s="1"/>
  <c r="N848" i="6" s="1"/>
  <c r="K849" i="6"/>
  <c r="L847" i="6"/>
  <c r="M847" i="6" s="1"/>
  <c r="N846" i="6" s="1"/>
  <c r="F450" i="5" s="1"/>
  <c r="Q450" i="5" s="1"/>
  <c r="K847" i="6"/>
  <c r="L845" i="6"/>
  <c r="M845" i="6" s="1"/>
  <c r="N844" i="6" s="1"/>
  <c r="F448" i="4" s="1"/>
  <c r="K845" i="6"/>
  <c r="K843" i="6"/>
  <c r="L843" i="6" s="1"/>
  <c r="M843" i="6" s="1"/>
  <c r="N842" i="6" s="1"/>
  <c r="K841" i="6"/>
  <c r="L841" i="6" s="1"/>
  <c r="M841" i="6" s="1"/>
  <c r="N840" i="6"/>
  <c r="K839" i="6"/>
  <c r="L839" i="6" s="1"/>
  <c r="M839" i="6" s="1"/>
  <c r="N838" i="6" s="1"/>
  <c r="K837" i="6"/>
  <c r="L837" i="6" s="1"/>
  <c r="M837" i="6" s="1"/>
  <c r="N836" i="6" s="1"/>
  <c r="K835" i="6"/>
  <c r="L835" i="6" s="1"/>
  <c r="M835" i="6" s="1"/>
  <c r="N834" i="6" s="1"/>
  <c r="K832" i="6"/>
  <c r="L832" i="6" s="1"/>
  <c r="M832" i="6" s="1"/>
  <c r="K831" i="6"/>
  <c r="L831" i="6" s="1"/>
  <c r="M831" i="6" s="1"/>
  <c r="K828" i="6"/>
  <c r="L828" i="6" s="1"/>
  <c r="M828" i="6" s="1"/>
  <c r="N827" i="6"/>
  <c r="F439" i="4" s="1"/>
  <c r="M826" i="6"/>
  <c r="N825" i="6" s="1"/>
  <c r="L826" i="6"/>
  <c r="K823" i="6"/>
  <c r="L823" i="6" s="1"/>
  <c r="M823" i="6" s="1"/>
  <c r="N822" i="6" s="1"/>
  <c r="K821" i="6"/>
  <c r="L821" i="6" s="1"/>
  <c r="M821" i="6" s="1"/>
  <c r="N820" i="6" s="1"/>
  <c r="F435" i="4" s="1"/>
  <c r="L818" i="6"/>
  <c r="M818" i="6" s="1"/>
  <c r="N817" i="6" s="1"/>
  <c r="L816" i="6"/>
  <c r="M816" i="6" s="1"/>
  <c r="N815" i="6" s="1"/>
  <c r="L813" i="6"/>
  <c r="M813" i="6" s="1"/>
  <c r="K813" i="6"/>
  <c r="K812" i="6"/>
  <c r="L812" i="6" s="1"/>
  <c r="M812" i="6" s="1"/>
  <c r="K810" i="6"/>
  <c r="L810" i="6" s="1"/>
  <c r="M810" i="6" s="1"/>
  <c r="N809" i="6"/>
  <c r="L808" i="6"/>
  <c r="M808" i="6" s="1"/>
  <c r="N807" i="6" s="1"/>
  <c r="F429" i="5" s="1"/>
  <c r="Q429" i="5" s="1"/>
  <c r="K808" i="6"/>
  <c r="K805" i="6"/>
  <c r="L805" i="6" s="1"/>
  <c r="M805" i="6" s="1"/>
  <c r="N804" i="6" s="1"/>
  <c r="F426" i="4" s="1"/>
  <c r="K803" i="6"/>
  <c r="L803" i="6" s="1"/>
  <c r="M803" i="6" s="1"/>
  <c r="N802" i="6"/>
  <c r="F426" i="5" s="1"/>
  <c r="Q426" i="5" s="1"/>
  <c r="M800" i="6"/>
  <c r="N799" i="6" s="1"/>
  <c r="L800" i="6"/>
  <c r="K800" i="6"/>
  <c r="L798" i="6"/>
  <c r="M798" i="6" s="1"/>
  <c r="K798" i="6"/>
  <c r="K797" i="6"/>
  <c r="L797" i="6" s="1"/>
  <c r="M797" i="6" s="1"/>
  <c r="K796" i="6"/>
  <c r="L796" i="6" s="1"/>
  <c r="M796" i="6" s="1"/>
  <c r="K795" i="6"/>
  <c r="L795" i="6" s="1"/>
  <c r="M795" i="6" s="1"/>
  <c r="L794" i="6"/>
  <c r="M794" i="6" s="1"/>
  <c r="K794" i="6"/>
  <c r="L791" i="6"/>
  <c r="M791" i="6" s="1"/>
  <c r="K791" i="6"/>
  <c r="K790" i="6"/>
  <c r="L790" i="6" s="1"/>
  <c r="M790" i="6" s="1"/>
  <c r="N789" i="6" s="1"/>
  <c r="F420" i="4" s="1"/>
  <c r="M788" i="6"/>
  <c r="K788" i="6"/>
  <c r="L788" i="6" s="1"/>
  <c r="L787" i="6"/>
  <c r="M787" i="6" s="1"/>
  <c r="N786" i="6" s="1"/>
  <c r="K787" i="6"/>
  <c r="K784" i="6"/>
  <c r="L784" i="6" s="1"/>
  <c r="M784" i="6" s="1"/>
  <c r="K783" i="6"/>
  <c r="L783" i="6" s="1"/>
  <c r="M783" i="6" s="1"/>
  <c r="N782" i="6" s="1"/>
  <c r="L781" i="6"/>
  <c r="M781" i="6" s="1"/>
  <c r="K781" i="6"/>
  <c r="M780" i="6"/>
  <c r="K780" i="6"/>
  <c r="L780" i="6" s="1"/>
  <c r="K778" i="6"/>
  <c r="L778" i="6" s="1"/>
  <c r="M778" i="6" s="1"/>
  <c r="K777" i="6"/>
  <c r="L777" i="6" s="1"/>
  <c r="M777" i="6" s="1"/>
  <c r="K774" i="6"/>
  <c r="L774" i="6" s="1"/>
  <c r="M774" i="6" s="1"/>
  <c r="K773" i="6"/>
  <c r="L773" i="6" s="1"/>
  <c r="M773" i="6" s="1"/>
  <c r="N772" i="6"/>
  <c r="M770" i="6"/>
  <c r="N769" i="6" s="1"/>
  <c r="L770" i="6"/>
  <c r="K770" i="6"/>
  <c r="M768" i="6"/>
  <c r="L768" i="6"/>
  <c r="K768" i="6"/>
  <c r="N767" i="6"/>
  <c r="F410" i="4" s="1"/>
  <c r="K764" i="6"/>
  <c r="L764" i="6" s="1"/>
  <c r="M764" i="6" s="1"/>
  <c r="N763" i="6" s="1"/>
  <c r="F407" i="4" s="1"/>
  <c r="L762" i="6"/>
  <c r="M762" i="6" s="1"/>
  <c r="N761" i="6" s="1"/>
  <c r="F406" i="4" s="1"/>
  <c r="K762" i="6"/>
  <c r="K760" i="6"/>
  <c r="L760" i="6" s="1"/>
  <c r="M760" i="6" s="1"/>
  <c r="N759" i="6" s="1"/>
  <c r="L758" i="6"/>
  <c r="M758" i="6" s="1"/>
  <c r="K758" i="6"/>
  <c r="N757" i="6"/>
  <c r="F404" i="4" s="1"/>
  <c r="L756" i="6"/>
  <c r="M756" i="6" s="1"/>
  <c r="N755" i="6" s="1"/>
  <c r="F403" i="4" s="1"/>
  <c r="K756" i="6"/>
  <c r="K754" i="6"/>
  <c r="L754" i="6" s="1"/>
  <c r="M754" i="6" s="1"/>
  <c r="N753" i="6"/>
  <c r="F403" i="5" s="1"/>
  <c r="Q403" i="5" s="1"/>
  <c r="K751" i="6"/>
  <c r="L751" i="6" s="1"/>
  <c r="M751" i="6" s="1"/>
  <c r="N750" i="6"/>
  <c r="F400" i="4" s="1"/>
  <c r="M749" i="6"/>
  <c r="N748" i="6" s="1"/>
  <c r="L749" i="6"/>
  <c r="K749" i="6"/>
  <c r="K747" i="6"/>
  <c r="L747" i="6" s="1"/>
  <c r="M747" i="6" s="1"/>
  <c r="N746" i="6"/>
  <c r="K745" i="6"/>
  <c r="L745" i="6" s="1"/>
  <c r="M745" i="6" s="1"/>
  <c r="N744" i="6"/>
  <c r="L743" i="6"/>
  <c r="M743" i="6" s="1"/>
  <c r="K743" i="6"/>
  <c r="N742" i="6"/>
  <c r="M741" i="6"/>
  <c r="N740" i="6" s="1"/>
  <c r="K741" i="6"/>
  <c r="L741" i="6" s="1"/>
  <c r="L739" i="6"/>
  <c r="M739" i="6" s="1"/>
  <c r="N738" i="6" s="1"/>
  <c r="K739" i="6"/>
  <c r="L737" i="6"/>
  <c r="M737" i="6" s="1"/>
  <c r="K737" i="6"/>
  <c r="N736" i="6"/>
  <c r="L735" i="6"/>
  <c r="M735" i="6" s="1"/>
  <c r="N734" i="6" s="1"/>
  <c r="K733" i="6"/>
  <c r="L733" i="6" s="1"/>
  <c r="M733" i="6" s="1"/>
  <c r="N732" i="6" s="1"/>
  <c r="F391" i="4" s="1"/>
  <c r="L731" i="6"/>
  <c r="M731" i="6" s="1"/>
  <c r="N730" i="6" s="1"/>
  <c r="K731" i="6"/>
  <c r="K729" i="6"/>
  <c r="L729" i="6" s="1"/>
  <c r="M729" i="6" s="1"/>
  <c r="N728" i="6" s="1"/>
  <c r="M727" i="6"/>
  <c r="N726" i="6" s="1"/>
  <c r="F388" i="4" s="1"/>
  <c r="L727" i="6"/>
  <c r="K727" i="6"/>
  <c r="M725" i="6"/>
  <c r="N724" i="6" s="1"/>
  <c r="L725" i="6"/>
  <c r="K725" i="6"/>
  <c r="K723" i="6"/>
  <c r="L723" i="6" s="1"/>
  <c r="M723" i="6" s="1"/>
  <c r="N722" i="6" s="1"/>
  <c r="F387" i="5" s="1"/>
  <c r="Q387" i="5" s="1"/>
  <c r="L721" i="6"/>
  <c r="M721" i="6" s="1"/>
  <c r="N720" i="6" s="1"/>
  <c r="F385" i="4" s="1"/>
  <c r="K721" i="6"/>
  <c r="K719" i="6"/>
  <c r="L719" i="6" s="1"/>
  <c r="M719" i="6" s="1"/>
  <c r="N718" i="6" s="1"/>
  <c r="M715" i="6"/>
  <c r="N714" i="6" s="1"/>
  <c r="L715" i="6"/>
  <c r="K715" i="6"/>
  <c r="K713" i="6"/>
  <c r="L713" i="6" s="1"/>
  <c r="M713" i="6" s="1"/>
  <c r="N712" i="6" s="1"/>
  <c r="K711" i="6"/>
  <c r="L711" i="6" s="1"/>
  <c r="M711" i="6" s="1"/>
  <c r="N710" i="6" s="1"/>
  <c r="K709" i="6"/>
  <c r="L709" i="6" s="1"/>
  <c r="M709" i="6" s="1"/>
  <c r="N708" i="6"/>
  <c r="L707" i="6"/>
  <c r="M707" i="6" s="1"/>
  <c r="N706" i="6" s="1"/>
  <c r="K707" i="6"/>
  <c r="K705" i="6"/>
  <c r="L705" i="6" s="1"/>
  <c r="M705" i="6" s="1"/>
  <c r="N704" i="6" s="1"/>
  <c r="F376" i="4" s="1"/>
  <c r="K703" i="6"/>
  <c r="L703" i="6" s="1"/>
  <c r="M703" i="6" s="1"/>
  <c r="N702" i="6"/>
  <c r="K701" i="6"/>
  <c r="L701" i="6" s="1"/>
  <c r="M701" i="6" s="1"/>
  <c r="N700" i="6" s="1"/>
  <c r="L699" i="6"/>
  <c r="M699" i="6" s="1"/>
  <c r="N698" i="6" s="1"/>
  <c r="K699" i="6"/>
  <c r="K697" i="6"/>
  <c r="L697" i="6" s="1"/>
  <c r="M697" i="6" s="1"/>
  <c r="N696" i="6" s="1"/>
  <c r="F372" i="4" s="1"/>
  <c r="L695" i="6"/>
  <c r="M695" i="6" s="1"/>
  <c r="N694" i="6" s="1"/>
  <c r="K695" i="6"/>
  <c r="K693" i="6"/>
  <c r="L693" i="6" s="1"/>
  <c r="M693" i="6" s="1"/>
  <c r="N692" i="6" s="1"/>
  <c r="K690" i="6"/>
  <c r="L690" i="6" s="1"/>
  <c r="M690" i="6" s="1"/>
  <c r="N689" i="6" s="1"/>
  <c r="K687" i="6"/>
  <c r="L687" i="6" s="1"/>
  <c r="M687" i="6" s="1"/>
  <c r="N686" i="6" s="1"/>
  <c r="K685" i="6"/>
  <c r="L685" i="6" s="1"/>
  <c r="M685" i="6" s="1"/>
  <c r="N684" i="6" s="1"/>
  <c r="K682" i="6"/>
  <c r="L682" i="6" s="1"/>
  <c r="M682" i="6" s="1"/>
  <c r="N681" i="6" s="1"/>
  <c r="M679" i="6"/>
  <c r="N678" i="6" s="1"/>
  <c r="F361" i="4" s="1"/>
  <c r="K679" i="6"/>
  <c r="L679" i="6" s="1"/>
  <c r="L677" i="6"/>
  <c r="M677" i="6" s="1"/>
  <c r="N676" i="6" s="1"/>
  <c r="K677" i="6"/>
  <c r="L673" i="6"/>
  <c r="M673" i="6" s="1"/>
  <c r="K673" i="6"/>
  <c r="N672" i="6"/>
  <c r="L671" i="6"/>
  <c r="M671" i="6" s="1"/>
  <c r="N670" i="6" s="1"/>
  <c r="K671" i="6"/>
  <c r="K669" i="6"/>
  <c r="L669" i="6" s="1"/>
  <c r="M669" i="6" s="1"/>
  <c r="N668" i="6" s="1"/>
  <c r="L667" i="6"/>
  <c r="M667" i="6" s="1"/>
  <c r="N666" i="6" s="1"/>
  <c r="K667" i="6"/>
  <c r="K665" i="6"/>
  <c r="L665" i="6" s="1"/>
  <c r="M665" i="6" s="1"/>
  <c r="N664" i="6" s="1"/>
  <c r="F353" i="4" s="1"/>
  <c r="K663" i="6"/>
  <c r="L663" i="6" s="1"/>
  <c r="M663" i="6" s="1"/>
  <c r="N662" i="6" s="1"/>
  <c r="F352" i="4" s="1"/>
  <c r="L661" i="6"/>
  <c r="M661" i="6" s="1"/>
  <c r="N660" i="6" s="1"/>
  <c r="K661" i="6"/>
  <c r="L659" i="6"/>
  <c r="M659" i="6" s="1"/>
  <c r="N658" i="6" s="1"/>
  <c r="K659" i="6"/>
  <c r="L656" i="6"/>
  <c r="M656" i="6" s="1"/>
  <c r="K656" i="6"/>
  <c r="K655" i="6"/>
  <c r="L655" i="6" s="1"/>
  <c r="M655" i="6" s="1"/>
  <c r="N654" i="6"/>
  <c r="L652" i="6"/>
  <c r="M652" i="6" s="1"/>
  <c r="K652" i="6"/>
  <c r="N651" i="6"/>
  <c r="M650" i="6"/>
  <c r="N649" i="6" s="1"/>
  <c r="L650" i="6"/>
  <c r="M647" i="6"/>
  <c r="N646" i="6" s="1"/>
  <c r="F343" i="4" s="1"/>
  <c r="K647" i="6"/>
  <c r="L647" i="6" s="1"/>
  <c r="K645" i="6"/>
  <c r="L645" i="6" s="1"/>
  <c r="M645" i="6" s="1"/>
  <c r="N644" i="6"/>
  <c r="L642" i="6"/>
  <c r="M642" i="6" s="1"/>
  <c r="N641" i="6"/>
  <c r="L640" i="6"/>
  <c r="M640" i="6" s="1"/>
  <c r="N639" i="6" s="1"/>
  <c r="L637" i="6"/>
  <c r="M637" i="6" s="1"/>
  <c r="N635" i="6" s="1"/>
  <c r="F338" i="5" s="1"/>
  <c r="N338" i="5" s="1"/>
  <c r="K637" i="6"/>
  <c r="K636" i="6"/>
  <c r="L636" i="6" s="1"/>
  <c r="M636" i="6" s="1"/>
  <c r="K634" i="6"/>
  <c r="L634" i="6" s="1"/>
  <c r="M634" i="6" s="1"/>
  <c r="N633" i="6" s="1"/>
  <c r="K632" i="6"/>
  <c r="L632" i="6" s="1"/>
  <c r="M632" i="6" s="1"/>
  <c r="N631" i="6" s="1"/>
  <c r="K629" i="6"/>
  <c r="L629" i="6" s="1"/>
  <c r="M629" i="6" s="1"/>
  <c r="N628" i="6" s="1"/>
  <c r="M627" i="6"/>
  <c r="N626" i="6" s="1"/>
  <c r="K627" i="6"/>
  <c r="L627" i="6" s="1"/>
  <c r="L624" i="6"/>
  <c r="M624" i="6" s="1"/>
  <c r="N623" i="6" s="1"/>
  <c r="K624" i="6"/>
  <c r="K622" i="6"/>
  <c r="L622" i="6" s="1"/>
  <c r="M622" i="6" s="1"/>
  <c r="K621" i="6"/>
  <c r="L621" i="6" s="1"/>
  <c r="M621" i="6" s="1"/>
  <c r="L620" i="6"/>
  <c r="M620" i="6" s="1"/>
  <c r="K620" i="6"/>
  <c r="M619" i="6"/>
  <c r="L619" i="6"/>
  <c r="K619" i="6"/>
  <c r="K618" i="6"/>
  <c r="L618" i="6" s="1"/>
  <c r="M618" i="6" s="1"/>
  <c r="L615" i="6"/>
  <c r="M615" i="6" s="1"/>
  <c r="K615" i="6"/>
  <c r="K614" i="6"/>
  <c r="L614" i="6" s="1"/>
  <c r="M614" i="6" s="1"/>
  <c r="N613" i="6" s="1"/>
  <c r="M612" i="6"/>
  <c r="L612" i="6"/>
  <c r="K612" i="6"/>
  <c r="K611" i="6"/>
  <c r="L611" i="6" s="1"/>
  <c r="M611" i="6" s="1"/>
  <c r="N610" i="6" s="1"/>
  <c r="M608" i="6"/>
  <c r="L608" i="6"/>
  <c r="K608" i="6"/>
  <c r="K607" i="6"/>
  <c r="L607" i="6" s="1"/>
  <c r="M607" i="6" s="1"/>
  <c r="N606" i="6" s="1"/>
  <c r="K605" i="6"/>
  <c r="L605" i="6" s="1"/>
  <c r="M605" i="6" s="1"/>
  <c r="M604" i="6"/>
  <c r="N603" i="6" s="1"/>
  <c r="K604" i="6"/>
  <c r="L604" i="6" s="1"/>
  <c r="K602" i="6"/>
  <c r="L602" i="6" s="1"/>
  <c r="M602" i="6" s="1"/>
  <c r="K601" i="6"/>
  <c r="L601" i="6" s="1"/>
  <c r="M601" i="6" s="1"/>
  <c r="N600" i="6"/>
  <c r="F322" i="4" s="1"/>
  <c r="L598" i="6"/>
  <c r="M598" i="6" s="1"/>
  <c r="K598" i="6"/>
  <c r="M597" i="6"/>
  <c r="L597" i="6"/>
  <c r="K597" i="6"/>
  <c r="K594" i="6"/>
  <c r="L594" i="6" s="1"/>
  <c r="M594" i="6" s="1"/>
  <c r="N593" i="6" s="1"/>
  <c r="K592" i="6"/>
  <c r="L592" i="6" s="1"/>
  <c r="M592" i="6" s="1"/>
  <c r="N591" i="6" s="1"/>
  <c r="M588" i="6"/>
  <c r="N587" i="6" s="1"/>
  <c r="F315" i="5" s="1"/>
  <c r="N315" i="5" s="1"/>
  <c r="L588" i="6"/>
  <c r="K588" i="6"/>
  <c r="L586" i="6"/>
  <c r="M586" i="6" s="1"/>
  <c r="N585" i="6" s="1"/>
  <c r="K586" i="6"/>
  <c r="K584" i="6"/>
  <c r="L584" i="6" s="1"/>
  <c r="M584" i="6" s="1"/>
  <c r="N583" i="6" s="1"/>
  <c r="M582" i="6"/>
  <c r="N581" i="6" s="1"/>
  <c r="F312" i="5" s="1"/>
  <c r="N312" i="5" s="1"/>
  <c r="L582" i="6"/>
  <c r="K582" i="6"/>
  <c r="K580" i="6"/>
  <c r="L580" i="6" s="1"/>
  <c r="M580" i="6" s="1"/>
  <c r="N579" i="6" s="1"/>
  <c r="F310" i="4" s="1"/>
  <c r="K578" i="6"/>
  <c r="L578" i="6" s="1"/>
  <c r="M578" i="6" s="1"/>
  <c r="N577" i="6"/>
  <c r="F309" i="4" s="1"/>
  <c r="M575" i="6"/>
  <c r="N574" i="6" s="1"/>
  <c r="L575" i="6"/>
  <c r="K575" i="6"/>
  <c r="K573" i="6"/>
  <c r="L573" i="6" s="1"/>
  <c r="M573" i="6" s="1"/>
  <c r="N572" i="6" s="1"/>
  <c r="K571" i="6"/>
  <c r="L571" i="6" s="1"/>
  <c r="M571" i="6" s="1"/>
  <c r="N570" i="6" s="1"/>
  <c r="M569" i="6"/>
  <c r="N568" i="6" s="1"/>
  <c r="F304" i="4" s="1"/>
  <c r="L569" i="6"/>
  <c r="K569" i="6"/>
  <c r="K567" i="6"/>
  <c r="L567" i="6" s="1"/>
  <c r="M567" i="6" s="1"/>
  <c r="N566" i="6"/>
  <c r="L565" i="6"/>
  <c r="M565" i="6" s="1"/>
  <c r="N564" i="6" s="1"/>
  <c r="F303" i="5" s="1"/>
  <c r="N303" i="5" s="1"/>
  <c r="K565" i="6"/>
  <c r="M563" i="6"/>
  <c r="N562" i="6" s="1"/>
  <c r="L563" i="6"/>
  <c r="K563" i="6"/>
  <c r="M561" i="6"/>
  <c r="L561" i="6"/>
  <c r="K561" i="6"/>
  <c r="N560" i="6"/>
  <c r="M559" i="6"/>
  <c r="N558" i="6" s="1"/>
  <c r="F299" i="4" s="1"/>
  <c r="L559" i="6"/>
  <c r="L557" i="6"/>
  <c r="M557" i="6" s="1"/>
  <c r="N556" i="6" s="1"/>
  <c r="K557" i="6"/>
  <c r="K555" i="6"/>
  <c r="L555" i="6" s="1"/>
  <c r="M555" i="6" s="1"/>
  <c r="N554" i="6"/>
  <c r="M553" i="6"/>
  <c r="L553" i="6"/>
  <c r="K553" i="6"/>
  <c r="N552" i="6"/>
  <c r="K551" i="6"/>
  <c r="L551" i="6" s="1"/>
  <c r="M551" i="6" s="1"/>
  <c r="N550" i="6" s="1"/>
  <c r="F295" i="4" s="1"/>
  <c r="M549" i="6"/>
  <c r="N548" i="6" s="1"/>
  <c r="K549" i="6"/>
  <c r="L549" i="6" s="1"/>
  <c r="K547" i="6"/>
  <c r="L547" i="6" s="1"/>
  <c r="M547" i="6" s="1"/>
  <c r="N546" i="6" s="1"/>
  <c r="M545" i="6"/>
  <c r="N544" i="6" s="1"/>
  <c r="L545" i="6"/>
  <c r="K545" i="6"/>
  <c r="L543" i="6"/>
  <c r="M543" i="6" s="1"/>
  <c r="N542" i="6" s="1"/>
  <c r="K543" i="6"/>
  <c r="K539" i="6"/>
  <c r="L539" i="6" s="1"/>
  <c r="M539" i="6" s="1"/>
  <c r="N538" i="6" s="1"/>
  <c r="M537" i="6"/>
  <c r="N536" i="6" s="1"/>
  <c r="K537" i="6"/>
  <c r="L537" i="6" s="1"/>
  <c r="L535" i="6"/>
  <c r="M535" i="6" s="1"/>
  <c r="N534" i="6" s="1"/>
  <c r="K535" i="6"/>
  <c r="K533" i="6"/>
  <c r="L533" i="6" s="1"/>
  <c r="M533" i="6" s="1"/>
  <c r="N532" i="6" s="1"/>
  <c r="F286" i="5" s="1"/>
  <c r="N286" i="5" s="1"/>
  <c r="K531" i="6"/>
  <c r="L531" i="6" s="1"/>
  <c r="M531" i="6" s="1"/>
  <c r="N530" i="6" s="1"/>
  <c r="F284" i="4" s="1"/>
  <c r="K529" i="6"/>
  <c r="L529" i="6" s="1"/>
  <c r="M529" i="6" s="1"/>
  <c r="N528" i="6" s="1"/>
  <c r="K527" i="6"/>
  <c r="L527" i="6" s="1"/>
  <c r="M527" i="6" s="1"/>
  <c r="N526" i="6" s="1"/>
  <c r="K525" i="6"/>
  <c r="L525" i="6" s="1"/>
  <c r="M525" i="6" s="1"/>
  <c r="N524" i="6" s="1"/>
  <c r="F282" i="5" s="1"/>
  <c r="N282" i="5" s="1"/>
  <c r="K523" i="6"/>
  <c r="L523" i="6" s="1"/>
  <c r="M523" i="6" s="1"/>
  <c r="N522" i="6" s="1"/>
  <c r="F280" i="4" s="1"/>
  <c r="K521" i="6"/>
  <c r="L521" i="6" s="1"/>
  <c r="M521" i="6" s="1"/>
  <c r="N520" i="6"/>
  <c r="F280" i="5" s="1"/>
  <c r="N280" i="5" s="1"/>
  <c r="K519" i="6"/>
  <c r="L519" i="6" s="1"/>
  <c r="M519" i="6" s="1"/>
  <c r="N518" i="6" s="1"/>
  <c r="K517" i="6"/>
  <c r="L517" i="6" s="1"/>
  <c r="M517" i="6" s="1"/>
  <c r="N516" i="6" s="1"/>
  <c r="L514" i="6"/>
  <c r="M514" i="6" s="1"/>
  <c r="K514" i="6"/>
  <c r="N513" i="6"/>
  <c r="F276" i="5" s="1"/>
  <c r="N276" i="5" s="1"/>
  <c r="L511" i="6"/>
  <c r="M511" i="6" s="1"/>
  <c r="N510" i="6" s="1"/>
  <c r="K511" i="6"/>
  <c r="K509" i="6"/>
  <c r="L509" i="6" s="1"/>
  <c r="M509" i="6" s="1"/>
  <c r="N508" i="6"/>
  <c r="F273" i="5" s="1"/>
  <c r="N273" i="5" s="1"/>
  <c r="L506" i="6"/>
  <c r="M506" i="6" s="1"/>
  <c r="N505" i="6" s="1"/>
  <c r="K506" i="6"/>
  <c r="K503" i="6"/>
  <c r="L503" i="6" s="1"/>
  <c r="M503" i="6" s="1"/>
  <c r="N502" i="6" s="1"/>
  <c r="F268" i="4" s="1"/>
  <c r="M501" i="6"/>
  <c r="N500" i="6" s="1"/>
  <c r="K501" i="6"/>
  <c r="L501" i="6" s="1"/>
  <c r="K497" i="6"/>
  <c r="L497" i="6" s="1"/>
  <c r="M497" i="6" s="1"/>
  <c r="N496" i="6" s="1"/>
  <c r="F264" i="4" s="1"/>
  <c r="K495" i="6"/>
  <c r="L495" i="6" s="1"/>
  <c r="M495" i="6" s="1"/>
  <c r="N494" i="6" s="1"/>
  <c r="K493" i="6"/>
  <c r="L493" i="6" s="1"/>
  <c r="M493" i="6" s="1"/>
  <c r="N492" i="6" s="1"/>
  <c r="F262" i="4" s="1"/>
  <c r="K491" i="6"/>
  <c r="L491" i="6" s="1"/>
  <c r="M491" i="6" s="1"/>
  <c r="N490" i="6"/>
  <c r="F261" i="4" s="1"/>
  <c r="K489" i="6"/>
  <c r="L489" i="6" s="1"/>
  <c r="M489" i="6" s="1"/>
  <c r="N488" i="6" s="1"/>
  <c r="L487" i="6"/>
  <c r="M487" i="6" s="1"/>
  <c r="N486" i="6" s="1"/>
  <c r="K487" i="6"/>
  <c r="K485" i="6"/>
  <c r="L485" i="6" s="1"/>
  <c r="M485" i="6" s="1"/>
  <c r="N484" i="6" s="1"/>
  <c r="L483" i="6"/>
  <c r="M483" i="6" s="1"/>
  <c r="N482" i="6" s="1"/>
  <c r="K483" i="6"/>
  <c r="K480" i="6"/>
  <c r="L480" i="6" s="1"/>
  <c r="M480" i="6" s="1"/>
  <c r="L479" i="6"/>
  <c r="M479" i="6" s="1"/>
  <c r="N478" i="6" s="1"/>
  <c r="K479" i="6"/>
  <c r="L476" i="6"/>
  <c r="M476" i="6" s="1"/>
  <c r="N475" i="6" s="1"/>
  <c r="K476" i="6"/>
  <c r="L474" i="6"/>
  <c r="M474" i="6" s="1"/>
  <c r="N473" i="6"/>
  <c r="F252" i="4" s="1"/>
  <c r="K471" i="6"/>
  <c r="L471" i="6" s="1"/>
  <c r="M471" i="6" s="1"/>
  <c r="N470" i="6" s="1"/>
  <c r="F250" i="4" s="1"/>
  <c r="K469" i="6"/>
  <c r="L469" i="6" s="1"/>
  <c r="M469" i="6" s="1"/>
  <c r="N468" i="6"/>
  <c r="M466" i="6"/>
  <c r="N465" i="6" s="1"/>
  <c r="F248" i="5" s="1"/>
  <c r="N248" i="5" s="1"/>
  <c r="L466" i="6"/>
  <c r="L464" i="6"/>
  <c r="M464" i="6" s="1"/>
  <c r="N463" i="6"/>
  <c r="L461" i="6"/>
  <c r="M461" i="6" s="1"/>
  <c r="N459" i="6" s="1"/>
  <c r="K461" i="6"/>
  <c r="K460" i="6"/>
  <c r="L460" i="6" s="1"/>
  <c r="M460" i="6" s="1"/>
  <c r="K458" i="6"/>
  <c r="L458" i="6" s="1"/>
  <c r="M458" i="6" s="1"/>
  <c r="N457" i="6" s="1"/>
  <c r="F243" i="4" s="1"/>
  <c r="K456" i="6"/>
  <c r="L456" i="6" s="1"/>
  <c r="M456" i="6" s="1"/>
  <c r="N455" i="6" s="1"/>
  <c r="F243" i="5" s="1"/>
  <c r="N243" i="5" s="1"/>
  <c r="K453" i="6"/>
  <c r="L453" i="6" s="1"/>
  <c r="M453" i="6" s="1"/>
  <c r="N452" i="6"/>
  <c r="F240" i="4" s="1"/>
  <c r="L451" i="6"/>
  <c r="M451" i="6" s="1"/>
  <c r="N450" i="6" s="1"/>
  <c r="K451" i="6"/>
  <c r="L448" i="6"/>
  <c r="M448" i="6" s="1"/>
  <c r="N447" i="6" s="1"/>
  <c r="K448" i="6"/>
  <c r="K446" i="6"/>
  <c r="L446" i="6" s="1"/>
  <c r="M446" i="6" s="1"/>
  <c r="K445" i="6"/>
  <c r="L445" i="6" s="1"/>
  <c r="M445" i="6" s="1"/>
  <c r="K444" i="6"/>
  <c r="L444" i="6" s="1"/>
  <c r="M444" i="6" s="1"/>
  <c r="M443" i="6"/>
  <c r="L443" i="6"/>
  <c r="K443" i="6"/>
  <c r="K442" i="6"/>
  <c r="L442" i="6" s="1"/>
  <c r="M442" i="6" s="1"/>
  <c r="K439" i="6"/>
  <c r="L439" i="6" s="1"/>
  <c r="M439" i="6" s="1"/>
  <c r="N437" i="6" s="1"/>
  <c r="K438" i="6"/>
  <c r="L438" i="6" s="1"/>
  <c r="M438" i="6" s="1"/>
  <c r="K436" i="6"/>
  <c r="L436" i="6" s="1"/>
  <c r="M436" i="6" s="1"/>
  <c r="L435" i="6"/>
  <c r="M435" i="6" s="1"/>
  <c r="N434" i="6" s="1"/>
  <c r="K435" i="6"/>
  <c r="K432" i="6"/>
  <c r="L432" i="6" s="1"/>
  <c r="M432" i="6" s="1"/>
  <c r="M431" i="6"/>
  <c r="N430" i="6" s="1"/>
  <c r="F231" i="4" s="1"/>
  <c r="L431" i="6"/>
  <c r="K431" i="6"/>
  <c r="K429" i="6"/>
  <c r="L429" i="6" s="1"/>
  <c r="M429" i="6" s="1"/>
  <c r="L428" i="6"/>
  <c r="M428" i="6" s="1"/>
  <c r="N427" i="6" s="1"/>
  <c r="F230" i="4" s="1"/>
  <c r="K428" i="6"/>
  <c r="L426" i="6"/>
  <c r="M426" i="6" s="1"/>
  <c r="N424" i="6" s="1"/>
  <c r="K426" i="6"/>
  <c r="K425" i="6"/>
  <c r="L425" i="6" s="1"/>
  <c r="M425" i="6" s="1"/>
  <c r="L422" i="6"/>
  <c r="M422" i="6" s="1"/>
  <c r="K422" i="6"/>
  <c r="K421" i="6"/>
  <c r="L421" i="6" s="1"/>
  <c r="M421" i="6" s="1"/>
  <c r="N420" i="6" s="1"/>
  <c r="K418" i="6"/>
  <c r="L418" i="6" s="1"/>
  <c r="M418" i="6" s="1"/>
  <c r="N417" i="6" s="1"/>
  <c r="L416" i="6"/>
  <c r="M416" i="6" s="1"/>
  <c r="N415" i="6" s="1"/>
  <c r="K416" i="6"/>
  <c r="L412" i="6"/>
  <c r="M412" i="6" s="1"/>
  <c r="N411" i="6" s="1"/>
  <c r="F221" i="4" s="1"/>
  <c r="K412" i="6"/>
  <c r="M410" i="6"/>
  <c r="N409" i="6" s="1"/>
  <c r="K410" i="6"/>
  <c r="L410" i="6" s="1"/>
  <c r="K408" i="6"/>
  <c r="L408" i="6" s="1"/>
  <c r="M408" i="6" s="1"/>
  <c r="N407" i="6" s="1"/>
  <c r="K406" i="6"/>
  <c r="L406" i="6" s="1"/>
  <c r="M406" i="6" s="1"/>
  <c r="N405" i="6" s="1"/>
  <c r="F218" i="4" s="1"/>
  <c r="K404" i="6"/>
  <c r="L404" i="6" s="1"/>
  <c r="M404" i="6" s="1"/>
  <c r="N403" i="6" s="1"/>
  <c r="M402" i="6"/>
  <c r="N401" i="6" s="1"/>
  <c r="L402" i="6"/>
  <c r="K402" i="6"/>
  <c r="K399" i="6"/>
  <c r="L399" i="6" s="1"/>
  <c r="M399" i="6" s="1"/>
  <c r="N398" i="6" s="1"/>
  <c r="K397" i="6"/>
  <c r="L397" i="6" s="1"/>
  <c r="M397" i="6" s="1"/>
  <c r="N396" i="6" s="1"/>
  <c r="K395" i="6"/>
  <c r="L395" i="6" s="1"/>
  <c r="M395" i="6" s="1"/>
  <c r="N394" i="6" s="1"/>
  <c r="K393" i="6"/>
  <c r="L393" i="6" s="1"/>
  <c r="M393" i="6" s="1"/>
  <c r="N392" i="6" s="1"/>
  <c r="K391" i="6"/>
  <c r="L391" i="6" s="1"/>
  <c r="M391" i="6" s="1"/>
  <c r="N390" i="6" s="1"/>
  <c r="K389" i="6"/>
  <c r="L389" i="6" s="1"/>
  <c r="M389" i="6" s="1"/>
  <c r="N388" i="6" s="1"/>
  <c r="M387" i="6"/>
  <c r="L387" i="6"/>
  <c r="K387" i="6"/>
  <c r="N386" i="6"/>
  <c r="M385" i="6"/>
  <c r="N384" i="6" s="1"/>
  <c r="K385" i="6"/>
  <c r="L385" i="6" s="1"/>
  <c r="M383" i="6"/>
  <c r="N382" i="6" s="1"/>
  <c r="L383" i="6"/>
  <c r="K381" i="6"/>
  <c r="L381" i="6" s="1"/>
  <c r="M381" i="6" s="1"/>
  <c r="N380" i="6" s="1"/>
  <c r="M379" i="6"/>
  <c r="N378" i="6" s="1"/>
  <c r="F204" i="4" s="1"/>
  <c r="L379" i="6"/>
  <c r="K379" i="6"/>
  <c r="K377" i="6"/>
  <c r="L377" i="6" s="1"/>
  <c r="M377" i="6" s="1"/>
  <c r="N376" i="6"/>
  <c r="F203" i="4" s="1"/>
  <c r="L375" i="6"/>
  <c r="M375" i="6" s="1"/>
  <c r="N374" i="6" s="1"/>
  <c r="K375" i="6"/>
  <c r="L373" i="6"/>
  <c r="M373" i="6" s="1"/>
  <c r="N372" i="6" s="1"/>
  <c r="K373" i="6"/>
  <c r="K371" i="6"/>
  <c r="L371" i="6" s="1"/>
  <c r="M371" i="6" s="1"/>
  <c r="N370" i="6"/>
  <c r="F201" i="5" s="1"/>
  <c r="N201" i="5" s="1"/>
  <c r="K369" i="6"/>
  <c r="L369" i="6" s="1"/>
  <c r="M369" i="6" s="1"/>
  <c r="N368" i="6"/>
  <c r="M367" i="6"/>
  <c r="N366" i="6" s="1"/>
  <c r="L367" i="6"/>
  <c r="K367" i="6"/>
  <c r="L363" i="6"/>
  <c r="M363" i="6" s="1"/>
  <c r="N362" i="6" s="1"/>
  <c r="K363" i="6"/>
  <c r="K361" i="6"/>
  <c r="L361" i="6" s="1"/>
  <c r="M361" i="6" s="1"/>
  <c r="N360" i="6" s="1"/>
  <c r="L359" i="6"/>
  <c r="M359" i="6" s="1"/>
  <c r="N358" i="6" s="1"/>
  <c r="K359" i="6"/>
  <c r="L357" i="6"/>
  <c r="M357" i="6" s="1"/>
  <c r="N356" i="6" s="1"/>
  <c r="K357" i="6"/>
  <c r="K355" i="6"/>
  <c r="L355" i="6" s="1"/>
  <c r="M355" i="6" s="1"/>
  <c r="N354" i="6"/>
  <c r="F191" i="4" s="1"/>
  <c r="L353" i="6"/>
  <c r="M353" i="6" s="1"/>
  <c r="N352" i="6" s="1"/>
  <c r="F191" i="5" s="1"/>
  <c r="K191" i="5" s="1"/>
  <c r="K353" i="6"/>
  <c r="K351" i="6"/>
  <c r="L351" i="6" s="1"/>
  <c r="M351" i="6" s="1"/>
  <c r="N350" i="6" s="1"/>
  <c r="F189" i="4" s="1"/>
  <c r="L349" i="6"/>
  <c r="M349" i="6" s="1"/>
  <c r="N348" i="6" s="1"/>
  <c r="K349" i="6"/>
  <c r="L347" i="6"/>
  <c r="M347" i="6" s="1"/>
  <c r="N346" i="6" s="1"/>
  <c r="F188" i="5" s="1"/>
  <c r="K188" i="5" s="1"/>
  <c r="K347" i="6"/>
  <c r="L345" i="6"/>
  <c r="M345" i="6" s="1"/>
  <c r="N344" i="6" s="1"/>
  <c r="K345" i="6"/>
  <c r="K343" i="6"/>
  <c r="L343" i="6" s="1"/>
  <c r="M343" i="6" s="1"/>
  <c r="N342" i="6" s="1"/>
  <c r="F186" i="5" s="1"/>
  <c r="K186" i="5" s="1"/>
  <c r="M341" i="6"/>
  <c r="N340" i="6" s="1"/>
  <c r="L341" i="6"/>
  <c r="K341" i="6"/>
  <c r="K338" i="6"/>
  <c r="L338" i="6" s="1"/>
  <c r="M338" i="6" s="1"/>
  <c r="N337" i="6"/>
  <c r="K335" i="6"/>
  <c r="L335" i="6" s="1"/>
  <c r="M335" i="6" s="1"/>
  <c r="N334" i="6" s="1"/>
  <c r="L333" i="6"/>
  <c r="M333" i="6" s="1"/>
  <c r="N332" i="6" s="1"/>
  <c r="F179" i="4" s="1"/>
  <c r="K333" i="6"/>
  <c r="K330" i="6"/>
  <c r="L330" i="6" s="1"/>
  <c r="M330" i="6" s="1"/>
  <c r="N329" i="6"/>
  <c r="K327" i="6"/>
  <c r="L327" i="6" s="1"/>
  <c r="M327" i="6" s="1"/>
  <c r="N326" i="6" s="1"/>
  <c r="M325" i="6"/>
  <c r="N324" i="6" s="1"/>
  <c r="L325" i="6"/>
  <c r="K325" i="6"/>
  <c r="L321" i="6"/>
  <c r="M321" i="6" s="1"/>
  <c r="N320" i="6" s="1"/>
  <c r="K321" i="6"/>
  <c r="K319" i="6"/>
  <c r="L319" i="6" s="1"/>
  <c r="M319" i="6" s="1"/>
  <c r="N318" i="6" s="1"/>
  <c r="F171" i="5" s="1"/>
  <c r="K171" i="5" s="1"/>
  <c r="L317" i="6"/>
  <c r="M317" i="6" s="1"/>
  <c r="N316" i="6" s="1"/>
  <c r="K317" i="6"/>
  <c r="K315" i="6"/>
  <c r="L315" i="6" s="1"/>
  <c r="M315" i="6" s="1"/>
  <c r="N314" i="6" s="1"/>
  <c r="K313" i="6"/>
  <c r="L313" i="6" s="1"/>
  <c r="M313" i="6" s="1"/>
  <c r="N312" i="6"/>
  <c r="F167" i="4" s="1"/>
  <c r="M311" i="6"/>
  <c r="N310" i="6" s="1"/>
  <c r="F167" i="5" s="1"/>
  <c r="K167" i="5" s="1"/>
  <c r="L311" i="6"/>
  <c r="K311" i="6"/>
  <c r="K309" i="6"/>
  <c r="L309" i="6" s="1"/>
  <c r="M309" i="6" s="1"/>
  <c r="N308" i="6"/>
  <c r="F166" i="5" s="1"/>
  <c r="K166" i="5" s="1"/>
  <c r="L307" i="6"/>
  <c r="M307" i="6" s="1"/>
  <c r="N306" i="6" s="1"/>
  <c r="K307" i="6"/>
  <c r="L304" i="6"/>
  <c r="M304" i="6" s="1"/>
  <c r="K304" i="6"/>
  <c r="K303" i="6"/>
  <c r="L303" i="6" s="1"/>
  <c r="M303" i="6" s="1"/>
  <c r="K300" i="6"/>
  <c r="L300" i="6" s="1"/>
  <c r="M300" i="6" s="1"/>
  <c r="N299" i="6"/>
  <c r="M298" i="6"/>
  <c r="N297" i="6" s="1"/>
  <c r="F160" i="5" s="1"/>
  <c r="K160" i="5" s="1"/>
  <c r="L298" i="6"/>
  <c r="K295" i="6"/>
  <c r="L295" i="6" s="1"/>
  <c r="M295" i="6" s="1"/>
  <c r="N294" i="6"/>
  <c r="K293" i="6"/>
  <c r="L293" i="6" s="1"/>
  <c r="M293" i="6" s="1"/>
  <c r="N292" i="6" s="1"/>
  <c r="L290" i="6"/>
  <c r="M290" i="6" s="1"/>
  <c r="N289" i="6" s="1"/>
  <c r="M288" i="6"/>
  <c r="N287" i="6" s="1"/>
  <c r="L288" i="6"/>
  <c r="K285" i="6"/>
  <c r="L285" i="6" s="1"/>
  <c r="M285" i="6" s="1"/>
  <c r="K284" i="6"/>
  <c r="L284" i="6" s="1"/>
  <c r="M284" i="6" s="1"/>
  <c r="N283" i="6"/>
  <c r="K282" i="6"/>
  <c r="L282" i="6" s="1"/>
  <c r="M282" i="6" s="1"/>
  <c r="N281" i="6" s="1"/>
  <c r="K280" i="6"/>
  <c r="L280" i="6" s="1"/>
  <c r="M280" i="6" s="1"/>
  <c r="N279" i="6"/>
  <c r="F149" i="4" s="1"/>
  <c r="K277" i="6"/>
  <c r="L277" i="6" s="1"/>
  <c r="M277" i="6" s="1"/>
  <c r="N276" i="6"/>
  <c r="K275" i="6"/>
  <c r="L275" i="6" s="1"/>
  <c r="M275" i="6" s="1"/>
  <c r="N274" i="6" s="1"/>
  <c r="K272" i="6"/>
  <c r="L272" i="6" s="1"/>
  <c r="M272" i="6" s="1"/>
  <c r="N271" i="6"/>
  <c r="K270" i="6"/>
  <c r="L270" i="6" s="1"/>
  <c r="M270" i="6" s="1"/>
  <c r="K269" i="6"/>
  <c r="L269" i="6" s="1"/>
  <c r="M269" i="6" s="1"/>
  <c r="K268" i="6"/>
  <c r="L268" i="6" s="1"/>
  <c r="M268" i="6" s="1"/>
  <c r="K267" i="6"/>
  <c r="L267" i="6" s="1"/>
  <c r="M267" i="6" s="1"/>
  <c r="K266" i="6"/>
  <c r="L266" i="6" s="1"/>
  <c r="M266" i="6" s="1"/>
  <c r="M263" i="6"/>
  <c r="L263" i="6"/>
  <c r="K263" i="6"/>
  <c r="K262" i="6"/>
  <c r="L262" i="6" s="1"/>
  <c r="M262" i="6" s="1"/>
  <c r="N261" i="6"/>
  <c r="K260" i="6"/>
  <c r="L260" i="6" s="1"/>
  <c r="M260" i="6" s="1"/>
  <c r="K259" i="6"/>
  <c r="L259" i="6" s="1"/>
  <c r="M259" i="6" s="1"/>
  <c r="M256" i="6"/>
  <c r="N254" i="6" s="1"/>
  <c r="K256" i="6"/>
  <c r="L256" i="6" s="1"/>
  <c r="K255" i="6"/>
  <c r="L255" i="6" s="1"/>
  <c r="M255" i="6" s="1"/>
  <c r="K253" i="6"/>
  <c r="L253" i="6" s="1"/>
  <c r="M253" i="6" s="1"/>
  <c r="L252" i="6"/>
  <c r="M252" i="6" s="1"/>
  <c r="K252" i="6"/>
  <c r="K250" i="6"/>
  <c r="L250" i="6" s="1"/>
  <c r="M250" i="6" s="1"/>
  <c r="M249" i="6"/>
  <c r="N248" i="6" s="1"/>
  <c r="L249" i="6"/>
  <c r="K249" i="6"/>
  <c r="K246" i="6"/>
  <c r="L246" i="6" s="1"/>
  <c r="M246" i="6" s="1"/>
  <c r="K245" i="6"/>
  <c r="L245" i="6" s="1"/>
  <c r="M245" i="6" s="1"/>
  <c r="N244" i="6" s="1"/>
  <c r="K242" i="6"/>
  <c r="L242" i="6" s="1"/>
  <c r="M242" i="6" s="1"/>
  <c r="N241" i="6" s="1"/>
  <c r="K240" i="6"/>
  <c r="L240" i="6" s="1"/>
  <c r="M240" i="6" s="1"/>
  <c r="N239" i="6" s="1"/>
  <c r="K236" i="6"/>
  <c r="L236" i="6" s="1"/>
  <c r="M236" i="6" s="1"/>
  <c r="N235" i="6" s="1"/>
  <c r="F129" i="5" s="1"/>
  <c r="K129" i="5" s="1"/>
  <c r="K234" i="6"/>
  <c r="L234" i="6" s="1"/>
  <c r="M234" i="6" s="1"/>
  <c r="N233" i="6"/>
  <c r="L232" i="6"/>
  <c r="M232" i="6" s="1"/>
  <c r="N231" i="6" s="1"/>
  <c r="K232" i="6"/>
  <c r="K230" i="6"/>
  <c r="L230" i="6" s="1"/>
  <c r="M230" i="6" s="1"/>
  <c r="N229" i="6" s="1"/>
  <c r="F125" i="4" s="1"/>
  <c r="K228" i="6"/>
  <c r="L228" i="6" s="1"/>
  <c r="M228" i="6" s="1"/>
  <c r="N227" i="6"/>
  <c r="F125" i="5" s="1"/>
  <c r="K125" i="5" s="1"/>
  <c r="K226" i="6"/>
  <c r="L226" i="6" s="1"/>
  <c r="M226" i="6" s="1"/>
  <c r="N225" i="6"/>
  <c r="M223" i="6"/>
  <c r="N222" i="6" s="1"/>
  <c r="K223" i="6"/>
  <c r="L223" i="6" s="1"/>
  <c r="L221" i="6"/>
  <c r="M221" i="6" s="1"/>
  <c r="N220" i="6" s="1"/>
  <c r="K221" i="6"/>
  <c r="L219" i="6"/>
  <c r="M219" i="6" s="1"/>
  <c r="K219" i="6"/>
  <c r="N218" i="6"/>
  <c r="F119" i="4" s="1"/>
  <c r="K217" i="6"/>
  <c r="L217" i="6" s="1"/>
  <c r="M217" i="6" s="1"/>
  <c r="N216" i="6" s="1"/>
  <c r="K215" i="6"/>
  <c r="L215" i="6" s="1"/>
  <c r="M215" i="6" s="1"/>
  <c r="N214" i="6"/>
  <c r="L213" i="6"/>
  <c r="M213" i="6" s="1"/>
  <c r="N212" i="6" s="1"/>
  <c r="K213" i="6"/>
  <c r="K211" i="6"/>
  <c r="L211" i="6" s="1"/>
  <c r="M211" i="6" s="1"/>
  <c r="N210" i="6" s="1"/>
  <c r="L209" i="6"/>
  <c r="M209" i="6" s="1"/>
  <c r="N208" i="6" s="1"/>
  <c r="K209" i="6"/>
  <c r="L207" i="6"/>
  <c r="M207" i="6" s="1"/>
  <c r="N206" i="6" s="1"/>
  <c r="L205" i="6"/>
  <c r="M205" i="6" s="1"/>
  <c r="N204" i="6" s="1"/>
  <c r="K205" i="6"/>
  <c r="K203" i="6"/>
  <c r="L203" i="6" s="1"/>
  <c r="M203" i="6" s="1"/>
  <c r="N202" i="6"/>
  <c r="F112" i="5" s="1"/>
  <c r="K112" i="5" s="1"/>
  <c r="M201" i="6"/>
  <c r="N200" i="6" s="1"/>
  <c r="L201" i="6"/>
  <c r="K201" i="6"/>
  <c r="L199" i="6"/>
  <c r="M199" i="6" s="1"/>
  <c r="N198" i="6" s="1"/>
  <c r="K199" i="6"/>
  <c r="L197" i="6"/>
  <c r="M197" i="6" s="1"/>
  <c r="N196" i="6" s="1"/>
  <c r="K197" i="6"/>
  <c r="K195" i="6"/>
  <c r="L195" i="6" s="1"/>
  <c r="M195" i="6" s="1"/>
  <c r="N194" i="6" s="1"/>
  <c r="F107" i="4" s="1"/>
  <c r="L193" i="6"/>
  <c r="M193" i="6" s="1"/>
  <c r="N192" i="6" s="1"/>
  <c r="K193" i="6"/>
  <c r="K191" i="6"/>
  <c r="L191" i="6" s="1"/>
  <c r="M191" i="6" s="1"/>
  <c r="N190" i="6" s="1"/>
  <c r="L187" i="6"/>
  <c r="M187" i="6" s="1"/>
  <c r="N186" i="6" s="1"/>
  <c r="K187" i="6"/>
  <c r="M185" i="6"/>
  <c r="N184" i="6" s="1"/>
  <c r="F101" i="4" s="1"/>
  <c r="L185" i="6"/>
  <c r="K185" i="6"/>
  <c r="K183" i="6"/>
  <c r="L183" i="6" s="1"/>
  <c r="M183" i="6" s="1"/>
  <c r="N182" i="6" s="1"/>
  <c r="L181" i="6"/>
  <c r="M181" i="6" s="1"/>
  <c r="N180" i="6" s="1"/>
  <c r="K181" i="6"/>
  <c r="L179" i="6"/>
  <c r="M179" i="6" s="1"/>
  <c r="N178" i="6" s="1"/>
  <c r="K179" i="6"/>
  <c r="L177" i="6"/>
  <c r="M177" i="6" s="1"/>
  <c r="K177" i="6"/>
  <c r="N176" i="6"/>
  <c r="K175" i="6"/>
  <c r="L175" i="6" s="1"/>
  <c r="M175" i="6" s="1"/>
  <c r="N174" i="6" s="1"/>
  <c r="M173" i="6"/>
  <c r="N172" i="6" s="1"/>
  <c r="F95" i="4" s="1"/>
  <c r="L173" i="6"/>
  <c r="K173" i="6"/>
  <c r="K171" i="6"/>
  <c r="L171" i="6" s="1"/>
  <c r="M171" i="6" s="1"/>
  <c r="N170" i="6" s="1"/>
  <c r="K169" i="6"/>
  <c r="L169" i="6" s="1"/>
  <c r="M169" i="6" s="1"/>
  <c r="N168" i="6"/>
  <c r="L167" i="6"/>
  <c r="M167" i="6" s="1"/>
  <c r="N166" i="6" s="1"/>
  <c r="K167" i="6"/>
  <c r="L165" i="6"/>
  <c r="M165" i="6" s="1"/>
  <c r="N164" i="6" s="1"/>
  <c r="K165" i="6"/>
  <c r="M162" i="6"/>
  <c r="L162" i="6"/>
  <c r="K162" i="6"/>
  <c r="N161" i="6"/>
  <c r="F89" i="4" s="1"/>
  <c r="L159" i="6"/>
  <c r="M159" i="6" s="1"/>
  <c r="N158" i="6" s="1"/>
  <c r="K159" i="6"/>
  <c r="L157" i="6"/>
  <c r="M157" i="6" s="1"/>
  <c r="K157" i="6"/>
  <c r="N156" i="6"/>
  <c r="L154" i="6"/>
  <c r="M154" i="6" s="1"/>
  <c r="N153" i="6" s="1"/>
  <c r="K154" i="6"/>
  <c r="L151" i="6"/>
  <c r="M151" i="6" s="1"/>
  <c r="N150" i="6" s="1"/>
  <c r="F83" i="5" s="1"/>
  <c r="K83" i="5" s="1"/>
  <c r="K151" i="6"/>
  <c r="K149" i="6"/>
  <c r="L149" i="6" s="1"/>
  <c r="M149" i="6" s="1"/>
  <c r="N148" i="6"/>
  <c r="L145" i="6"/>
  <c r="M145" i="6" s="1"/>
  <c r="N144" i="6" s="1"/>
  <c r="K145" i="6"/>
  <c r="M143" i="6"/>
  <c r="N142" i="6" s="1"/>
  <c r="L143" i="6"/>
  <c r="K143" i="6"/>
  <c r="K141" i="6"/>
  <c r="L141" i="6" s="1"/>
  <c r="M141" i="6" s="1"/>
  <c r="N140" i="6"/>
  <c r="K139" i="6"/>
  <c r="L139" i="6" s="1"/>
  <c r="M139" i="6" s="1"/>
  <c r="N138" i="6"/>
  <c r="F76" i="5" s="1"/>
  <c r="K76" i="5" s="1"/>
  <c r="L137" i="6"/>
  <c r="M137" i="6" s="1"/>
  <c r="N136" i="6" s="1"/>
  <c r="K137" i="6"/>
  <c r="L135" i="6"/>
  <c r="M135" i="6" s="1"/>
  <c r="K135" i="6"/>
  <c r="N134" i="6"/>
  <c r="K133" i="6"/>
  <c r="L133" i="6" s="1"/>
  <c r="M133" i="6" s="1"/>
  <c r="N132" i="6" s="1"/>
  <c r="L131" i="6"/>
  <c r="M131" i="6" s="1"/>
  <c r="N130" i="6" s="1"/>
  <c r="F71" i="4" s="1"/>
  <c r="K131" i="6"/>
  <c r="K128" i="6"/>
  <c r="L128" i="6" s="1"/>
  <c r="M128" i="6" s="1"/>
  <c r="K127" i="6"/>
  <c r="L127" i="6" s="1"/>
  <c r="M127" i="6" s="1"/>
  <c r="K124" i="6"/>
  <c r="L124" i="6" s="1"/>
  <c r="M124" i="6" s="1"/>
  <c r="N123" i="6" s="1"/>
  <c r="L122" i="6"/>
  <c r="M122" i="6" s="1"/>
  <c r="N121" i="6" s="1"/>
  <c r="K119" i="6"/>
  <c r="L119" i="6" s="1"/>
  <c r="M119" i="6" s="1"/>
  <c r="N118" i="6" s="1"/>
  <c r="K117" i="6"/>
  <c r="L117" i="6" s="1"/>
  <c r="M117" i="6" s="1"/>
  <c r="N116" i="6"/>
  <c r="L114" i="6"/>
  <c r="M114" i="6" s="1"/>
  <c r="N113" i="6" s="1"/>
  <c r="L112" i="6"/>
  <c r="M112" i="6" s="1"/>
  <c r="N111" i="6"/>
  <c r="F61" i="5" s="1"/>
  <c r="K61" i="5" s="1"/>
  <c r="L109" i="6"/>
  <c r="M109" i="6" s="1"/>
  <c r="K109" i="6"/>
  <c r="K108" i="6"/>
  <c r="L108" i="6" s="1"/>
  <c r="M108" i="6" s="1"/>
  <c r="K106" i="6"/>
  <c r="L106" i="6" s="1"/>
  <c r="M106" i="6" s="1"/>
  <c r="N105" i="6"/>
  <c r="L104" i="6"/>
  <c r="M104" i="6" s="1"/>
  <c r="N103" i="6" s="1"/>
  <c r="F56" i="4" s="1"/>
  <c r="K104" i="6"/>
  <c r="K101" i="6"/>
  <c r="L101" i="6" s="1"/>
  <c r="M101" i="6" s="1"/>
  <c r="N100" i="6" s="1"/>
  <c r="K99" i="6"/>
  <c r="L99" i="6" s="1"/>
  <c r="M99" i="6" s="1"/>
  <c r="N98" i="6" s="1"/>
  <c r="L96" i="6"/>
  <c r="M96" i="6" s="1"/>
  <c r="N95" i="6" s="1"/>
  <c r="K96" i="6"/>
  <c r="L94" i="6"/>
  <c r="M94" i="6" s="1"/>
  <c r="K94" i="6"/>
  <c r="K93" i="6"/>
  <c r="L93" i="6" s="1"/>
  <c r="M93" i="6" s="1"/>
  <c r="L92" i="6"/>
  <c r="M92" i="6" s="1"/>
  <c r="K92" i="6"/>
  <c r="K91" i="6"/>
  <c r="L91" i="6" s="1"/>
  <c r="M91" i="6" s="1"/>
  <c r="L90" i="6"/>
  <c r="M90" i="6" s="1"/>
  <c r="K90" i="6"/>
  <c r="K87" i="6"/>
  <c r="L87" i="6" s="1"/>
  <c r="M87" i="6" s="1"/>
  <c r="K86" i="6"/>
  <c r="L86" i="6" s="1"/>
  <c r="M86" i="6" s="1"/>
  <c r="N85" i="6" s="1"/>
  <c r="K84" i="6"/>
  <c r="L84" i="6" s="1"/>
  <c r="M84" i="6" s="1"/>
  <c r="K83" i="6"/>
  <c r="L83" i="6" s="1"/>
  <c r="M83" i="6" s="1"/>
  <c r="N82" i="6" s="1"/>
  <c r="F47" i="4" s="1"/>
  <c r="K80" i="6"/>
  <c r="L80" i="6" s="1"/>
  <c r="M80" i="6" s="1"/>
  <c r="L79" i="6"/>
  <c r="M79" i="6" s="1"/>
  <c r="K79" i="6"/>
  <c r="M77" i="6"/>
  <c r="L77" i="6"/>
  <c r="K77" i="6"/>
  <c r="K76" i="6"/>
  <c r="L76" i="6" s="1"/>
  <c r="M76" i="6" s="1"/>
  <c r="N75" i="6"/>
  <c r="K74" i="6"/>
  <c r="L74" i="6" s="1"/>
  <c r="M74" i="6" s="1"/>
  <c r="K73" i="6"/>
  <c r="L73" i="6" s="1"/>
  <c r="M73" i="6" s="1"/>
  <c r="N72" i="6" s="1"/>
  <c r="K70" i="6"/>
  <c r="L70" i="6" s="1"/>
  <c r="M70" i="6" s="1"/>
  <c r="K69" i="6"/>
  <c r="L69" i="6" s="1"/>
  <c r="M69" i="6" s="1"/>
  <c r="N68" i="6"/>
  <c r="F42" i="5" s="1"/>
  <c r="K42" i="5" s="1"/>
  <c r="K66" i="6"/>
  <c r="L66" i="6" s="1"/>
  <c r="M66" i="6" s="1"/>
  <c r="N65" i="6" s="1"/>
  <c r="K64" i="6"/>
  <c r="L64" i="6" s="1"/>
  <c r="M64" i="6" s="1"/>
  <c r="N63" i="6" s="1"/>
  <c r="M60" i="6"/>
  <c r="N59" i="6" s="1"/>
  <c r="L60" i="6"/>
  <c r="K60" i="6"/>
  <c r="K58" i="6"/>
  <c r="L58" i="6" s="1"/>
  <c r="M58" i="6" s="1"/>
  <c r="N57" i="6" s="1"/>
  <c r="F34" i="4" s="1"/>
  <c r="K56" i="6"/>
  <c r="L56" i="6" s="1"/>
  <c r="M56" i="6" s="1"/>
  <c r="N55" i="6" s="1"/>
  <c r="L54" i="6"/>
  <c r="M54" i="6" s="1"/>
  <c r="N53" i="6" s="1"/>
  <c r="K54" i="6"/>
  <c r="K52" i="6"/>
  <c r="L52" i="6" s="1"/>
  <c r="M52" i="6" s="1"/>
  <c r="N51" i="6" s="1"/>
  <c r="K50" i="6"/>
  <c r="L50" i="6" s="1"/>
  <c r="M50" i="6" s="1"/>
  <c r="N49" i="6" s="1"/>
  <c r="F30" i="4" s="1"/>
  <c r="K47" i="6"/>
  <c r="L47" i="6" s="1"/>
  <c r="M47" i="6" s="1"/>
  <c r="N46" i="6" s="1"/>
  <c r="M45" i="6"/>
  <c r="N44" i="6" s="1"/>
  <c r="L45" i="6"/>
  <c r="K45" i="6"/>
  <c r="K43" i="6"/>
  <c r="L43" i="6" s="1"/>
  <c r="M43" i="6" s="1"/>
  <c r="N42" i="6" s="1"/>
  <c r="L41" i="6"/>
  <c r="M41" i="6" s="1"/>
  <c r="N40" i="6" s="1"/>
  <c r="K41" i="6"/>
  <c r="K39" i="6"/>
  <c r="L39" i="6" s="1"/>
  <c r="M39" i="6" s="1"/>
  <c r="N38" i="6" s="1"/>
  <c r="K37" i="6"/>
  <c r="L37" i="6" s="1"/>
  <c r="M37" i="6" s="1"/>
  <c r="N36" i="6" s="1"/>
  <c r="F23" i="4" s="1"/>
  <c r="K35" i="6"/>
  <c r="L35" i="6" s="1"/>
  <c r="M35" i="6" s="1"/>
  <c r="N34" i="6" s="1"/>
  <c r="F22" i="4" s="1"/>
  <c r="K33" i="6"/>
  <c r="L33" i="6" s="1"/>
  <c r="M33" i="6" s="1"/>
  <c r="N32" i="6" s="1"/>
  <c r="M31" i="6"/>
  <c r="N30" i="6" s="1"/>
  <c r="L31" i="6"/>
  <c r="K29" i="6"/>
  <c r="L29" i="6" s="1"/>
  <c r="M29" i="6" s="1"/>
  <c r="N28" i="6"/>
  <c r="F19" i="4" s="1"/>
  <c r="K27" i="6"/>
  <c r="L27" i="6" s="1"/>
  <c r="M27" i="6" s="1"/>
  <c r="N26" i="6" s="1"/>
  <c r="L25" i="6"/>
  <c r="M25" i="6" s="1"/>
  <c r="N24" i="6" s="1"/>
  <c r="F17" i="4" s="1"/>
  <c r="K25" i="6"/>
  <c r="L23" i="6"/>
  <c r="M23" i="6" s="1"/>
  <c r="N22" i="6" s="1"/>
  <c r="K23" i="6"/>
  <c r="K21" i="6"/>
  <c r="L21" i="6" s="1"/>
  <c r="M21" i="6" s="1"/>
  <c r="N20" i="6" s="1"/>
  <c r="L19" i="6"/>
  <c r="M19" i="6" s="1"/>
  <c r="N18" i="6" s="1"/>
  <c r="K19" i="6"/>
  <c r="K17" i="6"/>
  <c r="L17" i="6" s="1"/>
  <c r="M17" i="6" s="1"/>
  <c r="N16" i="6"/>
  <c r="F13" i="4" s="1"/>
  <c r="K15" i="6"/>
  <c r="L15" i="6" s="1"/>
  <c r="M15" i="6" s="1"/>
  <c r="N14" i="6"/>
  <c r="M11" i="6"/>
  <c r="N10" i="6" s="1"/>
  <c r="F10" i="5" s="1"/>
  <c r="K10" i="5" s="1"/>
  <c r="L11" i="6"/>
  <c r="K11" i="6"/>
  <c r="L9" i="6"/>
  <c r="M9" i="6" s="1"/>
  <c r="N8" i="6" s="1"/>
  <c r="F9" i="5" s="1"/>
  <c r="K9" i="6"/>
  <c r="G469" i="9" l="1"/>
  <c r="I469" i="9" s="1"/>
  <c r="D30" i="6"/>
  <c r="K69" i="8"/>
  <c r="G28" i="9"/>
  <c r="I28" i="9" s="1"/>
  <c r="I29" i="9" s="1"/>
  <c r="G27" i="9" s="1"/>
  <c r="K382" i="9"/>
  <c r="G20" i="16"/>
  <c r="E394" i="6"/>
  <c r="G271" i="7"/>
  <c r="I271" i="7" s="1"/>
  <c r="G413" i="7"/>
  <c r="I413" i="7" s="1"/>
  <c r="G216" i="8"/>
  <c r="I216" i="8" s="1"/>
  <c r="G425" i="9"/>
  <c r="I425" i="9" s="1"/>
  <c r="C405" i="6"/>
  <c r="C218" i="4" s="1"/>
  <c r="G203" i="7"/>
  <c r="I203" i="7" s="1"/>
  <c r="G311" i="8"/>
  <c r="I311" i="8" s="1"/>
  <c r="C566" i="6"/>
  <c r="C303" i="4" s="1"/>
  <c r="G223" i="7"/>
  <c r="I223" i="7" s="1"/>
  <c r="G620" i="7"/>
  <c r="I620" i="7" s="1"/>
  <c r="G141" i="8"/>
  <c r="I141" i="8" s="1"/>
  <c r="G521" i="8"/>
  <c r="I521" i="8" s="1"/>
  <c r="G372" i="10"/>
  <c r="I372" i="10" s="1"/>
  <c r="G132" i="16"/>
  <c r="G611" i="7"/>
  <c r="I611" i="7" s="1"/>
  <c r="C750" i="6"/>
  <c r="C401" i="5" s="1"/>
  <c r="G505" i="8"/>
  <c r="I505" i="8" s="1"/>
  <c r="G701" i="8"/>
  <c r="I701" i="8" s="1"/>
  <c r="C753" i="6"/>
  <c r="C402" i="4" s="1"/>
  <c r="G584" i="7"/>
  <c r="I584" i="7" s="1"/>
  <c r="G132" i="8"/>
  <c r="I132" i="8" s="1"/>
  <c r="G267" i="8"/>
  <c r="I267" i="8" s="1"/>
  <c r="G483" i="8"/>
  <c r="I483" i="8" s="1"/>
  <c r="G271" i="9"/>
  <c r="I271" i="9" s="1"/>
  <c r="D10" i="6"/>
  <c r="D10" i="5" s="1"/>
  <c r="C176" i="6"/>
  <c r="G593" i="8"/>
  <c r="I593" i="8" s="1"/>
  <c r="G384" i="9"/>
  <c r="I384" i="9" s="1"/>
  <c r="G173" i="7"/>
  <c r="I173" i="7" s="1"/>
  <c r="G227" i="7"/>
  <c r="I227" i="7" s="1"/>
  <c r="D72" i="6"/>
  <c r="D43" i="4" s="1"/>
  <c r="E98" i="6"/>
  <c r="E53" i="4" s="1"/>
  <c r="G55" i="8"/>
  <c r="I55" i="8" s="1"/>
  <c r="G490" i="8"/>
  <c r="I490" i="8" s="1"/>
  <c r="G696" i="8"/>
  <c r="I696" i="8" s="1"/>
  <c r="G734" i="8"/>
  <c r="I734" i="8" s="1"/>
  <c r="G454" i="9"/>
  <c r="I454" i="9" s="1"/>
  <c r="G540" i="9"/>
  <c r="I540" i="9" s="1"/>
  <c r="K82" i="10"/>
  <c r="K228" i="8"/>
  <c r="G506" i="8"/>
  <c r="I506" i="8" s="1"/>
  <c r="G30" i="16"/>
  <c r="G231" i="7"/>
  <c r="I231" i="7" s="1"/>
  <c r="G23" i="8"/>
  <c r="I23" i="8" s="1"/>
  <c r="G274" i="8"/>
  <c r="I274" i="8" s="1"/>
  <c r="K154" i="9"/>
  <c r="G242" i="7"/>
  <c r="I242" i="7" s="1"/>
  <c r="G185" i="16"/>
  <c r="G610" i="7"/>
  <c r="I610" i="7" s="1"/>
  <c r="G166" i="16"/>
  <c r="G497" i="7"/>
  <c r="I497" i="7" s="1"/>
  <c r="G215" i="16"/>
  <c r="G357" i="7"/>
  <c r="I357" i="7" s="1"/>
  <c r="G52" i="16"/>
  <c r="G285" i="9"/>
  <c r="I285" i="9" s="1"/>
  <c r="G157" i="16"/>
  <c r="G84" i="16"/>
  <c r="G232" i="7"/>
  <c r="I232" i="7" s="1"/>
  <c r="G74" i="16"/>
  <c r="G367" i="7"/>
  <c r="I367" i="7" s="1"/>
  <c r="G403" i="9"/>
  <c r="I403" i="9" s="1"/>
  <c r="G98" i="16"/>
  <c r="G167" i="8"/>
  <c r="I167" i="8" s="1"/>
  <c r="G179" i="8"/>
  <c r="I179" i="8" s="1"/>
  <c r="G7" i="16"/>
  <c r="G79" i="7"/>
  <c r="I79" i="7" s="1"/>
  <c r="G168" i="8"/>
  <c r="I168" i="8" s="1"/>
  <c r="G180" i="8"/>
  <c r="I180" i="8" s="1"/>
  <c r="G152" i="16"/>
  <c r="G392" i="9"/>
  <c r="I392" i="9" s="1"/>
  <c r="G404" i="9"/>
  <c r="I404" i="9" s="1"/>
  <c r="G678" i="7"/>
  <c r="I678" i="7" s="1"/>
  <c r="G238" i="16"/>
  <c r="G658" i="7"/>
  <c r="I658" i="7" s="1"/>
  <c r="G183" i="16"/>
  <c r="G416" i="9"/>
  <c r="I416" i="9" s="1"/>
  <c r="G272" i="16"/>
  <c r="G344" i="10"/>
  <c r="I344" i="10" s="1"/>
  <c r="G131" i="8"/>
  <c r="I131" i="8" s="1"/>
  <c r="G266" i="8"/>
  <c r="I266" i="8" s="1"/>
  <c r="G514" i="9"/>
  <c r="I514" i="9" s="1"/>
  <c r="G520" i="8"/>
  <c r="I520" i="8" s="1"/>
  <c r="G310" i="8"/>
  <c r="I310" i="8" s="1"/>
  <c r="G215" i="8"/>
  <c r="I215" i="8" s="1"/>
  <c r="G42" i="16"/>
  <c r="G444" i="7"/>
  <c r="I444" i="7" s="1"/>
  <c r="G43" i="16"/>
  <c r="G278" i="16"/>
  <c r="G338" i="10"/>
  <c r="I338" i="10" s="1"/>
  <c r="G25" i="11"/>
  <c r="I25" i="11" s="1"/>
  <c r="G216" i="10"/>
  <c r="I216" i="10" s="1"/>
  <c r="G253" i="8"/>
  <c r="I253" i="8" s="1"/>
  <c r="G205" i="8"/>
  <c r="I205" i="8" s="1"/>
  <c r="G109" i="8"/>
  <c r="I109" i="8" s="1"/>
  <c r="G63" i="8"/>
  <c r="I63" i="8" s="1"/>
  <c r="G393" i="9"/>
  <c r="I393" i="9" s="1"/>
  <c r="G152" i="8"/>
  <c r="I152" i="8" s="1"/>
  <c r="G41" i="8"/>
  <c r="I41" i="8" s="1"/>
  <c r="G182" i="10"/>
  <c r="I182" i="10" s="1"/>
  <c r="G76" i="9"/>
  <c r="I76" i="9" s="1"/>
  <c r="G181" i="8"/>
  <c r="I181" i="8" s="1"/>
  <c r="G194" i="10"/>
  <c r="I194" i="10" s="1"/>
  <c r="G220" i="9"/>
  <c r="I220" i="9" s="1"/>
  <c r="G715" i="8"/>
  <c r="I715" i="8" s="1"/>
  <c r="G73" i="8"/>
  <c r="I73" i="8" s="1"/>
  <c r="G158" i="9"/>
  <c r="I158" i="9" s="1"/>
  <c r="G471" i="8"/>
  <c r="I471" i="8" s="1"/>
  <c r="G87" i="9"/>
  <c r="I87" i="9" s="1"/>
  <c r="G362" i="9"/>
  <c r="I362" i="9" s="1"/>
  <c r="G99" i="9"/>
  <c r="I99" i="9" s="1"/>
  <c r="G85" i="8"/>
  <c r="I85" i="8" s="1"/>
  <c r="G53" i="8"/>
  <c r="I53" i="8" s="1"/>
  <c r="G158" i="10"/>
  <c r="I158" i="10" s="1"/>
  <c r="G85" i="10"/>
  <c r="I85" i="10" s="1"/>
  <c r="G405" i="9"/>
  <c r="I405" i="9" s="1"/>
  <c r="G374" i="9"/>
  <c r="I374" i="9" s="1"/>
  <c r="G232" i="9"/>
  <c r="I232" i="9" s="1"/>
  <c r="G111" i="9"/>
  <c r="I111" i="9" s="1"/>
  <c r="G170" i="10"/>
  <c r="I170" i="10" s="1"/>
  <c r="G31" i="8"/>
  <c r="I31" i="8" s="1"/>
  <c r="G277" i="10"/>
  <c r="I277" i="10" s="1"/>
  <c r="G456" i="9"/>
  <c r="I456" i="9" s="1"/>
  <c r="G97" i="8"/>
  <c r="I97" i="8" s="1"/>
  <c r="G258" i="9"/>
  <c r="I258" i="9" s="1"/>
  <c r="G507" i="8"/>
  <c r="I507" i="8" s="1"/>
  <c r="G169" i="8"/>
  <c r="I169" i="8" s="1"/>
  <c r="G21" i="8"/>
  <c r="I21" i="8" s="1"/>
  <c r="G90" i="16"/>
  <c r="G238" i="10"/>
  <c r="I238" i="10" s="1"/>
  <c r="G241" i="8"/>
  <c r="I241" i="8" s="1"/>
  <c r="G67" i="16"/>
  <c r="G269" i="7"/>
  <c r="I269" i="7" s="1"/>
  <c r="G68" i="16"/>
  <c r="G374" i="7"/>
  <c r="I374" i="7" s="1"/>
  <c r="G39" i="7"/>
  <c r="I39" i="7" s="1"/>
  <c r="I40" i="7" s="1"/>
  <c r="G38" i="7" s="1"/>
  <c r="G59" i="16"/>
  <c r="G265" i="16"/>
  <c r="G120" i="10"/>
  <c r="I120" i="10" s="1"/>
  <c r="I121" i="10" s="1"/>
  <c r="G119" i="10" s="1"/>
  <c r="G130" i="10"/>
  <c r="I130" i="10" s="1"/>
  <c r="I131" i="10" s="1"/>
  <c r="G129" i="10" s="1"/>
  <c r="G115" i="10"/>
  <c r="I115" i="10" s="1"/>
  <c r="I116" i="10" s="1"/>
  <c r="G114" i="10" s="1"/>
  <c r="G540" i="7"/>
  <c r="I540" i="7" s="1"/>
  <c r="G522" i="9"/>
  <c r="I522" i="9" s="1"/>
  <c r="G308" i="10"/>
  <c r="I308" i="10" s="1"/>
  <c r="G331" i="10"/>
  <c r="I331" i="10" s="1"/>
  <c r="G39" i="16"/>
  <c r="G273" i="16"/>
  <c r="E148" i="6"/>
  <c r="E82" i="5" s="1"/>
  <c r="C759" i="6"/>
  <c r="C405" i="4" s="1"/>
  <c r="G129" i="7"/>
  <c r="I129" i="7" s="1"/>
  <c r="G246" i="7"/>
  <c r="I246" i="7" s="1"/>
  <c r="G473" i="7"/>
  <c r="I473" i="7" s="1"/>
  <c r="D518" i="6"/>
  <c r="D279" i="5" s="1"/>
  <c r="C344" i="6"/>
  <c r="C186" i="4" s="1"/>
  <c r="E702" i="6"/>
  <c r="E376" i="5" s="1"/>
  <c r="E880" i="6"/>
  <c r="G52" i="8"/>
  <c r="I52" i="8" s="1"/>
  <c r="G172" i="8"/>
  <c r="I172" i="8" s="1"/>
  <c r="G602" i="8"/>
  <c r="I602" i="8" s="1"/>
  <c r="G735" i="8"/>
  <c r="I735" i="8" s="1"/>
  <c r="G744" i="8"/>
  <c r="I744" i="8" s="1"/>
  <c r="K107" i="9"/>
  <c r="G274" i="9"/>
  <c r="I274" i="9" s="1"/>
  <c r="G297" i="9"/>
  <c r="I297" i="9" s="1"/>
  <c r="G491" i="9"/>
  <c r="I491" i="9" s="1"/>
  <c r="G504" i="9"/>
  <c r="I504" i="9" s="1"/>
  <c r="G534" i="9"/>
  <c r="I534" i="9" s="1"/>
  <c r="G537" i="9"/>
  <c r="I537" i="9" s="1"/>
  <c r="K109" i="10"/>
  <c r="G357" i="10"/>
  <c r="I357" i="10" s="1"/>
  <c r="G370" i="10"/>
  <c r="I370" i="10" s="1"/>
  <c r="G390" i="10"/>
  <c r="I390" i="10" s="1"/>
  <c r="G15" i="16"/>
  <c r="G69" i="16"/>
  <c r="G131" i="16"/>
  <c r="G235" i="16"/>
  <c r="G259" i="16"/>
  <c r="C459" i="6"/>
  <c r="G9" i="8"/>
  <c r="I9" i="8" s="1"/>
  <c r="G100" i="8"/>
  <c r="I100" i="8" s="1"/>
  <c r="G197" i="8"/>
  <c r="I197" i="8" s="1"/>
  <c r="G624" i="8"/>
  <c r="I624" i="8" s="1"/>
  <c r="G692" i="8"/>
  <c r="I692" i="8" s="1"/>
  <c r="K129" i="9"/>
  <c r="G135" i="9"/>
  <c r="I135" i="9" s="1"/>
  <c r="I136" i="9" s="1"/>
  <c r="G134" i="9" s="1"/>
  <c r="G150" i="9"/>
  <c r="I150" i="9" s="1"/>
  <c r="I151" i="9" s="1"/>
  <c r="G149" i="9" s="1"/>
  <c r="L149" i="9" s="1"/>
  <c r="G284" i="9"/>
  <c r="I284" i="9" s="1"/>
  <c r="G459" i="9"/>
  <c r="I459" i="9" s="1"/>
  <c r="G478" i="9"/>
  <c r="I478" i="9" s="1"/>
  <c r="G501" i="9"/>
  <c r="I501" i="9" s="1"/>
  <c r="G78" i="10"/>
  <c r="I78" i="10" s="1"/>
  <c r="I79" i="10" s="1"/>
  <c r="G77" i="10" s="1"/>
  <c r="G100" i="10"/>
  <c r="I100" i="10" s="1"/>
  <c r="I101" i="10" s="1"/>
  <c r="G99" i="10" s="1"/>
  <c r="L264" i="10"/>
  <c r="G325" i="10"/>
  <c r="I325" i="10" s="1"/>
  <c r="G367" i="10"/>
  <c r="I367" i="10" s="1"/>
  <c r="K7" i="11"/>
  <c r="L64" i="11"/>
  <c r="G70" i="11"/>
  <c r="I70" i="11" s="1"/>
  <c r="I71" i="11" s="1"/>
  <c r="G69" i="11" s="1"/>
  <c r="G8" i="12"/>
  <c r="I8" i="12" s="1"/>
  <c r="I9" i="12" s="1"/>
  <c r="G7" i="12" s="1"/>
  <c r="G49" i="16"/>
  <c r="G125" i="16"/>
  <c r="G200" i="16"/>
  <c r="G207" i="16"/>
  <c r="D566" i="6"/>
  <c r="D303" i="4" s="1"/>
  <c r="G496" i="7"/>
  <c r="I496" i="7" s="1"/>
  <c r="G499" i="7"/>
  <c r="I499" i="7" s="1"/>
  <c r="G648" i="7"/>
  <c r="I648" i="7" s="1"/>
  <c r="G62" i="8"/>
  <c r="I62" i="8" s="1"/>
  <c r="G65" i="8"/>
  <c r="I65" i="8" s="1"/>
  <c r="G185" i="8"/>
  <c r="I185" i="8" s="1"/>
  <c r="G245" i="8"/>
  <c r="I245" i="8" s="1"/>
  <c r="G330" i="8"/>
  <c r="I330" i="8" s="1"/>
  <c r="K166" i="9"/>
  <c r="G172" i="9"/>
  <c r="I172" i="9" s="1"/>
  <c r="I173" i="9" s="1"/>
  <c r="G171" i="9" s="1"/>
  <c r="K181" i="9"/>
  <c r="G349" i="9"/>
  <c r="I349" i="9" s="1"/>
  <c r="I350" i="9" s="1"/>
  <c r="G348" i="9" s="1"/>
  <c r="G48" i="10"/>
  <c r="I48" i="10" s="1"/>
  <c r="I49" i="10" s="1"/>
  <c r="G47" i="10" s="1"/>
  <c r="K94" i="10"/>
  <c r="G173" i="10"/>
  <c r="I173" i="10" s="1"/>
  <c r="G242" i="10"/>
  <c r="I242" i="10" s="1"/>
  <c r="G101" i="16"/>
  <c r="G108" i="16"/>
  <c r="G155" i="16"/>
  <c r="G158" i="16"/>
  <c r="G197" i="16"/>
  <c r="G576" i="7"/>
  <c r="I576" i="7" s="1"/>
  <c r="G133" i="8"/>
  <c r="I133" i="8" s="1"/>
  <c r="G142" i="8"/>
  <c r="I142" i="8" s="1"/>
  <c r="G551" i="8"/>
  <c r="I551" i="8" s="1"/>
  <c r="G606" i="8"/>
  <c r="I606" i="8" s="1"/>
  <c r="G612" i="8"/>
  <c r="I612" i="8" s="1"/>
  <c r="G615" i="8"/>
  <c r="I615" i="8" s="1"/>
  <c r="G714" i="8"/>
  <c r="I714" i="8" s="1"/>
  <c r="K37" i="9"/>
  <c r="G114" i="9"/>
  <c r="I114" i="9" s="1"/>
  <c r="G235" i="9"/>
  <c r="I235" i="9" s="1"/>
  <c r="G408" i="9"/>
  <c r="I408" i="9" s="1"/>
  <c r="K42" i="10"/>
  <c r="G88" i="10"/>
  <c r="I88" i="10" s="1"/>
  <c r="G161" i="10"/>
  <c r="I161" i="10" s="1"/>
  <c r="G40" i="16"/>
  <c r="D274" i="6"/>
  <c r="D147" i="5" s="1"/>
  <c r="G201" i="7"/>
  <c r="I201" i="7" s="1"/>
  <c r="G212" i="7"/>
  <c r="I212" i="7" s="1"/>
  <c r="G88" i="8"/>
  <c r="I88" i="8" s="1"/>
  <c r="G343" i="8"/>
  <c r="I343" i="8" s="1"/>
  <c r="G603" i="8"/>
  <c r="I603" i="8" s="1"/>
  <c r="G637" i="8"/>
  <c r="I637" i="8" s="1"/>
  <c r="G748" i="8"/>
  <c r="I748" i="8" s="1"/>
  <c r="G102" i="9"/>
  <c r="I102" i="9" s="1"/>
  <c r="G272" i="9"/>
  <c r="I272" i="9" s="1"/>
  <c r="G365" i="9"/>
  <c r="I365" i="9" s="1"/>
  <c r="G466" i="9"/>
  <c r="I466" i="9" s="1"/>
  <c r="G535" i="9"/>
  <c r="I535" i="9" s="1"/>
  <c r="G281" i="10"/>
  <c r="I281" i="10" s="1"/>
  <c r="G40" i="11"/>
  <c r="I40" i="11" s="1"/>
  <c r="I41" i="11" s="1"/>
  <c r="G39" i="11" s="1"/>
  <c r="G13" i="16"/>
  <c r="G23" i="16"/>
  <c r="K124" i="9"/>
  <c r="G92" i="16"/>
  <c r="G180" i="16"/>
  <c r="G240" i="16"/>
  <c r="C407" i="6"/>
  <c r="G221" i="7"/>
  <c r="I221" i="7" s="1"/>
  <c r="G76" i="8"/>
  <c r="I76" i="8" s="1"/>
  <c r="G140" i="8"/>
  <c r="I140" i="8" s="1"/>
  <c r="G143" i="8"/>
  <c r="I143" i="8" s="1"/>
  <c r="G484" i="8"/>
  <c r="I484" i="8" s="1"/>
  <c r="G681" i="8"/>
  <c r="I681" i="8" s="1"/>
  <c r="G718" i="8"/>
  <c r="I718" i="8" s="1"/>
  <c r="G162" i="10"/>
  <c r="I162" i="10" s="1"/>
  <c r="G378" i="10"/>
  <c r="I378" i="10" s="1"/>
  <c r="G18" i="11"/>
  <c r="I18" i="11" s="1"/>
  <c r="I19" i="11" s="1"/>
  <c r="G17" i="11" s="1"/>
  <c r="G17" i="16"/>
  <c r="G170" i="16"/>
  <c r="G384" i="7"/>
  <c r="I384" i="7" s="1"/>
  <c r="G161" i="8"/>
  <c r="I161" i="8" s="1"/>
  <c r="I162" i="8" s="1"/>
  <c r="G160" i="8" s="1"/>
  <c r="L160" i="8" s="1"/>
  <c r="L129" i="9"/>
  <c r="K216" i="9"/>
  <c r="G344" i="9"/>
  <c r="I344" i="9" s="1"/>
  <c r="E536" i="6"/>
  <c r="E287" i="4" s="1"/>
  <c r="G128" i="7"/>
  <c r="I128" i="7" s="1"/>
  <c r="G202" i="7"/>
  <c r="I202" i="7" s="1"/>
  <c r="G310" i="7"/>
  <c r="I310" i="7" s="1"/>
  <c r="G112" i="8"/>
  <c r="I112" i="8" s="1"/>
  <c r="G208" i="8"/>
  <c r="I208" i="8" s="1"/>
  <c r="G217" i="8"/>
  <c r="I217" i="8" s="1"/>
  <c r="G256" i="8"/>
  <c r="I256" i="8" s="1"/>
  <c r="G595" i="8"/>
  <c r="I595" i="8" s="1"/>
  <c r="G601" i="8"/>
  <c r="I601" i="8" s="1"/>
  <c r="G740" i="8"/>
  <c r="I740" i="8" s="1"/>
  <c r="G273" i="9"/>
  <c r="I273" i="9" s="1"/>
  <c r="G311" i="9"/>
  <c r="I311" i="9" s="1"/>
  <c r="G366" i="9"/>
  <c r="I366" i="9" s="1"/>
  <c r="G219" i="10"/>
  <c r="I219" i="10" s="1"/>
  <c r="D98" i="6"/>
  <c r="D54" i="5" s="1"/>
  <c r="D244" i="6"/>
  <c r="D135" i="5" s="1"/>
  <c r="C392" i="6"/>
  <c r="C212" i="5" s="1"/>
  <c r="C530" i="6"/>
  <c r="C285" i="5" s="1"/>
  <c r="C744" i="6"/>
  <c r="C397" i="4" s="1"/>
  <c r="C10" i="6"/>
  <c r="C10" i="5" s="1"/>
  <c r="E644" i="6"/>
  <c r="E342" i="4" s="1"/>
  <c r="D702" i="6"/>
  <c r="D376" i="5" s="1"/>
  <c r="D880" i="6"/>
  <c r="E362" i="6"/>
  <c r="E196" i="5" s="1"/>
  <c r="E46" i="6"/>
  <c r="E29" i="5" s="1"/>
  <c r="E753" i="6"/>
  <c r="E757" i="6"/>
  <c r="E404" i="4" s="1"/>
  <c r="G229" i="7"/>
  <c r="I229" i="7" s="1"/>
  <c r="E455" i="6"/>
  <c r="D610" i="6"/>
  <c r="D327" i="5" s="1"/>
  <c r="D459" i="6"/>
  <c r="D678" i="6"/>
  <c r="C712" i="6"/>
  <c r="C380" i="4" s="1"/>
  <c r="E870" i="6"/>
  <c r="E464" i="4" s="1"/>
  <c r="G604" i="8"/>
  <c r="I604" i="8" s="1"/>
  <c r="E434" i="6"/>
  <c r="E234" i="5" s="1"/>
  <c r="C450" i="6"/>
  <c r="C239" i="4" s="1"/>
  <c r="E502" i="6"/>
  <c r="D712" i="6"/>
  <c r="D381" i="5" s="1"/>
  <c r="C882" i="6"/>
  <c r="C534" i="6"/>
  <c r="G107" i="8"/>
  <c r="I107" i="8" s="1"/>
  <c r="G580" i="8"/>
  <c r="I580" i="8" s="1"/>
  <c r="D38" i="6"/>
  <c r="D25" i="5" s="1"/>
  <c r="C178" i="6"/>
  <c r="C99" i="5" s="1"/>
  <c r="E274" i="6"/>
  <c r="E415" i="6"/>
  <c r="C581" i="6"/>
  <c r="C789" i="6"/>
  <c r="C420" i="4" s="1"/>
  <c r="D32" i="6"/>
  <c r="C68" i="6"/>
  <c r="C41" i="4" s="1"/>
  <c r="D251" i="6"/>
  <c r="D137" i="4" s="1"/>
  <c r="D306" i="6"/>
  <c r="G522" i="7"/>
  <c r="I522" i="7" s="1"/>
  <c r="E490" i="6"/>
  <c r="E261" i="4" s="1"/>
  <c r="E888" i="6"/>
  <c r="E473" i="4" s="1"/>
  <c r="G371" i="8"/>
  <c r="I371" i="8" s="1"/>
  <c r="C40" i="6"/>
  <c r="C26" i="5" s="1"/>
  <c r="C182" i="6"/>
  <c r="E352" i="6"/>
  <c r="E191" i="5" s="1"/>
  <c r="E420" i="6"/>
  <c r="E227" i="4" s="1"/>
  <c r="C583" i="6"/>
  <c r="C313" i="5" s="1"/>
  <c r="D789" i="6"/>
  <c r="D421" i="5" s="1"/>
  <c r="E200" i="6"/>
  <c r="C239" i="6"/>
  <c r="C134" i="6"/>
  <c r="G342" i="10"/>
  <c r="I342" i="10" s="1"/>
  <c r="L47" i="10"/>
  <c r="C49" i="6"/>
  <c r="C31" i="5" s="1"/>
  <c r="D184" i="6"/>
  <c r="D101" i="4" s="1"/>
  <c r="C354" i="6"/>
  <c r="C191" i="4" s="1"/>
  <c r="D437" i="6"/>
  <c r="D234" i="4" s="1"/>
  <c r="D613" i="6"/>
  <c r="D327" i="4" s="1"/>
  <c r="D802" i="6"/>
  <c r="D425" i="4" s="1"/>
  <c r="E409" i="6"/>
  <c r="E221" i="5" s="1"/>
  <c r="D415" i="6"/>
  <c r="D838" i="6"/>
  <c r="D446" i="5" s="1"/>
  <c r="D496" i="6"/>
  <c r="D264" i="4" s="1"/>
  <c r="C340" i="6"/>
  <c r="C53" i="6"/>
  <c r="C33" i="5" s="1"/>
  <c r="E206" i="6"/>
  <c r="E113" i="4" s="1"/>
  <c r="C358" i="6"/>
  <c r="C193" i="4" s="1"/>
  <c r="C441" i="6"/>
  <c r="C236" i="4" s="1"/>
  <c r="C617" i="6"/>
  <c r="C330" i="5" s="1"/>
  <c r="E838" i="6"/>
  <c r="E445" i="4" s="1"/>
  <c r="E572" i="6"/>
  <c r="E470" i="6"/>
  <c r="E134" i="6"/>
  <c r="D684" i="6"/>
  <c r="D365" i="4" s="1"/>
  <c r="K139" i="10"/>
  <c r="C85" i="6"/>
  <c r="C48" i="4" s="1"/>
  <c r="D214" i="6"/>
  <c r="D118" i="5" s="1"/>
  <c r="C376" i="6"/>
  <c r="D450" i="6"/>
  <c r="D626" i="6"/>
  <c r="C848" i="6"/>
  <c r="C450" i="4" s="1"/>
  <c r="E732" i="6"/>
  <c r="E392" i="5" s="1"/>
  <c r="C755" i="6"/>
  <c r="C403" i="4" s="1"/>
  <c r="D235" i="6"/>
  <c r="D128" i="4" s="1"/>
  <c r="D804" i="6"/>
  <c r="D426" i="4" s="1"/>
  <c r="D85" i="6"/>
  <c r="D48" i="4" s="1"/>
  <c r="C216" i="6"/>
  <c r="E376" i="6"/>
  <c r="E450" i="6"/>
  <c r="E239" i="4" s="1"/>
  <c r="D644" i="6"/>
  <c r="D848" i="6"/>
  <c r="D450" i="4" s="1"/>
  <c r="D227" i="6"/>
  <c r="D125" i="5" s="1"/>
  <c r="C297" i="6"/>
  <c r="C159" i="4" s="1"/>
  <c r="C827" i="6"/>
  <c r="C439" i="4" s="1"/>
  <c r="G695" i="8"/>
  <c r="I695" i="8" s="1"/>
  <c r="C89" i="6"/>
  <c r="C50" i="4" s="1"/>
  <c r="E218" i="6"/>
  <c r="C390" i="6"/>
  <c r="C211" i="5" s="1"/>
  <c r="E500" i="6"/>
  <c r="E267" i="4" s="1"/>
  <c r="E734" i="6"/>
  <c r="E393" i="5" s="1"/>
  <c r="E862" i="6"/>
  <c r="E460" i="5" s="1"/>
  <c r="C542" i="6"/>
  <c r="C196" i="6"/>
  <c r="C109" i="5" s="1"/>
  <c r="C26" i="6"/>
  <c r="D34" i="6"/>
  <c r="D23" i="5" s="1"/>
  <c r="C570" i="6"/>
  <c r="C305" i="4" s="1"/>
  <c r="C820" i="6"/>
  <c r="C435" i="4" s="1"/>
  <c r="D123" i="6"/>
  <c r="D67" i="4" s="1"/>
  <c r="D836" i="6"/>
  <c r="D444" i="4" s="1"/>
  <c r="C98" i="6"/>
  <c r="C229" i="6"/>
  <c r="D390" i="6"/>
  <c r="D210" i="4" s="1"/>
  <c r="E520" i="6"/>
  <c r="E280" i="5" s="1"/>
  <c r="C742" i="6"/>
  <c r="C396" i="4" s="1"/>
  <c r="E386" i="6"/>
  <c r="E209" i="5" s="1"/>
  <c r="D606" i="6"/>
  <c r="D324" i="4" s="1"/>
  <c r="D292" i="6"/>
  <c r="D156" i="4" s="1"/>
  <c r="E297" i="6"/>
  <c r="E160" i="5" s="1"/>
  <c r="E123" i="6"/>
  <c r="E67" i="4" s="1"/>
  <c r="C526" i="6"/>
  <c r="C880" i="6"/>
  <c r="C469" i="4" s="1"/>
  <c r="G452" i="8"/>
  <c r="I452" i="8" s="1"/>
  <c r="G169" i="16"/>
  <c r="G399" i="8"/>
  <c r="I399" i="8" s="1"/>
  <c r="G319" i="7"/>
  <c r="I319" i="7" s="1"/>
  <c r="G24" i="11"/>
  <c r="I24" i="11" s="1"/>
  <c r="G221" i="16"/>
  <c r="G544" i="9"/>
  <c r="I544" i="9" s="1"/>
  <c r="G365" i="10"/>
  <c r="I365" i="10" s="1"/>
  <c r="G476" i="9"/>
  <c r="I476" i="9" s="1"/>
  <c r="I483" i="9" s="1"/>
  <c r="G464" i="9" s="1"/>
  <c r="L464" i="9" s="1"/>
  <c r="G214" i="16"/>
  <c r="G60" i="11"/>
  <c r="I60" i="11" s="1"/>
  <c r="I61" i="11" s="1"/>
  <c r="G59" i="11" s="1"/>
  <c r="L59" i="11" s="1"/>
  <c r="G547" i="9"/>
  <c r="I547" i="9" s="1"/>
  <c r="G371" i="10"/>
  <c r="I371" i="10" s="1"/>
  <c r="G347" i="10"/>
  <c r="I347" i="10" s="1"/>
  <c r="G251" i="16"/>
  <c r="G318" i="10"/>
  <c r="I318" i="10" s="1"/>
  <c r="G94" i="16"/>
  <c r="G181" i="10"/>
  <c r="I181" i="10" s="1"/>
  <c r="G231" i="9"/>
  <c r="I231" i="9" s="1"/>
  <c r="G96" i="8"/>
  <c r="I96" i="8" s="1"/>
  <c r="G390" i="8"/>
  <c r="I390" i="8" s="1"/>
  <c r="G443" i="8"/>
  <c r="I443" i="8" s="1"/>
  <c r="G704" i="8"/>
  <c r="I704" i="8" s="1"/>
  <c r="I707" i="8" s="1"/>
  <c r="G700" i="8" s="1"/>
  <c r="L700" i="8" s="1"/>
  <c r="G73" i="9"/>
  <c r="I73" i="9" s="1"/>
  <c r="G105" i="16"/>
  <c r="G167" i="16"/>
  <c r="G250" i="16"/>
  <c r="G392" i="10"/>
  <c r="I392" i="10" s="1"/>
  <c r="G548" i="9"/>
  <c r="I548" i="9" s="1"/>
  <c r="G506" i="9"/>
  <c r="I506" i="9" s="1"/>
  <c r="G482" i="9"/>
  <c r="I482" i="9" s="1"/>
  <c r="G283" i="9"/>
  <c r="I283" i="9" s="1"/>
  <c r="G745" i="8"/>
  <c r="I745" i="8" s="1"/>
  <c r="G386" i="7"/>
  <c r="I386" i="7" s="1"/>
  <c r="G659" i="7"/>
  <c r="I659" i="7" s="1"/>
  <c r="G716" i="7"/>
  <c r="I716" i="7" s="1"/>
  <c r="G101" i="8"/>
  <c r="I101" i="8" s="1"/>
  <c r="G353" i="8"/>
  <c r="I353" i="8" s="1"/>
  <c r="G381" i="8"/>
  <c r="I381" i="8" s="1"/>
  <c r="G665" i="8"/>
  <c r="I665" i="8" s="1"/>
  <c r="G765" i="8"/>
  <c r="I765" i="8" s="1"/>
  <c r="G125" i="9"/>
  <c r="I125" i="9" s="1"/>
  <c r="I126" i="9" s="1"/>
  <c r="G124" i="9" s="1"/>
  <c r="G219" i="9"/>
  <c r="I219" i="9" s="1"/>
  <c r="G397" i="9"/>
  <c r="I397" i="9" s="1"/>
  <c r="G384" i="10"/>
  <c r="I384" i="10" s="1"/>
  <c r="G23" i="11"/>
  <c r="I23" i="11" s="1"/>
  <c r="K7" i="12"/>
  <c r="L7" i="12" s="1"/>
  <c r="G66" i="16"/>
  <c r="G89" i="16"/>
  <c r="G391" i="10"/>
  <c r="I391" i="10" s="1"/>
  <c r="G99" i="16"/>
  <c r="C121" i="6"/>
  <c r="C67" i="5" s="1"/>
  <c r="E292" i="6"/>
  <c r="E156" i="4" s="1"/>
  <c r="E538" i="6"/>
  <c r="E289" i="5" s="1"/>
  <c r="G451" i="7"/>
  <c r="I451" i="7" s="1"/>
  <c r="G83" i="8"/>
  <c r="I83" i="8" s="1"/>
  <c r="G108" i="8"/>
  <c r="I108" i="8" s="1"/>
  <c r="G363" i="8"/>
  <c r="I363" i="8" s="1"/>
  <c r="G425" i="8"/>
  <c r="I425" i="8" s="1"/>
  <c r="G453" i="8"/>
  <c r="I453" i="8" s="1"/>
  <c r="G388" i="10"/>
  <c r="I388" i="10" s="1"/>
  <c r="G53" i="16"/>
  <c r="G255" i="16"/>
  <c r="G45" i="11"/>
  <c r="I45" i="11" s="1"/>
  <c r="I46" i="11" s="1"/>
  <c r="G44" i="11" s="1"/>
  <c r="G742" i="8"/>
  <c r="I742" i="8" s="1"/>
  <c r="G232" i="16"/>
  <c r="G331" i="8"/>
  <c r="I331" i="8" s="1"/>
  <c r="G388" i="7"/>
  <c r="I388" i="7" s="1"/>
  <c r="G186" i="16"/>
  <c r="G380" i="10"/>
  <c r="I380" i="10" s="1"/>
  <c r="G356" i="10"/>
  <c r="I356" i="10" s="1"/>
  <c r="G305" i="10"/>
  <c r="I305" i="10" s="1"/>
  <c r="C528" i="6"/>
  <c r="C283" i="4" s="1"/>
  <c r="C649" i="6"/>
  <c r="C345" i="4" s="1"/>
  <c r="G484" i="7"/>
  <c r="I484" i="7" s="1"/>
  <c r="G71" i="8"/>
  <c r="I71" i="8" s="1"/>
  <c r="G416" i="8"/>
  <c r="I416" i="8" s="1"/>
  <c r="G444" i="8"/>
  <c r="I444" i="8" s="1"/>
  <c r="G48" i="9"/>
  <c r="I48" i="9" s="1"/>
  <c r="I49" i="9" s="1"/>
  <c r="G47" i="9" s="1"/>
  <c r="G74" i="9"/>
  <c r="I74" i="9" s="1"/>
  <c r="G156" i="9"/>
  <c r="I156" i="9" s="1"/>
  <c r="K486" i="9"/>
  <c r="K104" i="10"/>
  <c r="G110" i="10"/>
  <c r="I110" i="10" s="1"/>
  <c r="I111" i="10" s="1"/>
  <c r="G109" i="10" s="1"/>
  <c r="G198" i="10"/>
  <c r="I198" i="10" s="1"/>
  <c r="G275" i="10"/>
  <c r="I275" i="10" s="1"/>
  <c r="G328" i="10"/>
  <c r="I328" i="10" s="1"/>
  <c r="G195" i="16"/>
  <c r="K47" i="9"/>
  <c r="K134" i="10"/>
  <c r="G377" i="9"/>
  <c r="I377" i="9" s="1"/>
  <c r="G261" i="9"/>
  <c r="I261" i="9" s="1"/>
  <c r="G223" i="9"/>
  <c r="I223" i="9" s="1"/>
  <c r="G280" i="10"/>
  <c r="I280" i="10" s="1"/>
  <c r="G510" i="8"/>
  <c r="I510" i="8" s="1"/>
  <c r="G197" i="10"/>
  <c r="I197" i="10" s="1"/>
  <c r="G315" i="10"/>
  <c r="I315" i="10" s="1"/>
  <c r="G243" i="16"/>
  <c r="G151" i="16"/>
  <c r="G322" i="8"/>
  <c r="I322" i="8" s="1"/>
  <c r="G470" i="9"/>
  <c r="I470" i="9" s="1"/>
  <c r="G307" i="10"/>
  <c r="I307" i="10" s="1"/>
  <c r="G38" i="9"/>
  <c r="I38" i="9" s="1"/>
  <c r="I39" i="9" s="1"/>
  <c r="G37" i="9" s="1"/>
  <c r="G8" i="11"/>
  <c r="I8" i="11" s="1"/>
  <c r="I9" i="11" s="1"/>
  <c r="G7" i="11" s="1"/>
  <c r="L7" i="11" s="1"/>
  <c r="G295" i="9"/>
  <c r="I295" i="9" s="1"/>
  <c r="G294" i="8"/>
  <c r="I294" i="8" s="1"/>
  <c r="G151" i="8"/>
  <c r="I151" i="8" s="1"/>
  <c r="G372" i="8"/>
  <c r="I372" i="8" s="1"/>
  <c r="G434" i="8"/>
  <c r="I434" i="8" s="1"/>
  <c r="C299" i="6"/>
  <c r="C161" i="5" s="1"/>
  <c r="D468" i="6"/>
  <c r="C651" i="6"/>
  <c r="C347" i="5" s="1"/>
  <c r="C37" i="15"/>
  <c r="D820" i="6"/>
  <c r="D436" i="5" s="1"/>
  <c r="C706" i="6"/>
  <c r="C378" i="5" s="1"/>
  <c r="C577" i="6"/>
  <c r="C309" i="4" s="1"/>
  <c r="E510" i="6"/>
  <c r="E273" i="4" s="1"/>
  <c r="E411" i="6"/>
  <c r="E360" i="6"/>
  <c r="E195" i="5" s="1"/>
  <c r="D261" i="6"/>
  <c r="D142" i="5" s="1"/>
  <c r="E184" i="6"/>
  <c r="E101" i="4" s="1"/>
  <c r="E116" i="6"/>
  <c r="E63" i="4" s="1"/>
  <c r="C46" i="6"/>
  <c r="C29" i="5" s="1"/>
  <c r="E10" i="6"/>
  <c r="E9" i="4" s="1"/>
  <c r="D746" i="6"/>
  <c r="D398" i="4" s="1"/>
  <c r="E579" i="6"/>
  <c r="E310" i="4" s="1"/>
  <c r="E587" i="6"/>
  <c r="E314" i="4" s="1"/>
  <c r="E591" i="6"/>
  <c r="E317" i="4" s="1"/>
  <c r="D596" i="6"/>
  <c r="D321" i="5" s="1"/>
  <c r="E779" i="6"/>
  <c r="E416" i="4" s="1"/>
  <c r="C613" i="6"/>
  <c r="C633" i="6"/>
  <c r="C337" i="5" s="1"/>
  <c r="E459" i="6"/>
  <c r="G173" i="8"/>
  <c r="I173" i="8" s="1"/>
  <c r="G282" i="8"/>
  <c r="I282" i="8" s="1"/>
  <c r="G354" i="8"/>
  <c r="I354" i="8" s="1"/>
  <c r="G407" i="8"/>
  <c r="I407" i="8" s="1"/>
  <c r="G766" i="8"/>
  <c r="I766" i="8" s="1"/>
  <c r="G120" i="9"/>
  <c r="I120" i="9" s="1"/>
  <c r="I121" i="9" s="1"/>
  <c r="G119" i="9" s="1"/>
  <c r="L119" i="9" s="1"/>
  <c r="G262" i="9"/>
  <c r="I262" i="9" s="1"/>
  <c r="G294" i="9"/>
  <c r="I294" i="9" s="1"/>
  <c r="G499" i="9"/>
  <c r="I499" i="9" s="1"/>
  <c r="G502" i="9"/>
  <c r="I502" i="9" s="1"/>
  <c r="G505" i="9"/>
  <c r="I505" i="9" s="1"/>
  <c r="G8" i="10"/>
  <c r="I8" i="10" s="1"/>
  <c r="I9" i="10" s="1"/>
  <c r="G7" i="10" s="1"/>
  <c r="G23" i="10"/>
  <c r="I23" i="10" s="1"/>
  <c r="I24" i="10" s="1"/>
  <c r="G22" i="10" s="1"/>
  <c r="G38" i="10"/>
  <c r="I38" i="10" s="1"/>
  <c r="I39" i="10" s="1"/>
  <c r="G37" i="10" s="1"/>
  <c r="L37" i="10" s="1"/>
  <c r="G83" i="10"/>
  <c r="I83" i="10" s="1"/>
  <c r="G192" i="10"/>
  <c r="I192" i="10" s="1"/>
  <c r="G319" i="10"/>
  <c r="I319" i="10" s="1"/>
  <c r="G12" i="16"/>
  <c r="G35" i="16"/>
  <c r="G123" i="16"/>
  <c r="G249" i="16"/>
  <c r="G279" i="16"/>
  <c r="G538" i="9"/>
  <c r="I538" i="9" s="1"/>
  <c r="G332" i="10"/>
  <c r="I332" i="10" s="1"/>
  <c r="G386" i="10"/>
  <c r="I386" i="10" s="1"/>
  <c r="G311" i="10"/>
  <c r="I311" i="10" s="1"/>
  <c r="G497" i="9"/>
  <c r="I497" i="9" s="1"/>
  <c r="G541" i="9"/>
  <c r="I541" i="9" s="1"/>
  <c r="G385" i="10"/>
  <c r="I385" i="10" s="1"/>
  <c r="K221" i="8"/>
  <c r="G635" i="8"/>
  <c r="I635" i="8" s="1"/>
  <c r="D134" i="6"/>
  <c r="D73" i="4" s="1"/>
  <c r="C403" i="5"/>
  <c r="C55" i="6"/>
  <c r="C33" i="4" s="1"/>
  <c r="C144" i="6"/>
  <c r="C78" i="4" s="1"/>
  <c r="C222" i="6"/>
  <c r="C122" i="5" s="1"/>
  <c r="E314" i="6"/>
  <c r="C398" i="6"/>
  <c r="C215" i="5" s="1"/>
  <c r="C473" i="6"/>
  <c r="C252" i="4" s="1"/>
  <c r="C568" i="6"/>
  <c r="C305" i="5" s="1"/>
  <c r="E662" i="6"/>
  <c r="E352" i="4" s="1"/>
  <c r="E802" i="6"/>
  <c r="E426" i="5" s="1"/>
  <c r="C38" i="6"/>
  <c r="C24" i="4" s="1"/>
  <c r="G245" i="7"/>
  <c r="I245" i="7" s="1"/>
  <c r="E852" i="6"/>
  <c r="E453" i="4" s="1"/>
  <c r="C793" i="6"/>
  <c r="D809" i="6"/>
  <c r="C111" i="6"/>
  <c r="C60" i="4" s="1"/>
  <c r="C302" i="6"/>
  <c r="G532" i="7"/>
  <c r="I532" i="7" s="1"/>
  <c r="D318" i="6"/>
  <c r="D170" i="4" s="1"/>
  <c r="D505" i="6"/>
  <c r="C874" i="6"/>
  <c r="C467" i="5" s="1"/>
  <c r="G435" i="8"/>
  <c r="I435" i="8" s="1"/>
  <c r="G497" i="8"/>
  <c r="I497" i="8" s="1"/>
  <c r="G543" i="8"/>
  <c r="I543" i="8" s="1"/>
  <c r="G594" i="8"/>
  <c r="I594" i="8" s="1"/>
  <c r="G639" i="8"/>
  <c r="I639" i="8" s="1"/>
  <c r="G33" i="9"/>
  <c r="I33" i="9" s="1"/>
  <c r="I34" i="9" s="1"/>
  <c r="G32" i="9" s="1"/>
  <c r="L32" i="9" s="1"/>
  <c r="G236" i="9"/>
  <c r="I236" i="9" s="1"/>
  <c r="G256" i="9"/>
  <c r="I256" i="9" s="1"/>
  <c r="G523" i="9"/>
  <c r="I523" i="9" s="1"/>
  <c r="G303" i="10"/>
  <c r="I303" i="10" s="1"/>
  <c r="G360" i="10"/>
  <c r="I360" i="10" s="1"/>
  <c r="G29" i="16"/>
  <c r="G87" i="16"/>
  <c r="G53" i="9"/>
  <c r="I53" i="9" s="1"/>
  <c r="I54" i="9" s="1"/>
  <c r="G52" i="9" s="1"/>
  <c r="L52" i="9" s="1"/>
  <c r="G81" i="16"/>
  <c r="D375" i="4"/>
  <c r="G638" i="8"/>
  <c r="I638" i="8" s="1"/>
  <c r="D68" i="6"/>
  <c r="D42" i="5" s="1"/>
  <c r="D144" i="6"/>
  <c r="C225" i="6"/>
  <c r="C123" i="4" s="1"/>
  <c r="E324" i="6"/>
  <c r="E174" i="4" s="1"/>
  <c r="C401" i="6"/>
  <c r="C216" i="4" s="1"/>
  <c r="C475" i="6"/>
  <c r="C253" i="4" s="1"/>
  <c r="E570" i="6"/>
  <c r="E306" i="5" s="1"/>
  <c r="D672" i="6"/>
  <c r="D358" i="5" s="1"/>
  <c r="E820" i="6"/>
  <c r="E436" i="5" s="1"/>
  <c r="D8" i="6"/>
  <c r="D8" i="4" s="1"/>
  <c r="D18" i="6"/>
  <c r="D15" i="5" s="1"/>
  <c r="C552" i="6"/>
  <c r="E558" i="6"/>
  <c r="E299" i="4" s="1"/>
  <c r="D742" i="6"/>
  <c r="C757" i="6"/>
  <c r="C231" i="6"/>
  <c r="E613" i="6"/>
  <c r="E327" i="4" s="1"/>
  <c r="D89" i="6"/>
  <c r="D50" i="4" s="1"/>
  <c r="G84" i="8"/>
  <c r="I84" i="8" s="1"/>
  <c r="G398" i="8"/>
  <c r="I398" i="8" s="1"/>
  <c r="G426" i="8"/>
  <c r="I426" i="8" s="1"/>
  <c r="G712" i="8"/>
  <c r="I712" i="8" s="1"/>
  <c r="G230" i="9"/>
  <c r="I230" i="9" s="1"/>
  <c r="G468" i="9"/>
  <c r="I468" i="9" s="1"/>
  <c r="G490" i="9"/>
  <c r="I490" i="9" s="1"/>
  <c r="G135" i="10"/>
  <c r="I135" i="10" s="1"/>
  <c r="I136" i="10" s="1"/>
  <c r="G134" i="10" s="1"/>
  <c r="G180" i="10"/>
  <c r="I180" i="10" s="1"/>
  <c r="G313" i="10"/>
  <c r="I313" i="10" s="1"/>
  <c r="G189" i="16"/>
  <c r="G236" i="16"/>
  <c r="G95" i="8"/>
  <c r="I95" i="8" s="1"/>
  <c r="E68" i="6"/>
  <c r="E41" i="4" s="1"/>
  <c r="D148" i="6"/>
  <c r="D81" i="4" s="1"/>
  <c r="E227" i="6"/>
  <c r="E334" i="6"/>
  <c r="E181" i="5" s="1"/>
  <c r="E403" i="6"/>
  <c r="E486" i="6"/>
  <c r="E259" i="4" s="1"/>
  <c r="C574" i="6"/>
  <c r="C308" i="5" s="1"/>
  <c r="C710" i="6"/>
  <c r="C379" i="4" s="1"/>
  <c r="C825" i="6"/>
  <c r="C438" i="4" s="1"/>
  <c r="E720" i="6"/>
  <c r="E386" i="5" s="1"/>
  <c r="C36" i="6"/>
  <c r="C23" i="4" s="1"/>
  <c r="D225" i="6"/>
  <c r="D123" i="4" s="1"/>
  <c r="D583" i="6"/>
  <c r="D312" i="4" s="1"/>
  <c r="C804" i="6"/>
  <c r="C427" i="5" s="1"/>
  <c r="D470" i="6"/>
  <c r="D251" i="5" s="1"/>
  <c r="G452" i="7"/>
  <c r="I452" i="7" s="1"/>
  <c r="D488" i="6"/>
  <c r="D689" i="6"/>
  <c r="D369" i="5" s="1"/>
  <c r="E346" i="6"/>
  <c r="E708" i="6"/>
  <c r="E378" i="4" s="1"/>
  <c r="G72" i="8"/>
  <c r="I72" i="8" s="1"/>
  <c r="G389" i="8"/>
  <c r="I389" i="8" s="1"/>
  <c r="G417" i="8"/>
  <c r="I417" i="8" s="1"/>
  <c r="G157" i="9"/>
  <c r="I157" i="9" s="1"/>
  <c r="L171" i="9"/>
  <c r="L181" i="9"/>
  <c r="K99" i="10"/>
  <c r="G276" i="10"/>
  <c r="I276" i="10" s="1"/>
  <c r="G354" i="10"/>
  <c r="I354" i="10" s="1"/>
  <c r="G28" i="11"/>
  <c r="I28" i="11" s="1"/>
  <c r="G380" i="8"/>
  <c r="I380" i="8" s="1"/>
  <c r="G408" i="8"/>
  <c r="I408" i="8" s="1"/>
  <c r="G767" i="8"/>
  <c r="I767" i="8" s="1"/>
  <c r="G218" i="9"/>
  <c r="I218" i="9" s="1"/>
  <c r="G481" i="9"/>
  <c r="I481" i="9" s="1"/>
  <c r="G84" i="10"/>
  <c r="I84" i="10" s="1"/>
  <c r="G193" i="10"/>
  <c r="I193" i="10" s="1"/>
  <c r="G348" i="10"/>
  <c r="I348" i="10" s="1"/>
  <c r="I349" i="10" s="1"/>
  <c r="G323" i="10" s="1"/>
  <c r="L323" i="10" s="1"/>
  <c r="G263" i="16"/>
  <c r="G75" i="11"/>
  <c r="I75" i="11" s="1"/>
  <c r="I76" i="11" s="1"/>
  <c r="G74" i="11" s="1"/>
  <c r="L74" i="11" s="1"/>
  <c r="G254" i="10"/>
  <c r="I254" i="10" s="1"/>
  <c r="G271" i="16"/>
  <c r="G329" i="10"/>
  <c r="I329" i="10" s="1"/>
  <c r="G226" i="16"/>
  <c r="G383" i="10"/>
  <c r="I383" i="10" s="1"/>
  <c r="G359" i="10"/>
  <c r="I359" i="10" s="1"/>
  <c r="C8" i="6"/>
  <c r="C8" i="4" s="1"/>
  <c r="D196" i="6"/>
  <c r="D109" i="5" s="1"/>
  <c r="D396" i="6"/>
  <c r="D214" i="5" s="1"/>
  <c r="D409" i="6"/>
  <c r="D221" i="5" s="1"/>
  <c r="D769" i="6"/>
  <c r="C72" i="6"/>
  <c r="C43" i="4" s="1"/>
  <c r="E782" i="6"/>
  <c r="E417" i="4" s="1"/>
  <c r="D111" i="6"/>
  <c r="D61" i="5" s="1"/>
  <c r="D126" i="6"/>
  <c r="E681" i="6"/>
  <c r="E364" i="5" s="1"/>
  <c r="C689" i="6"/>
  <c r="C368" i="4" s="1"/>
  <c r="G325" i="9"/>
  <c r="I325" i="9" s="1"/>
  <c r="L230" i="10"/>
  <c r="G245" i="16"/>
  <c r="F272" i="4"/>
  <c r="E326" i="6"/>
  <c r="E175" i="4" s="1"/>
  <c r="E192" i="6"/>
  <c r="E258" i="6"/>
  <c r="E140" i="4" s="1"/>
  <c r="C838" i="6"/>
  <c r="C445" i="4" s="1"/>
  <c r="D129" i="5"/>
  <c r="E174" i="6"/>
  <c r="E96" i="4" s="1"/>
  <c r="E368" i="6"/>
  <c r="E200" i="5" s="1"/>
  <c r="D176" i="6"/>
  <c r="D97" i="4" s="1"/>
  <c r="E694" i="6"/>
  <c r="E371" i="4" s="1"/>
  <c r="L7" i="10"/>
  <c r="L22" i="10"/>
  <c r="L52" i="10"/>
  <c r="L67" i="10"/>
  <c r="L269" i="10"/>
  <c r="E262" i="5"/>
  <c r="D310" i="6"/>
  <c r="D166" i="4" s="1"/>
  <c r="D386" i="6"/>
  <c r="L39" i="11"/>
  <c r="L54" i="11"/>
  <c r="L69" i="11"/>
  <c r="D102" i="5"/>
  <c r="E370" i="6"/>
  <c r="E200" i="4" s="1"/>
  <c r="D134" i="4"/>
  <c r="C227" i="6"/>
  <c r="C124" i="4" s="1"/>
  <c r="C49" i="5"/>
  <c r="C310" i="5"/>
  <c r="C184" i="6"/>
  <c r="C101" i="4" s="1"/>
  <c r="E268" i="5"/>
  <c r="E375" i="4"/>
  <c r="D664" i="6"/>
  <c r="D353" i="4" s="1"/>
  <c r="C160" i="4"/>
  <c r="L7" i="9"/>
  <c r="D587" i="6"/>
  <c r="D314" i="4" s="1"/>
  <c r="C473" i="5"/>
  <c r="C66" i="4"/>
  <c r="F5" i="2"/>
  <c r="E678" i="6"/>
  <c r="E361" i="4" s="1"/>
  <c r="D556" i="6"/>
  <c r="D299" i="5" s="1"/>
  <c r="D732" i="6"/>
  <c r="D391" i="4" s="1"/>
  <c r="E64" i="5"/>
  <c r="D357" i="4"/>
  <c r="D249" i="4"/>
  <c r="D250" i="5"/>
  <c r="C817" i="6"/>
  <c r="C433" i="4" s="1"/>
  <c r="C113" i="6"/>
  <c r="C62" i="5" s="1"/>
  <c r="E840" i="6"/>
  <c r="E446" i="4" s="1"/>
  <c r="E664" i="6"/>
  <c r="E354" i="5" s="1"/>
  <c r="C666" i="6"/>
  <c r="C355" i="5" s="1"/>
  <c r="C490" i="6"/>
  <c r="C261" i="4" s="1"/>
  <c r="L124" i="9"/>
  <c r="L176" i="9"/>
  <c r="E54" i="5"/>
  <c r="E135" i="5"/>
  <c r="C722" i="6"/>
  <c r="C387" i="5" s="1"/>
  <c r="C368" i="6"/>
  <c r="C199" i="4" s="1"/>
  <c r="C18" i="6"/>
  <c r="C16" i="6"/>
  <c r="C14" i="5" s="1"/>
  <c r="E378" i="6"/>
  <c r="E202" i="6"/>
  <c r="E112" i="5" s="1"/>
  <c r="C59" i="6"/>
  <c r="C35" i="4" s="1"/>
  <c r="C235" i="6"/>
  <c r="C128" i="4" s="1"/>
  <c r="C251" i="6"/>
  <c r="C75" i="6"/>
  <c r="C603" i="6"/>
  <c r="C324" i="5" s="1"/>
  <c r="D842" i="6"/>
  <c r="D447" i="4" s="1"/>
  <c r="D666" i="6"/>
  <c r="D354" i="4" s="1"/>
  <c r="D490" i="6"/>
  <c r="D261" i="4" s="1"/>
  <c r="C174" i="6"/>
  <c r="C96" i="4" s="1"/>
  <c r="C702" i="6"/>
  <c r="C878" i="6"/>
  <c r="C468" i="4" s="1"/>
  <c r="D20" i="6"/>
  <c r="D16" i="5" s="1"/>
  <c r="D544" i="6"/>
  <c r="D293" i="5" s="1"/>
  <c r="D368" i="6"/>
  <c r="D199" i="4" s="1"/>
  <c r="D16" i="6"/>
  <c r="D13" i="4" s="1"/>
  <c r="D579" i="6"/>
  <c r="D310" i="4" s="1"/>
  <c r="D403" i="6"/>
  <c r="D217" i="4" s="1"/>
  <c r="C324" i="6"/>
  <c r="C175" i="5" s="1"/>
  <c r="C420" i="6"/>
  <c r="C228" i="5" s="1"/>
  <c r="D427" i="6"/>
  <c r="D230" i="4" s="1"/>
  <c r="D75" i="6"/>
  <c r="D603" i="6"/>
  <c r="D324" i="5" s="1"/>
  <c r="E306" i="6"/>
  <c r="E165" i="5" s="1"/>
  <c r="E834" i="6"/>
  <c r="E443" i="4" s="1"/>
  <c r="C486" i="6"/>
  <c r="C260" i="5" s="1"/>
  <c r="C662" i="6"/>
  <c r="D168" i="6"/>
  <c r="D94" i="5" s="1"/>
  <c r="D344" i="6"/>
  <c r="D187" i="5" s="1"/>
  <c r="D714" i="6"/>
  <c r="D890" i="6"/>
  <c r="D474" i="4" s="1"/>
  <c r="D192" i="6"/>
  <c r="D107" i="5" s="1"/>
  <c r="E698" i="6"/>
  <c r="E373" i="4" s="1"/>
  <c r="E786" i="6"/>
  <c r="E419" i="4" s="1"/>
  <c r="C25" i="4"/>
  <c r="C148" i="6"/>
  <c r="C82" i="5" s="1"/>
  <c r="C244" i="6"/>
  <c r="C135" i="5" s="1"/>
  <c r="D146" i="4"/>
  <c r="C704" i="6"/>
  <c r="C377" i="5" s="1"/>
  <c r="E872" i="6"/>
  <c r="E168" i="6"/>
  <c r="E94" i="5" s="1"/>
  <c r="D445" i="4"/>
  <c r="C116" i="6"/>
  <c r="C64" i="5" s="1"/>
  <c r="D158" i="6"/>
  <c r="C292" i="6"/>
  <c r="C156" i="4" s="1"/>
  <c r="D206" i="6"/>
  <c r="D113" i="4" s="1"/>
  <c r="D558" i="6"/>
  <c r="D299" i="4" s="1"/>
  <c r="C25" i="5"/>
  <c r="C496" i="6"/>
  <c r="C265" i="5" s="1"/>
  <c r="C320" i="6"/>
  <c r="C171" i="4" s="1"/>
  <c r="D426" i="5"/>
  <c r="D116" i="6"/>
  <c r="D63" i="4" s="1"/>
  <c r="E158" i="6"/>
  <c r="E88" i="5" s="1"/>
  <c r="C214" i="6"/>
  <c r="E235" i="6"/>
  <c r="E344" i="6"/>
  <c r="E186" i="4" s="1"/>
  <c r="C437" i="6"/>
  <c r="C235" i="5" s="1"/>
  <c r="C672" i="6"/>
  <c r="C358" i="5" s="1"/>
  <c r="L17" i="11"/>
  <c r="C123" i="6"/>
  <c r="C265" i="6"/>
  <c r="C143" i="4" s="1"/>
  <c r="D320" i="6"/>
  <c r="D171" i="4" s="1"/>
  <c r="L12" i="9"/>
  <c r="L27" i="9"/>
  <c r="L42" i="9"/>
  <c r="L429" i="9"/>
  <c r="L94" i="10"/>
  <c r="L124" i="10"/>
  <c r="L208" i="10"/>
  <c r="L296" i="10"/>
  <c r="C296" i="4"/>
  <c r="C297" i="5"/>
  <c r="B41" i="3"/>
  <c r="L77" i="10"/>
  <c r="D340" i="6"/>
  <c r="D185" i="5" s="1"/>
  <c r="D538" i="6"/>
  <c r="D288" i="4" s="1"/>
  <c r="C346" i="4"/>
  <c r="C192" i="5"/>
  <c r="L291" i="10"/>
  <c r="C30" i="4"/>
  <c r="C172" i="5"/>
  <c r="C194" i="5"/>
  <c r="C776" i="6"/>
  <c r="C415" i="4" s="1"/>
  <c r="C126" i="6"/>
  <c r="C69" i="4" s="1"/>
  <c r="E631" i="6"/>
  <c r="E336" i="5" s="1"/>
  <c r="C720" i="6"/>
  <c r="C385" i="4" s="1"/>
  <c r="C779" i="6"/>
  <c r="C416" i="4" s="1"/>
  <c r="D815" i="6"/>
  <c r="D433" i="5" s="1"/>
  <c r="C400" i="4"/>
  <c r="D420" i="4"/>
  <c r="L12" i="10"/>
  <c r="E81" i="4"/>
  <c r="C310" i="6"/>
  <c r="C166" i="4" s="1"/>
  <c r="E554" i="6"/>
  <c r="E297" i="4" s="1"/>
  <c r="D779" i="6"/>
  <c r="D416" i="4" s="1"/>
  <c r="E470" i="5"/>
  <c r="E469" i="4"/>
  <c r="E459" i="4"/>
  <c r="D105" i="6"/>
  <c r="D58" i="5" s="1"/>
  <c r="B14" i="2"/>
  <c r="C32" i="4"/>
  <c r="D304" i="5"/>
  <c r="D633" i="6"/>
  <c r="D336" i="4" s="1"/>
  <c r="D265" i="5"/>
  <c r="D570" i="6"/>
  <c r="D305" i="4" s="1"/>
  <c r="L139" i="9"/>
  <c r="C868" i="6"/>
  <c r="C463" i="4" s="1"/>
  <c r="L203" i="10"/>
  <c r="C210" i="4"/>
  <c r="D328" i="5"/>
  <c r="C9" i="4"/>
  <c r="L286" i="10"/>
  <c r="I618" i="8"/>
  <c r="G599" i="8" s="1"/>
  <c r="L599" i="8" s="1"/>
  <c r="D868" i="6"/>
  <c r="E606" i="6"/>
  <c r="E324" i="4" s="1"/>
  <c r="D138" i="5"/>
  <c r="L104" i="10"/>
  <c r="D9" i="4"/>
  <c r="E114" i="5"/>
  <c r="C284" i="4"/>
  <c r="C42" i="5"/>
  <c r="C513" i="6"/>
  <c r="C275" i="4" s="1"/>
  <c r="C436" i="5"/>
  <c r="L119" i="10"/>
  <c r="D124" i="4"/>
  <c r="C312" i="4"/>
  <c r="C397" i="5"/>
  <c r="D662" i="6"/>
  <c r="D353" i="5" s="1"/>
  <c r="E714" i="6"/>
  <c r="C815" i="6"/>
  <c r="E402" i="4"/>
  <c r="E403" i="5"/>
  <c r="D22" i="5"/>
  <c r="D21" i="4"/>
  <c r="C163" i="5"/>
  <c r="C162" i="4"/>
  <c r="C61" i="5"/>
  <c r="E418" i="5"/>
  <c r="D78" i="4"/>
  <c r="D79" i="5"/>
  <c r="D261" i="5"/>
  <c r="D260" i="4"/>
  <c r="E742" i="6"/>
  <c r="E566" i="6"/>
  <c r="D750" i="6"/>
  <c r="D398" i="6"/>
  <c r="D215" i="5" s="1"/>
  <c r="D46" i="6"/>
  <c r="D574" i="6"/>
  <c r="D757" i="6"/>
  <c r="D229" i="6"/>
  <c r="D125" i="4" s="1"/>
  <c r="D581" i="6"/>
  <c r="D311" i="4" s="1"/>
  <c r="D405" i="6"/>
  <c r="D218" i="4" s="1"/>
  <c r="D827" i="6"/>
  <c r="D440" i="5" s="1"/>
  <c r="D651" i="6"/>
  <c r="D475" i="6"/>
  <c r="C484" i="6"/>
  <c r="C660" i="6"/>
  <c r="C351" i="4" s="1"/>
  <c r="E672" i="6"/>
  <c r="E358" i="5" s="1"/>
  <c r="E848" i="6"/>
  <c r="C332" i="6"/>
  <c r="C180" i="5" s="1"/>
  <c r="C164" i="6"/>
  <c r="C684" i="6"/>
  <c r="C516" i="6"/>
  <c r="C277" i="4" s="1"/>
  <c r="C156" i="6"/>
  <c r="C692" i="6"/>
  <c r="D182" i="6"/>
  <c r="D101" i="5" s="1"/>
  <c r="D710" i="6"/>
  <c r="D358" i="6"/>
  <c r="D886" i="6"/>
  <c r="C28" i="4"/>
  <c r="E437" i="6"/>
  <c r="D534" i="6"/>
  <c r="C380" i="5"/>
  <c r="C550" i="6"/>
  <c r="C22" i="6"/>
  <c r="C17" i="5" s="1"/>
  <c r="C726" i="6"/>
  <c r="C374" i="6"/>
  <c r="D36" i="6"/>
  <c r="D388" i="6"/>
  <c r="D210" i="5" s="1"/>
  <c r="D564" i="6"/>
  <c r="E574" i="6"/>
  <c r="E222" i="6"/>
  <c r="E750" i="6"/>
  <c r="E400" i="4" s="1"/>
  <c r="E53" i="6"/>
  <c r="E405" i="6"/>
  <c r="E218" i="4" s="1"/>
  <c r="C809" i="6"/>
  <c r="C105" i="6"/>
  <c r="D283" i="6"/>
  <c r="D151" i="4" s="1"/>
  <c r="D635" i="6"/>
  <c r="E651" i="6"/>
  <c r="E475" i="6"/>
  <c r="E253" i="4" s="1"/>
  <c r="E827" i="6"/>
  <c r="D308" i="6"/>
  <c r="D166" i="5" s="1"/>
  <c r="D484" i="6"/>
  <c r="D660" i="6"/>
  <c r="D351" i="4" s="1"/>
  <c r="D508" i="6"/>
  <c r="D516" i="6"/>
  <c r="D692" i="6"/>
  <c r="D370" i="4" s="1"/>
  <c r="D332" i="6"/>
  <c r="D156" i="6"/>
  <c r="D811" i="6"/>
  <c r="D14" i="6"/>
  <c r="D366" i="6"/>
  <c r="D190" i="6"/>
  <c r="D22" i="6"/>
  <c r="D726" i="6"/>
  <c r="D550" i="6"/>
  <c r="D374" i="6"/>
  <c r="E736" i="6"/>
  <c r="E32" i="6"/>
  <c r="E384" i="6"/>
  <c r="E208" i="6"/>
  <c r="E114" i="4" s="1"/>
  <c r="C782" i="6"/>
  <c r="C78" i="6"/>
  <c r="C606" i="6"/>
  <c r="C430" i="6"/>
  <c r="C231" i="4" s="1"/>
  <c r="C254" i="6"/>
  <c r="C139" i="5" s="1"/>
  <c r="D452" i="6"/>
  <c r="D100" i="6"/>
  <c r="D276" i="6"/>
  <c r="E811" i="6"/>
  <c r="E431" i="5" s="1"/>
  <c r="E283" i="6"/>
  <c r="E151" i="4" s="1"/>
  <c r="E308" i="6"/>
  <c r="E660" i="6"/>
  <c r="E484" i="6"/>
  <c r="E259" i="5" s="1"/>
  <c r="C670" i="6"/>
  <c r="C318" i="6"/>
  <c r="C494" i="6"/>
  <c r="E684" i="6"/>
  <c r="E156" i="6"/>
  <c r="E860" i="6"/>
  <c r="E868" i="6"/>
  <c r="E692" i="6"/>
  <c r="E516" i="6"/>
  <c r="E277" i="4" s="1"/>
  <c r="E332" i="6"/>
  <c r="E49" i="6"/>
  <c r="E190" i="6"/>
  <c r="E14" i="6"/>
  <c r="E542" i="6"/>
  <c r="E9" i="15"/>
  <c r="E22" i="6"/>
  <c r="E17" i="5" s="1"/>
  <c r="C748" i="6"/>
  <c r="C400" i="5" s="1"/>
  <c r="C220" i="6"/>
  <c r="C121" i="5" s="1"/>
  <c r="C396" i="6"/>
  <c r="C214" i="5" s="1"/>
  <c r="C572" i="6"/>
  <c r="C306" i="4" s="1"/>
  <c r="C44" i="6"/>
  <c r="D78" i="6"/>
  <c r="D782" i="6"/>
  <c r="D430" i="6"/>
  <c r="D254" i="6"/>
  <c r="D799" i="6"/>
  <c r="D95" i="6"/>
  <c r="D271" i="6"/>
  <c r="D447" i="6"/>
  <c r="D237" i="4" s="1"/>
  <c r="E809" i="6"/>
  <c r="E429" i="4" s="1"/>
  <c r="E105" i="6"/>
  <c r="E633" i="6"/>
  <c r="E316" i="6"/>
  <c r="E169" i="4" s="1"/>
  <c r="E668" i="6"/>
  <c r="E356" i="5" s="1"/>
  <c r="D857" i="6"/>
  <c r="D456" i="4" s="1"/>
  <c r="D329" i="6"/>
  <c r="D681" i="6"/>
  <c r="D153" i="6"/>
  <c r="C522" i="6"/>
  <c r="C170" i="6"/>
  <c r="C346" i="6"/>
  <c r="C172" i="6"/>
  <c r="C876" i="6"/>
  <c r="C348" i="6"/>
  <c r="C188" i="4" s="1"/>
  <c r="C524" i="6"/>
  <c r="C282" i="5" s="1"/>
  <c r="L62" i="10"/>
  <c r="C132" i="6"/>
  <c r="C822" i="6"/>
  <c r="C436" i="4" s="1"/>
  <c r="C118" i="6"/>
  <c r="C470" i="6"/>
  <c r="C294" i="6"/>
  <c r="C664" i="6"/>
  <c r="C488" i="6"/>
  <c r="C840" i="6"/>
  <c r="C446" i="4" s="1"/>
  <c r="C312" i="6"/>
  <c r="C136" i="6"/>
  <c r="E846" i="6"/>
  <c r="E449" i="4" s="1"/>
  <c r="E670" i="6"/>
  <c r="E494" i="6"/>
  <c r="E263" i="4" s="1"/>
  <c r="E857" i="6"/>
  <c r="E153" i="6"/>
  <c r="E84" i="4" s="1"/>
  <c r="E505" i="6"/>
  <c r="E271" i="5" s="1"/>
  <c r="D698" i="6"/>
  <c r="D373" i="4" s="1"/>
  <c r="D874" i="6"/>
  <c r="D346" i="6"/>
  <c r="D170" i="6"/>
  <c r="D172" i="6"/>
  <c r="D348" i="6"/>
  <c r="D189" i="5" s="1"/>
  <c r="D876" i="6"/>
  <c r="D524" i="6"/>
  <c r="D281" i="4" s="1"/>
  <c r="D700" i="6"/>
  <c r="D374" i="4" s="1"/>
  <c r="L22" i="9"/>
  <c r="L353" i="9"/>
  <c r="E68" i="5"/>
  <c r="C237" i="5"/>
  <c r="D53" i="6"/>
  <c r="D132" i="6"/>
  <c r="D222" i="6"/>
  <c r="D121" i="4" s="1"/>
  <c r="E492" i="6"/>
  <c r="D718" i="6"/>
  <c r="D385" i="5" s="1"/>
  <c r="E724" i="6"/>
  <c r="E548" i="6"/>
  <c r="E20" i="6"/>
  <c r="E593" i="6"/>
  <c r="E65" i="6"/>
  <c r="E40" i="5" s="1"/>
  <c r="E769" i="6"/>
  <c r="D118" i="6"/>
  <c r="D822" i="6"/>
  <c r="D294" i="6"/>
  <c r="D157" i="4" s="1"/>
  <c r="D161" i="6"/>
  <c r="D865" i="6"/>
  <c r="D337" i="6"/>
  <c r="D182" i="4" s="1"/>
  <c r="D513" i="6"/>
  <c r="E180" i="6"/>
  <c r="E532" i="6"/>
  <c r="E286" i="5" s="1"/>
  <c r="E884" i="6"/>
  <c r="L166" i="9"/>
  <c r="L32" i="10"/>
  <c r="E417" i="5"/>
  <c r="E241" i="6"/>
  <c r="E132" i="4" s="1"/>
  <c r="E396" i="6"/>
  <c r="E214" i="5" s="1"/>
  <c r="D522" i="6"/>
  <c r="C700" i="6"/>
  <c r="C375" i="5" s="1"/>
  <c r="E718" i="6"/>
  <c r="E385" i="5" s="1"/>
  <c r="E748" i="6"/>
  <c r="D202" i="6"/>
  <c r="D378" i="6"/>
  <c r="D26" i="6"/>
  <c r="E822" i="6"/>
  <c r="E118" i="6"/>
  <c r="E64" i="4" s="1"/>
  <c r="E294" i="6"/>
  <c r="E157" i="4" s="1"/>
  <c r="C834" i="6"/>
  <c r="C444" i="5" s="1"/>
  <c r="C658" i="6"/>
  <c r="C350" i="4" s="1"/>
  <c r="C130" i="6"/>
  <c r="C482" i="6"/>
  <c r="E312" i="6"/>
  <c r="E136" i="6"/>
  <c r="E513" i="6"/>
  <c r="E689" i="6"/>
  <c r="L34" i="11"/>
  <c r="D278" i="4"/>
  <c r="D9" i="5"/>
  <c r="C306" i="6"/>
  <c r="C164" i="4" s="1"/>
  <c r="E392" i="4"/>
  <c r="C187" i="5"/>
  <c r="D211" i="5"/>
  <c r="D164" i="6"/>
  <c r="B107" i="3"/>
  <c r="B106" i="2"/>
  <c r="E38" i="6"/>
  <c r="E164" i="6"/>
  <c r="E92" i="5" s="1"/>
  <c r="C141" i="4"/>
  <c r="D326" i="4"/>
  <c r="E10" i="5"/>
  <c r="E208" i="4"/>
  <c r="C740" i="6"/>
  <c r="C564" i="6"/>
  <c r="C302" i="4" s="1"/>
  <c r="C388" i="6"/>
  <c r="C210" i="5" s="1"/>
  <c r="D744" i="6"/>
  <c r="D216" i="6"/>
  <c r="D40" i="6"/>
  <c r="D25" i="4" s="1"/>
  <c r="D392" i="6"/>
  <c r="D49" i="6"/>
  <c r="D577" i="6"/>
  <c r="D309" i="4" s="1"/>
  <c r="D407" i="6"/>
  <c r="D219" i="4" s="1"/>
  <c r="D759" i="6"/>
  <c r="D231" i="6"/>
  <c r="D55" i="6"/>
  <c r="D265" i="6"/>
  <c r="D793" i="6"/>
  <c r="D617" i="6"/>
  <c r="C107" i="6"/>
  <c r="C811" i="6"/>
  <c r="C431" i="5" s="1"/>
  <c r="C283" i="6"/>
  <c r="C152" i="5" s="1"/>
  <c r="C635" i="6"/>
  <c r="C338" i="5" s="1"/>
  <c r="D297" i="6"/>
  <c r="D121" i="6"/>
  <c r="D825" i="6"/>
  <c r="D438" i="4" s="1"/>
  <c r="D178" i="6"/>
  <c r="D706" i="6"/>
  <c r="D530" i="6"/>
  <c r="D284" i="4" s="1"/>
  <c r="C18" i="4"/>
  <c r="C19" i="5"/>
  <c r="E144" i="6"/>
  <c r="E78" i="4" s="1"/>
  <c r="E214" i="6"/>
  <c r="C508" i="6"/>
  <c r="C14" i="6"/>
  <c r="C718" i="6"/>
  <c r="C190" i="6"/>
  <c r="C366" i="6"/>
  <c r="C380" i="6"/>
  <c r="C556" i="6"/>
  <c r="C298" i="4" s="1"/>
  <c r="C204" i="6"/>
  <c r="C28" i="6"/>
  <c r="D736" i="6"/>
  <c r="D208" i="6"/>
  <c r="D560" i="6"/>
  <c r="E744" i="6"/>
  <c r="E216" i="6"/>
  <c r="E392" i="6"/>
  <c r="E40" i="6"/>
  <c r="E759" i="6"/>
  <c r="E231" i="6"/>
  <c r="E583" i="6"/>
  <c r="E55" i="6"/>
  <c r="E793" i="6"/>
  <c r="E617" i="6"/>
  <c r="C452" i="6"/>
  <c r="C628" i="6"/>
  <c r="C100" i="6"/>
  <c r="C276" i="6"/>
  <c r="C140" i="6"/>
  <c r="C492" i="6"/>
  <c r="C316" i="6"/>
  <c r="C170" i="5" s="1"/>
  <c r="C668" i="6"/>
  <c r="E530" i="6"/>
  <c r="E284" i="4" s="1"/>
  <c r="E706" i="6"/>
  <c r="E358" i="6"/>
  <c r="E194" i="5" s="1"/>
  <c r="E710" i="6"/>
  <c r="E886" i="6"/>
  <c r="D107" i="6"/>
  <c r="D58" i="4" s="1"/>
  <c r="C98" i="5"/>
  <c r="C97" i="4"/>
  <c r="C198" i="6"/>
  <c r="E261" i="6"/>
  <c r="D380" i="6"/>
  <c r="D205" i="4" s="1"/>
  <c r="D28" i="6"/>
  <c r="D204" i="6"/>
  <c r="E388" i="6"/>
  <c r="E36" i="6"/>
  <c r="E564" i="6"/>
  <c r="E740" i="6"/>
  <c r="E395" i="4" s="1"/>
  <c r="C799" i="6"/>
  <c r="C424" i="5" s="1"/>
  <c r="C447" i="6"/>
  <c r="D668" i="6"/>
  <c r="D356" i="5" s="1"/>
  <c r="D140" i="6"/>
  <c r="D316" i="6"/>
  <c r="D169" i="4" s="1"/>
  <c r="D844" i="6"/>
  <c r="C153" i="6"/>
  <c r="C329" i="6"/>
  <c r="C177" i="4" s="1"/>
  <c r="C108" i="4"/>
  <c r="C336" i="4"/>
  <c r="E20" i="4"/>
  <c r="E21" i="5"/>
  <c r="E107" i="6"/>
  <c r="E58" i="4" s="1"/>
  <c r="D70" i="5"/>
  <c r="D69" i="4"/>
  <c r="D198" i="6"/>
  <c r="D109" i="4" s="1"/>
  <c r="D441" i="6"/>
  <c r="D740" i="6"/>
  <c r="C548" i="6"/>
  <c r="C724" i="6"/>
  <c r="E556" i="6"/>
  <c r="E28" i="6"/>
  <c r="E380" i="6"/>
  <c r="E205" i="4" s="1"/>
  <c r="C409" i="6"/>
  <c r="C220" i="4" s="1"/>
  <c r="C585" i="6"/>
  <c r="C57" i="6"/>
  <c r="C761" i="6"/>
  <c r="C233" i="6"/>
  <c r="C241" i="6"/>
  <c r="C132" i="4" s="1"/>
  <c r="C417" i="6"/>
  <c r="C225" i="4" s="1"/>
  <c r="C65" i="6"/>
  <c r="C769" i="6"/>
  <c r="C593" i="6"/>
  <c r="C319" i="5" s="1"/>
  <c r="E452" i="6"/>
  <c r="E628" i="6"/>
  <c r="E276" i="6"/>
  <c r="C287" i="6"/>
  <c r="C463" i="6"/>
  <c r="C247" i="5" s="1"/>
  <c r="C639" i="6"/>
  <c r="C830" i="6"/>
  <c r="C654" i="6"/>
  <c r="C348" i="4" s="1"/>
  <c r="D846" i="6"/>
  <c r="D142" i="6"/>
  <c r="D670" i="6"/>
  <c r="D356" i="4" s="1"/>
  <c r="D494" i="6"/>
  <c r="D263" i="4" s="1"/>
  <c r="C708" i="6"/>
  <c r="C378" i="4" s="1"/>
  <c r="C180" i="6"/>
  <c r="C532" i="6"/>
  <c r="E363" i="4"/>
  <c r="D68" i="5"/>
  <c r="D157" i="5"/>
  <c r="E198" i="6"/>
  <c r="C271" i="6"/>
  <c r="C144" i="4" s="1"/>
  <c r="E441" i="6"/>
  <c r="D250" i="4"/>
  <c r="D492" i="6"/>
  <c r="E581" i="6"/>
  <c r="C698" i="6"/>
  <c r="C373" i="4" s="1"/>
  <c r="C844" i="6"/>
  <c r="C448" i="4" s="1"/>
  <c r="D548" i="6"/>
  <c r="D724" i="6"/>
  <c r="D372" i="6"/>
  <c r="D220" i="6"/>
  <c r="D121" i="5" s="1"/>
  <c r="D572" i="6"/>
  <c r="D306" i="4" s="1"/>
  <c r="D748" i="6"/>
  <c r="D44" i="6"/>
  <c r="D585" i="6"/>
  <c r="D761" i="6"/>
  <c r="D233" i="6"/>
  <c r="D57" i="6"/>
  <c r="C631" i="6"/>
  <c r="C335" i="4" s="1"/>
  <c r="C807" i="6"/>
  <c r="C600" i="6"/>
  <c r="C248" i="6"/>
  <c r="C279" i="6"/>
  <c r="C424" i="6"/>
  <c r="C103" i="6"/>
  <c r="E254" i="6"/>
  <c r="E139" i="5" s="1"/>
  <c r="E78" i="6"/>
  <c r="E95" i="6"/>
  <c r="E623" i="6"/>
  <c r="E271" i="6"/>
  <c r="E144" i="4" s="1"/>
  <c r="E799" i="6"/>
  <c r="D639" i="6"/>
  <c r="D463" i="6"/>
  <c r="D246" i="4" s="1"/>
  <c r="D302" i="6"/>
  <c r="D830" i="6"/>
  <c r="D654" i="6"/>
  <c r="D348" i="4" s="1"/>
  <c r="D478" i="6"/>
  <c r="D180" i="6"/>
  <c r="D532" i="6"/>
  <c r="D708" i="6"/>
  <c r="D378" i="4" s="1"/>
  <c r="D884" i="6"/>
  <c r="D299" i="6"/>
  <c r="E320" i="6"/>
  <c r="C372" i="6"/>
  <c r="C646" i="6"/>
  <c r="C343" i="4" s="1"/>
  <c r="C730" i="6"/>
  <c r="C202" i="6"/>
  <c r="C111" i="4" s="1"/>
  <c r="C378" i="6"/>
  <c r="C204" i="4" s="1"/>
  <c r="E761" i="6"/>
  <c r="E233" i="6"/>
  <c r="D600" i="6"/>
  <c r="D631" i="6"/>
  <c r="D103" i="6"/>
  <c r="C258" i="6"/>
  <c r="C140" i="4" s="1"/>
  <c r="C786" i="6"/>
  <c r="C610" i="6"/>
  <c r="C434" i="6"/>
  <c r="C234" i="5" s="1"/>
  <c r="C82" i="6"/>
  <c r="E639" i="6"/>
  <c r="E463" i="6"/>
  <c r="E246" i="4" s="1"/>
  <c r="E830" i="6"/>
  <c r="E441" i="4" s="1"/>
  <c r="E126" i="6"/>
  <c r="E302" i="6"/>
  <c r="E654" i="6"/>
  <c r="E349" i="5" s="1"/>
  <c r="D840" i="6"/>
  <c r="D136" i="6"/>
  <c r="D312" i="6"/>
  <c r="E188" i="5"/>
  <c r="E187" i="4"/>
  <c r="E876" i="6"/>
  <c r="E467" i="4" s="1"/>
  <c r="E700" i="6"/>
  <c r="E374" i="4" s="1"/>
  <c r="E172" i="6"/>
  <c r="L17" i="10"/>
  <c r="C74" i="5"/>
  <c r="C73" i="4"/>
  <c r="E182" i="6"/>
  <c r="E372" i="6"/>
  <c r="D224" i="4"/>
  <c r="D225" i="5"/>
  <c r="D542" i="6"/>
  <c r="D646" i="6"/>
  <c r="D343" i="4" s="1"/>
  <c r="C738" i="6"/>
  <c r="C34" i="6"/>
  <c r="C562" i="6"/>
  <c r="C301" i="4" s="1"/>
  <c r="E807" i="6"/>
  <c r="E248" i="6"/>
  <c r="E103" i="6"/>
  <c r="E424" i="6"/>
  <c r="D786" i="6"/>
  <c r="D82" i="6"/>
  <c r="D258" i="6"/>
  <c r="C641" i="6"/>
  <c r="C465" i="6"/>
  <c r="C289" i="6"/>
  <c r="C842" i="6"/>
  <c r="C447" i="4" s="1"/>
  <c r="C314" i="6"/>
  <c r="C138" i="6"/>
  <c r="C854" i="6"/>
  <c r="C454" i="4" s="1"/>
  <c r="C150" i="6"/>
  <c r="C870" i="6"/>
  <c r="C342" i="6"/>
  <c r="C694" i="6"/>
  <c r="C518" i="6"/>
  <c r="L49" i="11"/>
  <c r="L79" i="11"/>
  <c r="E57" i="6"/>
  <c r="C161" i="6"/>
  <c r="C281" i="6"/>
  <c r="C326" i="6"/>
  <c r="D354" i="6"/>
  <c r="C204" i="5"/>
  <c r="C203" i="4"/>
  <c r="D473" i="6"/>
  <c r="E522" i="6"/>
  <c r="D568" i="6"/>
  <c r="C857" i="6"/>
  <c r="C456" i="4" s="1"/>
  <c r="C471" i="5"/>
  <c r="C470" i="4"/>
  <c r="L225" i="10"/>
  <c r="E89" i="6"/>
  <c r="C210" i="6"/>
  <c r="E225" i="6"/>
  <c r="D281" i="6"/>
  <c r="E354" i="6"/>
  <c r="C455" i="6"/>
  <c r="E473" i="6"/>
  <c r="E524" i="6"/>
  <c r="E550" i="6"/>
  <c r="C623" i="6"/>
  <c r="C330" i="4" s="1"/>
  <c r="D649" i="6"/>
  <c r="C678" i="6"/>
  <c r="C361" i="4" s="1"/>
  <c r="C860" i="6"/>
  <c r="D882" i="6"/>
  <c r="L99" i="10"/>
  <c r="L114" i="10"/>
  <c r="C98" i="4"/>
  <c r="E220" i="4"/>
  <c r="C95" i="6"/>
  <c r="C142" i="6"/>
  <c r="C212" i="6"/>
  <c r="C116" i="4" s="1"/>
  <c r="E281" i="6"/>
  <c r="E151" i="5" s="1"/>
  <c r="C356" i="6"/>
  <c r="D384" i="6"/>
  <c r="D401" i="6"/>
  <c r="C502" i="6"/>
  <c r="D623" i="6"/>
  <c r="D331" i="5" s="1"/>
  <c r="E649" i="6"/>
  <c r="E726" i="6"/>
  <c r="D753" i="6"/>
  <c r="D860" i="6"/>
  <c r="C884" i="6"/>
  <c r="C54" i="5"/>
  <c r="C53" i="4"/>
  <c r="E142" i="6"/>
  <c r="C166" i="6"/>
  <c r="D212" i="6"/>
  <c r="D287" i="6"/>
  <c r="C308" i="6"/>
  <c r="C166" i="5" s="1"/>
  <c r="C337" i="6"/>
  <c r="C182" i="4" s="1"/>
  <c r="D356" i="6"/>
  <c r="C386" i="6"/>
  <c r="E401" i="6"/>
  <c r="E216" i="4" s="1"/>
  <c r="D434" i="6"/>
  <c r="D233" i="4" s="1"/>
  <c r="C457" i="6"/>
  <c r="C478" i="6"/>
  <c r="C284" i="5"/>
  <c r="C554" i="6"/>
  <c r="C298" i="5" s="1"/>
  <c r="D333" i="5"/>
  <c r="D332" i="4"/>
  <c r="D730" i="6"/>
  <c r="D390" i="4" s="1"/>
  <c r="D141" i="4"/>
  <c r="D380" i="4"/>
  <c r="C20" i="6"/>
  <c r="E44" i="6"/>
  <c r="E287" i="6"/>
  <c r="E337" i="6"/>
  <c r="E182" i="4" s="1"/>
  <c r="D208" i="4"/>
  <c r="D209" i="5"/>
  <c r="D457" i="6"/>
  <c r="D243" i="4" s="1"/>
  <c r="C505" i="6"/>
  <c r="C270" i="4" s="1"/>
  <c r="D554" i="6"/>
  <c r="D298" i="5" s="1"/>
  <c r="E600" i="6"/>
  <c r="D628" i="6"/>
  <c r="C681" i="6"/>
  <c r="C732" i="6"/>
  <c r="C836" i="6"/>
  <c r="C865" i="6"/>
  <c r="D370" i="6"/>
  <c r="D200" i="4" s="1"/>
  <c r="D720" i="6"/>
  <c r="D194" i="6"/>
  <c r="E210" i="6"/>
  <c r="E116" i="5" s="1"/>
  <c r="E562" i="6"/>
  <c r="E301" i="4" s="1"/>
  <c r="C42" i="6"/>
  <c r="C746" i="6"/>
  <c r="D63" i="6"/>
  <c r="D239" i="6"/>
  <c r="D591" i="6"/>
  <c r="D317" i="4" s="1"/>
  <c r="E130" i="6"/>
  <c r="E482" i="6"/>
  <c r="E138" i="6"/>
  <c r="E842" i="6"/>
  <c r="E447" i="4" s="1"/>
  <c r="C862" i="6"/>
  <c r="C459" i="4" s="1"/>
  <c r="C686" i="6"/>
  <c r="C510" i="6"/>
  <c r="C360" i="6"/>
  <c r="C536" i="6"/>
  <c r="C334" i="6"/>
  <c r="D696" i="6"/>
  <c r="D520" i="6"/>
  <c r="D704" i="6"/>
  <c r="D376" i="4" s="1"/>
  <c r="D528" i="6"/>
  <c r="L259" i="10"/>
  <c r="L44" i="11"/>
  <c r="C350" i="6"/>
  <c r="C189" i="4" s="1"/>
  <c r="C546" i="6"/>
  <c r="C293" i="4" s="1"/>
  <c r="C200" i="6"/>
  <c r="C728" i="6"/>
  <c r="C24" i="6"/>
  <c r="C558" i="6"/>
  <c r="C734" i="6"/>
  <c r="D324" i="6"/>
  <c r="D420" i="6"/>
  <c r="E528" i="6"/>
  <c r="E176" i="6"/>
  <c r="L42" i="10"/>
  <c r="L57" i="10"/>
  <c r="C30" i="6"/>
  <c r="D186" i="6"/>
  <c r="C206" i="6"/>
  <c r="C218" i="6"/>
  <c r="C352" i="6"/>
  <c r="D500" i="6"/>
  <c r="D546" i="6"/>
  <c r="D294" i="5" s="1"/>
  <c r="C676" i="6"/>
  <c r="D722" i="6"/>
  <c r="D767" i="6"/>
  <c r="D872" i="6"/>
  <c r="L348" i="9"/>
  <c r="C119" i="5"/>
  <c r="C118" i="4"/>
  <c r="C192" i="6"/>
  <c r="C370" i="6"/>
  <c r="C200" i="4" s="1"/>
  <c r="C544" i="6"/>
  <c r="C292" i="4" s="1"/>
  <c r="C194" i="6"/>
  <c r="D738" i="6"/>
  <c r="D395" i="5" s="1"/>
  <c r="D210" i="6"/>
  <c r="C51" i="6"/>
  <c r="C579" i="6"/>
  <c r="C403" i="6"/>
  <c r="C763" i="6"/>
  <c r="C587" i="6"/>
  <c r="C411" i="6"/>
  <c r="C63" i="6"/>
  <c r="C38" i="4" s="1"/>
  <c r="C415" i="6"/>
  <c r="D641" i="6"/>
  <c r="D465" i="6"/>
  <c r="D113" i="6"/>
  <c r="D61" i="4" s="1"/>
  <c r="D289" i="6"/>
  <c r="D817" i="6"/>
  <c r="D834" i="6"/>
  <c r="D443" i="4" s="1"/>
  <c r="D130" i="6"/>
  <c r="D658" i="6"/>
  <c r="D351" i="5" s="1"/>
  <c r="D482" i="6"/>
  <c r="D150" i="6"/>
  <c r="D502" i="6"/>
  <c r="D326" i="6"/>
  <c r="D176" i="5" s="1"/>
  <c r="D870" i="6"/>
  <c r="D342" i="6"/>
  <c r="D694" i="6"/>
  <c r="D166" i="6"/>
  <c r="C696" i="6"/>
  <c r="C520" i="6"/>
  <c r="C168" i="6"/>
  <c r="C890" i="6"/>
  <c r="C538" i="6"/>
  <c r="C714" i="6"/>
  <c r="L17" i="9"/>
  <c r="L129" i="10"/>
  <c r="C362" i="6"/>
  <c r="C591" i="6"/>
  <c r="C318" i="5" s="1"/>
  <c r="D755" i="6"/>
  <c r="D403" i="4" s="1"/>
  <c r="D51" i="6"/>
  <c r="D31" i="4" s="1"/>
  <c r="D763" i="6"/>
  <c r="D411" i="6"/>
  <c r="D59" i="6"/>
  <c r="E113" i="6"/>
  <c r="E61" i="4" s="1"/>
  <c r="E817" i="6"/>
  <c r="E641" i="6"/>
  <c r="E465" i="6"/>
  <c r="E166" i="6"/>
  <c r="E342" i="6"/>
  <c r="D878" i="6"/>
  <c r="D350" i="6"/>
  <c r="D526" i="6"/>
  <c r="D282" i="4" s="1"/>
  <c r="D53" i="4"/>
  <c r="C186" i="6"/>
  <c r="D362" i="6"/>
  <c r="C394" i="6"/>
  <c r="C212" i="4" s="1"/>
  <c r="C427" i="6"/>
  <c r="C500" i="6"/>
  <c r="D562" i="6"/>
  <c r="D301" i="4" s="1"/>
  <c r="C767" i="6"/>
  <c r="C872" i="6"/>
  <c r="E16" i="6"/>
  <c r="E194" i="6"/>
  <c r="D42" i="6"/>
  <c r="D394" i="6"/>
  <c r="D212" i="4" s="1"/>
  <c r="D218" i="6"/>
  <c r="E75" i="6"/>
  <c r="E603" i="6"/>
  <c r="E323" i="4" s="1"/>
  <c r="C274" i="6"/>
  <c r="C146" i="4" s="1"/>
  <c r="C802" i="6"/>
  <c r="C626" i="6"/>
  <c r="C468" i="6"/>
  <c r="C644" i="6"/>
  <c r="D888" i="6"/>
  <c r="D360" i="6"/>
  <c r="D862" i="6"/>
  <c r="D536" i="6"/>
  <c r="D334" i="6"/>
  <c r="D686" i="6"/>
  <c r="D510" i="6"/>
  <c r="E878" i="6"/>
  <c r="E350" i="6"/>
  <c r="L27" i="10"/>
  <c r="L72" i="10"/>
  <c r="L134" i="9"/>
  <c r="E82" i="6"/>
  <c r="D138" i="6"/>
  <c r="C158" i="6"/>
  <c r="C87" i="4" s="1"/>
  <c r="D174" i="6"/>
  <c r="D314" i="6"/>
  <c r="D352" i="6"/>
  <c r="C382" i="6"/>
  <c r="E427" i="6"/>
  <c r="E231" i="5" s="1"/>
  <c r="D486" i="6"/>
  <c r="E546" i="6"/>
  <c r="E294" i="5" s="1"/>
  <c r="C596" i="6"/>
  <c r="D676" i="6"/>
  <c r="D854" i="6"/>
  <c r="F43" i="4"/>
  <c r="F44" i="5"/>
  <c r="K44" i="5" s="1"/>
  <c r="F32" i="4"/>
  <c r="N202" i="7" s="1"/>
  <c r="O202" i="7" s="1"/>
  <c r="F33" i="5"/>
  <c r="K33" i="5" s="1"/>
  <c r="F126" i="4"/>
  <c r="F127" i="5"/>
  <c r="K127" i="5" s="1"/>
  <c r="F364" i="5"/>
  <c r="N364" i="5" s="1"/>
  <c r="F363" i="4"/>
  <c r="F121" i="5"/>
  <c r="K121" i="5" s="1"/>
  <c r="F120" i="4"/>
  <c r="F169" i="5"/>
  <c r="K169" i="5" s="1"/>
  <c r="F168" i="4"/>
  <c r="F378" i="5"/>
  <c r="N378" i="5" s="1"/>
  <c r="F377" i="4"/>
  <c r="F218" i="5"/>
  <c r="N218" i="5" s="1"/>
  <c r="F217" i="4"/>
  <c r="F279" i="5"/>
  <c r="N279" i="5" s="1"/>
  <c r="F278" i="4"/>
  <c r="F357" i="5"/>
  <c r="N357" i="5" s="1"/>
  <c r="F356" i="4"/>
  <c r="F445" i="5"/>
  <c r="Q445" i="5" s="1"/>
  <c r="F444" i="4"/>
  <c r="F101" i="5"/>
  <c r="K101" i="5" s="1"/>
  <c r="F100" i="4"/>
  <c r="F132" i="4"/>
  <c r="F133" i="5"/>
  <c r="K133" i="5" s="1"/>
  <c r="F181" i="5"/>
  <c r="K181" i="5" s="1"/>
  <c r="F180" i="4"/>
  <c r="F328" i="5"/>
  <c r="N328" i="5" s="1"/>
  <c r="F327" i="4"/>
  <c r="F371" i="4"/>
  <c r="F372" i="5"/>
  <c r="N372" i="5" s="1"/>
  <c r="F22" i="5"/>
  <c r="K22" i="5" s="1"/>
  <c r="F21" i="4"/>
  <c r="F165" i="5"/>
  <c r="K165" i="5" s="1"/>
  <c r="F164" i="4"/>
  <c r="F270" i="4"/>
  <c r="F271" i="5"/>
  <c r="N271" i="5" s="1"/>
  <c r="F291" i="4"/>
  <c r="F292" i="5"/>
  <c r="N292" i="5" s="1"/>
  <c r="F467" i="5"/>
  <c r="Q467" i="5" s="1"/>
  <c r="F466" i="4"/>
  <c r="F97" i="5"/>
  <c r="K97" i="5" s="1"/>
  <c r="F96" i="4"/>
  <c r="F261" i="5"/>
  <c r="N261" i="5" s="1"/>
  <c r="F260" i="4"/>
  <c r="F324" i="4"/>
  <c r="F325" i="5"/>
  <c r="N325" i="5" s="1"/>
  <c r="F352" i="5"/>
  <c r="N352" i="5" s="1"/>
  <c r="F351" i="4"/>
  <c r="F467" i="4"/>
  <c r="F468" i="5"/>
  <c r="Q468" i="5" s="1"/>
  <c r="F74" i="4"/>
  <c r="F75" i="5"/>
  <c r="K75" i="5" s="1"/>
  <c r="F212" i="4"/>
  <c r="F213" i="5"/>
  <c r="N213" i="5" s="1"/>
  <c r="F284" i="5"/>
  <c r="N284" i="5" s="1"/>
  <c r="F283" i="4"/>
  <c r="F336" i="4"/>
  <c r="F337" i="5"/>
  <c r="N337" i="5" s="1"/>
  <c r="F438" i="4"/>
  <c r="F439" i="5"/>
  <c r="Q439" i="5" s="1"/>
  <c r="F26" i="5"/>
  <c r="K26" i="5" s="1"/>
  <c r="F25" i="4"/>
  <c r="F175" i="4"/>
  <c r="F176" i="5"/>
  <c r="K176" i="5" s="1"/>
  <c r="F225" i="5"/>
  <c r="N225" i="5" s="1"/>
  <c r="F224" i="4"/>
  <c r="F151" i="5"/>
  <c r="K151" i="5" s="1"/>
  <c r="F150" i="4"/>
  <c r="F365" i="4"/>
  <c r="F366" i="5"/>
  <c r="N366" i="5" s="1"/>
  <c r="F39" i="5"/>
  <c r="K39" i="5" s="1"/>
  <c r="F38" i="4"/>
  <c r="F40" i="5"/>
  <c r="K40" i="5" s="1"/>
  <c r="F39" i="4"/>
  <c r="F203" i="5"/>
  <c r="N203" i="5" s="1"/>
  <c r="F202" i="4"/>
  <c r="F234" i="5"/>
  <c r="N234" i="5" s="1"/>
  <c r="F233" i="4"/>
  <c r="F314" i="5"/>
  <c r="N314" i="5" s="1"/>
  <c r="F313" i="4"/>
  <c r="F406" i="5"/>
  <c r="Q406" i="5" s="1"/>
  <c r="F405" i="4"/>
  <c r="F445" i="4"/>
  <c r="F446" i="5"/>
  <c r="Q446" i="5" s="1"/>
  <c r="F135" i="5"/>
  <c r="K135" i="5" s="1"/>
  <c r="F134" i="4"/>
  <c r="F240" i="5"/>
  <c r="N240" i="5" s="1"/>
  <c r="F239" i="4"/>
  <c r="F78" i="4"/>
  <c r="F79" i="5"/>
  <c r="K79" i="5" s="1"/>
  <c r="F116" i="4"/>
  <c r="F117" i="5"/>
  <c r="K117" i="5" s="1"/>
  <c r="F234" i="4"/>
  <c r="F235" i="5"/>
  <c r="N235" i="5" s="1"/>
  <c r="D411" i="4"/>
  <c r="D412" i="5"/>
  <c r="F156" i="4"/>
  <c r="F157" i="5"/>
  <c r="K157" i="5" s="1"/>
  <c r="F16" i="5"/>
  <c r="K16" i="5" s="1"/>
  <c r="F15" i="4"/>
  <c r="F54" i="4"/>
  <c r="F55" i="5"/>
  <c r="K55" i="5" s="1"/>
  <c r="F212" i="5"/>
  <c r="N212" i="5" s="1"/>
  <c r="F211" i="4"/>
  <c r="F390" i="5"/>
  <c r="Q390" i="5" s="1"/>
  <c r="F389" i="4"/>
  <c r="F93" i="5"/>
  <c r="K93" i="5" s="1"/>
  <c r="F92" i="4"/>
  <c r="F255" i="4"/>
  <c r="F256" i="5"/>
  <c r="N256" i="5" s="1"/>
  <c r="F355" i="4"/>
  <c r="F356" i="5"/>
  <c r="N356" i="5" s="1"/>
  <c r="F450" i="4"/>
  <c r="F451" i="5"/>
  <c r="Q451" i="5" s="1"/>
  <c r="F24" i="4"/>
  <c r="F25" i="5"/>
  <c r="K25" i="5" s="1"/>
  <c r="F18" i="4"/>
  <c r="F19" i="5"/>
  <c r="K19" i="5" s="1"/>
  <c r="F215" i="5"/>
  <c r="N215" i="5" s="1"/>
  <c r="F214" i="4"/>
  <c r="F418" i="5"/>
  <c r="Q418" i="5" s="1"/>
  <c r="F417" i="4"/>
  <c r="F33" i="4"/>
  <c r="F34" i="5"/>
  <c r="K34" i="5" s="1"/>
  <c r="F81" i="4"/>
  <c r="F82" i="5"/>
  <c r="K82" i="5" s="1"/>
  <c r="F114" i="5"/>
  <c r="K114" i="5" s="1"/>
  <c r="F113" i="4"/>
  <c r="F189" i="5"/>
  <c r="K189" i="5" s="1"/>
  <c r="F188" i="4"/>
  <c r="F257" i="4"/>
  <c r="F258" i="5"/>
  <c r="N258" i="5" s="1"/>
  <c r="F277" i="4"/>
  <c r="F278" i="5"/>
  <c r="N278" i="5" s="1"/>
  <c r="F378" i="4"/>
  <c r="F379" i="5"/>
  <c r="N379" i="5" s="1"/>
  <c r="F457" i="5"/>
  <c r="Q457" i="5" s="1"/>
  <c r="F456" i="4"/>
  <c r="F299" i="5"/>
  <c r="N299" i="5" s="1"/>
  <c r="F298" i="4"/>
  <c r="F318" i="5"/>
  <c r="N318" i="5" s="1"/>
  <c r="F317" i="4"/>
  <c r="F412" i="5"/>
  <c r="Q412" i="5" s="1"/>
  <c r="F411" i="4"/>
  <c r="F27" i="5"/>
  <c r="K27" i="5" s="1"/>
  <c r="F26" i="4"/>
  <c r="F114" i="4"/>
  <c r="F115" i="5"/>
  <c r="K115" i="5" s="1"/>
  <c r="F216" i="4"/>
  <c r="F217" i="5"/>
  <c r="N217" i="5" s="1"/>
  <c r="F414" i="5"/>
  <c r="Q414" i="5" s="1"/>
  <c r="F413" i="4"/>
  <c r="F459" i="5"/>
  <c r="Q459" i="5" s="1"/>
  <c r="F458" i="4"/>
  <c r="F198" i="4"/>
  <c r="F199" i="5"/>
  <c r="N199" i="5" s="1"/>
  <c r="F209" i="4"/>
  <c r="F210" i="5"/>
  <c r="N210" i="5" s="1"/>
  <c r="F260" i="5"/>
  <c r="N260" i="5" s="1"/>
  <c r="F259" i="4"/>
  <c r="F381" i="5"/>
  <c r="N381" i="5" s="1"/>
  <c r="F380" i="4"/>
  <c r="F395" i="5"/>
  <c r="Q395" i="5" s="1"/>
  <c r="F394" i="4"/>
  <c r="F36" i="5"/>
  <c r="K36" i="5" s="1"/>
  <c r="F35" i="4"/>
  <c r="F92" i="5"/>
  <c r="K92" i="5" s="1"/>
  <c r="F91" i="4"/>
  <c r="F331" i="5"/>
  <c r="N331" i="5" s="1"/>
  <c r="F330" i="4"/>
  <c r="F45" i="5"/>
  <c r="K45" i="5" s="1"/>
  <c r="F44" i="4"/>
  <c r="F84" i="4"/>
  <c r="F85" i="5"/>
  <c r="K85" i="5" s="1"/>
  <c r="F147" i="5"/>
  <c r="K147" i="5" s="1"/>
  <c r="F146" i="4"/>
  <c r="F461" i="4"/>
  <c r="F462" i="5"/>
  <c r="Q462" i="5" s="1"/>
  <c r="G5" i="19"/>
  <c r="I5" i="16"/>
  <c r="G5" i="20"/>
  <c r="J5" i="11"/>
  <c r="F5" i="13"/>
  <c r="J5" i="9"/>
  <c r="F5" i="14"/>
  <c r="A275" i="7"/>
  <c r="A732" i="7"/>
  <c r="J5" i="10"/>
  <c r="A710" i="7"/>
  <c r="A326" i="7"/>
  <c r="A514" i="7"/>
  <c r="A487" i="7"/>
  <c r="A71" i="7"/>
  <c r="A603" i="7"/>
  <c r="A475" i="7"/>
  <c r="A446" i="7"/>
  <c r="N5" i="6"/>
  <c r="A568" i="7"/>
  <c r="A466" i="7"/>
  <c r="A392" i="7"/>
  <c r="A100" i="7"/>
  <c r="J5" i="8"/>
  <c r="A700" i="7"/>
  <c r="A662" i="7"/>
  <c r="A282" i="7"/>
  <c r="A259" i="7"/>
  <c r="A91" i="7"/>
  <c r="A61" i="7"/>
  <c r="A691" i="7"/>
  <c r="A671" i="7"/>
  <c r="A651" i="7"/>
  <c r="A534" i="7"/>
  <c r="A427" i="7"/>
  <c r="A418" i="7"/>
  <c r="A403" i="7"/>
  <c r="A252" i="7"/>
  <c r="A214" i="7"/>
  <c r="J5" i="12"/>
  <c r="A682" i="7"/>
  <c r="A595" i="7"/>
  <c r="A436" i="7"/>
  <c r="A369" i="7"/>
  <c r="A291" i="7"/>
  <c r="A175" i="7"/>
  <c r="A157" i="7"/>
  <c r="A150" i="7"/>
  <c r="A623" i="7"/>
  <c r="A588" i="7"/>
  <c r="A555" i="7"/>
  <c r="A458" i="7"/>
  <c r="A205" i="7"/>
  <c r="A143" i="7"/>
  <c r="A110" i="7"/>
  <c r="A632" i="7"/>
  <c r="A545" i="7"/>
  <c r="A378" i="7"/>
  <c r="A194" i="7"/>
  <c r="A524" i="7"/>
  <c r="A359" i="7"/>
  <c r="A185" i="7"/>
  <c r="I5" i="15"/>
  <c r="A641" i="7"/>
  <c r="A347" i="7"/>
  <c r="A41" i="7"/>
  <c r="A34" i="7"/>
  <c r="A720" i="7"/>
  <c r="A578" i="7"/>
  <c r="A313" i="7"/>
  <c r="A167" i="7"/>
  <c r="A613" i="7"/>
  <c r="A131" i="7"/>
  <c r="A25" i="7"/>
  <c r="A81" i="7"/>
  <c r="I5" i="5"/>
  <c r="A301" i="7"/>
  <c r="A235" i="7"/>
  <c r="J5" i="7"/>
  <c r="I5" i="4"/>
  <c r="A120" i="7"/>
  <c r="A51" i="7"/>
  <c r="F52" i="5"/>
  <c r="K52" i="5" s="1"/>
  <c r="F51" i="4"/>
  <c r="F72" i="4"/>
  <c r="F73" i="5"/>
  <c r="K73" i="5" s="1"/>
  <c r="F86" i="4"/>
  <c r="F87" i="5"/>
  <c r="K87" i="5" s="1"/>
  <c r="F205" i="4"/>
  <c r="F206" i="5"/>
  <c r="N206" i="5" s="1"/>
  <c r="F305" i="4"/>
  <c r="F306" i="5"/>
  <c r="N306" i="5" s="1"/>
  <c r="F312" i="4"/>
  <c r="F313" i="5"/>
  <c r="N313" i="5" s="1"/>
  <c r="F397" i="5"/>
  <c r="Q397" i="5" s="1"/>
  <c r="F396" i="4"/>
  <c r="A14" i="7"/>
  <c r="E110" i="4"/>
  <c r="E111" i="5"/>
  <c r="F53" i="4"/>
  <c r="F54" i="5"/>
  <c r="K54" i="5" s="1"/>
  <c r="F102" i="4"/>
  <c r="F103" i="5"/>
  <c r="K103" i="5" s="1"/>
  <c r="F110" i="4"/>
  <c r="F111" i="5"/>
  <c r="K111" i="5" s="1"/>
  <c r="F118" i="5"/>
  <c r="K118" i="5" s="1"/>
  <c r="F117" i="4"/>
  <c r="F193" i="5"/>
  <c r="K193" i="5" s="1"/>
  <c r="F192" i="4"/>
  <c r="F245" i="5"/>
  <c r="N245" i="5" s="1"/>
  <c r="F244" i="4"/>
  <c r="F307" i="5"/>
  <c r="N307" i="5" s="1"/>
  <c r="F306" i="4"/>
  <c r="F334" i="5"/>
  <c r="N334" i="5" s="1"/>
  <c r="F333" i="4"/>
  <c r="F385" i="5"/>
  <c r="Q385" i="5" s="1"/>
  <c r="F384" i="4"/>
  <c r="F437" i="5"/>
  <c r="Q437" i="5" s="1"/>
  <c r="F436" i="4"/>
  <c r="F170" i="4"/>
  <c r="F279" i="4"/>
  <c r="F428" i="4"/>
  <c r="D362" i="5"/>
  <c r="D361" i="4"/>
  <c r="F65" i="5"/>
  <c r="K65" i="5" s="1"/>
  <c r="F64" i="4"/>
  <c r="F107" i="5"/>
  <c r="K107" i="5" s="1"/>
  <c r="F106" i="4"/>
  <c r="F195" i="5"/>
  <c r="K195" i="5" s="1"/>
  <c r="F194" i="4"/>
  <c r="F208" i="5"/>
  <c r="N208" i="5" s="1"/>
  <c r="F207" i="4"/>
  <c r="F393" i="5"/>
  <c r="Q393" i="5" s="1"/>
  <c r="F392" i="4"/>
  <c r="F473" i="4"/>
  <c r="F474" i="5"/>
  <c r="Q474" i="5" s="1"/>
  <c r="F13" i="5"/>
  <c r="K13" i="5" s="1"/>
  <c r="F12" i="4"/>
  <c r="N78" i="6"/>
  <c r="F66" i="4"/>
  <c r="F67" i="5"/>
  <c r="K67" i="5" s="1"/>
  <c r="F112" i="4"/>
  <c r="F113" i="5"/>
  <c r="K113" i="5" s="1"/>
  <c r="F474" i="4"/>
  <c r="F475" i="5"/>
  <c r="Q475" i="5" s="1"/>
  <c r="F9" i="4"/>
  <c r="F57" i="5"/>
  <c r="K57" i="5" s="1"/>
  <c r="N126" i="6"/>
  <c r="F386" i="4"/>
  <c r="F190" i="5"/>
  <c r="K190" i="5" s="1"/>
  <c r="D593" i="6"/>
  <c r="D241" i="6"/>
  <c r="D65" i="6"/>
  <c r="D417" i="6"/>
  <c r="F318" i="4"/>
  <c r="F319" i="5"/>
  <c r="N319" i="5" s="1"/>
  <c r="F340" i="5"/>
  <c r="N340" i="5" s="1"/>
  <c r="F339" i="4"/>
  <c r="F419" i="4"/>
  <c r="F420" i="5"/>
  <c r="Q420" i="5" s="1"/>
  <c r="F187" i="4"/>
  <c r="F116" i="5"/>
  <c r="K116" i="5" s="1"/>
  <c r="F115" i="4"/>
  <c r="F142" i="5"/>
  <c r="K142" i="5" s="1"/>
  <c r="F141" i="4"/>
  <c r="F174" i="4"/>
  <c r="F175" i="5"/>
  <c r="K175" i="5" s="1"/>
  <c r="F227" i="4"/>
  <c r="F228" i="5"/>
  <c r="N228" i="5" s="1"/>
  <c r="F399" i="4"/>
  <c r="F400" i="5"/>
  <c r="Q400" i="5" s="1"/>
  <c r="F444" i="5"/>
  <c r="Q444" i="5" s="1"/>
  <c r="F443" i="4"/>
  <c r="F199" i="4"/>
  <c r="F200" i="5"/>
  <c r="N200" i="5" s="1"/>
  <c r="F469" i="4"/>
  <c r="F470" i="5"/>
  <c r="Q470" i="5" s="1"/>
  <c r="F247" i="4"/>
  <c r="F244" i="5"/>
  <c r="N244" i="5" s="1"/>
  <c r="F97" i="4"/>
  <c r="F98" i="5"/>
  <c r="K98" i="5" s="1"/>
  <c r="N251" i="6"/>
  <c r="F137" i="4" s="1"/>
  <c r="F155" i="5"/>
  <c r="K155" i="5" s="1"/>
  <c r="F154" i="4"/>
  <c r="F433" i="4"/>
  <c r="F434" i="5"/>
  <c r="Q434" i="5" s="1"/>
  <c r="F471" i="5"/>
  <c r="Q471" i="5" s="1"/>
  <c r="F470" i="4"/>
  <c r="F242" i="4"/>
  <c r="D200" i="6"/>
  <c r="D728" i="6"/>
  <c r="D24" i="6"/>
  <c r="F28" i="4"/>
  <c r="F29" i="5"/>
  <c r="K29" i="5" s="1"/>
  <c r="F289" i="5"/>
  <c r="N289" i="5" s="1"/>
  <c r="F288" i="4"/>
  <c r="N617" i="6"/>
  <c r="F381" i="4"/>
  <c r="F382" i="5"/>
  <c r="N382" i="5" s="1"/>
  <c r="F472" i="5"/>
  <c r="Q472" i="5" s="1"/>
  <c r="F471" i="4"/>
  <c r="F17" i="5"/>
  <c r="K17" i="5" s="1"/>
  <c r="F16" i="4"/>
  <c r="F31" i="4"/>
  <c r="F32" i="5"/>
  <c r="K32" i="5" s="1"/>
  <c r="F63" i="4"/>
  <c r="F64" i="5"/>
  <c r="K64" i="5" s="1"/>
  <c r="F93" i="4"/>
  <c r="F94" i="5"/>
  <c r="K94" i="5" s="1"/>
  <c r="F106" i="5"/>
  <c r="K106" i="5" s="1"/>
  <c r="F105" i="4"/>
  <c r="N265" i="6"/>
  <c r="F186" i="4"/>
  <c r="F187" i="5"/>
  <c r="K187" i="5" s="1"/>
  <c r="F207" i="5"/>
  <c r="N207" i="5" s="1"/>
  <c r="F206" i="4"/>
  <c r="F229" i="4"/>
  <c r="F230" i="5"/>
  <c r="N230" i="5" s="1"/>
  <c r="F246" i="4"/>
  <c r="F247" i="5"/>
  <c r="N247" i="5" s="1"/>
  <c r="F273" i="4"/>
  <c r="F274" i="5"/>
  <c r="N274" i="5" s="1"/>
  <c r="F336" i="5"/>
  <c r="N336" i="5" s="1"/>
  <c r="F335" i="4"/>
  <c r="F390" i="4"/>
  <c r="F391" i="5"/>
  <c r="Q391" i="5" s="1"/>
  <c r="N779" i="6"/>
  <c r="F446" i="4"/>
  <c r="F447" i="5"/>
  <c r="Q447" i="5" s="1"/>
  <c r="I697" i="8"/>
  <c r="G691" i="8" s="1"/>
  <c r="L691" i="8" s="1"/>
  <c r="F302" i="4"/>
  <c r="F219" i="5"/>
  <c r="N219" i="5" s="1"/>
  <c r="F354" i="5"/>
  <c r="N354" i="5" s="1"/>
  <c r="D245" i="5"/>
  <c r="D244" i="4"/>
  <c r="E251" i="5"/>
  <c r="E250" i="4"/>
  <c r="E269" i="5"/>
  <c r="E268" i="4"/>
  <c r="D552" i="6"/>
  <c r="E305" i="4"/>
  <c r="C311" i="4"/>
  <c r="C312" i="5"/>
  <c r="F88" i="5"/>
  <c r="K88" i="5" s="1"/>
  <c r="F87" i="4"/>
  <c r="F308" i="5"/>
  <c r="N308" i="5" s="1"/>
  <c r="F307" i="4"/>
  <c r="F346" i="5"/>
  <c r="N346" i="5" s="1"/>
  <c r="F345" i="4"/>
  <c r="F371" i="5"/>
  <c r="N371" i="5" s="1"/>
  <c r="F370" i="4"/>
  <c r="F99" i="4"/>
  <c r="F100" i="5"/>
  <c r="K100" i="5" s="1"/>
  <c r="F209" i="5"/>
  <c r="N209" i="5" s="1"/>
  <c r="F208" i="4"/>
  <c r="F347" i="5"/>
  <c r="N347" i="5" s="1"/>
  <c r="F346" i="4"/>
  <c r="F429" i="4"/>
  <c r="F430" i="5"/>
  <c r="Q430" i="5" s="1"/>
  <c r="N258" i="6"/>
  <c r="F152" i="5"/>
  <c r="K152" i="5" s="1"/>
  <c r="F151" i="4"/>
  <c r="F249" i="4"/>
  <c r="F250" i="5"/>
  <c r="N250" i="5" s="1"/>
  <c r="F267" i="4"/>
  <c r="F268" i="5"/>
  <c r="N268" i="5" s="1"/>
  <c r="F265" i="5"/>
  <c r="N265" i="5" s="1"/>
  <c r="D430" i="5"/>
  <c r="D429" i="4"/>
  <c r="F183" i="5"/>
  <c r="K183" i="5" s="1"/>
  <c r="F182" i="4"/>
  <c r="F304" i="5"/>
  <c r="N304" i="5" s="1"/>
  <c r="F303" i="4"/>
  <c r="F35" i="5"/>
  <c r="K35" i="5" s="1"/>
  <c r="F128" i="5"/>
  <c r="K128" i="5" s="1"/>
  <c r="F127" i="4"/>
  <c r="F460" i="5"/>
  <c r="Q460" i="5" s="1"/>
  <c r="F459" i="4"/>
  <c r="F110" i="5"/>
  <c r="K110" i="5" s="1"/>
  <c r="F109" i="4"/>
  <c r="F210" i="4"/>
  <c r="F211" i="5"/>
  <c r="N211" i="5" s="1"/>
  <c r="F301" i="5"/>
  <c r="N301" i="5" s="1"/>
  <c r="F300" i="4"/>
  <c r="F373" i="4"/>
  <c r="F374" i="5"/>
  <c r="N374" i="5" s="1"/>
  <c r="F432" i="4"/>
  <c r="F433" i="5"/>
  <c r="Q433" i="5" s="1"/>
  <c r="F375" i="5"/>
  <c r="N375" i="5" s="1"/>
  <c r="F374" i="4"/>
  <c r="F424" i="5"/>
  <c r="Q424" i="5" s="1"/>
  <c r="F423" i="4"/>
  <c r="F49" i="5"/>
  <c r="K49" i="5" s="1"/>
  <c r="F48" i="4"/>
  <c r="F124" i="5"/>
  <c r="K124" i="5" s="1"/>
  <c r="F123" i="4"/>
  <c r="F220" i="5"/>
  <c r="N220" i="5" s="1"/>
  <c r="F219" i="4"/>
  <c r="F297" i="5"/>
  <c r="N297" i="5" s="1"/>
  <c r="F296" i="4"/>
  <c r="F75" i="4"/>
  <c r="N89" i="6"/>
  <c r="F118" i="4"/>
  <c r="F119" i="5"/>
  <c r="K119" i="5" s="1"/>
  <c r="F157" i="4"/>
  <c r="F158" i="5"/>
  <c r="K158" i="5" s="1"/>
  <c r="F169" i="4"/>
  <c r="F170" i="5"/>
  <c r="K170" i="5" s="1"/>
  <c r="F193" i="4"/>
  <c r="F194" i="5"/>
  <c r="K194" i="5" s="1"/>
  <c r="F263" i="4"/>
  <c r="F264" i="5"/>
  <c r="N264" i="5" s="1"/>
  <c r="F326" i="4"/>
  <c r="F327" i="5"/>
  <c r="N327" i="5" s="1"/>
  <c r="N793" i="6"/>
  <c r="F18" i="5"/>
  <c r="K18" i="5" s="1"/>
  <c r="D164" i="4"/>
  <c r="D165" i="5"/>
  <c r="E169" i="5"/>
  <c r="E168" i="4"/>
  <c r="D376" i="6"/>
  <c r="E212" i="4"/>
  <c r="E213" i="5"/>
  <c r="F58" i="5"/>
  <c r="K58" i="5" s="1"/>
  <c r="F57" i="4"/>
  <c r="F213" i="4"/>
  <c r="F214" i="5"/>
  <c r="N214" i="5" s="1"/>
  <c r="D240" i="5"/>
  <c r="D239" i="4"/>
  <c r="F76" i="4"/>
  <c r="F77" i="5"/>
  <c r="K77" i="5" s="1"/>
  <c r="F98" i="4"/>
  <c r="F99" i="5"/>
  <c r="K99" i="5" s="1"/>
  <c r="F137" i="5"/>
  <c r="K137" i="5" s="1"/>
  <c r="F136" i="4"/>
  <c r="F294" i="5"/>
  <c r="N294" i="5" s="1"/>
  <c r="F293" i="4"/>
  <c r="F368" i="4"/>
  <c r="F369" i="5"/>
  <c r="N369" i="5" s="1"/>
  <c r="N776" i="6"/>
  <c r="N107" i="6"/>
  <c r="F131" i="4"/>
  <c r="F132" i="5"/>
  <c r="K132" i="5" s="1"/>
  <c r="F287" i="5"/>
  <c r="N287" i="5" s="1"/>
  <c r="F286" i="4"/>
  <c r="F349" i="5"/>
  <c r="N349" i="5" s="1"/>
  <c r="F348" i="4"/>
  <c r="F393" i="4"/>
  <c r="F394" i="5"/>
  <c r="Q394" i="5" s="1"/>
  <c r="F455" i="5"/>
  <c r="Q455" i="5" s="1"/>
  <c r="F454" i="4"/>
  <c r="F425" i="4"/>
  <c r="F172" i="5"/>
  <c r="K172" i="5" s="1"/>
  <c r="F171" i="4"/>
  <c r="F295" i="5"/>
  <c r="N295" i="5" s="1"/>
  <c r="F294" i="4"/>
  <c r="F361" i="5"/>
  <c r="N361" i="5" s="1"/>
  <c r="F360" i="4"/>
  <c r="F388" i="5"/>
  <c r="Q388" i="5" s="1"/>
  <c r="F387" i="4"/>
  <c r="F41" i="4"/>
  <c r="F124" i="4"/>
  <c r="F464" i="4"/>
  <c r="F392" i="5"/>
  <c r="Q392" i="5" s="1"/>
  <c r="F28" i="5"/>
  <c r="K28" i="5" s="1"/>
  <c r="F27" i="4"/>
  <c r="F108" i="4"/>
  <c r="F109" i="5"/>
  <c r="K109" i="5" s="1"/>
  <c r="F225" i="4"/>
  <c r="F226" i="5"/>
  <c r="N226" i="5" s="1"/>
  <c r="F357" i="4"/>
  <c r="F358" i="5"/>
  <c r="N358" i="5" s="1"/>
  <c r="E204" i="5"/>
  <c r="E203" i="4"/>
  <c r="E225" i="5"/>
  <c r="E224" i="4"/>
  <c r="C286" i="4"/>
  <c r="C287" i="5"/>
  <c r="F366" i="4"/>
  <c r="F367" i="5"/>
  <c r="N367" i="5" s="1"/>
  <c r="E43" i="14"/>
  <c r="B9" i="1" s="1"/>
  <c r="C132" i="5"/>
  <c r="C131" i="4"/>
  <c r="F397" i="4"/>
  <c r="F398" i="5"/>
  <c r="Q398" i="5" s="1"/>
  <c r="F448" i="5"/>
  <c r="Q448" i="5" s="1"/>
  <c r="F447" i="4"/>
  <c r="F285" i="4"/>
  <c r="C736" i="6"/>
  <c r="C384" i="6"/>
  <c r="C208" i="6"/>
  <c r="C560" i="6"/>
  <c r="C32" i="6"/>
  <c r="F161" i="5"/>
  <c r="K161" i="5" s="1"/>
  <c r="F160" i="4"/>
  <c r="F376" i="5"/>
  <c r="N376" i="5" s="1"/>
  <c r="F375" i="4"/>
  <c r="F148" i="5"/>
  <c r="K148" i="5" s="1"/>
  <c r="F147" i="4"/>
  <c r="F154" i="5"/>
  <c r="K154" i="5" s="1"/>
  <c r="F153" i="4"/>
  <c r="N302" i="6"/>
  <c r="F221" i="5"/>
  <c r="N221" i="5" s="1"/>
  <c r="F220" i="4"/>
  <c r="F238" i="5"/>
  <c r="N238" i="5" s="1"/>
  <c r="F237" i="4"/>
  <c r="F287" i="4"/>
  <c r="F288" i="5"/>
  <c r="N288" i="5" s="1"/>
  <c r="F324" i="5"/>
  <c r="N324" i="5" s="1"/>
  <c r="F323" i="4"/>
  <c r="F343" i="5"/>
  <c r="N343" i="5" s="1"/>
  <c r="F342" i="4"/>
  <c r="F465" i="4"/>
  <c r="F466" i="5"/>
  <c r="Q466" i="5" s="1"/>
  <c r="F128" i="4"/>
  <c r="E405" i="5"/>
  <c r="F408" i="5"/>
  <c r="Q408" i="5" s="1"/>
  <c r="F139" i="5"/>
  <c r="K139" i="5" s="1"/>
  <c r="F138" i="4"/>
  <c r="F144" i="4"/>
  <c r="F145" i="5"/>
  <c r="K145" i="5" s="1"/>
  <c r="I150" i="7"/>
  <c r="I151" i="7" s="1"/>
  <c r="G147" i="7"/>
  <c r="I640" i="8"/>
  <c r="C184" i="4"/>
  <c r="C185" i="5"/>
  <c r="E245" i="5"/>
  <c r="E244" i="4"/>
  <c r="E728" i="6"/>
  <c r="E24" i="6"/>
  <c r="F333" i="5"/>
  <c r="N333" i="5" s="1"/>
  <c r="F332" i="4"/>
  <c r="E125" i="5"/>
  <c r="E124" i="4"/>
  <c r="E199" i="4"/>
  <c r="D271" i="5"/>
  <c r="D270" i="4"/>
  <c r="C283" i="5"/>
  <c r="C282" i="4"/>
  <c r="F95" i="5"/>
  <c r="K95" i="5" s="1"/>
  <c r="F94" i="4"/>
  <c r="F258" i="4"/>
  <c r="F259" i="5"/>
  <c r="N259" i="5" s="1"/>
  <c r="N830" i="6"/>
  <c r="F441" i="4" s="1"/>
  <c r="F165" i="4"/>
  <c r="E120" i="5"/>
  <c r="E119" i="4"/>
  <c r="C125" i="4"/>
  <c r="C126" i="5"/>
  <c r="C220" i="5"/>
  <c r="C219" i="4"/>
  <c r="D396" i="4"/>
  <c r="D397" i="5"/>
  <c r="F15" i="5"/>
  <c r="K15" i="5" s="1"/>
  <c r="F14" i="4"/>
  <c r="F21" i="5"/>
  <c r="K21" i="5" s="1"/>
  <c r="F20" i="4"/>
  <c r="F68" i="5"/>
  <c r="K68" i="5" s="1"/>
  <c r="F67" i="4"/>
  <c r="F78" i="5"/>
  <c r="K78" i="5" s="1"/>
  <c r="F77" i="4"/>
  <c r="F202" i="5"/>
  <c r="N202" i="5" s="1"/>
  <c r="F201" i="4"/>
  <c r="F253" i="4"/>
  <c r="F254" i="5"/>
  <c r="N254" i="5" s="1"/>
  <c r="F283" i="5"/>
  <c r="N283" i="5" s="1"/>
  <c r="F282" i="4"/>
  <c r="F354" i="4"/>
  <c r="F355" i="5"/>
  <c r="N355" i="5" s="1"/>
  <c r="G190" i="8"/>
  <c r="I190" i="8" s="1"/>
  <c r="I198" i="8" s="1"/>
  <c r="G510" i="7" s="1"/>
  <c r="I510" i="7" s="1"/>
  <c r="G106" i="8"/>
  <c r="I106" i="8" s="1"/>
  <c r="I114" i="8" s="1"/>
  <c r="G106" i="7" s="1"/>
  <c r="I106" i="7" s="1"/>
  <c r="G38" i="8"/>
  <c r="I38" i="8" s="1"/>
  <c r="I46" i="8" s="1"/>
  <c r="G297" i="7" s="1"/>
  <c r="I297" i="7" s="1"/>
  <c r="G28" i="8"/>
  <c r="I28" i="8" s="1"/>
  <c r="I34" i="8" s="1"/>
  <c r="G27" i="8" s="1"/>
  <c r="L27" i="8" s="1"/>
  <c r="G238" i="8"/>
  <c r="I238" i="8" s="1"/>
  <c r="I246" i="8" s="1"/>
  <c r="G411" i="7" s="1"/>
  <c r="I411" i="7" s="1"/>
  <c r="G230" i="8"/>
  <c r="I230" i="8" s="1"/>
  <c r="G60" i="8"/>
  <c r="I60" i="8" s="1"/>
  <c r="I66" i="8" s="1"/>
  <c r="G250" i="8"/>
  <c r="I250" i="8" s="1"/>
  <c r="I258" i="8" s="1"/>
  <c r="G229" i="8"/>
  <c r="I229" i="8" s="1"/>
  <c r="G223" i="8"/>
  <c r="I223" i="8" s="1"/>
  <c r="G8" i="8"/>
  <c r="I8" i="8" s="1"/>
  <c r="I14" i="8" s="1"/>
  <c r="G468" i="8"/>
  <c r="I468" i="8" s="1"/>
  <c r="I476" i="8" s="1"/>
  <c r="G467" i="8" s="1"/>
  <c r="L467" i="8" s="1"/>
  <c r="G231" i="8"/>
  <c r="I231" i="8" s="1"/>
  <c r="G18" i="8"/>
  <c r="I18" i="8" s="1"/>
  <c r="I24" i="8" s="1"/>
  <c r="G504" i="8"/>
  <c r="I504" i="8" s="1"/>
  <c r="I512" i="8" s="1"/>
  <c r="G503" i="8" s="1"/>
  <c r="L503" i="8" s="1"/>
  <c r="I549" i="9"/>
  <c r="G210" i="9"/>
  <c r="I210" i="9" s="1"/>
  <c r="G446" i="9"/>
  <c r="I446" i="9" s="1"/>
  <c r="G371" i="9"/>
  <c r="I371" i="9" s="1"/>
  <c r="I379" i="9" s="1"/>
  <c r="G549" i="8" s="1"/>
  <c r="I549" i="8" s="1"/>
  <c r="G447" i="9"/>
  <c r="I447" i="9" s="1"/>
  <c r="G248" i="9"/>
  <c r="I248" i="9" s="1"/>
  <c r="G444" i="9"/>
  <c r="I444" i="9" s="1"/>
  <c r="G435" i="9"/>
  <c r="I435" i="9" s="1"/>
  <c r="F166" i="4"/>
  <c r="F405" i="5"/>
  <c r="Q405" i="5" s="1"/>
  <c r="B94" i="3"/>
  <c r="B89" i="3"/>
  <c r="B36" i="3"/>
  <c r="B31" i="3"/>
  <c r="B96" i="2"/>
  <c r="B68" i="2"/>
  <c r="B39" i="2"/>
  <c r="B30" i="2"/>
  <c r="B12" i="2"/>
  <c r="B110" i="3"/>
  <c r="B106" i="3"/>
  <c r="B81" i="3"/>
  <c r="B77" i="3"/>
  <c r="B47" i="3"/>
  <c r="B43" i="3"/>
  <c r="B18" i="3"/>
  <c r="B105" i="2"/>
  <c r="B76" i="2"/>
  <c r="B47" i="2"/>
  <c r="B28" i="2"/>
  <c r="B20" i="2"/>
  <c r="B102" i="3"/>
  <c r="B98" i="3"/>
  <c r="B93" i="3"/>
  <c r="B64" i="3"/>
  <c r="B39" i="3"/>
  <c r="B30" i="3"/>
  <c r="B14" i="3"/>
  <c r="B10" i="3"/>
  <c r="B113" i="2"/>
  <c r="B95" i="2"/>
  <c r="B84" i="2"/>
  <c r="B66" i="2"/>
  <c r="B56" i="2"/>
  <c r="B38" i="2"/>
  <c r="B11" i="2"/>
  <c r="B111" i="3"/>
  <c r="B105" i="3"/>
  <c r="B71" i="3"/>
  <c r="B33" i="3"/>
  <c r="B112" i="2"/>
  <c r="B62" i="2"/>
  <c r="B88" i="3"/>
  <c r="B83" i="3"/>
  <c r="B49" i="3"/>
  <c r="B44" i="3"/>
  <c r="B99" i="2"/>
  <c r="B88" i="2"/>
  <c r="B74" i="2"/>
  <c r="B48" i="2"/>
  <c r="B34" i="2"/>
  <c r="B24" i="2"/>
  <c r="B99" i="3"/>
  <c r="B60" i="3"/>
  <c r="B26" i="3"/>
  <c r="B16" i="3"/>
  <c r="B111" i="2"/>
  <c r="B60" i="2"/>
  <c r="B46" i="2"/>
  <c r="B115" i="3"/>
  <c r="B76" i="3"/>
  <c r="B42" i="3"/>
  <c r="B37" i="3"/>
  <c r="B32" i="3"/>
  <c r="B8" i="3"/>
  <c r="B98" i="2"/>
  <c r="B83" i="2"/>
  <c r="B33" i="2"/>
  <c r="F195" i="4"/>
  <c r="F196" i="5"/>
  <c r="K196" i="5" s="1"/>
  <c r="N441" i="6"/>
  <c r="F297" i="4"/>
  <c r="F298" i="5"/>
  <c r="N298" i="5" s="1"/>
  <c r="B15" i="2"/>
  <c r="B32" i="2"/>
  <c r="B90" i="2"/>
  <c r="B62" i="3"/>
  <c r="B70" i="3"/>
  <c r="B104" i="3"/>
  <c r="F10" i="15"/>
  <c r="N12" i="7"/>
  <c r="O12" i="7" s="1"/>
  <c r="N10" i="7"/>
  <c r="O10" i="7" s="1"/>
  <c r="N28" i="8" s="1"/>
  <c r="O28" i="8" s="1"/>
  <c r="N18" i="9" s="1"/>
  <c r="O18" i="9" s="1"/>
  <c r="N8" i="7"/>
  <c r="O8" i="7" s="1"/>
  <c r="N9" i="8" s="1"/>
  <c r="O9" i="8" s="1"/>
  <c r="N11" i="7"/>
  <c r="O11" i="7" s="1"/>
  <c r="F26" i="16" s="1"/>
  <c r="H26" i="16" s="1"/>
  <c r="N9" i="7"/>
  <c r="O9" i="7" s="1"/>
  <c r="N18" i="8" s="1"/>
  <c r="O18" i="8" s="1"/>
  <c r="N13" i="9" s="1"/>
  <c r="O13" i="9" s="1"/>
  <c r="C101" i="5"/>
  <c r="C100" i="4"/>
  <c r="B17" i="2"/>
  <c r="B53" i="2"/>
  <c r="B70" i="2"/>
  <c r="B110" i="2"/>
  <c r="B20" i="3"/>
  <c r="B54" i="3"/>
  <c r="B80" i="3"/>
  <c r="F102" i="5"/>
  <c r="K102" i="5" s="1"/>
  <c r="F61" i="4"/>
  <c r="F62" i="5"/>
  <c r="K62" i="5" s="1"/>
  <c r="F301" i="4"/>
  <c r="F302" i="5"/>
  <c r="N302" i="5" s="1"/>
  <c r="F379" i="4"/>
  <c r="F380" i="5"/>
  <c r="N380" i="5" s="1"/>
  <c r="N811" i="6"/>
  <c r="F430" i="4" s="1"/>
  <c r="G221" i="10"/>
  <c r="I221" i="10" s="1"/>
  <c r="I222" i="10" s="1"/>
  <c r="B75" i="2"/>
  <c r="B92" i="2"/>
  <c r="B22" i="3"/>
  <c r="B29" i="3"/>
  <c r="B55" i="3"/>
  <c r="B63" i="3"/>
  <c r="B113" i="3"/>
  <c r="C34" i="5"/>
  <c r="E107" i="5"/>
  <c r="E106" i="4"/>
  <c r="C214" i="4"/>
  <c r="F314" i="4"/>
  <c r="F344" i="5"/>
  <c r="N344" i="5" s="1"/>
  <c r="N596" i="6"/>
  <c r="E233" i="4"/>
  <c r="F184" i="4"/>
  <c r="F185" i="5"/>
  <c r="K185" i="5" s="1"/>
  <c r="F395" i="4"/>
  <c r="F396" i="5"/>
  <c r="Q396" i="5" s="1"/>
  <c r="C377" i="4"/>
  <c r="C291" i="4"/>
  <c r="C292" i="5"/>
  <c r="E222" i="5"/>
  <c r="E221" i="4"/>
  <c r="B108" i="3"/>
  <c r="B87" i="3"/>
  <c r="B66" i="3"/>
  <c r="B48" i="3"/>
  <c r="B45" i="3"/>
  <c r="B27" i="3"/>
  <c r="B24" i="3"/>
  <c r="B118" i="3"/>
  <c r="B103" i="3"/>
  <c r="B100" i="3"/>
  <c r="B97" i="3"/>
  <c r="B82" i="3"/>
  <c r="B61" i="3"/>
  <c r="B40" i="3"/>
  <c r="B19" i="3"/>
  <c r="B115" i="2"/>
  <c r="B109" i="2"/>
  <c r="B103" i="2"/>
  <c r="B97" i="2"/>
  <c r="B91" i="2"/>
  <c r="B85" i="2"/>
  <c r="B79" i="2"/>
  <c r="B73" i="2"/>
  <c r="B67" i="2"/>
  <c r="B61" i="2"/>
  <c r="B55" i="2"/>
  <c r="B49" i="2"/>
  <c r="B43" i="2"/>
  <c r="B37" i="2"/>
  <c r="B31" i="2"/>
  <c r="B25" i="2"/>
  <c r="B19" i="2"/>
  <c r="B13" i="2"/>
  <c r="B7" i="2"/>
  <c r="B116" i="3"/>
  <c r="B101" i="3"/>
  <c r="B72" i="3"/>
  <c r="B57" i="3"/>
  <c r="B53" i="3"/>
  <c r="B38" i="3"/>
  <c r="B28" i="3"/>
  <c r="B13" i="3"/>
  <c r="B9" i="3"/>
  <c r="B116" i="2"/>
  <c r="B108" i="2"/>
  <c r="B101" i="2"/>
  <c r="B94" i="2"/>
  <c r="B87" i="2"/>
  <c r="B80" i="2"/>
  <c r="B72" i="2"/>
  <c r="B65" i="2"/>
  <c r="B58" i="2"/>
  <c r="B51" i="2"/>
  <c r="B44" i="2"/>
  <c r="B36" i="2"/>
  <c r="B23" i="2"/>
  <c r="B10" i="2"/>
  <c r="B112" i="3"/>
  <c r="B78" i="3"/>
  <c r="B68" i="3"/>
  <c r="B34" i="3"/>
  <c r="B29" i="2"/>
  <c r="B16" i="2"/>
  <c r="B109" i="3"/>
  <c r="B90" i="3"/>
  <c r="B84" i="3"/>
  <c r="B65" i="3"/>
  <c r="B56" i="3"/>
  <c r="B46" i="3"/>
  <c r="B21" i="3"/>
  <c r="B12" i="3"/>
  <c r="B114" i="2"/>
  <c r="B107" i="2"/>
  <c r="B100" i="2"/>
  <c r="B93" i="2"/>
  <c r="B86" i="2"/>
  <c r="B78" i="2"/>
  <c r="B71" i="2"/>
  <c r="B64" i="2"/>
  <c r="B57" i="2"/>
  <c r="B50" i="2"/>
  <c r="B42" i="2"/>
  <c r="B35" i="2"/>
  <c r="B22" i="2"/>
  <c r="B9" i="2"/>
  <c r="E218" i="5"/>
  <c r="E217" i="4"/>
  <c r="C244" i="4"/>
  <c r="C245" i="5"/>
  <c r="D343" i="5"/>
  <c r="D342" i="4"/>
  <c r="E307" i="5"/>
  <c r="E306" i="4"/>
  <c r="D807" i="6"/>
  <c r="D776" i="6"/>
  <c r="D455" i="6"/>
  <c r="D424" i="6"/>
  <c r="D279" i="6"/>
  <c r="D248" i="6"/>
  <c r="E74" i="5"/>
  <c r="E73" i="4"/>
  <c r="E767" i="6"/>
  <c r="E63" i="6"/>
  <c r="I41" i="7"/>
  <c r="I42" i="7" s="1"/>
  <c r="D21" i="5"/>
  <c r="D20" i="4"/>
  <c r="E242" i="4"/>
  <c r="E243" i="5"/>
  <c r="G155" i="7"/>
  <c r="I155" i="7" s="1"/>
  <c r="I156" i="7" s="1"/>
  <c r="B424" i="5"/>
  <c r="B430" i="5"/>
  <c r="B432" i="5"/>
  <c r="F440" i="5"/>
  <c r="Q440" i="5" s="1"/>
  <c r="B457" i="5"/>
  <c r="B463" i="5"/>
  <c r="B472" i="5"/>
  <c r="F473" i="5"/>
  <c r="Q473" i="5" s="1"/>
  <c r="C470" i="5"/>
  <c r="B465" i="5"/>
  <c r="D451" i="5"/>
  <c r="F449" i="5"/>
  <c r="Q449" i="5" s="1"/>
  <c r="C446" i="5"/>
  <c r="B441" i="5"/>
  <c r="F431" i="5"/>
  <c r="Q431" i="5" s="1"/>
  <c r="D427" i="5"/>
  <c r="B423" i="5"/>
  <c r="B411" i="5"/>
  <c r="F407" i="5"/>
  <c r="Q407" i="5" s="1"/>
  <c r="C404" i="5"/>
  <c r="F401" i="5"/>
  <c r="Q401" i="5" s="1"/>
  <c r="C398" i="5"/>
  <c r="B393" i="5"/>
  <c r="F389" i="5"/>
  <c r="Q389" i="5" s="1"/>
  <c r="B381" i="5"/>
  <c r="F377" i="5"/>
  <c r="N377" i="5" s="1"/>
  <c r="B357" i="5"/>
  <c r="F353" i="5"/>
  <c r="N353" i="5" s="1"/>
  <c r="F341" i="5"/>
  <c r="N341" i="5" s="1"/>
  <c r="B339" i="5"/>
  <c r="B333" i="5"/>
  <c r="D325" i="5"/>
  <c r="F323" i="5"/>
  <c r="N323" i="5" s="1"/>
  <c r="B321" i="5"/>
  <c r="E318" i="5"/>
  <c r="B315" i="5"/>
  <c r="F311" i="5"/>
  <c r="N311" i="5" s="1"/>
  <c r="B309" i="5"/>
  <c r="F305" i="5"/>
  <c r="N305" i="5" s="1"/>
  <c r="B297" i="5"/>
  <c r="F293" i="5"/>
  <c r="N293" i="5" s="1"/>
  <c r="B291" i="5"/>
  <c r="E288" i="5"/>
  <c r="B285" i="5"/>
  <c r="F281" i="5"/>
  <c r="N281" i="5" s="1"/>
  <c r="B273" i="5"/>
  <c r="F269" i="5"/>
  <c r="N269" i="5" s="1"/>
  <c r="B267" i="5"/>
  <c r="B261" i="5"/>
  <c r="F251" i="5"/>
  <c r="N251" i="5" s="1"/>
  <c r="B249" i="5"/>
  <c r="B243" i="5"/>
  <c r="E240" i="5"/>
  <c r="D235" i="5"/>
  <c r="B231" i="5"/>
  <c r="B471" i="5"/>
  <c r="E465" i="5"/>
  <c r="B460" i="5"/>
  <c r="E454" i="5"/>
  <c r="B449" i="5"/>
  <c r="D445" i="5"/>
  <c r="F442" i="5"/>
  <c r="Q442" i="5" s="1"/>
  <c r="B427" i="5"/>
  <c r="F421" i="5"/>
  <c r="Q421" i="5" s="1"/>
  <c r="B417" i="5"/>
  <c r="F411" i="5"/>
  <c r="Q411" i="5" s="1"/>
  <c r="B408" i="5"/>
  <c r="C406" i="5"/>
  <c r="F399" i="5"/>
  <c r="Q399" i="5" s="1"/>
  <c r="B394" i="5"/>
  <c r="F386" i="5"/>
  <c r="Q386" i="5" s="1"/>
  <c r="B383" i="5"/>
  <c r="C381" i="5"/>
  <c r="F373" i="5"/>
  <c r="N373" i="5" s="1"/>
  <c r="B369" i="5"/>
  <c r="D366" i="5"/>
  <c r="B360" i="5"/>
  <c r="E353" i="5"/>
  <c r="F351" i="5"/>
  <c r="N351" i="5" s="1"/>
  <c r="B348" i="5"/>
  <c r="C346" i="5"/>
  <c r="E343" i="5"/>
  <c r="B338" i="5"/>
  <c r="B328" i="5"/>
  <c r="B317" i="5"/>
  <c r="F310" i="5"/>
  <c r="N310" i="5" s="1"/>
  <c r="B306" i="5"/>
  <c r="C304" i="5"/>
  <c r="F296" i="5"/>
  <c r="N296" i="5" s="1"/>
  <c r="F285" i="5"/>
  <c r="N285" i="5" s="1"/>
  <c r="B280" i="5"/>
  <c r="B278" i="5"/>
  <c r="B269" i="5"/>
  <c r="F263" i="5"/>
  <c r="N263" i="5" s="1"/>
  <c r="B258" i="5"/>
  <c r="B247" i="5"/>
  <c r="F241" i="5"/>
  <c r="N241" i="5" s="1"/>
  <c r="B237" i="5"/>
  <c r="F231" i="5"/>
  <c r="N231" i="5" s="1"/>
  <c r="F222" i="5"/>
  <c r="N222" i="5" s="1"/>
  <c r="C219" i="5"/>
  <c r="B208" i="5"/>
  <c r="F204" i="5"/>
  <c r="N204" i="5" s="1"/>
  <c r="B196" i="5"/>
  <c r="F192" i="5"/>
  <c r="K192" i="5" s="1"/>
  <c r="F180" i="5"/>
  <c r="K180" i="5" s="1"/>
  <c r="B178" i="5"/>
  <c r="B172" i="5"/>
  <c r="F168" i="5"/>
  <c r="K168" i="5" s="1"/>
  <c r="B160" i="5"/>
  <c r="E157" i="5"/>
  <c r="F150" i="5"/>
  <c r="K150" i="5" s="1"/>
  <c r="B148" i="5"/>
  <c r="F138" i="5"/>
  <c r="K138" i="5" s="1"/>
  <c r="B136" i="5"/>
  <c r="B130" i="5"/>
  <c r="F126" i="5"/>
  <c r="K126" i="5" s="1"/>
  <c r="F120" i="5"/>
  <c r="K120" i="5" s="1"/>
  <c r="B112" i="5"/>
  <c r="F108" i="5"/>
  <c r="K108" i="5" s="1"/>
  <c r="B100" i="5"/>
  <c r="F96" i="5"/>
  <c r="K96" i="5" s="1"/>
  <c r="F90" i="5"/>
  <c r="K90" i="5" s="1"/>
  <c r="B88" i="5"/>
  <c r="B76" i="5"/>
  <c r="F72" i="5"/>
  <c r="K72" i="5" s="1"/>
  <c r="B70" i="5"/>
  <c r="B58" i="5"/>
  <c r="C51" i="5"/>
  <c r="F48" i="5"/>
  <c r="K48" i="5" s="1"/>
  <c r="B46" i="5"/>
  <c r="D44" i="5"/>
  <c r="B34" i="5"/>
  <c r="B28" i="5"/>
  <c r="F24" i="5"/>
  <c r="K24" i="5" s="1"/>
  <c r="B16" i="5"/>
  <c r="F472" i="4"/>
  <c r="D382" i="6"/>
  <c r="D734" i="6"/>
  <c r="C852" i="6"/>
  <c r="C772" i="6"/>
  <c r="C846" i="6"/>
  <c r="G175" i="10"/>
  <c r="I175" i="10" s="1"/>
  <c r="I176" i="10" s="1"/>
  <c r="G141" i="10"/>
  <c r="I141" i="10" s="1"/>
  <c r="G282" i="10"/>
  <c r="I282" i="10" s="1"/>
  <c r="I283" i="10" s="1"/>
  <c r="G274" i="10" s="1"/>
  <c r="L274" i="10" s="1"/>
  <c r="G150" i="10"/>
  <c r="I150" i="10" s="1"/>
  <c r="G148" i="10"/>
  <c r="I148" i="10" s="1"/>
  <c r="G187" i="10"/>
  <c r="I187" i="10" s="1"/>
  <c r="I188" i="10" s="1"/>
  <c r="G330" i="9" s="1"/>
  <c r="I330" i="9" s="1"/>
  <c r="G140" i="10"/>
  <c r="I140" i="10" s="1"/>
  <c r="G163" i="10"/>
  <c r="I163" i="10" s="1"/>
  <c r="I164" i="10" s="1"/>
  <c r="G269" i="9" s="1"/>
  <c r="I269" i="9" s="1"/>
  <c r="G147" i="10"/>
  <c r="I147" i="10" s="1"/>
  <c r="G243" i="10"/>
  <c r="I243" i="10" s="1"/>
  <c r="I244" i="10" s="1"/>
  <c r="G149" i="10"/>
  <c r="I149" i="10" s="1"/>
  <c r="D772" i="6"/>
  <c r="D413" i="4" s="1"/>
  <c r="C888" i="6"/>
  <c r="C7" i="15"/>
  <c r="E772" i="6"/>
  <c r="D852" i="6"/>
  <c r="G436" i="9"/>
  <c r="I436" i="9" s="1"/>
  <c r="G241" i="9"/>
  <c r="I241" i="9" s="1"/>
  <c r="G96" i="9"/>
  <c r="I96" i="9" s="1"/>
  <c r="I104" i="9" s="1"/>
  <c r="G290" i="8" s="1"/>
  <c r="I290" i="8" s="1"/>
  <c r="G72" i="9"/>
  <c r="I72" i="9" s="1"/>
  <c r="G59" i="9"/>
  <c r="I59" i="9" s="1"/>
  <c r="G194" i="9"/>
  <c r="I194" i="9" s="1"/>
  <c r="G64" i="9"/>
  <c r="I64" i="9" s="1"/>
  <c r="G209" i="9"/>
  <c r="I209" i="9" s="1"/>
  <c r="G58" i="9"/>
  <c r="I58" i="9" s="1"/>
  <c r="G359" i="9"/>
  <c r="I359" i="9" s="1"/>
  <c r="I367" i="9" s="1"/>
  <c r="G650" i="8" s="1"/>
  <c r="I650" i="8" s="1"/>
  <c r="G255" i="9"/>
  <c r="I255" i="9" s="1"/>
  <c r="G390" i="9"/>
  <c r="I390" i="9" s="1"/>
  <c r="G211" i="9"/>
  <c r="I211" i="9" s="1"/>
  <c r="G201" i="9"/>
  <c r="I201" i="9" s="1"/>
  <c r="G443" i="9"/>
  <c r="I443" i="9" s="1"/>
  <c r="G242" i="9"/>
  <c r="I242" i="9" s="1"/>
  <c r="G208" i="9"/>
  <c r="I208" i="9" s="1"/>
  <c r="G196" i="9"/>
  <c r="I196" i="9" s="1"/>
  <c r="G108" i="9"/>
  <c r="I108" i="9" s="1"/>
  <c r="I116" i="9" s="1"/>
  <c r="G437" i="9"/>
  <c r="I437" i="9" s="1"/>
  <c r="G402" i="9"/>
  <c r="I402" i="9" s="1"/>
  <c r="I410" i="9" s="1"/>
  <c r="G658" i="8" s="1"/>
  <c r="I658" i="8" s="1"/>
  <c r="G202" i="9"/>
  <c r="I202" i="9" s="1"/>
  <c r="G445" i="9"/>
  <c r="I445" i="9" s="1"/>
  <c r="G250" i="9"/>
  <c r="I250" i="9" s="1"/>
  <c r="G187" i="9"/>
  <c r="I187" i="9" s="1"/>
  <c r="G84" i="9"/>
  <c r="I84" i="9" s="1"/>
  <c r="I92" i="9" s="1"/>
  <c r="G188" i="9"/>
  <c r="I188" i="9" s="1"/>
  <c r="E73" i="15"/>
  <c r="D68" i="15"/>
  <c r="C63" i="15"/>
  <c r="E61" i="15"/>
  <c r="D56" i="15"/>
  <c r="C51" i="15"/>
  <c r="E49" i="15"/>
  <c r="D44" i="15"/>
  <c r="C39" i="15"/>
  <c r="E37" i="15"/>
  <c r="D32" i="15"/>
  <c r="C27" i="15"/>
  <c r="E25" i="15"/>
  <c r="D20" i="15"/>
  <c r="C15" i="15"/>
  <c r="E13" i="15"/>
  <c r="D73" i="15"/>
  <c r="C68" i="15"/>
  <c r="E66" i="15"/>
  <c r="D61" i="15"/>
  <c r="C56" i="15"/>
  <c r="E54" i="15"/>
  <c r="D49" i="15"/>
  <c r="C44" i="15"/>
  <c r="E42" i="15"/>
  <c r="D37" i="15"/>
  <c r="C32" i="15"/>
  <c r="E30" i="15"/>
  <c r="D25" i="15"/>
  <c r="C20" i="15"/>
  <c r="E18" i="15"/>
  <c r="D13" i="15"/>
  <c r="D71" i="15"/>
  <c r="C66" i="15"/>
  <c r="E64" i="15"/>
  <c r="D59" i="15"/>
  <c r="C54" i="15"/>
  <c r="E52" i="15"/>
  <c r="D47" i="15"/>
  <c r="C42" i="15"/>
  <c r="E40" i="15"/>
  <c r="D35" i="15"/>
  <c r="C30" i="15"/>
  <c r="E28" i="15"/>
  <c r="D23" i="15"/>
  <c r="C18" i="15"/>
  <c r="E16" i="15"/>
  <c r="D11" i="15"/>
  <c r="C71" i="15"/>
  <c r="E69" i="15"/>
  <c r="D64" i="15"/>
  <c r="C59" i="15"/>
  <c r="E57" i="15"/>
  <c r="D52" i="15"/>
  <c r="C47" i="15"/>
  <c r="E45" i="15"/>
  <c r="D40" i="15"/>
  <c r="C35" i="15"/>
  <c r="E33" i="15"/>
  <c r="D28" i="15"/>
  <c r="C23" i="15"/>
  <c r="E21" i="15"/>
  <c r="D16" i="15"/>
  <c r="C11" i="15"/>
  <c r="E74" i="15"/>
  <c r="D69" i="15"/>
  <c r="C64" i="15"/>
  <c r="E62" i="15"/>
  <c r="D57" i="15"/>
  <c r="C52" i="15"/>
  <c r="E50" i="15"/>
  <c r="D45" i="15"/>
  <c r="C40" i="15"/>
  <c r="E38" i="15"/>
  <c r="D33" i="15"/>
  <c r="C28" i="15"/>
  <c r="E26" i="15"/>
  <c r="D21" i="15"/>
  <c r="C16" i="15"/>
  <c r="E14" i="15"/>
  <c r="D9" i="15"/>
  <c r="D74" i="15"/>
  <c r="C69" i="15"/>
  <c r="E67" i="15"/>
  <c r="D62" i="15"/>
  <c r="C57" i="15"/>
  <c r="E55" i="15"/>
  <c r="D50" i="15"/>
  <c r="C45" i="15"/>
  <c r="E43" i="15"/>
  <c r="D38" i="15"/>
  <c r="C33" i="15"/>
  <c r="E31" i="15"/>
  <c r="D26" i="15"/>
  <c r="C21" i="15"/>
  <c r="E19" i="15"/>
  <c r="D14" i="15"/>
  <c r="C9" i="15"/>
  <c r="E7" i="15"/>
  <c r="C74" i="15"/>
  <c r="E72" i="15"/>
  <c r="D67" i="15"/>
  <c r="C62" i="15"/>
  <c r="E60" i="15"/>
  <c r="D55" i="15"/>
  <c r="C50" i="15"/>
  <c r="E48" i="15"/>
  <c r="D43" i="15"/>
  <c r="C38" i="15"/>
  <c r="E36" i="15"/>
  <c r="D31" i="15"/>
  <c r="C26" i="15"/>
  <c r="E24" i="15"/>
  <c r="D19" i="15"/>
  <c r="C14" i="15"/>
  <c r="E12" i="15"/>
  <c r="D72" i="15"/>
  <c r="C67" i="15"/>
  <c r="E65" i="15"/>
  <c r="D60" i="15"/>
  <c r="C55" i="15"/>
  <c r="E53" i="15"/>
  <c r="D48" i="15"/>
  <c r="C43" i="15"/>
  <c r="E41" i="15"/>
  <c r="D36" i="15"/>
  <c r="C31" i="15"/>
  <c r="E29" i="15"/>
  <c r="D24" i="15"/>
  <c r="C19" i="15"/>
  <c r="E17" i="15"/>
  <c r="D12" i="15"/>
  <c r="C72" i="15"/>
  <c r="E70" i="15"/>
  <c r="D65" i="15"/>
  <c r="C60" i="15"/>
  <c r="E58" i="15"/>
  <c r="D53" i="15"/>
  <c r="C48" i="15"/>
  <c r="E46" i="15"/>
  <c r="D41" i="15"/>
  <c r="C36" i="15"/>
  <c r="E34" i="15"/>
  <c r="D29" i="15"/>
  <c r="C24" i="15"/>
  <c r="E22" i="15"/>
  <c r="D17" i="15"/>
  <c r="C12" i="15"/>
  <c r="E10" i="15"/>
  <c r="D70" i="15"/>
  <c r="C65" i="15"/>
  <c r="E63" i="15"/>
  <c r="D58" i="15"/>
  <c r="C53" i="15"/>
  <c r="E51" i="15"/>
  <c r="D46" i="15"/>
  <c r="C41" i="15"/>
  <c r="E39" i="15"/>
  <c r="D34" i="15"/>
  <c r="C29" i="15"/>
  <c r="E27" i="15"/>
  <c r="D22" i="15"/>
  <c r="C17" i="15"/>
  <c r="E15" i="15"/>
  <c r="D10" i="15"/>
  <c r="C70" i="15"/>
  <c r="E68" i="15"/>
  <c r="D63" i="15"/>
  <c r="C58" i="15"/>
  <c r="E56" i="15"/>
  <c r="D51" i="15"/>
  <c r="C46" i="15"/>
  <c r="E44" i="15"/>
  <c r="D39" i="15"/>
  <c r="C34" i="15"/>
  <c r="E32" i="15"/>
  <c r="D27" i="15"/>
  <c r="C22" i="15"/>
  <c r="E20" i="15"/>
  <c r="D15" i="15"/>
  <c r="C10" i="15"/>
  <c r="E35" i="15"/>
  <c r="D54" i="15"/>
  <c r="C13" i="15"/>
  <c r="C73" i="15"/>
  <c r="E11" i="15"/>
  <c r="E71" i="15"/>
  <c r="D30" i="15"/>
  <c r="E59" i="15"/>
  <c r="C25" i="15"/>
  <c r="D8" i="15"/>
  <c r="E23" i="15"/>
  <c r="C8" i="15"/>
  <c r="C49" i="15"/>
  <c r="D7" i="15"/>
  <c r="D42" i="15"/>
  <c r="E8" i="15"/>
  <c r="D18" i="15"/>
  <c r="D66" i="15"/>
  <c r="C61" i="15"/>
  <c r="E47" i="15"/>
  <c r="E890" i="6"/>
  <c r="E882" i="6"/>
  <c r="E874" i="6"/>
  <c r="E865" i="6"/>
  <c r="E461" i="4" s="1"/>
  <c r="E854" i="6"/>
  <c r="E844" i="6"/>
  <c r="E836" i="6"/>
  <c r="E825" i="6"/>
  <c r="E815" i="6"/>
  <c r="E804" i="6"/>
  <c r="E789" i="6"/>
  <c r="E776" i="6"/>
  <c r="E763" i="6"/>
  <c r="E755" i="6"/>
  <c r="E746" i="6"/>
  <c r="E738" i="6"/>
  <c r="E730" i="6"/>
  <c r="E722" i="6"/>
  <c r="E712" i="6"/>
  <c r="E704" i="6"/>
  <c r="E696" i="6"/>
  <c r="E686" i="6"/>
  <c r="E676" i="6"/>
  <c r="E666" i="6"/>
  <c r="E658" i="6"/>
  <c r="E646" i="6"/>
  <c r="E635" i="6"/>
  <c r="E626" i="6"/>
  <c r="E610" i="6"/>
  <c r="E596" i="6"/>
  <c r="E585" i="6"/>
  <c r="E577" i="6"/>
  <c r="E568" i="6"/>
  <c r="E560" i="6"/>
  <c r="E552" i="6"/>
  <c r="E544" i="6"/>
  <c r="E534" i="6"/>
  <c r="E286" i="4" s="1"/>
  <c r="E526" i="6"/>
  <c r="E518" i="6"/>
  <c r="E508" i="6"/>
  <c r="E496" i="6"/>
  <c r="E488" i="6"/>
  <c r="E478" i="6"/>
  <c r="E468" i="6"/>
  <c r="E457" i="6"/>
  <c r="E447" i="6"/>
  <c r="E430" i="6"/>
  <c r="E417" i="6"/>
  <c r="E407" i="6"/>
  <c r="E398" i="6"/>
  <c r="E390" i="6"/>
  <c r="E382" i="6"/>
  <c r="E374" i="6"/>
  <c r="E366" i="6"/>
  <c r="E198" i="4" s="1"/>
  <c r="E356" i="6"/>
  <c r="E348" i="6"/>
  <c r="E340" i="6"/>
  <c r="E329" i="6"/>
  <c r="E318" i="6"/>
  <c r="E310" i="6"/>
  <c r="E299" i="6"/>
  <c r="E289" i="6"/>
  <c r="E279" i="6"/>
  <c r="E265" i="6"/>
  <c r="E251" i="6"/>
  <c r="E239" i="6"/>
  <c r="E229" i="6"/>
  <c r="E220" i="6"/>
  <c r="E212" i="6"/>
  <c r="E204" i="6"/>
  <c r="E196" i="6"/>
  <c r="E186" i="6"/>
  <c r="E102" i="4" s="1"/>
  <c r="E178" i="6"/>
  <c r="E170" i="6"/>
  <c r="E161" i="6"/>
  <c r="E150" i="6"/>
  <c r="E140" i="6"/>
  <c r="E132" i="6"/>
  <c r="E121" i="6"/>
  <c r="E66" i="4" s="1"/>
  <c r="E111" i="6"/>
  <c r="E100" i="6"/>
  <c r="E54" i="4" s="1"/>
  <c r="E85" i="6"/>
  <c r="E72" i="6"/>
  <c r="E59" i="6"/>
  <c r="E51" i="6"/>
  <c r="E42" i="6"/>
  <c r="E34" i="6"/>
  <c r="E26" i="6"/>
  <c r="E18" i="6"/>
  <c r="E8" i="6"/>
  <c r="G202" i="8"/>
  <c r="I202" i="8" s="1"/>
  <c r="I210" i="8" s="1"/>
  <c r="G511" i="7" s="1"/>
  <c r="I511" i="7" s="1"/>
  <c r="G166" i="8"/>
  <c r="I166" i="8" s="1"/>
  <c r="I174" i="8" s="1"/>
  <c r="G718" i="7" s="1"/>
  <c r="I718" i="7" s="1"/>
  <c r="G711" i="8"/>
  <c r="I711" i="8" s="1"/>
  <c r="I719" i="8" s="1"/>
  <c r="G222" i="8"/>
  <c r="I222" i="8" s="1"/>
  <c r="G50" i="8"/>
  <c r="I50" i="8" s="1"/>
  <c r="I56" i="8" s="1"/>
  <c r="G47" i="7" s="1"/>
  <c r="I47" i="7" s="1"/>
  <c r="G178" i="8"/>
  <c r="I178" i="8" s="1"/>
  <c r="I186" i="8" s="1"/>
  <c r="G688" i="7" s="1"/>
  <c r="I688" i="7" s="1"/>
  <c r="G82" i="8"/>
  <c r="I82" i="8" s="1"/>
  <c r="G70" i="8"/>
  <c r="I70" i="8" s="1"/>
  <c r="I78" i="8" s="1"/>
  <c r="G115" i="7" s="1"/>
  <c r="I115" i="7" s="1"/>
  <c r="G30" i="11"/>
  <c r="I30" i="11" s="1"/>
  <c r="G249" i="9"/>
  <c r="I249" i="9" s="1"/>
  <c r="G247" i="9"/>
  <c r="I247" i="9" s="1"/>
  <c r="G217" i="9"/>
  <c r="I217" i="9" s="1"/>
  <c r="G195" i="9"/>
  <c r="I195" i="9" s="1"/>
  <c r="G193" i="9"/>
  <c r="I193" i="9" s="1"/>
  <c r="G155" i="9"/>
  <c r="I155" i="9" s="1"/>
  <c r="I163" i="9" s="1"/>
  <c r="G233" i="8" s="1"/>
  <c r="I233" i="8" s="1"/>
  <c r="G67" i="9"/>
  <c r="I67" i="9" s="1"/>
  <c r="G65" i="9"/>
  <c r="I65" i="9" s="1"/>
  <c r="G453" i="9"/>
  <c r="I453" i="9" s="1"/>
  <c r="I461" i="9" s="1"/>
  <c r="G452" i="9" s="1"/>
  <c r="L452" i="9" s="1"/>
  <c r="L37" i="9" l="1"/>
  <c r="D213" i="4"/>
  <c r="C439" i="5"/>
  <c r="L134" i="10"/>
  <c r="E175" i="5"/>
  <c r="D117" i="4"/>
  <c r="E328" i="5"/>
  <c r="G232" i="8"/>
  <c r="I232" i="8" s="1"/>
  <c r="C253" i="5"/>
  <c r="E279" i="4"/>
  <c r="D171" i="5"/>
  <c r="E474" i="5"/>
  <c r="L109" i="10"/>
  <c r="E201" i="5"/>
  <c r="D24" i="4"/>
  <c r="E42" i="5"/>
  <c r="G432" i="7"/>
  <c r="I432" i="7" s="1"/>
  <c r="D106" i="4"/>
  <c r="E311" i="5"/>
  <c r="E260" i="5"/>
  <c r="E102" i="5"/>
  <c r="E93" i="4"/>
  <c r="D167" i="5"/>
  <c r="E385" i="4"/>
  <c r="D49" i="5"/>
  <c r="G66" i="9"/>
  <c r="I66" i="9" s="1"/>
  <c r="E300" i="5"/>
  <c r="C121" i="4"/>
  <c r="C79" i="5"/>
  <c r="C211" i="4"/>
  <c r="L47" i="9"/>
  <c r="I373" i="10"/>
  <c r="G352" i="10" s="1"/>
  <c r="L352" i="10" s="1"/>
  <c r="D320" i="4"/>
  <c r="G90" i="10"/>
  <c r="I90" i="10" s="1"/>
  <c r="I91" i="10" s="1"/>
  <c r="I398" i="9"/>
  <c r="G657" i="8" s="1"/>
  <c r="I657" i="8" s="1"/>
  <c r="C9" i="5"/>
  <c r="E228" i="5"/>
  <c r="C421" i="5"/>
  <c r="D124" i="5"/>
  <c r="C13" i="4"/>
  <c r="C466" i="4"/>
  <c r="D470" i="5"/>
  <c r="D469" i="4"/>
  <c r="C451" i="5"/>
  <c r="E391" i="4"/>
  <c r="D435" i="4"/>
  <c r="E425" i="4"/>
  <c r="E147" i="5"/>
  <c r="E146" i="4"/>
  <c r="I263" i="9"/>
  <c r="G254" i="9" s="1"/>
  <c r="L254" i="9" s="1"/>
  <c r="C240" i="5"/>
  <c r="D298" i="4"/>
  <c r="C329" i="4"/>
  <c r="E195" i="4"/>
  <c r="E28" i="4"/>
  <c r="E190" i="4"/>
  <c r="D64" i="5"/>
  <c r="C217" i="5"/>
  <c r="E288" i="4"/>
  <c r="D399" i="5"/>
  <c r="D98" i="5"/>
  <c r="C254" i="5"/>
  <c r="E446" i="5"/>
  <c r="D51" i="5"/>
  <c r="C125" i="5"/>
  <c r="C61" i="4"/>
  <c r="C304" i="4"/>
  <c r="C440" i="5"/>
  <c r="E315" i="5"/>
  <c r="I225" i="9"/>
  <c r="G94" i="8"/>
  <c r="I94" i="8" s="1"/>
  <c r="I102" i="8" s="1"/>
  <c r="G320" i="7" s="1"/>
  <c r="I320" i="7" s="1"/>
  <c r="E372" i="5"/>
  <c r="E374" i="5"/>
  <c r="C369" i="5"/>
  <c r="D108" i="4"/>
  <c r="C24" i="5"/>
  <c r="I457" i="7"/>
  <c r="I507" i="9"/>
  <c r="I320" i="10"/>
  <c r="I80" i="9"/>
  <c r="G71" i="9" s="1"/>
  <c r="L71" i="9" s="1"/>
  <c r="I90" i="8"/>
  <c r="G81" i="8" s="1"/>
  <c r="L81" i="8" s="1"/>
  <c r="C306" i="5"/>
  <c r="D22" i="4"/>
  <c r="G149" i="8"/>
  <c r="I149" i="8" s="1"/>
  <c r="I157" i="8" s="1"/>
  <c r="G148" i="8" s="1"/>
  <c r="L148" i="8" s="1"/>
  <c r="E159" i="4"/>
  <c r="C160" i="5"/>
  <c r="I393" i="10"/>
  <c r="G376" i="10" s="1"/>
  <c r="L376" i="10" s="1"/>
  <c r="E194" i="4"/>
  <c r="I31" i="11"/>
  <c r="G151" i="10" s="1"/>
  <c r="I151" i="10" s="1"/>
  <c r="D315" i="5"/>
  <c r="C44" i="5"/>
  <c r="D220" i="4"/>
  <c r="E180" i="4"/>
  <c r="C422" i="4"/>
  <c r="C423" i="5"/>
  <c r="C327" i="4"/>
  <c r="C328" i="5"/>
  <c r="C455" i="5"/>
  <c r="E138" i="4"/>
  <c r="C443" i="4"/>
  <c r="E379" i="5"/>
  <c r="E447" i="5"/>
  <c r="D60" i="4"/>
  <c r="D41" i="4"/>
  <c r="C124" i="5"/>
  <c r="E176" i="5"/>
  <c r="E141" i="5"/>
  <c r="D82" i="5"/>
  <c r="D368" i="4"/>
  <c r="C426" i="4"/>
  <c r="D14" i="4"/>
  <c r="C307" i="4"/>
  <c r="G527" i="9"/>
  <c r="I527" i="9" s="1"/>
  <c r="C102" i="5"/>
  <c r="C127" i="5"/>
  <c r="C126" i="4"/>
  <c r="C404" i="4"/>
  <c r="C405" i="5"/>
  <c r="D231" i="5"/>
  <c r="G199" i="10"/>
  <c r="I199" i="10" s="1"/>
  <c r="I200" i="10" s="1"/>
  <c r="E97" i="5"/>
  <c r="G255" i="10"/>
  <c r="I255" i="10" s="1"/>
  <c r="I256" i="10" s="1"/>
  <c r="G247" i="10" s="1"/>
  <c r="L247" i="10" s="1"/>
  <c r="D74" i="5"/>
  <c r="E274" i="5"/>
  <c r="E448" i="5"/>
  <c r="C469" i="5"/>
  <c r="D313" i="5"/>
  <c r="C434" i="5"/>
  <c r="G229" i="9"/>
  <c r="I229" i="9" s="1"/>
  <c r="I237" i="9" s="1"/>
  <c r="G361" i="8" s="1"/>
  <c r="I361" i="8" s="1"/>
  <c r="E435" i="4"/>
  <c r="E183" i="5"/>
  <c r="N33" i="8"/>
  <c r="O33" i="8" s="1"/>
  <c r="E16" i="4"/>
  <c r="G664" i="8"/>
  <c r="I664" i="8" s="1"/>
  <c r="G593" i="7"/>
  <c r="I593" i="7" s="1"/>
  <c r="I594" i="7" s="1"/>
  <c r="C276" i="5"/>
  <c r="E442" i="5"/>
  <c r="D282" i="5"/>
  <c r="F14" i="15"/>
  <c r="E450" i="5"/>
  <c r="C221" i="5"/>
  <c r="D300" i="5"/>
  <c r="D170" i="5"/>
  <c r="G10" i="7"/>
  <c r="I10" i="7" s="1"/>
  <c r="D122" i="5"/>
  <c r="G78" i="7"/>
  <c r="I78" i="7" s="1"/>
  <c r="C379" i="5"/>
  <c r="E158" i="5"/>
  <c r="D188" i="4"/>
  <c r="C417" i="5"/>
  <c r="C386" i="4"/>
  <c r="D354" i="5"/>
  <c r="C120" i="4"/>
  <c r="D306" i="5"/>
  <c r="G328" i="8"/>
  <c r="I328" i="8" s="1"/>
  <c r="D262" i="5"/>
  <c r="D172" i="5"/>
  <c r="C174" i="4"/>
  <c r="G542" i="7"/>
  <c r="I542" i="7" s="1"/>
  <c r="G58" i="7"/>
  <c r="I58" i="7" s="1"/>
  <c r="D475" i="5"/>
  <c r="G646" i="7"/>
  <c r="I646" i="7" s="1"/>
  <c r="E362" i="5"/>
  <c r="G138" i="7"/>
  <c r="I138" i="7" s="1"/>
  <c r="D404" i="5"/>
  <c r="D355" i="5"/>
  <c r="G352" i="7"/>
  <c r="I352" i="7" s="1"/>
  <c r="N232" i="7"/>
  <c r="O232" i="7" s="1"/>
  <c r="F84" i="16" s="1"/>
  <c r="H84" i="16" s="1"/>
  <c r="C200" i="5"/>
  <c r="C264" i="4"/>
  <c r="C227" i="4"/>
  <c r="D371" i="5"/>
  <c r="D337" i="5"/>
  <c r="D448" i="5"/>
  <c r="C323" i="4"/>
  <c r="D432" i="4"/>
  <c r="N118" i="7"/>
  <c r="O118" i="7" s="1"/>
  <c r="F18" i="16" s="1"/>
  <c r="H18" i="16" s="1"/>
  <c r="D32" i="5"/>
  <c r="C97" i="5"/>
  <c r="C376" i="4"/>
  <c r="N689" i="7"/>
  <c r="O689" i="7" s="1"/>
  <c r="D218" i="5"/>
  <c r="E152" i="5"/>
  <c r="C144" i="5"/>
  <c r="C357" i="4"/>
  <c r="C129" i="5"/>
  <c r="E85" i="5"/>
  <c r="C36" i="5"/>
  <c r="D114" i="5"/>
  <c r="I251" i="9"/>
  <c r="G246" i="9" s="1"/>
  <c r="L246" i="9" s="1"/>
  <c r="C354" i="4"/>
  <c r="G448" i="9"/>
  <c r="I448" i="9" s="1"/>
  <c r="C281" i="4"/>
  <c r="E357" i="4"/>
  <c r="D323" i="4"/>
  <c r="E87" i="4"/>
  <c r="E444" i="5"/>
  <c r="F40" i="15"/>
  <c r="C299" i="5"/>
  <c r="C16" i="4"/>
  <c r="E278" i="5"/>
  <c r="C213" i="4"/>
  <c r="F11" i="15"/>
  <c r="F44" i="15"/>
  <c r="G733" i="8"/>
  <c r="I733" i="8" s="1"/>
  <c r="D152" i="5"/>
  <c r="D214" i="4"/>
  <c r="D297" i="4"/>
  <c r="C233" i="4"/>
  <c r="C351" i="5"/>
  <c r="D392" i="5"/>
  <c r="C169" i="4"/>
  <c r="N687" i="7"/>
  <c r="O687" i="7" s="1"/>
  <c r="F176" i="16" s="1"/>
  <c r="H176" i="16" s="1"/>
  <c r="N47" i="7"/>
  <c r="O47" i="7" s="1"/>
  <c r="C44" i="4"/>
  <c r="C45" i="5"/>
  <c r="G116" i="7"/>
  <c r="I116" i="7" s="1"/>
  <c r="I119" i="7" s="1"/>
  <c r="G115" i="4" s="1"/>
  <c r="G116" i="5" s="1"/>
  <c r="E91" i="4"/>
  <c r="C137" i="4"/>
  <c r="C138" i="5"/>
  <c r="G388" i="8"/>
  <c r="I388" i="8" s="1"/>
  <c r="D244" i="5"/>
  <c r="C344" i="5"/>
  <c r="C399" i="4"/>
  <c r="N679" i="7"/>
  <c r="O679" i="7" s="1"/>
  <c r="C259" i="4"/>
  <c r="D375" i="5"/>
  <c r="E187" i="5"/>
  <c r="D311" i="5"/>
  <c r="D186" i="4"/>
  <c r="D93" i="4"/>
  <c r="G600" i="7"/>
  <c r="I600" i="7" s="1"/>
  <c r="N182" i="7"/>
  <c r="O182" i="7" s="1"/>
  <c r="E204" i="4"/>
  <c r="E205" i="5"/>
  <c r="E468" i="5"/>
  <c r="D292" i="4"/>
  <c r="C205" i="5"/>
  <c r="E164" i="4"/>
  <c r="D200" i="5"/>
  <c r="C262" i="5"/>
  <c r="G352" i="8"/>
  <c r="I352" i="8" s="1"/>
  <c r="E420" i="5"/>
  <c r="C234" i="4"/>
  <c r="C179" i="4"/>
  <c r="E65" i="5"/>
  <c r="D59" i="5"/>
  <c r="C448" i="5"/>
  <c r="C145" i="5"/>
  <c r="G406" i="8"/>
  <c r="I406" i="8" s="1"/>
  <c r="D62" i="5"/>
  <c r="D285" i="5"/>
  <c r="E293" i="4"/>
  <c r="E217" i="5"/>
  <c r="E111" i="4"/>
  <c r="C302" i="5"/>
  <c r="D357" i="5"/>
  <c r="E264" i="5"/>
  <c r="E396" i="5"/>
  <c r="G126" i="7"/>
  <c r="I126" i="7" s="1"/>
  <c r="C353" i="5"/>
  <c r="C352" i="4"/>
  <c r="E133" i="5"/>
  <c r="D307" i="5"/>
  <c r="G137" i="7"/>
  <c r="I137" i="7" s="1"/>
  <c r="N31" i="8"/>
  <c r="O31" i="8" s="1"/>
  <c r="G528" i="8"/>
  <c r="I528" i="8" s="1"/>
  <c r="N32" i="8"/>
  <c r="O32" i="8" s="1"/>
  <c r="C112" i="5"/>
  <c r="C331" i="5"/>
  <c r="E128" i="4"/>
  <c r="E129" i="5"/>
  <c r="D349" i="5"/>
  <c r="D444" i="5"/>
  <c r="N30" i="8"/>
  <c r="O30" i="8" s="1"/>
  <c r="F206" i="16" s="1"/>
  <c r="H206" i="16" s="1"/>
  <c r="G379" i="8"/>
  <c r="I379" i="8" s="1"/>
  <c r="C118" i="5"/>
  <c r="C117" i="4"/>
  <c r="D88" i="5"/>
  <c r="D87" i="4"/>
  <c r="G573" i="7"/>
  <c r="I573" i="7" s="1"/>
  <c r="D201" i="5"/>
  <c r="E375" i="5"/>
  <c r="G370" i="8"/>
  <c r="I370" i="8" s="1"/>
  <c r="N244" i="7"/>
  <c r="O244" i="7" s="1"/>
  <c r="F147" i="16" s="1"/>
  <c r="H147" i="16" s="1"/>
  <c r="N343" i="7"/>
  <c r="O343" i="7" s="1"/>
  <c r="N433" i="8" s="1"/>
  <c r="O433" i="8" s="1"/>
  <c r="C134" i="4"/>
  <c r="D44" i="4"/>
  <c r="D45" i="5"/>
  <c r="C376" i="5"/>
  <c r="C375" i="4"/>
  <c r="N657" i="7"/>
  <c r="O657" i="7" s="1"/>
  <c r="D344" i="5"/>
  <c r="E430" i="4"/>
  <c r="C423" i="4"/>
  <c r="D238" i="5"/>
  <c r="C81" i="4"/>
  <c r="C15" i="5"/>
  <c r="C14" i="4"/>
  <c r="E59" i="5"/>
  <c r="F49" i="15"/>
  <c r="C157" i="5"/>
  <c r="E466" i="5"/>
  <c r="E465" i="4"/>
  <c r="G415" i="8"/>
  <c r="I415" i="8" s="1"/>
  <c r="G586" i="8"/>
  <c r="I586" i="8" s="1"/>
  <c r="D14" i="5"/>
  <c r="C117" i="5"/>
  <c r="E353" i="4"/>
  <c r="D120" i="4"/>
  <c r="D184" i="4"/>
  <c r="E213" i="4"/>
  <c r="D394" i="4"/>
  <c r="C63" i="4"/>
  <c r="G579" i="8"/>
  <c r="I579" i="8" s="1"/>
  <c r="G442" i="8"/>
  <c r="I442" i="8" s="1"/>
  <c r="D15" i="4"/>
  <c r="C68" i="5"/>
  <c r="C67" i="4"/>
  <c r="D381" i="4"/>
  <c r="D382" i="5"/>
  <c r="N180" i="7"/>
  <c r="O180" i="7" s="1"/>
  <c r="N586" i="7"/>
  <c r="O586" i="7" s="1"/>
  <c r="D417" i="5"/>
  <c r="D439" i="5"/>
  <c r="G601" i="7"/>
  <c r="I601" i="7" s="1"/>
  <c r="C226" i="5"/>
  <c r="G88" i="7"/>
  <c r="I88" i="7" s="1"/>
  <c r="N501" i="7"/>
  <c r="O501" i="7" s="1"/>
  <c r="N529" i="8" s="1"/>
  <c r="O529" i="8" s="1"/>
  <c r="F173" i="16" s="1"/>
  <c r="H173" i="16" s="1"/>
  <c r="F53" i="15"/>
  <c r="C167" i="5"/>
  <c r="N575" i="7"/>
  <c r="O575" i="7" s="1"/>
  <c r="F195" i="16" s="1"/>
  <c r="H195" i="16" s="1"/>
  <c r="N56" i="7"/>
  <c r="O56" i="7" s="1"/>
  <c r="N181" i="7"/>
  <c r="O181" i="7" s="1"/>
  <c r="G409" i="7"/>
  <c r="I409" i="7" s="1"/>
  <c r="G375" i="7"/>
  <c r="I375" i="7" s="1"/>
  <c r="C39" i="5"/>
  <c r="D289" i="5"/>
  <c r="N8" i="8"/>
  <c r="O8" i="8" s="1"/>
  <c r="N8" i="9" s="1"/>
  <c r="O8" i="9" s="1"/>
  <c r="N512" i="7"/>
  <c r="O512" i="7" s="1"/>
  <c r="N342" i="7"/>
  <c r="O342" i="7" s="1"/>
  <c r="N423" i="8" s="1"/>
  <c r="O423" i="8" s="1"/>
  <c r="D293" i="4"/>
  <c r="D330" i="4"/>
  <c r="N79" i="7"/>
  <c r="O79" i="7" s="1"/>
  <c r="F7" i="16" s="1"/>
  <c r="H7" i="16" s="1"/>
  <c r="G163" i="7"/>
  <c r="I163" i="7" s="1"/>
  <c r="N243" i="7"/>
  <c r="O243" i="7" s="1"/>
  <c r="F181" i="16" s="1"/>
  <c r="H181" i="16" s="1"/>
  <c r="N497" i="7"/>
  <c r="O497" i="7" s="1"/>
  <c r="F215" i="16" s="1"/>
  <c r="H215" i="16" s="1"/>
  <c r="C464" i="5"/>
  <c r="C70" i="5"/>
  <c r="C386" i="5"/>
  <c r="N191" i="7"/>
  <c r="O191" i="7" s="1"/>
  <c r="G750" i="8"/>
  <c r="I750" i="8" s="1"/>
  <c r="N13" i="8"/>
  <c r="O13" i="8" s="1"/>
  <c r="N637" i="7"/>
  <c r="O637" i="7" s="1"/>
  <c r="N747" i="8" s="1"/>
  <c r="O747" i="8" s="1"/>
  <c r="N10" i="8"/>
  <c r="O10" i="8" s="1"/>
  <c r="N340" i="7"/>
  <c r="O340" i="7" s="1"/>
  <c r="N406" i="8" s="1"/>
  <c r="O406" i="8" s="1"/>
  <c r="N385" i="7"/>
  <c r="O385" i="7" s="1"/>
  <c r="F69" i="16" s="1"/>
  <c r="H69" i="16" s="1"/>
  <c r="C317" i="4"/>
  <c r="E335" i="4"/>
  <c r="G86" i="7"/>
  <c r="I86" i="7" s="1"/>
  <c r="G644" i="8"/>
  <c r="I644" i="8" s="1"/>
  <c r="I68" i="9"/>
  <c r="G481" i="8" s="1"/>
  <c r="I481" i="8" s="1"/>
  <c r="E298" i="5"/>
  <c r="D247" i="5"/>
  <c r="G199" i="7"/>
  <c r="I199" i="7" s="1"/>
  <c r="N183" i="7"/>
  <c r="O183" i="7" s="1"/>
  <c r="F13" i="16" s="1"/>
  <c r="H13" i="16" s="1"/>
  <c r="N506" i="7"/>
  <c r="O506" i="7" s="1"/>
  <c r="N566" i="8" s="1"/>
  <c r="O566" i="8" s="1"/>
  <c r="F190" i="16" s="1"/>
  <c r="H190" i="16" s="1"/>
  <c r="N57" i="7"/>
  <c r="O57" i="7" s="1"/>
  <c r="N441" i="7"/>
  <c r="O441" i="7" s="1"/>
  <c r="N498" i="8" s="1"/>
  <c r="O498" i="8" s="1"/>
  <c r="E355" i="4"/>
  <c r="E230" i="4"/>
  <c r="N696" i="7"/>
  <c r="O696" i="7" s="1"/>
  <c r="F142" i="16" s="1"/>
  <c r="H142" i="16" s="1"/>
  <c r="E79" i="5"/>
  <c r="G442" i="7"/>
  <c r="I442" i="7" s="1"/>
  <c r="G306" i="7"/>
  <c r="I306" i="7" s="1"/>
  <c r="G481" i="7"/>
  <c r="I481" i="7" s="1"/>
  <c r="N98" i="7"/>
  <c r="O98" i="7" s="1"/>
  <c r="N118" i="8" s="1"/>
  <c r="O118" i="8" s="1"/>
  <c r="N399" i="7"/>
  <c r="O399" i="7" s="1"/>
  <c r="N480" i="8" s="1"/>
  <c r="O480" i="8" s="1"/>
  <c r="C349" i="5"/>
  <c r="D391" i="5"/>
  <c r="D310" i="5"/>
  <c r="N155" i="7"/>
  <c r="O155" i="7" s="1"/>
  <c r="N161" i="8" s="1"/>
  <c r="O161" i="8" s="1"/>
  <c r="F47" i="16" s="1"/>
  <c r="H47" i="16" s="1"/>
  <c r="D414" i="5"/>
  <c r="F57" i="15"/>
  <c r="G526" i="9"/>
  <c r="I526" i="9" s="1"/>
  <c r="D377" i="5"/>
  <c r="G768" i="8"/>
  <c r="I768" i="8" s="1"/>
  <c r="G708" i="7"/>
  <c r="I708" i="7" s="1"/>
  <c r="C278" i="5"/>
  <c r="N29" i="8"/>
  <c r="O29" i="8" s="1"/>
  <c r="F121" i="16" s="1"/>
  <c r="H121" i="16" s="1"/>
  <c r="G438" i="9"/>
  <c r="I438" i="9" s="1"/>
  <c r="D302" i="5"/>
  <c r="C416" i="5"/>
  <c r="N574" i="7"/>
  <c r="O574" i="7" s="1"/>
  <c r="N173" i="7"/>
  <c r="O173" i="7" s="1"/>
  <c r="F91" i="16" s="1"/>
  <c r="H91" i="16" s="1"/>
  <c r="N519" i="7"/>
  <c r="O519" i="7" s="1"/>
  <c r="N464" i="7"/>
  <c r="O464" i="7" s="1"/>
  <c r="F62" i="15"/>
  <c r="G657" i="7"/>
  <c r="I657" i="7" s="1"/>
  <c r="G697" i="7"/>
  <c r="I697" i="7" s="1"/>
  <c r="D283" i="5"/>
  <c r="G162" i="7"/>
  <c r="I162" i="7" s="1"/>
  <c r="D213" i="5"/>
  <c r="N21" i="8"/>
  <c r="O21" i="8" s="1"/>
  <c r="N12" i="8"/>
  <c r="O12" i="8" s="1"/>
  <c r="E302" i="5"/>
  <c r="N115" i="7"/>
  <c r="O115" i="7" s="1"/>
  <c r="D57" i="4"/>
  <c r="N705" i="7"/>
  <c r="O705" i="7" s="1"/>
  <c r="G241" i="7"/>
  <c r="I241" i="7" s="1"/>
  <c r="N715" i="7"/>
  <c r="O715" i="7" s="1"/>
  <c r="N601" i="7"/>
  <c r="O601" i="7" s="1"/>
  <c r="N704" i="8" s="1"/>
  <c r="O704" i="8" s="1"/>
  <c r="F220" i="16" s="1"/>
  <c r="H220" i="16" s="1"/>
  <c r="F66" i="15"/>
  <c r="E67" i="5"/>
  <c r="G668" i="7"/>
  <c r="I668" i="7" s="1"/>
  <c r="G219" i="7"/>
  <c r="I219" i="7" s="1"/>
  <c r="E348" i="4"/>
  <c r="E270" i="4"/>
  <c r="E193" i="4"/>
  <c r="E285" i="4"/>
  <c r="N677" i="7"/>
  <c r="O677" i="7" s="1"/>
  <c r="F161" i="16" s="1"/>
  <c r="H161" i="16" s="1"/>
  <c r="D352" i="4"/>
  <c r="D463" i="4"/>
  <c r="D464" i="5"/>
  <c r="G679" i="8"/>
  <c r="I679" i="8" s="1"/>
  <c r="G670" i="8"/>
  <c r="I670" i="8" s="1"/>
  <c r="G528" i="9"/>
  <c r="I528" i="9" s="1"/>
  <c r="N11" i="8"/>
  <c r="O11" i="8" s="1"/>
  <c r="N678" i="7"/>
  <c r="O678" i="7" s="1"/>
  <c r="E258" i="4"/>
  <c r="E170" i="5"/>
  <c r="C201" i="5"/>
  <c r="G76" i="7"/>
  <c r="I76" i="7" s="1"/>
  <c r="D183" i="5"/>
  <c r="E115" i="5"/>
  <c r="E254" i="5"/>
  <c r="G656" i="7"/>
  <c r="I656" i="7" s="1"/>
  <c r="E247" i="5"/>
  <c r="N200" i="7"/>
  <c r="O200" i="7" s="1"/>
  <c r="F12" i="15"/>
  <c r="G424" i="8"/>
  <c r="I424" i="8" s="1"/>
  <c r="D312" i="5"/>
  <c r="D206" i="5"/>
  <c r="G66" i="7"/>
  <c r="I66" i="7" s="1"/>
  <c r="N20" i="8"/>
  <c r="O20" i="8" s="1"/>
  <c r="F197" i="16" s="1"/>
  <c r="H197" i="16" s="1"/>
  <c r="C88" i="5"/>
  <c r="E115" i="4"/>
  <c r="C307" i="5"/>
  <c r="D350" i="4"/>
  <c r="D439" i="4"/>
  <c r="N105" i="7"/>
  <c r="O105" i="7" s="1"/>
  <c r="N211" i="7"/>
  <c r="O211" i="7" s="1"/>
  <c r="F60" i="15"/>
  <c r="N543" i="7"/>
  <c r="O543" i="7" s="1"/>
  <c r="N625" i="8" s="1"/>
  <c r="O625" i="8" s="1"/>
  <c r="C433" i="5"/>
  <c r="C432" i="4"/>
  <c r="N473" i="7"/>
  <c r="O473" i="7" s="1"/>
  <c r="D165" i="4"/>
  <c r="N397" i="7"/>
  <c r="O397" i="7" s="1"/>
  <c r="N688" i="7"/>
  <c r="O688" i="7" s="1"/>
  <c r="N648" i="7"/>
  <c r="O648" i="7" s="1"/>
  <c r="F62" i="16" s="1"/>
  <c r="H62" i="16" s="1"/>
  <c r="F41" i="15"/>
  <c r="E325" i="5"/>
  <c r="E381" i="4"/>
  <c r="E382" i="5"/>
  <c r="N631" i="8"/>
  <c r="O631" i="8" s="1"/>
  <c r="N273" i="7"/>
  <c r="O273" i="7" s="1"/>
  <c r="F75" i="16" s="1"/>
  <c r="H75" i="16" s="1"/>
  <c r="N268" i="7"/>
  <c r="O268" i="7" s="1"/>
  <c r="N267" i="7"/>
  <c r="O267" i="7" s="1"/>
  <c r="N269" i="7"/>
  <c r="O269" i="7" s="1"/>
  <c r="F67" i="16" s="1"/>
  <c r="H67" i="16" s="1"/>
  <c r="N266" i="7"/>
  <c r="O266" i="7" s="1"/>
  <c r="N231" i="8" s="1"/>
  <c r="O231" i="8" s="1"/>
  <c r="E469" i="5"/>
  <c r="E468" i="4"/>
  <c r="C190" i="4"/>
  <c r="C191" i="5"/>
  <c r="D48" i="5"/>
  <c r="D47" i="4"/>
  <c r="C441" i="4"/>
  <c r="C442" i="5"/>
  <c r="D159" i="4"/>
  <c r="D160" i="5"/>
  <c r="E368" i="4"/>
  <c r="E369" i="5"/>
  <c r="C259" i="5"/>
  <c r="C258" i="4"/>
  <c r="N19" i="8"/>
  <c r="O19" i="8" s="1"/>
  <c r="F101" i="16" s="1"/>
  <c r="H101" i="16" s="1"/>
  <c r="N647" i="7"/>
  <c r="O647" i="7" s="1"/>
  <c r="N203" i="7"/>
  <c r="O203" i="7" s="1"/>
  <c r="F14" i="16" s="1"/>
  <c r="H14" i="16" s="1"/>
  <c r="N201" i="7"/>
  <c r="O201" i="7" s="1"/>
  <c r="N199" i="7"/>
  <c r="O199" i="7" s="1"/>
  <c r="D273" i="4"/>
  <c r="D274" i="5"/>
  <c r="E433" i="4"/>
  <c r="E434" i="5"/>
  <c r="C225" i="5"/>
  <c r="C224" i="4"/>
  <c r="C300" i="5"/>
  <c r="C299" i="4"/>
  <c r="C391" i="4"/>
  <c r="C392" i="5"/>
  <c r="E252" i="4"/>
  <c r="E253" i="5"/>
  <c r="C186" i="5"/>
  <c r="C185" i="4"/>
  <c r="E202" i="5"/>
  <c r="E201" i="4"/>
  <c r="C407" i="5"/>
  <c r="C406" i="4"/>
  <c r="D19" i="4"/>
  <c r="D20" i="5"/>
  <c r="C19" i="4"/>
  <c r="C20" i="5"/>
  <c r="D31" i="5"/>
  <c r="D30" i="4"/>
  <c r="E276" i="5"/>
  <c r="E275" i="4"/>
  <c r="D17" i="5"/>
  <c r="D16" i="4"/>
  <c r="E396" i="4"/>
  <c r="E397" i="5"/>
  <c r="C447" i="5"/>
  <c r="N443" i="7"/>
  <c r="O443" i="7" s="1"/>
  <c r="N542" i="7"/>
  <c r="O542" i="7" s="1"/>
  <c r="F19" i="15"/>
  <c r="G59" i="8"/>
  <c r="L59" i="8" s="1"/>
  <c r="G48" i="7"/>
  <c r="I48" i="7" s="1"/>
  <c r="I50" i="7" s="1"/>
  <c r="G18" i="15" s="1"/>
  <c r="D175" i="4"/>
  <c r="D318" i="5"/>
  <c r="E324" i="5"/>
  <c r="H107" i="4"/>
  <c r="H108" i="5" s="1"/>
  <c r="I108" i="5" s="1"/>
  <c r="G199" i="4"/>
  <c r="G200" i="5" s="1"/>
  <c r="G343" i="4"/>
  <c r="G344" i="5" s="1"/>
  <c r="G292" i="4"/>
  <c r="G293" i="5" s="1"/>
  <c r="G40" i="15"/>
  <c r="G293" i="4"/>
  <c r="G294" i="5" s="1"/>
  <c r="C221" i="4"/>
  <c r="C222" i="5"/>
  <c r="C15" i="4"/>
  <c r="C16" i="5"/>
  <c r="D263" i="5"/>
  <c r="D262" i="4"/>
  <c r="E312" i="4"/>
  <c r="E313" i="5"/>
  <c r="E308" i="5"/>
  <c r="E307" i="4"/>
  <c r="Q367" i="7"/>
  <c r="R367" i="7" s="1"/>
  <c r="D83" i="17" s="1"/>
  <c r="F83" i="17" s="1"/>
  <c r="G698" i="7"/>
  <c r="I698" i="7" s="1"/>
  <c r="E285" i="5"/>
  <c r="D100" i="4"/>
  <c r="F55" i="15"/>
  <c r="C449" i="5"/>
  <c r="D471" i="5"/>
  <c r="D470" i="4"/>
  <c r="C157" i="4"/>
  <c r="C158" i="5"/>
  <c r="E440" i="5"/>
  <c r="E439" i="4"/>
  <c r="G210" i="7"/>
  <c r="I210" i="7" s="1"/>
  <c r="G107" i="4"/>
  <c r="G108" i="5" s="1"/>
  <c r="C430" i="4"/>
  <c r="G385" i="4"/>
  <c r="G386" i="5" s="1"/>
  <c r="D389" i="4"/>
  <c r="D390" i="5"/>
  <c r="N707" i="7"/>
  <c r="O707" i="7" s="1"/>
  <c r="E384" i="4"/>
  <c r="D26" i="5"/>
  <c r="D110" i="5"/>
  <c r="E145" i="5"/>
  <c r="C183" i="5"/>
  <c r="C336" i="5"/>
  <c r="N708" i="7"/>
  <c r="O708" i="7" s="1"/>
  <c r="N706" i="7"/>
  <c r="O706" i="7" s="1"/>
  <c r="F92" i="16" s="1"/>
  <c r="H92" i="16" s="1"/>
  <c r="G189" i="8"/>
  <c r="L189" i="8" s="1"/>
  <c r="G529" i="7"/>
  <c r="I529" i="7" s="1"/>
  <c r="G585" i="7"/>
  <c r="I585" i="7" s="1"/>
  <c r="G190" i="7"/>
  <c r="I190" i="7" s="1"/>
  <c r="D193" i="5"/>
  <c r="D192" i="4"/>
  <c r="N148" i="7"/>
  <c r="O148" i="7" s="1"/>
  <c r="F31" i="16" s="1"/>
  <c r="H31" i="16" s="1"/>
  <c r="D191" i="5"/>
  <c r="D190" i="4"/>
  <c r="D465" i="5"/>
  <c r="D464" i="4"/>
  <c r="C393" i="5"/>
  <c r="C392" i="4"/>
  <c r="E281" i="4"/>
  <c r="E282" i="5"/>
  <c r="D74" i="4"/>
  <c r="D75" i="5"/>
  <c r="C168" i="5"/>
  <c r="C167" i="4"/>
  <c r="N540" i="7"/>
  <c r="O540" i="7" s="1"/>
  <c r="D196" i="5"/>
  <c r="D195" i="4"/>
  <c r="C113" i="4"/>
  <c r="C114" i="5"/>
  <c r="C287" i="4"/>
  <c r="C288" i="5"/>
  <c r="C364" i="5"/>
  <c r="C363" i="4"/>
  <c r="C268" i="4"/>
  <c r="C269" i="5"/>
  <c r="C243" i="5"/>
  <c r="C242" i="4"/>
  <c r="E229" i="4"/>
  <c r="E230" i="5"/>
  <c r="D472" i="5"/>
  <c r="D471" i="4"/>
  <c r="D127" i="4"/>
  <c r="D128" i="5"/>
  <c r="D448" i="4"/>
  <c r="D449" i="5"/>
  <c r="E34" i="5"/>
  <c r="E33" i="4"/>
  <c r="E74" i="4"/>
  <c r="E75" i="5"/>
  <c r="E15" i="4"/>
  <c r="E16" i="5"/>
  <c r="D187" i="4"/>
  <c r="D188" i="5"/>
  <c r="C261" i="5"/>
  <c r="C260" i="4"/>
  <c r="D417" i="4"/>
  <c r="D418" i="5"/>
  <c r="D258" i="4"/>
  <c r="D259" i="5"/>
  <c r="E122" i="5"/>
  <c r="E121" i="4"/>
  <c r="G165" i="8"/>
  <c r="L165" i="8" s="1"/>
  <c r="G689" i="7"/>
  <c r="I689" i="7" s="1"/>
  <c r="I690" i="7" s="1"/>
  <c r="G730" i="7"/>
  <c r="I730" i="7" s="1"/>
  <c r="G172" i="7"/>
  <c r="I172" i="7" s="1"/>
  <c r="I174" i="7" s="1"/>
  <c r="G400" i="4" s="1"/>
  <c r="G401" i="5" s="1"/>
  <c r="E401" i="5"/>
  <c r="C138" i="4"/>
  <c r="D334" i="5"/>
  <c r="D333" i="4"/>
  <c r="D217" i="5"/>
  <c r="D216" i="4"/>
  <c r="E191" i="4"/>
  <c r="E192" i="5"/>
  <c r="C82" i="4"/>
  <c r="C83" i="5"/>
  <c r="E57" i="5"/>
  <c r="E56" i="4"/>
  <c r="E162" i="4"/>
  <c r="E163" i="5"/>
  <c r="E52" i="5"/>
  <c r="E51" i="4"/>
  <c r="C154" i="5"/>
  <c r="C153" i="4"/>
  <c r="E100" i="5"/>
  <c r="E99" i="4"/>
  <c r="C324" i="4"/>
  <c r="C325" i="5"/>
  <c r="G106" i="4"/>
  <c r="G107" i="5" s="1"/>
  <c r="D257" i="4"/>
  <c r="D258" i="5"/>
  <c r="C110" i="4"/>
  <c r="C111" i="5"/>
  <c r="D208" i="5"/>
  <c r="D207" i="4"/>
  <c r="E137" i="5"/>
  <c r="E136" i="4"/>
  <c r="E69" i="4"/>
  <c r="E70" i="5"/>
  <c r="E46" i="5"/>
  <c r="E45" i="4"/>
  <c r="C285" i="4"/>
  <c r="C286" i="5"/>
  <c r="D76" i="4"/>
  <c r="D77" i="5"/>
  <c r="E126" i="4"/>
  <c r="E127" i="5"/>
  <c r="D119" i="5"/>
  <c r="D118" i="4"/>
  <c r="D276" i="5"/>
  <c r="D275" i="4"/>
  <c r="E387" i="4"/>
  <c r="E388" i="5"/>
  <c r="C28" i="5"/>
  <c r="C27" i="4"/>
  <c r="E31" i="5"/>
  <c r="E30" i="4"/>
  <c r="C357" i="5"/>
  <c r="C356" i="4"/>
  <c r="C46" i="5"/>
  <c r="C45" i="4"/>
  <c r="D12" i="4"/>
  <c r="D13" i="5"/>
  <c r="D303" i="5"/>
  <c r="D302" i="4"/>
  <c r="C457" i="5"/>
  <c r="D220" i="5"/>
  <c r="N668" i="7"/>
  <c r="O668" i="7" s="1"/>
  <c r="N19" i="7"/>
  <c r="O19" i="7" s="1"/>
  <c r="F117" i="16" s="1"/>
  <c r="H117" i="16" s="1"/>
  <c r="F51" i="15"/>
  <c r="N23" i="7"/>
  <c r="O23" i="7" s="1"/>
  <c r="F128" i="16" s="1"/>
  <c r="H128" i="16" s="1"/>
  <c r="N21" i="7"/>
  <c r="O21" i="7" s="1"/>
  <c r="F95" i="16" s="1"/>
  <c r="H95" i="16" s="1"/>
  <c r="N22" i="7"/>
  <c r="O22" i="7" s="1"/>
  <c r="F211" i="16" s="1"/>
  <c r="H211" i="16" s="1"/>
  <c r="G464" i="7"/>
  <c r="I464" i="7" s="1"/>
  <c r="I465" i="7" s="1"/>
  <c r="I466" i="7" s="1"/>
  <c r="I467" i="7" s="1"/>
  <c r="C141" i="5"/>
  <c r="G182" i="7"/>
  <c r="I182" i="7" s="1"/>
  <c r="D374" i="5"/>
  <c r="C297" i="4"/>
  <c r="N376" i="7"/>
  <c r="O376" i="7" s="1"/>
  <c r="N471" i="8" s="1"/>
  <c r="O471" i="8" s="1"/>
  <c r="N20" i="7"/>
  <c r="O20" i="7" s="1"/>
  <c r="N264" i="7"/>
  <c r="O264" i="7" s="1"/>
  <c r="D379" i="5"/>
  <c r="D457" i="5"/>
  <c r="G471" i="7"/>
  <c r="I471" i="7" s="1"/>
  <c r="I474" i="7" s="1"/>
  <c r="G55" i="15" s="1"/>
  <c r="E39" i="4"/>
  <c r="N398" i="7"/>
  <c r="O398" i="7" s="1"/>
  <c r="N270" i="7"/>
  <c r="O270" i="7" s="1"/>
  <c r="F141" i="16" s="1"/>
  <c r="H141" i="16" s="1"/>
  <c r="N401" i="7"/>
  <c r="O401" i="7" s="1"/>
  <c r="F7" i="15"/>
  <c r="C178" i="5"/>
  <c r="D219" i="5"/>
  <c r="C374" i="4"/>
  <c r="G301" i="10"/>
  <c r="L301" i="10" s="1"/>
  <c r="G516" i="9"/>
  <c r="I516" i="9" s="1"/>
  <c r="I517" i="9" s="1"/>
  <c r="C207" i="5"/>
  <c r="C206" i="4"/>
  <c r="C425" i="4"/>
  <c r="C426" i="5"/>
  <c r="E247" i="4"/>
  <c r="E248" i="5"/>
  <c r="D186" i="5"/>
  <c r="D185" i="4"/>
  <c r="C107" i="4"/>
  <c r="C108" i="5"/>
  <c r="D175" i="5"/>
  <c r="D174" i="4"/>
  <c r="E153" i="4"/>
  <c r="E154" i="5"/>
  <c r="E388" i="4"/>
  <c r="E389" i="5"/>
  <c r="E295" i="4"/>
  <c r="E296" i="5"/>
  <c r="C279" i="5"/>
  <c r="C278" i="4"/>
  <c r="D140" i="4"/>
  <c r="D141" i="5"/>
  <c r="D168" i="5"/>
  <c r="D167" i="4"/>
  <c r="E172" i="5"/>
  <c r="E171" i="4"/>
  <c r="C428" i="4"/>
  <c r="C429" i="5"/>
  <c r="E472" i="4"/>
  <c r="E473" i="5"/>
  <c r="D67" i="5"/>
  <c r="D66" i="4"/>
  <c r="D33" i="5"/>
  <c r="D32" i="4"/>
  <c r="C74" i="4"/>
  <c r="C75" i="5"/>
  <c r="D85" i="5"/>
  <c r="D84" i="4"/>
  <c r="E291" i="4"/>
  <c r="E292" i="5"/>
  <c r="E459" i="5"/>
  <c r="E458" i="4"/>
  <c r="D295" i="4"/>
  <c r="D296" i="5"/>
  <c r="D473" i="5"/>
  <c r="D472" i="4"/>
  <c r="G525" i="9"/>
  <c r="I525" i="9" s="1"/>
  <c r="G519" i="7"/>
  <c r="I519" i="7" s="1"/>
  <c r="G317" i="9"/>
  <c r="I317" i="9" s="1"/>
  <c r="G303" i="9"/>
  <c r="I303" i="9" s="1"/>
  <c r="N22" i="8"/>
  <c r="O22" i="8" s="1"/>
  <c r="F61" i="15"/>
  <c r="C352" i="5"/>
  <c r="N584" i="7"/>
  <c r="O584" i="7" s="1"/>
  <c r="F201" i="16" s="1"/>
  <c r="H201" i="16" s="1"/>
  <c r="N585" i="7"/>
  <c r="O585" i="7" s="1"/>
  <c r="C231" i="5"/>
  <c r="C230" i="4"/>
  <c r="D132" i="5"/>
  <c r="D131" i="4"/>
  <c r="C445" i="5"/>
  <c r="C444" i="4"/>
  <c r="C150" i="4"/>
  <c r="C151" i="5"/>
  <c r="D161" i="5"/>
  <c r="D160" i="4"/>
  <c r="C127" i="4"/>
  <c r="C128" i="5"/>
  <c r="D112" i="4"/>
  <c r="D113" i="5"/>
  <c r="D394" i="5"/>
  <c r="D393" i="4"/>
  <c r="C72" i="4"/>
  <c r="C73" i="5"/>
  <c r="D139" i="5"/>
  <c r="D138" i="4"/>
  <c r="E87" i="5"/>
  <c r="E86" i="4"/>
  <c r="D388" i="4"/>
  <c r="D389" i="5"/>
  <c r="C120" i="5"/>
  <c r="C119" i="4"/>
  <c r="C181" i="5"/>
  <c r="C180" i="4"/>
  <c r="D419" i="4"/>
  <c r="D420" i="5"/>
  <c r="D57" i="5"/>
  <c r="D56" i="4"/>
  <c r="C340" i="5"/>
  <c r="C339" i="4"/>
  <c r="C85" i="5"/>
  <c r="C84" i="4"/>
  <c r="E422" i="4"/>
  <c r="E423" i="5"/>
  <c r="E471" i="4"/>
  <c r="E472" i="5"/>
  <c r="E318" i="4"/>
  <c r="E319" i="5"/>
  <c r="D95" i="5"/>
  <c r="D94" i="4"/>
  <c r="D177" i="4"/>
  <c r="D178" i="5"/>
  <c r="E106" i="5"/>
  <c r="E105" i="4"/>
  <c r="N620" i="7"/>
  <c r="O620" i="7" s="1"/>
  <c r="G181" i="7"/>
  <c r="I181" i="7" s="1"/>
  <c r="D269" i="5"/>
  <c r="D268" i="4"/>
  <c r="C337" i="4"/>
  <c r="D120" i="5"/>
  <c r="D119" i="4"/>
  <c r="C382" i="5"/>
  <c r="C381" i="4"/>
  <c r="D103" i="5"/>
  <c r="D102" i="4"/>
  <c r="C194" i="4"/>
  <c r="C195" i="5"/>
  <c r="C89" i="4"/>
  <c r="C90" i="5"/>
  <c r="D322" i="4"/>
  <c r="D323" i="5"/>
  <c r="D407" i="5"/>
  <c r="D406" i="4"/>
  <c r="E168" i="5"/>
  <c r="E167" i="4"/>
  <c r="D466" i="4"/>
  <c r="D467" i="5"/>
  <c r="D45" i="4"/>
  <c r="D46" i="5"/>
  <c r="C170" i="4"/>
  <c r="C171" i="5"/>
  <c r="D199" i="5"/>
  <c r="D198" i="4"/>
  <c r="D287" i="5"/>
  <c r="D286" i="4"/>
  <c r="G201" i="8"/>
  <c r="L201" i="8" s="1"/>
  <c r="G574" i="7"/>
  <c r="I574" i="7" s="1"/>
  <c r="G530" i="7"/>
  <c r="I530" i="7" s="1"/>
  <c r="G586" i="7"/>
  <c r="I586" i="7" s="1"/>
  <c r="G520" i="7"/>
  <c r="I520" i="7" s="1"/>
  <c r="G618" i="7"/>
  <c r="I618" i="7" s="1"/>
  <c r="N498" i="7"/>
  <c r="O498" i="7" s="1"/>
  <c r="F138" i="16" s="1"/>
  <c r="H138" i="16" s="1"/>
  <c r="C246" i="4"/>
  <c r="N505" i="7"/>
  <c r="O505" i="7" s="1"/>
  <c r="N509" i="7"/>
  <c r="O509" i="7" s="1"/>
  <c r="N585" i="8" s="1"/>
  <c r="O585" i="8" s="1"/>
  <c r="N510" i="7"/>
  <c r="O510" i="7" s="1"/>
  <c r="N507" i="7"/>
  <c r="O507" i="7" s="1"/>
  <c r="D287" i="4"/>
  <c r="D288" i="5"/>
  <c r="C274" i="5"/>
  <c r="C273" i="4"/>
  <c r="C92" i="4"/>
  <c r="C93" i="5"/>
  <c r="D150" i="4"/>
  <c r="D151" i="5"/>
  <c r="E127" i="4"/>
  <c r="E128" i="5"/>
  <c r="D313" i="4"/>
  <c r="D314" i="5"/>
  <c r="E147" i="4"/>
  <c r="E148" i="5"/>
  <c r="C206" i="5"/>
  <c r="C205" i="4"/>
  <c r="C58" i="4"/>
  <c r="C59" i="5"/>
  <c r="C258" i="5"/>
  <c r="C257" i="4"/>
  <c r="N471" i="7"/>
  <c r="O471" i="7" s="1"/>
  <c r="G191" i="7"/>
  <c r="I191" i="7" s="1"/>
  <c r="C374" i="5"/>
  <c r="F38" i="15"/>
  <c r="N508" i="7"/>
  <c r="O508" i="7" s="1"/>
  <c r="N579" i="8" s="1"/>
  <c r="O579" i="8" s="1"/>
  <c r="C133" i="5"/>
  <c r="G37" i="8"/>
  <c r="L37" i="8" s="1"/>
  <c r="G280" i="7"/>
  <c r="I280" i="7" s="1"/>
  <c r="I281" i="7" s="1"/>
  <c r="G227" i="4" s="1"/>
  <c r="G228" i="5" s="1"/>
  <c r="G423" i="7"/>
  <c r="I423" i="7" s="1"/>
  <c r="G20" i="7"/>
  <c r="I20" i="7" s="1"/>
  <c r="I24" i="7" s="1"/>
  <c r="I25" i="7" s="1"/>
  <c r="G321" i="7"/>
  <c r="I321" i="7" s="1"/>
  <c r="G288" i="7"/>
  <c r="I288" i="7" s="1"/>
  <c r="G257" i="7"/>
  <c r="I257" i="7" s="1"/>
  <c r="I258" i="7" s="1"/>
  <c r="G131" i="4" s="1"/>
  <c r="G132" i="5" s="1"/>
  <c r="G608" i="7"/>
  <c r="I608" i="7" s="1"/>
  <c r="G397" i="7"/>
  <c r="I397" i="7" s="1"/>
  <c r="G365" i="7"/>
  <c r="I365" i="7" s="1"/>
  <c r="G68" i="7"/>
  <c r="I68" i="7" s="1"/>
  <c r="G550" i="7"/>
  <c r="I550" i="7" s="1"/>
  <c r="G551" i="7"/>
  <c r="I551" i="7" s="1"/>
  <c r="N23" i="8"/>
  <c r="O23" i="8" s="1"/>
  <c r="F22" i="16" s="1"/>
  <c r="H22" i="16" s="1"/>
  <c r="E62" i="5"/>
  <c r="N400" i="7"/>
  <c r="O400" i="7" s="1"/>
  <c r="F159" i="16" s="1"/>
  <c r="H159" i="16" s="1"/>
  <c r="N463" i="7"/>
  <c r="O463" i="7" s="1"/>
  <c r="F149" i="16" s="1"/>
  <c r="H149" i="16" s="1"/>
  <c r="N698" i="7"/>
  <c r="O698" i="7" s="1"/>
  <c r="G7" i="8"/>
  <c r="L7" i="8" s="1"/>
  <c r="G8" i="7"/>
  <c r="I8" i="7" s="1"/>
  <c r="E219" i="5"/>
  <c r="C165" i="4"/>
  <c r="C151" i="4"/>
  <c r="F42" i="15"/>
  <c r="N344" i="7"/>
  <c r="O344" i="7" s="1"/>
  <c r="N441" i="8" s="1"/>
  <c r="O441" i="8" s="1"/>
  <c r="N341" i="7"/>
  <c r="O341" i="7" s="1"/>
  <c r="N333" i="7"/>
  <c r="O333" i="7" s="1"/>
  <c r="N341" i="8" s="1"/>
  <c r="O341" i="8" s="1"/>
  <c r="N334" i="7"/>
  <c r="O334" i="7" s="1"/>
  <c r="N335" i="7"/>
  <c r="O335" i="7" s="1"/>
  <c r="N363" i="8" s="1"/>
  <c r="O363" i="8" s="1"/>
  <c r="C293" i="5"/>
  <c r="N88" i="7"/>
  <c r="O88" i="7" s="1"/>
  <c r="G302" i="9"/>
  <c r="I302" i="9" s="1"/>
  <c r="G309" i="9"/>
  <c r="I309" i="9" s="1"/>
  <c r="N210" i="7"/>
  <c r="O210" i="7" s="1"/>
  <c r="F15" i="15"/>
  <c r="N539" i="7"/>
  <c r="O539" i="7" s="1"/>
  <c r="F102" i="16" s="1"/>
  <c r="H102" i="16" s="1"/>
  <c r="N541" i="7"/>
  <c r="O541" i="7" s="1"/>
  <c r="E190" i="5"/>
  <c r="E189" i="4"/>
  <c r="C268" i="5"/>
  <c r="C267" i="4"/>
  <c r="C195" i="4"/>
  <c r="C196" i="5"/>
  <c r="D247" i="4"/>
  <c r="D248" i="5"/>
  <c r="D267" i="4"/>
  <c r="D268" i="5"/>
  <c r="D280" i="5"/>
  <c r="D279" i="4"/>
  <c r="C462" i="5"/>
  <c r="C461" i="4"/>
  <c r="C51" i="4"/>
  <c r="C52" i="5"/>
  <c r="C176" i="5"/>
  <c r="C175" i="4"/>
  <c r="C420" i="5"/>
  <c r="C419" i="4"/>
  <c r="D340" i="5"/>
  <c r="D339" i="4"/>
  <c r="D294" i="4"/>
  <c r="D295" i="5"/>
  <c r="D237" i="5"/>
  <c r="D236" i="4"/>
  <c r="E210" i="5"/>
  <c r="E209" i="4"/>
  <c r="C241" i="5"/>
  <c r="C240" i="4"/>
  <c r="D115" i="5"/>
  <c r="D114" i="4"/>
  <c r="C272" i="4"/>
  <c r="C273" i="5"/>
  <c r="D92" i="5"/>
  <c r="D91" i="4"/>
  <c r="D18" i="4"/>
  <c r="D19" i="5"/>
  <c r="E411" i="4"/>
  <c r="E412" i="5"/>
  <c r="D423" i="4"/>
  <c r="D424" i="5"/>
  <c r="D55" i="5"/>
  <c r="D54" i="4"/>
  <c r="D278" i="5"/>
  <c r="D277" i="4"/>
  <c r="D401" i="5"/>
  <c r="D400" i="4"/>
  <c r="E341" i="5"/>
  <c r="E340" i="4"/>
  <c r="D341" i="5"/>
  <c r="D340" i="4"/>
  <c r="D372" i="4"/>
  <c r="D373" i="5"/>
  <c r="E346" i="5"/>
  <c r="E345" i="4"/>
  <c r="C372" i="5"/>
  <c r="C371" i="4"/>
  <c r="E424" i="5"/>
  <c r="E423" i="4"/>
  <c r="E380" i="5"/>
  <c r="E379" i="4"/>
  <c r="E329" i="4"/>
  <c r="E330" i="5"/>
  <c r="E118" i="5"/>
  <c r="E117" i="4"/>
  <c r="D204" i="4"/>
  <c r="D205" i="5"/>
  <c r="D96" i="5"/>
  <c r="D95" i="4"/>
  <c r="D363" i="4"/>
  <c r="D364" i="5"/>
  <c r="E13" i="5"/>
  <c r="E12" i="4"/>
  <c r="D240" i="4"/>
  <c r="D241" i="5"/>
  <c r="D273" i="5"/>
  <c r="D272" i="4"/>
  <c r="E33" i="5"/>
  <c r="E32" i="4"/>
  <c r="D193" i="4"/>
  <c r="D194" i="5"/>
  <c r="E304" i="5"/>
  <c r="E303" i="4"/>
  <c r="D168" i="4"/>
  <c r="D169" i="5"/>
  <c r="D39" i="5"/>
  <c r="D38" i="4"/>
  <c r="D447" i="5"/>
  <c r="D446" i="4"/>
  <c r="D35" i="5"/>
  <c r="D34" i="4"/>
  <c r="D111" i="4"/>
  <c r="D112" i="5"/>
  <c r="D231" i="4"/>
  <c r="D232" i="5"/>
  <c r="E366" i="5"/>
  <c r="E365" i="4"/>
  <c r="D380" i="5"/>
  <c r="D379" i="4"/>
  <c r="D253" i="4"/>
  <c r="D254" i="5"/>
  <c r="N272" i="7"/>
  <c r="O272" i="7" s="1"/>
  <c r="F61" i="16" s="1"/>
  <c r="H61" i="16" s="1"/>
  <c r="N530" i="7"/>
  <c r="O530" i="7" s="1"/>
  <c r="N531" i="7"/>
  <c r="O531" i="7" s="1"/>
  <c r="C147" i="5"/>
  <c r="D366" i="4"/>
  <c r="D367" i="5"/>
  <c r="E44" i="4"/>
  <c r="E45" i="5"/>
  <c r="C107" i="5"/>
  <c r="C106" i="4"/>
  <c r="C17" i="4"/>
  <c r="C18" i="5"/>
  <c r="C399" i="5"/>
  <c r="C398" i="4"/>
  <c r="E28" i="5"/>
  <c r="E27" i="4"/>
  <c r="D153" i="4"/>
  <c r="D154" i="5"/>
  <c r="C464" i="4"/>
  <c r="C465" i="5"/>
  <c r="E101" i="5"/>
  <c r="E100" i="4"/>
  <c r="D335" i="4"/>
  <c r="D336" i="5"/>
  <c r="E331" i="5"/>
  <c r="E330" i="4"/>
  <c r="E311" i="4"/>
  <c r="E312" i="5"/>
  <c r="C35" i="5"/>
  <c r="C34" i="4"/>
  <c r="E377" i="4"/>
  <c r="E378" i="5"/>
  <c r="C112" i="4"/>
  <c r="C113" i="5"/>
  <c r="D212" i="5"/>
  <c r="D211" i="4"/>
  <c r="E400" i="5"/>
  <c r="E399" i="4"/>
  <c r="C264" i="5"/>
  <c r="C263" i="4"/>
  <c r="D106" i="5"/>
  <c r="D105" i="4"/>
  <c r="D347" i="5"/>
  <c r="D346" i="4"/>
  <c r="G519" i="8"/>
  <c r="I519" i="8" s="1"/>
  <c r="G496" i="8"/>
  <c r="I496" i="8" s="1"/>
  <c r="I500" i="8" s="1"/>
  <c r="G495" i="8" s="1"/>
  <c r="L495" i="8" s="1"/>
  <c r="C213" i="5"/>
  <c r="G667" i="7"/>
  <c r="I667" i="7" s="1"/>
  <c r="N697" i="7"/>
  <c r="O697" i="7" s="1"/>
  <c r="F69" i="15"/>
  <c r="D181" i="5"/>
  <c r="D180" i="4"/>
  <c r="C103" i="5"/>
  <c r="C102" i="4"/>
  <c r="D82" i="4"/>
  <c r="D83" i="5"/>
  <c r="C390" i="5"/>
  <c r="C389" i="4"/>
  <c r="C26" i="4"/>
  <c r="C27" i="5"/>
  <c r="D116" i="4"/>
  <c r="D117" i="5"/>
  <c r="C314" i="5"/>
  <c r="C313" i="4"/>
  <c r="E295" i="5"/>
  <c r="E294" i="4"/>
  <c r="C354" i="5"/>
  <c r="C353" i="4"/>
  <c r="C370" i="4"/>
  <c r="C371" i="5"/>
  <c r="D96" i="4"/>
  <c r="D97" i="5"/>
  <c r="C288" i="4"/>
  <c r="C289" i="5"/>
  <c r="C314" i="4"/>
  <c r="C315" i="5"/>
  <c r="C20" i="4"/>
  <c r="C21" i="5"/>
  <c r="E323" i="5"/>
  <c r="E322" i="4"/>
  <c r="D285" i="4"/>
  <c r="D286" i="5"/>
  <c r="C356" i="5"/>
  <c r="C355" i="4"/>
  <c r="C87" i="5"/>
  <c r="C86" i="4"/>
  <c r="N520" i="7"/>
  <c r="O520" i="7" s="1"/>
  <c r="N503" i="7"/>
  <c r="O503" i="7" s="1"/>
  <c r="N541" i="8" s="1"/>
  <c r="O541" i="8" s="1"/>
  <c r="G17" i="8"/>
  <c r="L17" i="8" s="1"/>
  <c r="G9" i="7"/>
  <c r="I9" i="7" s="1"/>
  <c r="G621" i="8"/>
  <c r="L621" i="8" s="1"/>
  <c r="G543" i="7"/>
  <c r="I543" i="7" s="1"/>
  <c r="D352" i="5"/>
  <c r="G571" i="8"/>
  <c r="I571" i="8" s="1"/>
  <c r="G556" i="8"/>
  <c r="I556" i="8" s="1"/>
  <c r="G663" i="8"/>
  <c r="I663" i="8" s="1"/>
  <c r="G177" i="8"/>
  <c r="L177" i="8" s="1"/>
  <c r="G619" i="7"/>
  <c r="I619" i="7" s="1"/>
  <c r="G707" i="7"/>
  <c r="I707" i="7" s="1"/>
  <c r="G717" i="7"/>
  <c r="I717" i="7" s="1"/>
  <c r="I719" i="7" s="1"/>
  <c r="I720" i="7" s="1"/>
  <c r="I721" i="7" s="1"/>
  <c r="H379" i="4" s="1"/>
  <c r="G679" i="7"/>
  <c r="I679" i="7" s="1"/>
  <c r="G680" i="7"/>
  <c r="I680" i="7" s="1"/>
  <c r="G220" i="7"/>
  <c r="I220" i="7" s="1"/>
  <c r="Q224" i="7"/>
  <c r="R224" i="7" s="1"/>
  <c r="D187" i="17" s="1"/>
  <c r="F187" i="17" s="1"/>
  <c r="G180" i="7"/>
  <c r="I180" i="7" s="1"/>
  <c r="H292" i="4"/>
  <c r="I292" i="4" s="1"/>
  <c r="N500" i="7"/>
  <c r="O500" i="7" s="1"/>
  <c r="F148" i="16" s="1"/>
  <c r="H148" i="16" s="1"/>
  <c r="N529" i="7"/>
  <c r="O529" i="7" s="1"/>
  <c r="N600" i="7"/>
  <c r="O600" i="7" s="1"/>
  <c r="N696" i="8" s="1"/>
  <c r="O696" i="8" s="1"/>
  <c r="F153" i="16" s="1"/>
  <c r="H153" i="16" s="1"/>
  <c r="F25" i="15"/>
  <c r="G105" i="8"/>
  <c r="L105" i="8" s="1"/>
  <c r="G97" i="7"/>
  <c r="I97" i="7" s="1"/>
  <c r="C232" i="5"/>
  <c r="G433" i="8"/>
  <c r="I433" i="8" s="1"/>
  <c r="C459" i="5"/>
  <c r="C458" i="4"/>
  <c r="D305" i="5"/>
  <c r="D304" i="4"/>
  <c r="E429" i="5"/>
  <c r="E428" i="4"/>
  <c r="D99" i="4"/>
  <c r="D100" i="5"/>
  <c r="D27" i="4"/>
  <c r="D28" i="5"/>
  <c r="E333" i="4"/>
  <c r="E334" i="5"/>
  <c r="C198" i="4"/>
  <c r="C199" i="5"/>
  <c r="D281" i="5"/>
  <c r="D280" i="4"/>
  <c r="C251" i="5"/>
  <c r="C250" i="4"/>
  <c r="C189" i="5"/>
  <c r="N96" i="7"/>
  <c r="O96" i="7" s="1"/>
  <c r="D76" i="5"/>
  <c r="D75" i="4"/>
  <c r="E107" i="4"/>
  <c r="E108" i="5"/>
  <c r="D72" i="5"/>
  <c r="D71" i="4"/>
  <c r="C116" i="5"/>
  <c r="C115" i="4"/>
  <c r="C56" i="4"/>
  <c r="C57" i="5"/>
  <c r="E237" i="5"/>
  <c r="E236" i="4"/>
  <c r="C109" i="4"/>
  <c r="C110" i="5"/>
  <c r="E25" i="4"/>
  <c r="E26" i="5"/>
  <c r="D423" i="5"/>
  <c r="D422" i="4"/>
  <c r="C65" i="5"/>
  <c r="C64" i="4"/>
  <c r="E206" i="5"/>
  <c r="D474" i="5"/>
  <c r="D473" i="4"/>
  <c r="D385" i="4"/>
  <c r="D386" i="5"/>
  <c r="C243" i="4"/>
  <c r="C244" i="5"/>
  <c r="D346" i="5"/>
  <c r="D345" i="4"/>
  <c r="E299" i="5"/>
  <c r="E298" i="4"/>
  <c r="C384" i="4"/>
  <c r="C385" i="5"/>
  <c r="D143" i="4"/>
  <c r="D144" i="5"/>
  <c r="C95" i="4"/>
  <c r="C96" i="5"/>
  <c r="E180" i="5"/>
  <c r="E179" i="4"/>
  <c r="E165" i="4"/>
  <c r="E166" i="5"/>
  <c r="E208" i="5"/>
  <c r="E207" i="4"/>
  <c r="D337" i="4"/>
  <c r="D338" i="5"/>
  <c r="C203" i="5"/>
  <c r="C202" i="4"/>
  <c r="C92" i="5"/>
  <c r="C91" i="4"/>
  <c r="C362" i="5"/>
  <c r="G308" i="8"/>
  <c r="I308" i="8" s="1"/>
  <c r="C190" i="5"/>
  <c r="C342" i="4"/>
  <c r="C343" i="5"/>
  <c r="C466" i="5"/>
  <c r="C465" i="4"/>
  <c r="D469" i="5"/>
  <c r="D468" i="4"/>
  <c r="C372" i="4"/>
  <c r="C373" i="5"/>
  <c r="D434" i="5"/>
  <c r="D433" i="4"/>
  <c r="C32" i="5"/>
  <c r="C31" i="4"/>
  <c r="D387" i="5"/>
  <c r="D386" i="4"/>
  <c r="E97" i="4"/>
  <c r="E98" i="5"/>
  <c r="E76" i="5"/>
  <c r="E75" i="4"/>
  <c r="C472" i="5"/>
  <c r="C471" i="4"/>
  <c r="C155" i="5"/>
  <c r="C154" i="4"/>
  <c r="C394" i="4"/>
  <c r="C395" i="5"/>
  <c r="C48" i="5"/>
  <c r="C47" i="4"/>
  <c r="C390" i="4"/>
  <c r="C391" i="5"/>
  <c r="D442" i="5"/>
  <c r="D441" i="4"/>
  <c r="C150" i="5"/>
  <c r="C149" i="4"/>
  <c r="C412" i="5"/>
  <c r="C411" i="4"/>
  <c r="C387" i="4"/>
  <c r="C388" i="5"/>
  <c r="C147" i="4"/>
  <c r="C148" i="5"/>
  <c r="E119" i="5"/>
  <c r="E118" i="4"/>
  <c r="C12" i="4"/>
  <c r="C13" i="5"/>
  <c r="D377" i="4"/>
  <c r="D378" i="5"/>
  <c r="D33" i="4"/>
  <c r="D34" i="5"/>
  <c r="C396" i="5"/>
  <c r="C395" i="4"/>
  <c r="E25" i="5"/>
  <c r="E24" i="4"/>
  <c r="E263" i="5"/>
  <c r="E262" i="4"/>
  <c r="C187" i="4"/>
  <c r="C188" i="5"/>
  <c r="E22" i="5"/>
  <c r="E21" i="4"/>
  <c r="D87" i="5"/>
  <c r="D86" i="4"/>
  <c r="C389" i="5"/>
  <c r="C388" i="4"/>
  <c r="D308" i="5"/>
  <c r="D307" i="4"/>
  <c r="D454" i="4"/>
  <c r="D455" i="5"/>
  <c r="D26" i="4"/>
  <c r="D27" i="5"/>
  <c r="D36" i="5"/>
  <c r="D35" i="4"/>
  <c r="C407" i="4"/>
  <c r="C408" i="5"/>
  <c r="C367" i="5"/>
  <c r="C366" i="4"/>
  <c r="C193" i="5"/>
  <c r="C192" i="4"/>
  <c r="E407" i="5"/>
  <c r="E406" i="4"/>
  <c r="C100" i="5"/>
  <c r="C99" i="4"/>
  <c r="E141" i="4"/>
  <c r="E142" i="5"/>
  <c r="D398" i="5"/>
  <c r="D397" i="4"/>
  <c r="C72" i="5"/>
  <c r="C71" i="4"/>
  <c r="E336" i="4"/>
  <c r="E337" i="5"/>
  <c r="D209" i="4"/>
  <c r="D361" i="5"/>
  <c r="D360" i="4"/>
  <c r="D195" i="5"/>
  <c r="D194" i="4"/>
  <c r="D221" i="4"/>
  <c r="D222" i="5"/>
  <c r="C217" i="4"/>
  <c r="C218" i="5"/>
  <c r="D107" i="4"/>
  <c r="D108" i="5"/>
  <c r="E34" i="4"/>
  <c r="E35" i="5"/>
  <c r="C169" i="5"/>
  <c r="C168" i="4"/>
  <c r="E95" i="4"/>
  <c r="E96" i="5"/>
  <c r="D256" i="5"/>
  <c r="D255" i="4"/>
  <c r="D399" i="4"/>
  <c r="D400" i="5"/>
  <c r="E19" i="4"/>
  <c r="E20" i="5"/>
  <c r="E58" i="5"/>
  <c r="E57" i="4"/>
  <c r="D24" i="5"/>
  <c r="D23" i="4"/>
  <c r="C366" i="5"/>
  <c r="C365" i="4"/>
  <c r="C321" i="5"/>
  <c r="C320" i="4"/>
  <c r="E13" i="4"/>
  <c r="E14" i="5"/>
  <c r="D407" i="4"/>
  <c r="D408" i="5"/>
  <c r="C310" i="4"/>
  <c r="C311" i="5"/>
  <c r="D252" i="4"/>
  <c r="D253" i="5"/>
  <c r="C23" i="5"/>
  <c r="C22" i="4"/>
  <c r="E339" i="4"/>
  <c r="E340" i="5"/>
  <c r="C76" i="4"/>
  <c r="C77" i="5"/>
  <c r="D89" i="4"/>
  <c r="D90" i="5"/>
  <c r="E457" i="5"/>
  <c r="E456" i="4"/>
  <c r="D405" i="5"/>
  <c r="D404" i="4"/>
  <c r="G680" i="8"/>
  <c r="I680" i="8" s="1"/>
  <c r="C294" i="5"/>
  <c r="E55" i="5"/>
  <c r="C460" i="5"/>
  <c r="D126" i="5"/>
  <c r="G397" i="8"/>
  <c r="I397" i="8" s="1"/>
  <c r="G557" i="8"/>
  <c r="I557" i="8" s="1"/>
  <c r="C209" i="4"/>
  <c r="D355" i="4"/>
  <c r="D158" i="5"/>
  <c r="C303" i="5"/>
  <c r="D264" i="5"/>
  <c r="C271" i="5"/>
  <c r="E150" i="4"/>
  <c r="N108" i="7"/>
  <c r="O108" i="7" s="1"/>
  <c r="N141" i="8" s="1"/>
  <c r="O141" i="8" s="1"/>
  <c r="E430" i="5"/>
  <c r="D260" i="5"/>
  <c r="D259" i="4"/>
  <c r="C249" i="4"/>
  <c r="C250" i="5"/>
  <c r="C411" i="5"/>
  <c r="C410" i="4"/>
  <c r="E186" i="5"/>
  <c r="E185" i="4"/>
  <c r="D92" i="4"/>
  <c r="D93" i="5"/>
  <c r="D155" i="5"/>
  <c r="D154" i="4"/>
  <c r="D116" i="5"/>
  <c r="D115" i="4"/>
  <c r="C361" i="5"/>
  <c r="C360" i="4"/>
  <c r="E284" i="5"/>
  <c r="E283" i="4"/>
  <c r="D283" i="4"/>
  <c r="D284" i="5"/>
  <c r="E258" i="5"/>
  <c r="E257" i="4"/>
  <c r="D459" i="5"/>
  <c r="D458" i="4"/>
  <c r="C248" i="5"/>
  <c r="C247" i="4"/>
  <c r="D162" i="4"/>
  <c r="D163" i="5"/>
  <c r="C137" i="5"/>
  <c r="C136" i="4"/>
  <c r="D202" i="5"/>
  <c r="D201" i="4"/>
  <c r="D78" i="5"/>
  <c r="D77" i="4"/>
  <c r="C39" i="4"/>
  <c r="C40" i="5"/>
  <c r="C295" i="5"/>
  <c r="C294" i="4"/>
  <c r="E302" i="4"/>
  <c r="E303" i="5"/>
  <c r="C55" i="5"/>
  <c r="C54" i="4"/>
  <c r="E397" i="4"/>
  <c r="E398" i="5"/>
  <c r="D99" i="5"/>
  <c r="D98" i="4"/>
  <c r="D126" i="4"/>
  <c r="D127" i="5"/>
  <c r="D436" i="4"/>
  <c r="D437" i="5"/>
  <c r="E357" i="5"/>
  <c r="E356" i="4"/>
  <c r="C95" i="5"/>
  <c r="C94" i="4"/>
  <c r="D145" i="5"/>
  <c r="D144" i="4"/>
  <c r="E371" i="5"/>
  <c r="E370" i="4"/>
  <c r="E393" i="4"/>
  <c r="E394" i="5"/>
  <c r="D179" i="4"/>
  <c r="D180" i="5"/>
  <c r="C57" i="4"/>
  <c r="C58" i="5"/>
  <c r="E450" i="4"/>
  <c r="E451" i="5"/>
  <c r="D28" i="4"/>
  <c r="D29" i="5"/>
  <c r="D460" i="5"/>
  <c r="D459" i="4"/>
  <c r="C475" i="5"/>
  <c r="C474" i="4"/>
  <c r="E77" i="4"/>
  <c r="E78" i="5"/>
  <c r="E123" i="4"/>
  <c r="E124" i="5"/>
  <c r="C76" i="5"/>
  <c r="C75" i="4"/>
  <c r="E406" i="5"/>
  <c r="E405" i="4"/>
  <c r="D330" i="5"/>
  <c r="D329" i="4"/>
  <c r="C417" i="4"/>
  <c r="C418" i="5"/>
  <c r="D431" i="5"/>
  <c r="D430" i="4"/>
  <c r="C94" i="5"/>
  <c r="C93" i="4"/>
  <c r="D466" i="5"/>
  <c r="D465" i="4"/>
  <c r="C255" i="4"/>
  <c r="C256" i="5"/>
  <c r="E281" i="5"/>
  <c r="E280" i="4"/>
  <c r="E241" i="5"/>
  <c r="E240" i="4"/>
  <c r="C237" i="4"/>
  <c r="C238" i="5"/>
  <c r="C262" i="4"/>
  <c r="C263" i="5"/>
  <c r="C105" i="4"/>
  <c r="C106" i="5"/>
  <c r="D462" i="5"/>
  <c r="D461" i="4"/>
  <c r="C467" i="4"/>
  <c r="C468" i="5"/>
  <c r="E352" i="5"/>
  <c r="E351" i="4"/>
  <c r="E347" i="5"/>
  <c r="E346" i="4"/>
  <c r="E235" i="5"/>
  <c r="E234" i="4"/>
  <c r="E48" i="5"/>
  <c r="E47" i="4"/>
  <c r="D189" i="4"/>
  <c r="D190" i="5"/>
  <c r="C280" i="5"/>
  <c r="C279" i="4"/>
  <c r="D411" i="5"/>
  <c r="D410" i="4"/>
  <c r="E50" i="4"/>
  <c r="E51" i="5"/>
  <c r="C229" i="4"/>
  <c r="C230" i="5"/>
  <c r="E212" i="5"/>
  <c r="E211" i="4"/>
  <c r="C165" i="5"/>
  <c r="D234" i="5"/>
  <c r="D384" i="4"/>
  <c r="G376" i="7"/>
  <c r="I376" i="7" s="1"/>
  <c r="I377" i="7" s="1"/>
  <c r="E199" i="5"/>
  <c r="C437" i="5"/>
  <c r="N249" i="7"/>
  <c r="O249" i="7" s="1"/>
  <c r="F130" i="16" s="1"/>
  <c r="H130" i="16" s="1"/>
  <c r="N676" i="7"/>
  <c r="O676" i="7" s="1"/>
  <c r="C318" i="4"/>
  <c r="C332" i="4"/>
  <c r="C333" i="5"/>
  <c r="E92" i="4"/>
  <c r="E93" i="5"/>
  <c r="D372" i="5"/>
  <c r="D371" i="4"/>
  <c r="D228" i="5"/>
  <c r="D227" i="4"/>
  <c r="E72" i="5"/>
  <c r="E71" i="4"/>
  <c r="C209" i="5"/>
  <c r="C208" i="4"/>
  <c r="D403" i="5"/>
  <c r="D402" i="4"/>
  <c r="C78" i="5"/>
  <c r="C77" i="4"/>
  <c r="D191" i="4"/>
  <c r="D192" i="5"/>
  <c r="C340" i="4"/>
  <c r="C341" i="5"/>
  <c r="D291" i="4"/>
  <c r="D292" i="5"/>
  <c r="C326" i="4"/>
  <c r="C327" i="5"/>
  <c r="C202" i="5"/>
  <c r="C201" i="4"/>
  <c r="C322" i="4"/>
  <c r="C323" i="5"/>
  <c r="D388" i="5"/>
  <c r="D387" i="4"/>
  <c r="E110" i="5"/>
  <c r="E109" i="4"/>
  <c r="D450" i="5"/>
  <c r="D449" i="4"/>
  <c r="D396" i="5"/>
  <c r="D395" i="4"/>
  <c r="E24" i="5"/>
  <c r="E23" i="4"/>
  <c r="C333" i="4"/>
  <c r="C334" i="5"/>
  <c r="D301" i="5"/>
  <c r="D300" i="4"/>
  <c r="D406" i="5"/>
  <c r="D405" i="4"/>
  <c r="E437" i="5"/>
  <c r="E436" i="4"/>
  <c r="D64" i="4"/>
  <c r="D65" i="5"/>
  <c r="D72" i="4"/>
  <c r="D73" i="5"/>
  <c r="D467" i="4"/>
  <c r="D468" i="5"/>
  <c r="C281" i="5"/>
  <c r="C280" i="4"/>
  <c r="D52" i="5"/>
  <c r="D51" i="4"/>
  <c r="E464" i="5"/>
  <c r="E463" i="4"/>
  <c r="D147" i="4"/>
  <c r="D148" i="5"/>
  <c r="D203" i="5"/>
  <c r="D202" i="4"/>
  <c r="C429" i="4"/>
  <c r="C430" i="5"/>
  <c r="C295" i="4"/>
  <c r="C296" i="5"/>
  <c r="E155" i="5"/>
  <c r="E154" i="4"/>
  <c r="E343" i="4"/>
  <c r="E344" i="5"/>
  <c r="Q553" i="7"/>
  <c r="R553" i="7" s="1"/>
  <c r="D162" i="17" s="1"/>
  <c r="F162" i="17" s="1"/>
  <c r="E98" i="4"/>
  <c r="E99" i="5"/>
  <c r="E390" i="5"/>
  <c r="E389" i="4"/>
  <c r="E167" i="5"/>
  <c r="E166" i="4"/>
  <c r="G87" i="7"/>
  <c r="I87" i="7" s="1"/>
  <c r="Q619" i="7"/>
  <c r="R619" i="7" s="1"/>
  <c r="Q696" i="7"/>
  <c r="R696" i="7" s="1"/>
  <c r="D72" i="17" s="1"/>
  <c r="F72" i="17" s="1"/>
  <c r="Q492" i="7"/>
  <c r="R492" i="7" s="1"/>
  <c r="D147" i="17" s="1"/>
  <c r="F147" i="17" s="1"/>
  <c r="E108" i="4"/>
  <c r="E109" i="5"/>
  <c r="E296" i="4"/>
  <c r="E297" i="5"/>
  <c r="I189" i="9"/>
  <c r="D150" i="5"/>
  <c r="D149" i="4"/>
  <c r="E95" i="5"/>
  <c r="E94" i="4"/>
  <c r="E215" i="5"/>
  <c r="E214" i="4"/>
  <c r="E403" i="4"/>
  <c r="E404" i="5"/>
  <c r="G107" i="9"/>
  <c r="L107" i="9" s="1"/>
  <c r="G291" i="8"/>
  <c r="I291" i="8" s="1"/>
  <c r="G342" i="8"/>
  <c r="I342" i="8" s="1"/>
  <c r="I595" i="7"/>
  <c r="I596" i="7" s="1"/>
  <c r="H175" i="4" s="1"/>
  <c r="H176" i="5" s="1"/>
  <c r="G592" i="7"/>
  <c r="Q522" i="7"/>
  <c r="R522" i="7" s="1"/>
  <c r="D196" i="17" s="1"/>
  <c r="F196" i="17" s="1"/>
  <c r="Q473" i="7"/>
  <c r="R473" i="7" s="1"/>
  <c r="Q245" i="7"/>
  <c r="R245" i="7" s="1"/>
  <c r="D164" i="17" s="1"/>
  <c r="F164" i="17" s="1"/>
  <c r="I458" i="7"/>
  <c r="I459" i="7" s="1"/>
  <c r="G450" i="7"/>
  <c r="L450" i="7" s="1"/>
  <c r="E354" i="4"/>
  <c r="E355" i="5"/>
  <c r="F54" i="15"/>
  <c r="E360" i="4"/>
  <c r="E361" i="5"/>
  <c r="Q647" i="7"/>
  <c r="R647" i="7" s="1"/>
  <c r="Q454" i="7"/>
  <c r="R454" i="7" s="1"/>
  <c r="D27" i="17" s="1"/>
  <c r="F27" i="17" s="1"/>
  <c r="Q231" i="7"/>
  <c r="R231" i="7" s="1"/>
  <c r="D7" i="17" s="1"/>
  <c r="F7" i="17" s="1"/>
  <c r="Q541" i="7"/>
  <c r="R541" i="7" s="1"/>
  <c r="Q668" i="7"/>
  <c r="R668" i="7" s="1"/>
  <c r="Q247" i="7"/>
  <c r="R247" i="7" s="1"/>
  <c r="D113" i="17" s="1"/>
  <c r="F113" i="17" s="1"/>
  <c r="Q542" i="7"/>
  <c r="R542" i="7" s="1"/>
  <c r="Q226" i="7"/>
  <c r="R226" i="7" s="1"/>
  <c r="D210" i="17" s="1"/>
  <c r="F210" i="17" s="1"/>
  <c r="Q79" i="7"/>
  <c r="R79" i="7" s="1"/>
  <c r="D91" i="17" s="1"/>
  <c r="F91" i="17" s="1"/>
  <c r="Q471" i="7"/>
  <c r="R471" i="7" s="1"/>
  <c r="Q464" i="7"/>
  <c r="R464" i="7" s="1"/>
  <c r="Q660" i="7"/>
  <c r="R660" i="7" s="1"/>
  <c r="Q248" i="7"/>
  <c r="R248" i="7" s="1"/>
  <c r="D209" i="17" s="1"/>
  <c r="F209" i="17" s="1"/>
  <c r="Q496" i="7"/>
  <c r="R496" i="7" s="1"/>
  <c r="D100" i="17" s="1"/>
  <c r="F100" i="17" s="1"/>
  <c r="Q219" i="7"/>
  <c r="R219" i="7" s="1"/>
  <c r="Q565" i="7"/>
  <c r="R565" i="7" s="1"/>
  <c r="Q148" i="7"/>
  <c r="R148" i="7" s="1"/>
  <c r="D49" i="18" s="1"/>
  <c r="F49" i="18" s="1"/>
  <c r="Q298" i="7"/>
  <c r="R298" i="7" s="1"/>
  <c r="Q108" i="7"/>
  <c r="R108" i="7" s="1"/>
  <c r="Q505" i="7"/>
  <c r="R505" i="7" s="1"/>
  <c r="Q637" i="7"/>
  <c r="R637" i="7" s="1"/>
  <c r="Q659" i="7"/>
  <c r="R659" i="7" s="1"/>
  <c r="D123" i="17" s="1"/>
  <c r="F123" i="17" s="1"/>
  <c r="Q387" i="7"/>
  <c r="R387" i="7" s="1"/>
  <c r="D155" i="17" s="1"/>
  <c r="F155" i="17" s="1"/>
  <c r="Q677" i="7"/>
  <c r="R677" i="7" s="1"/>
  <c r="D188" i="17" s="1"/>
  <c r="F188" i="17" s="1"/>
  <c r="Q337" i="7"/>
  <c r="R337" i="7" s="1"/>
  <c r="Q86" i="7"/>
  <c r="R86" i="7" s="1"/>
  <c r="Q678" i="7"/>
  <c r="R678" i="7" s="1"/>
  <c r="Q399" i="7"/>
  <c r="R399" i="7" s="1"/>
  <c r="Q225" i="7"/>
  <c r="R225" i="7" s="1"/>
  <c r="D16" i="17" s="1"/>
  <c r="F16" i="17" s="1"/>
  <c r="Q497" i="7"/>
  <c r="R497" i="7" s="1"/>
  <c r="D32" i="17" s="1"/>
  <c r="F32" i="17" s="1"/>
  <c r="Q289" i="7"/>
  <c r="R289" i="7" s="1"/>
  <c r="Q510" i="7"/>
  <c r="R510" i="7" s="1"/>
  <c r="Q241" i="7"/>
  <c r="R241" i="7" s="1"/>
  <c r="Q140" i="7"/>
  <c r="R140" i="7" s="1"/>
  <c r="Q19" i="7"/>
  <c r="R19" i="7" s="1"/>
  <c r="D58" i="17" s="1"/>
  <c r="F58" i="17" s="1"/>
  <c r="Q339" i="7"/>
  <c r="R339" i="7" s="1"/>
  <c r="Q384" i="7"/>
  <c r="R384" i="7" s="1"/>
  <c r="D215" i="17" s="1"/>
  <c r="F215" i="17" s="1"/>
  <c r="Q715" i="7"/>
  <c r="R715" i="7" s="1"/>
  <c r="Q498" i="7"/>
  <c r="R498" i="7" s="1"/>
  <c r="D138" i="17" s="1"/>
  <c r="F138" i="17" s="1"/>
  <c r="Q233" i="7"/>
  <c r="R233" i="7" s="1"/>
  <c r="D205" i="17" s="1"/>
  <c r="F205" i="17" s="1"/>
  <c r="Q521" i="7"/>
  <c r="R521" i="7" s="1"/>
  <c r="Q519" i="7"/>
  <c r="R519" i="7" s="1"/>
  <c r="Q31" i="7"/>
  <c r="R31" i="7" s="1"/>
  <c r="Q240" i="7"/>
  <c r="R240" i="7" s="1"/>
  <c r="Q68" i="7"/>
  <c r="R68" i="7" s="1"/>
  <c r="Q244" i="7"/>
  <c r="R244" i="7" s="1"/>
  <c r="D74" i="17" s="1"/>
  <c r="F74" i="17" s="1"/>
  <c r="Q98" i="7"/>
  <c r="R98" i="7" s="1"/>
  <c r="Q423" i="7"/>
  <c r="R423" i="7" s="1"/>
  <c r="Q610" i="7"/>
  <c r="R610" i="7" s="1"/>
  <c r="D21" i="17" s="1"/>
  <c r="F21" i="17" s="1"/>
  <c r="Q266" i="7"/>
  <c r="R266" i="7" s="1"/>
  <c r="Q593" i="7"/>
  <c r="R593" i="7" s="1"/>
  <c r="Q22" i="7"/>
  <c r="R22" i="7" s="1"/>
  <c r="D150" i="17" s="1"/>
  <c r="F150" i="17" s="1"/>
  <c r="Q203" i="7"/>
  <c r="R203" i="7" s="1"/>
  <c r="D208" i="17" s="1"/>
  <c r="F208" i="17" s="1"/>
  <c r="Q69" i="7"/>
  <c r="R69" i="7" s="1"/>
  <c r="D88" i="17" s="1"/>
  <c r="F88" i="17" s="1"/>
  <c r="Q343" i="7"/>
  <c r="R343" i="7" s="1"/>
  <c r="Q385" i="7"/>
  <c r="R385" i="7" s="1"/>
  <c r="D47" i="17" s="1"/>
  <c r="F47" i="17" s="1"/>
  <c r="Q574" i="7"/>
  <c r="R574" i="7" s="1"/>
  <c r="Q32" i="7"/>
  <c r="R32" i="7" s="1"/>
  <c r="Q222" i="7"/>
  <c r="R222" i="7" s="1"/>
  <c r="D212" i="17" s="1"/>
  <c r="F212" i="17" s="1"/>
  <c r="Q49" i="7"/>
  <c r="R49" i="7" s="1"/>
  <c r="Q727" i="7"/>
  <c r="R727" i="7" s="1"/>
  <c r="D177" i="17" s="1"/>
  <c r="F177" i="17" s="1"/>
  <c r="Q463" i="7"/>
  <c r="R463" i="7" s="1"/>
  <c r="D179" i="17" s="1"/>
  <c r="F179" i="17" s="1"/>
  <c r="Q229" i="7"/>
  <c r="R229" i="7" s="1"/>
  <c r="D42" i="17" s="1"/>
  <c r="F42" i="17" s="1"/>
  <c r="Q442" i="7"/>
  <c r="R442" i="7" s="1"/>
  <c r="Q508" i="7"/>
  <c r="R508" i="7" s="1"/>
  <c r="Q398" i="7"/>
  <c r="R398" i="7" s="1"/>
  <c r="Q620" i="7"/>
  <c r="R620" i="7" s="1"/>
  <c r="Q202" i="7"/>
  <c r="R202" i="7" s="1"/>
  <c r="Q12" i="7"/>
  <c r="R12" i="7" s="1"/>
  <c r="Q228" i="7"/>
  <c r="R228" i="7" s="1"/>
  <c r="D144" i="17" s="1"/>
  <c r="F144" i="17" s="1"/>
  <c r="Q96" i="7"/>
  <c r="R96" i="7" s="1"/>
  <c r="Q386" i="7"/>
  <c r="R386" i="7" s="1"/>
  <c r="D152" i="17" s="1"/>
  <c r="F152" i="17" s="1"/>
  <c r="Q575" i="7"/>
  <c r="R575" i="7" s="1"/>
  <c r="D115" i="17" s="1"/>
  <c r="F115" i="17" s="1"/>
  <c r="Q250" i="7"/>
  <c r="R250" i="7" s="1"/>
  <c r="D109" i="17" s="1"/>
  <c r="F109" i="17" s="1"/>
  <c r="Q503" i="7"/>
  <c r="R503" i="7" s="1"/>
  <c r="Q20" i="7"/>
  <c r="R20" i="7" s="1"/>
  <c r="Q201" i="7"/>
  <c r="R201" i="7" s="1"/>
  <c r="Q48" i="7"/>
  <c r="R48" i="7" s="1"/>
  <c r="Q338" i="7"/>
  <c r="R338" i="7" s="1"/>
  <c r="Q562" i="7"/>
  <c r="R562" i="7" s="1"/>
  <c r="Q576" i="7"/>
  <c r="R576" i="7" s="1"/>
  <c r="D178" i="17" s="1"/>
  <c r="F178" i="17" s="1"/>
  <c r="Q211" i="7"/>
  <c r="R211" i="7" s="1"/>
  <c r="Q21" i="7"/>
  <c r="R21" i="7" s="1"/>
  <c r="D146" i="17" s="1"/>
  <c r="F146" i="17" s="1"/>
  <c r="Q725" i="7"/>
  <c r="R725" i="7" s="1"/>
  <c r="D15" i="17" s="1"/>
  <c r="F15" i="17" s="1"/>
  <c r="Q456" i="7"/>
  <c r="R456" i="7" s="1"/>
  <c r="D149" i="17" s="1"/>
  <c r="F149" i="17" s="1"/>
  <c r="Q227" i="7"/>
  <c r="R227" i="7" s="1"/>
  <c r="D135" i="17" s="1"/>
  <c r="F135" i="17" s="1"/>
  <c r="Q433" i="7"/>
  <c r="R433" i="7" s="1"/>
  <c r="Q344" i="7"/>
  <c r="R344" i="7" s="1"/>
  <c r="Q585" i="7"/>
  <c r="R585" i="7" s="1"/>
  <c r="Q200" i="7"/>
  <c r="R200" i="7" s="1"/>
  <c r="Q10" i="7"/>
  <c r="R10" i="7" s="1"/>
  <c r="Q105" i="7"/>
  <c r="R105" i="7" s="1"/>
  <c r="Q66" i="7"/>
  <c r="R66" i="7" s="1"/>
  <c r="Q264" i="7"/>
  <c r="R264" i="7" s="1"/>
  <c r="Q501" i="7"/>
  <c r="R501" i="7" s="1"/>
  <c r="Q212" i="7"/>
  <c r="R212" i="7" s="1"/>
  <c r="D46" i="17" s="1"/>
  <c r="F46" i="17" s="1"/>
  <c r="Q452" i="7"/>
  <c r="R452" i="7" s="1"/>
  <c r="D62" i="18" s="1"/>
  <c r="F62" i="18" s="1"/>
  <c r="Q730" i="7"/>
  <c r="R730" i="7" s="1"/>
  <c r="Q199" i="7"/>
  <c r="R199" i="7" s="1"/>
  <c r="Q11" i="7"/>
  <c r="R11" i="7" s="1"/>
  <c r="D50" i="18" s="1"/>
  <c r="F50" i="18" s="1"/>
  <c r="Q331" i="7"/>
  <c r="R331" i="7" s="1"/>
  <c r="Q500" i="7"/>
  <c r="R500" i="7" s="1"/>
  <c r="D31" i="17" s="1"/>
  <c r="F31" i="17" s="1"/>
  <c r="Q502" i="7"/>
  <c r="R502" i="7" s="1"/>
  <c r="Q688" i="7"/>
  <c r="R688" i="7" s="1"/>
  <c r="Q56" i="7"/>
  <c r="R56" i="7" s="1"/>
  <c r="Q718" i="7"/>
  <c r="R718" i="7" s="1"/>
  <c r="Q223" i="7"/>
  <c r="R223" i="7" s="1"/>
  <c r="Q364" i="7"/>
  <c r="R364" i="7" s="1"/>
  <c r="Q424" i="7"/>
  <c r="R424" i="7" s="1"/>
  <c r="Q333" i="7"/>
  <c r="R333" i="7" s="1"/>
  <c r="Q540" i="7"/>
  <c r="R540" i="7" s="1"/>
  <c r="Q138" i="7"/>
  <c r="R138" i="7" s="1"/>
  <c r="Q8" i="7"/>
  <c r="R8" i="7" s="1"/>
  <c r="Q47" i="7"/>
  <c r="R47" i="7" s="1"/>
  <c r="Q698" i="7"/>
  <c r="R698" i="7" s="1"/>
  <c r="Q257" i="7"/>
  <c r="R257" i="7" s="1"/>
  <c r="Q425" i="7"/>
  <c r="R425" i="7" s="1"/>
  <c r="Q180" i="7"/>
  <c r="R180" i="7" s="1"/>
  <c r="Q441" i="7"/>
  <c r="R441" i="7" s="1"/>
  <c r="Q728" i="7"/>
  <c r="R728" i="7" s="1"/>
  <c r="D117" i="17" s="1"/>
  <c r="F117" i="17" s="1"/>
  <c r="Q141" i="7"/>
  <c r="R141" i="7" s="1"/>
  <c r="D110" i="17" s="1"/>
  <c r="F110" i="17" s="1"/>
  <c r="Q9" i="7"/>
  <c r="R9" i="7" s="1"/>
  <c r="Q183" i="7"/>
  <c r="R183" i="7" s="1"/>
  <c r="D39" i="17" s="1"/>
  <c r="F39" i="17" s="1"/>
  <c r="Q495" i="7"/>
  <c r="R495" i="7" s="1"/>
  <c r="D50" i="17" s="1"/>
  <c r="F50" i="17" s="1"/>
  <c r="Q453" i="7"/>
  <c r="R453" i="7" s="1"/>
  <c r="Q679" i="7"/>
  <c r="R679" i="7" s="1"/>
  <c r="Q269" i="7"/>
  <c r="R269" i="7" s="1"/>
  <c r="D181" i="17" s="1"/>
  <c r="F181" i="17" s="1"/>
  <c r="Q649" i="7"/>
  <c r="R649" i="7" s="1"/>
  <c r="Q401" i="7"/>
  <c r="R401" i="7" s="1"/>
  <c r="Q221" i="7"/>
  <c r="R221" i="7" s="1"/>
  <c r="D128" i="17" s="1"/>
  <c r="F128" i="17" s="1"/>
  <c r="Q342" i="7"/>
  <c r="R342" i="7" s="1"/>
  <c r="Q249" i="7"/>
  <c r="R249" i="7" s="1"/>
  <c r="D65" i="17" s="1"/>
  <c r="F65" i="17" s="1"/>
  <c r="Q504" i="7"/>
  <c r="R504" i="7" s="1"/>
  <c r="Q136" i="7"/>
  <c r="R136" i="7" s="1"/>
  <c r="Q729" i="7"/>
  <c r="R729" i="7" s="1"/>
  <c r="Q551" i="7"/>
  <c r="R551" i="7" s="1"/>
  <c r="Q667" i="7"/>
  <c r="R667" i="7" s="1"/>
  <c r="Q230" i="7"/>
  <c r="R230" i="7" s="1"/>
  <c r="Q164" i="7"/>
  <c r="R164" i="7" s="1"/>
  <c r="D87" i="17" s="1"/>
  <c r="F87" i="17" s="1"/>
  <c r="Q434" i="7"/>
  <c r="R434" i="7" s="1"/>
  <c r="Q621" i="7"/>
  <c r="R621" i="7" s="1"/>
  <c r="Q139" i="7"/>
  <c r="R139" i="7" s="1"/>
  <c r="Q630" i="7"/>
  <c r="R630" i="7" s="1"/>
  <c r="Q296" i="7"/>
  <c r="R296" i="7" s="1"/>
  <c r="Q97" i="7"/>
  <c r="R97" i="7" s="1"/>
  <c r="Q400" i="7"/>
  <c r="R400" i="7" s="1"/>
  <c r="D114" i="17" s="1"/>
  <c r="F114" i="17" s="1"/>
  <c r="Q583" i="7"/>
  <c r="R583" i="7" s="1"/>
  <c r="D120" i="17" s="1"/>
  <c r="F120" i="17" s="1"/>
  <c r="Q708" i="7"/>
  <c r="R708" i="7" s="1"/>
  <c r="Q280" i="7"/>
  <c r="R280" i="7" s="1"/>
  <c r="Q232" i="7"/>
  <c r="R232" i="7" s="1"/>
  <c r="D71" i="17" s="1"/>
  <c r="F71" i="17" s="1"/>
  <c r="Q129" i="7"/>
  <c r="R129" i="7" s="1"/>
  <c r="D57" i="18" s="1"/>
  <c r="F57" i="18" s="1"/>
  <c r="Q375" i="7"/>
  <c r="R375" i="7" s="1"/>
  <c r="Q511" i="7"/>
  <c r="R511" i="7" s="1"/>
  <c r="Q600" i="7"/>
  <c r="R600" i="7" s="1"/>
  <c r="Q443" i="7"/>
  <c r="R443" i="7" s="1"/>
  <c r="Q543" i="7"/>
  <c r="R543" i="7" s="1"/>
  <c r="Q46" i="7"/>
  <c r="R46" i="7" s="1"/>
  <c r="D52" i="18" s="1"/>
  <c r="F52" i="18" s="1"/>
  <c r="Q58" i="7"/>
  <c r="R58" i="7" s="1"/>
  <c r="Q676" i="7"/>
  <c r="R676" i="7" s="1"/>
  <c r="Q717" i="7"/>
  <c r="R717" i="7" s="1"/>
  <c r="Q191" i="7"/>
  <c r="R191" i="7" s="1"/>
  <c r="Q127" i="7"/>
  <c r="R127" i="7" s="1"/>
  <c r="Q273" i="7"/>
  <c r="R273" i="7" s="1"/>
  <c r="D171" i="17" s="1"/>
  <c r="F171" i="17" s="1"/>
  <c r="Q506" i="7"/>
  <c r="R506" i="7" s="1"/>
  <c r="Q388" i="7"/>
  <c r="R388" i="7" s="1"/>
  <c r="D156" i="17" s="1"/>
  <c r="F156" i="17" s="1"/>
  <c r="Q529" i="7"/>
  <c r="R529" i="7" s="1"/>
  <c r="Q716" i="7"/>
  <c r="R716" i="7" s="1"/>
  <c r="D41" i="17" s="1"/>
  <c r="F41" i="17" s="1"/>
  <c r="Q39" i="7"/>
  <c r="R39" i="7" s="1"/>
  <c r="D203" i="17" s="1"/>
  <c r="F203" i="17" s="1"/>
  <c r="Q172" i="7"/>
  <c r="R172" i="7" s="1"/>
  <c r="Q669" i="7"/>
  <c r="R669" i="7" s="1"/>
  <c r="D69" i="17" s="1"/>
  <c r="F69" i="17" s="1"/>
  <c r="Q611" i="7"/>
  <c r="R611" i="7" s="1"/>
  <c r="D207" i="17" s="1"/>
  <c r="F207" i="17" s="1"/>
  <c r="Q267" i="7"/>
  <c r="R267" i="7" s="1"/>
  <c r="Q165" i="7"/>
  <c r="R165" i="7" s="1"/>
  <c r="D206" i="17" s="1"/>
  <c r="F206" i="17" s="1"/>
  <c r="Q125" i="7"/>
  <c r="R125" i="7" s="1"/>
  <c r="Q530" i="7"/>
  <c r="R530" i="7" s="1"/>
  <c r="Q365" i="7"/>
  <c r="R365" i="7" s="1"/>
  <c r="Q336" i="7"/>
  <c r="R336" i="7" s="1"/>
  <c r="Q272" i="7"/>
  <c r="R272" i="7" s="1"/>
  <c r="D48" i="17" s="1"/>
  <c r="F48" i="17" s="1"/>
  <c r="Q472" i="7"/>
  <c r="R472" i="7" s="1"/>
  <c r="D198" i="17" s="1"/>
  <c r="F198" i="17" s="1"/>
  <c r="Q657" i="7"/>
  <c r="R657" i="7" s="1"/>
  <c r="Q30" i="7"/>
  <c r="R30" i="7" s="1"/>
  <c r="D51" i="18" s="1"/>
  <c r="F51" i="18" s="1"/>
  <c r="Q608" i="7"/>
  <c r="R608" i="7" s="1"/>
  <c r="Q584" i="7"/>
  <c r="R584" i="7" s="1"/>
  <c r="D116" i="17" s="1"/>
  <c r="F116" i="17" s="1"/>
  <c r="Q706" i="7"/>
  <c r="R706" i="7" s="1"/>
  <c r="D204" i="17" s="1"/>
  <c r="F204" i="17" s="1"/>
  <c r="Q163" i="7"/>
  <c r="R163" i="7" s="1"/>
  <c r="Q118" i="7"/>
  <c r="R118" i="7" s="1"/>
  <c r="D37" i="18" s="1"/>
  <c r="F37" i="18" s="1"/>
  <c r="Q494" i="7"/>
  <c r="R494" i="7" s="1"/>
  <c r="D52" i="17" s="1"/>
  <c r="F52" i="17" s="1"/>
  <c r="Q432" i="7"/>
  <c r="R432" i="7" s="1"/>
  <c r="Q341" i="7"/>
  <c r="R341" i="7" s="1"/>
  <c r="Q137" i="7"/>
  <c r="R137" i="7" s="1"/>
  <c r="Q383" i="7"/>
  <c r="R383" i="7" s="1"/>
  <c r="D167" i="17" s="1"/>
  <c r="F167" i="17" s="1"/>
  <c r="Q648" i="7"/>
  <c r="R648" i="7" s="1"/>
  <c r="D201" i="17" s="1"/>
  <c r="F201" i="17" s="1"/>
  <c r="Q366" i="7"/>
  <c r="R366" i="7" s="1"/>
  <c r="Q23" i="7"/>
  <c r="R23" i="7" s="1"/>
  <c r="D93" i="17" s="1"/>
  <c r="F93" i="17" s="1"/>
  <c r="Q561" i="7"/>
  <c r="R561" i="7" s="1"/>
  <c r="Q573" i="7"/>
  <c r="R573" i="7" s="1"/>
  <c r="Q697" i="7"/>
  <c r="R697" i="7" s="1"/>
  <c r="Q76" i="7"/>
  <c r="R76" i="7" s="1"/>
  <c r="Q116" i="7"/>
  <c r="R116" i="7" s="1"/>
  <c r="Q397" i="7"/>
  <c r="R397" i="7" s="1"/>
  <c r="Q89" i="7"/>
  <c r="R89" i="7" s="1"/>
  <c r="D89" i="17" s="1"/>
  <c r="F89" i="17" s="1"/>
  <c r="Q334" i="7"/>
  <c r="R334" i="7" s="1"/>
  <c r="Q270" i="7"/>
  <c r="R270" i="7" s="1"/>
  <c r="D199" i="17" s="1"/>
  <c r="F199" i="17" s="1"/>
  <c r="Q128" i="7"/>
  <c r="R128" i="7" s="1"/>
  <c r="Q376" i="7"/>
  <c r="R376" i="7" s="1"/>
  <c r="Q646" i="7"/>
  <c r="R646" i="7" s="1"/>
  <c r="Q509" i="7"/>
  <c r="R509" i="7" s="1"/>
  <c r="Q566" i="7"/>
  <c r="R566" i="7" s="1"/>
  <c r="Q539" i="7"/>
  <c r="R539" i="7" s="1"/>
  <c r="D82" i="17" s="1"/>
  <c r="F82" i="17" s="1"/>
  <c r="Q451" i="7"/>
  <c r="R451" i="7" s="1"/>
  <c r="D58" i="18" s="1"/>
  <c r="F58" i="18" s="1"/>
  <c r="Q107" i="7"/>
  <c r="R107" i="7" s="1"/>
  <c r="Q390" i="7"/>
  <c r="R390" i="7" s="1"/>
  <c r="Q59" i="7"/>
  <c r="R59" i="7" s="1"/>
  <c r="D90" i="17" s="1"/>
  <c r="F90" i="17" s="1"/>
  <c r="Q268" i="7"/>
  <c r="R268" i="7" s="1"/>
  <c r="Q210" i="7"/>
  <c r="R210" i="7" s="1"/>
  <c r="Q126" i="7"/>
  <c r="R126" i="7" s="1"/>
  <c r="Q192" i="7"/>
  <c r="R192" i="7" s="1"/>
  <c r="D137" i="17" s="1"/>
  <c r="F137" i="17" s="1"/>
  <c r="Q639" i="7"/>
  <c r="R639" i="7" s="1"/>
  <c r="Q335" i="7"/>
  <c r="R335" i="7" s="1"/>
  <c r="Q190" i="7"/>
  <c r="R190" i="7" s="1"/>
  <c r="N246" i="7"/>
  <c r="O246" i="7" s="1"/>
  <c r="F204" i="16" s="1"/>
  <c r="H204" i="16" s="1"/>
  <c r="N39" i="7"/>
  <c r="O39" i="7" s="1"/>
  <c r="F59" i="16" s="1"/>
  <c r="H59" i="16" s="1"/>
  <c r="N66" i="7"/>
  <c r="O66" i="7" s="1"/>
  <c r="N69" i="7"/>
  <c r="O69" i="7" s="1"/>
  <c r="F279" i="16" s="1"/>
  <c r="H279" i="16" s="1"/>
  <c r="N67" i="7"/>
  <c r="O67" i="7" s="1"/>
  <c r="F74" i="15"/>
  <c r="N68" i="7"/>
  <c r="O68" i="7" s="1"/>
  <c r="Q680" i="7"/>
  <c r="R680" i="7" s="1"/>
  <c r="Q242" i="7"/>
  <c r="R242" i="7" s="1"/>
  <c r="D14" i="17" s="1"/>
  <c r="F14" i="17" s="1"/>
  <c r="H304" i="4"/>
  <c r="Q220" i="7"/>
  <c r="R220" i="7" s="1"/>
  <c r="Q78" i="7"/>
  <c r="R78" i="7" s="1"/>
  <c r="Q726" i="7"/>
  <c r="R726" i="7" s="1"/>
  <c r="D17" i="17" s="1"/>
  <c r="F17" i="17" s="1"/>
  <c r="Q658" i="7"/>
  <c r="R658" i="7" s="1"/>
  <c r="Q297" i="7"/>
  <c r="R297" i="7" s="1"/>
  <c r="N106" i="7"/>
  <c r="O106" i="7" s="1"/>
  <c r="I439" i="9"/>
  <c r="F24" i="15"/>
  <c r="N432" i="7"/>
  <c r="O432" i="7" s="1"/>
  <c r="G489" i="8"/>
  <c r="I489" i="8" s="1"/>
  <c r="I492" i="8" s="1"/>
  <c r="E9" i="5"/>
  <c r="E8" i="4"/>
  <c r="E73" i="5"/>
  <c r="E72" i="4"/>
  <c r="E132" i="5"/>
  <c r="E131" i="4"/>
  <c r="E260" i="4"/>
  <c r="E261" i="5"/>
  <c r="E321" i="5"/>
  <c r="E320" i="4"/>
  <c r="E387" i="5"/>
  <c r="E386" i="4"/>
  <c r="E448" i="4"/>
  <c r="E449" i="5"/>
  <c r="G389" i="9"/>
  <c r="L389" i="9" s="1"/>
  <c r="G725" i="8"/>
  <c r="I725" i="8" s="1"/>
  <c r="G38" i="15"/>
  <c r="C453" i="4"/>
  <c r="C454" i="5"/>
  <c r="E103" i="5"/>
  <c r="I157" i="7"/>
  <c r="I158" i="7" s="1"/>
  <c r="H38" i="15" s="1"/>
  <c r="G154" i="7"/>
  <c r="G96" i="7"/>
  <c r="I96" i="7" s="1"/>
  <c r="E38" i="4"/>
  <c r="E39" i="5"/>
  <c r="N610" i="7"/>
  <c r="O610" i="7" s="1"/>
  <c r="F166" i="16" s="1"/>
  <c r="H166" i="16" s="1"/>
  <c r="F28" i="15"/>
  <c r="N611" i="7"/>
  <c r="O611" i="7" s="1"/>
  <c r="F38" i="16" s="1"/>
  <c r="H38" i="16" s="1"/>
  <c r="N608" i="7"/>
  <c r="O608" i="7" s="1"/>
  <c r="N609" i="7"/>
  <c r="O609" i="7" s="1"/>
  <c r="Q345" i="7"/>
  <c r="R345" i="7" s="1"/>
  <c r="Q106" i="7"/>
  <c r="R106" i="7" s="1"/>
  <c r="Q57" i="7"/>
  <c r="R57" i="7" s="1"/>
  <c r="Q182" i="7"/>
  <c r="R182" i="7" s="1"/>
  <c r="Q299" i="7"/>
  <c r="R299" i="7" s="1"/>
  <c r="D141" i="17" s="1"/>
  <c r="F141" i="17" s="1"/>
  <c r="G329" i="8"/>
  <c r="I329" i="8" s="1"/>
  <c r="G118" i="4"/>
  <c r="G119" i="5" s="1"/>
  <c r="D296" i="4"/>
  <c r="D297" i="5"/>
  <c r="F20" i="15"/>
  <c r="N129" i="7"/>
  <c r="O129" i="7" s="1"/>
  <c r="F203" i="16" s="1"/>
  <c r="H203" i="16" s="1"/>
  <c r="N127" i="7"/>
  <c r="O127" i="7" s="1"/>
  <c r="N128" i="7"/>
  <c r="O128" i="7" s="1"/>
  <c r="N126" i="7"/>
  <c r="O126" i="7" s="1"/>
  <c r="N727" i="7"/>
  <c r="O727" i="7" s="1"/>
  <c r="F234" i="16" s="1"/>
  <c r="H234" i="16" s="1"/>
  <c r="N725" i="7"/>
  <c r="O725" i="7" s="1"/>
  <c r="F188" i="16" s="1"/>
  <c r="H188" i="16" s="1"/>
  <c r="E414" i="5"/>
  <c r="E413" i="4"/>
  <c r="N219" i="7"/>
  <c r="O219" i="7" s="1"/>
  <c r="N231" i="7"/>
  <c r="O231" i="7" s="1"/>
  <c r="F115" i="16" s="1"/>
  <c r="H115" i="16" s="1"/>
  <c r="N227" i="7"/>
  <c r="O227" i="7" s="1"/>
  <c r="F100" i="16" s="1"/>
  <c r="H100" i="16" s="1"/>
  <c r="N233" i="7"/>
  <c r="O233" i="7" s="1"/>
  <c r="F63" i="16" s="1"/>
  <c r="H63" i="16" s="1"/>
  <c r="N221" i="7"/>
  <c r="O221" i="7" s="1"/>
  <c r="F71" i="16" s="1"/>
  <c r="H71" i="16" s="1"/>
  <c r="N229" i="7"/>
  <c r="O229" i="7" s="1"/>
  <c r="F122" i="16" s="1"/>
  <c r="H122" i="16" s="1"/>
  <c r="N224" i="7"/>
  <c r="O224" i="7" s="1"/>
  <c r="F104" i="16" s="1"/>
  <c r="H104" i="16" s="1"/>
  <c r="F21" i="15"/>
  <c r="N230" i="7"/>
  <c r="O230" i="7" s="1"/>
  <c r="N220" i="7"/>
  <c r="O220" i="7" s="1"/>
  <c r="N226" i="7"/>
  <c r="O226" i="7" s="1"/>
  <c r="F97" i="16" s="1"/>
  <c r="H97" i="16" s="1"/>
  <c r="F37" i="15"/>
  <c r="E161" i="5"/>
  <c r="E160" i="4"/>
  <c r="E220" i="5"/>
  <c r="E219" i="4"/>
  <c r="E351" i="5"/>
  <c r="E350" i="4"/>
  <c r="E407" i="4"/>
  <c r="E408" i="5"/>
  <c r="Q564" i="7"/>
  <c r="R564" i="7" s="1"/>
  <c r="Q586" i="7"/>
  <c r="R586" i="7" s="1"/>
  <c r="Q689" i="7"/>
  <c r="R689" i="7" s="1"/>
  <c r="F320" i="4"/>
  <c r="F321" i="5"/>
  <c r="N321" i="5" s="1"/>
  <c r="N107" i="7"/>
  <c r="O107" i="7" s="1"/>
  <c r="E293" i="5"/>
  <c r="E292" i="4"/>
  <c r="Q265" i="7"/>
  <c r="R265" i="7" s="1"/>
  <c r="Q618" i="7"/>
  <c r="R618" i="7" s="1"/>
  <c r="N566" i="7"/>
  <c r="O566" i="7" s="1"/>
  <c r="N564" i="7"/>
  <c r="O564" i="7" s="1"/>
  <c r="N560" i="7"/>
  <c r="O560" i="7" s="1"/>
  <c r="N561" i="7"/>
  <c r="O561" i="7" s="1"/>
  <c r="N563" i="7"/>
  <c r="O563" i="7" s="1"/>
  <c r="N565" i="7"/>
  <c r="O565" i="7" s="1"/>
  <c r="H118" i="4"/>
  <c r="H119" i="5" s="1"/>
  <c r="I119" i="5" s="1"/>
  <c r="G250" i="4"/>
  <c r="G251" i="5" s="1"/>
  <c r="E43" i="4"/>
  <c r="E44" i="5"/>
  <c r="E231" i="4"/>
  <c r="E232" i="5"/>
  <c r="E421" i="5"/>
  <c r="E420" i="4"/>
  <c r="G167" i="10"/>
  <c r="L167" i="10" s="1"/>
  <c r="G293" i="9"/>
  <c r="I293" i="9" s="1"/>
  <c r="G270" i="9"/>
  <c r="I270" i="9" s="1"/>
  <c r="Q288" i="7"/>
  <c r="R288" i="7" s="1"/>
  <c r="Q67" i="7"/>
  <c r="R67" i="7" s="1"/>
  <c r="Q155" i="7"/>
  <c r="R155" i="7" s="1"/>
  <c r="Q161" i="8" s="1"/>
  <c r="R161" i="8" s="1"/>
  <c r="D22" i="17" s="1"/>
  <c r="F22" i="17" s="1"/>
  <c r="Q705" i="7"/>
  <c r="R705" i="7" s="1"/>
  <c r="Q629" i="7"/>
  <c r="R629" i="7" s="1"/>
  <c r="D34" i="17" s="1"/>
  <c r="F34" i="17" s="1"/>
  <c r="Q499" i="7"/>
  <c r="R499" i="7" s="1"/>
  <c r="D112" i="17" s="1"/>
  <c r="F112" i="17" s="1"/>
  <c r="N225" i="7"/>
  <c r="O225" i="7" s="1"/>
  <c r="F118" i="16" s="1"/>
  <c r="H118" i="16" s="1"/>
  <c r="F8" i="15"/>
  <c r="N629" i="7"/>
  <c r="O629" i="7" s="1"/>
  <c r="F9" i="16" s="1"/>
  <c r="H9" i="16" s="1"/>
  <c r="N630" i="7"/>
  <c r="O630" i="7" s="1"/>
  <c r="N628" i="7"/>
  <c r="O628" i="7" s="1"/>
  <c r="H25" i="15"/>
  <c r="G49" i="8"/>
  <c r="L49" i="8" s="1"/>
  <c r="G31" i="7"/>
  <c r="I31" i="7" s="1"/>
  <c r="I33" i="7" s="1"/>
  <c r="G105" i="4" s="1"/>
  <c r="G106" i="5" s="1"/>
  <c r="D242" i="4"/>
  <c r="D243" i="5"/>
  <c r="Q88" i="7"/>
  <c r="R88" i="7" s="1"/>
  <c r="I152" i="10"/>
  <c r="E287" i="5"/>
  <c r="D415" i="4"/>
  <c r="D416" i="5"/>
  <c r="Q628" i="7"/>
  <c r="R628" i="7" s="1"/>
  <c r="Q687" i="7"/>
  <c r="R687" i="7" s="1"/>
  <c r="D122" i="17" s="1"/>
  <c r="F122" i="17" s="1"/>
  <c r="Q271" i="7"/>
  <c r="R271" i="7" s="1"/>
  <c r="Q340" i="7"/>
  <c r="R340" i="7" s="1"/>
  <c r="N383" i="7"/>
  <c r="O383" i="7" s="1"/>
  <c r="F119" i="16" s="1"/>
  <c r="H119" i="16" s="1"/>
  <c r="N388" i="7"/>
  <c r="O388" i="7" s="1"/>
  <c r="F186" i="16" s="1"/>
  <c r="H186" i="16" s="1"/>
  <c r="N386" i="7"/>
  <c r="O386" i="7" s="1"/>
  <c r="F168" i="16" s="1"/>
  <c r="H168" i="16" s="1"/>
  <c r="N389" i="7"/>
  <c r="O389" i="7" s="1"/>
  <c r="N384" i="7"/>
  <c r="O384" i="7" s="1"/>
  <c r="F78" i="16" s="1"/>
  <c r="H78" i="16" s="1"/>
  <c r="N387" i="7"/>
  <c r="O387" i="7" s="1"/>
  <c r="F179" i="16" s="1"/>
  <c r="H179" i="16" s="1"/>
  <c r="N390" i="7"/>
  <c r="O390" i="7" s="1"/>
  <c r="F34" i="15"/>
  <c r="N453" i="7"/>
  <c r="O453" i="7" s="1"/>
  <c r="N451" i="7"/>
  <c r="O451" i="7" s="1"/>
  <c r="F77" i="16" s="1"/>
  <c r="H77" i="16" s="1"/>
  <c r="F17" i="15"/>
  <c r="N454" i="7"/>
  <c r="O454" i="7" s="1"/>
  <c r="F237" i="16" s="1"/>
  <c r="H237" i="16" s="1"/>
  <c r="N456" i="7"/>
  <c r="O456" i="7" s="1"/>
  <c r="F17" i="16" s="1"/>
  <c r="H17" i="16" s="1"/>
  <c r="N452" i="7"/>
  <c r="O452" i="7" s="1"/>
  <c r="F114" i="16" s="1"/>
  <c r="H114" i="16" s="1"/>
  <c r="G280" i="8"/>
  <c r="I280" i="8" s="1"/>
  <c r="I284" i="8" s="1"/>
  <c r="G461" i="8"/>
  <c r="I461" i="8" s="1"/>
  <c r="C414" i="5"/>
  <c r="C413" i="4"/>
  <c r="E15" i="5"/>
  <c r="E14" i="4"/>
  <c r="E76" i="4"/>
  <c r="E77" i="5"/>
  <c r="E137" i="4"/>
  <c r="E138" i="5"/>
  <c r="E202" i="4"/>
  <c r="E203" i="5"/>
  <c r="E264" i="4"/>
  <c r="E265" i="5"/>
  <c r="E327" i="5"/>
  <c r="E326" i="4"/>
  <c r="E390" i="4"/>
  <c r="E391" i="5"/>
  <c r="E455" i="5"/>
  <c r="E454" i="4"/>
  <c r="G415" i="9"/>
  <c r="I415" i="9" s="1"/>
  <c r="G282" i="9"/>
  <c r="I282" i="9" s="1"/>
  <c r="G25" i="15"/>
  <c r="H40" i="15"/>
  <c r="G82" i="10"/>
  <c r="L82" i="10" s="1"/>
  <c r="G212" i="9"/>
  <c r="I212" i="9" s="1"/>
  <c r="I213" i="9" s="1"/>
  <c r="G203" i="9"/>
  <c r="I203" i="9" s="1"/>
  <c r="I204" i="9" s="1"/>
  <c r="E410" i="4"/>
  <c r="E411" i="5"/>
  <c r="Q389" i="7"/>
  <c r="R389" i="7" s="1"/>
  <c r="Q115" i="7"/>
  <c r="R115" i="7" s="1"/>
  <c r="Q87" i="7"/>
  <c r="R87" i="7" s="1"/>
  <c r="Q246" i="7"/>
  <c r="R246" i="7" s="1"/>
  <c r="D189" i="17" s="1"/>
  <c r="F189" i="17" s="1"/>
  <c r="Q532" i="7"/>
  <c r="R532" i="7" s="1"/>
  <c r="D195" i="17" s="1"/>
  <c r="F195" i="17" s="1"/>
  <c r="N455" i="7"/>
  <c r="O455" i="7" s="1"/>
  <c r="G139" i="8"/>
  <c r="I139" i="8" s="1"/>
  <c r="E27" i="5"/>
  <c r="E26" i="4"/>
  <c r="E283" i="5"/>
  <c r="E282" i="4"/>
  <c r="E470" i="4"/>
  <c r="E471" i="5"/>
  <c r="Q507" i="7"/>
  <c r="R507" i="7" s="1"/>
  <c r="Q656" i="7"/>
  <c r="R656" i="7" s="1"/>
  <c r="N366" i="7"/>
  <c r="O366" i="7" s="1"/>
  <c r="N367" i="7"/>
  <c r="O367" i="7" s="1"/>
  <c r="F74" i="16" s="1"/>
  <c r="H74" i="16" s="1"/>
  <c r="N365" i="7"/>
  <c r="O365" i="7" s="1"/>
  <c r="F48" i="15"/>
  <c r="N364" i="7"/>
  <c r="O364" i="7" s="1"/>
  <c r="G216" i="9"/>
  <c r="L216" i="9" s="1"/>
  <c r="G387" i="8"/>
  <c r="I387" i="8" s="1"/>
  <c r="G351" i="8"/>
  <c r="I351" i="8" s="1"/>
  <c r="G432" i="8"/>
  <c r="I432" i="8" s="1"/>
  <c r="G405" i="8"/>
  <c r="I405" i="8" s="1"/>
  <c r="G378" i="8"/>
  <c r="I378" i="8" s="1"/>
  <c r="G299" i="8"/>
  <c r="I299" i="8" s="1"/>
  <c r="G441" i="8"/>
  <c r="I441" i="8" s="1"/>
  <c r="G360" i="8"/>
  <c r="I360" i="8" s="1"/>
  <c r="G450" i="8"/>
  <c r="I450" i="8" s="1"/>
  <c r="G414" i="8"/>
  <c r="I414" i="8" s="1"/>
  <c r="E31" i="4"/>
  <c r="E32" i="5"/>
  <c r="E475" i="5"/>
  <c r="E474" i="4"/>
  <c r="G77" i="7"/>
  <c r="I77" i="7" s="1"/>
  <c r="Q531" i="7"/>
  <c r="R531" i="7" s="1"/>
  <c r="N228" i="7"/>
  <c r="O228" i="7" s="1"/>
  <c r="F174" i="16" s="1"/>
  <c r="H174" i="16" s="1"/>
  <c r="G423" i="8"/>
  <c r="I423" i="8" s="1"/>
  <c r="E36" i="5"/>
  <c r="E35" i="4"/>
  <c r="E225" i="4"/>
  <c r="E226" i="5"/>
  <c r="E416" i="5"/>
  <c r="E415" i="4"/>
  <c r="G83" i="9"/>
  <c r="L83" i="9" s="1"/>
  <c r="G130" i="8"/>
  <c r="I130" i="8" s="1"/>
  <c r="G273" i="8"/>
  <c r="I273" i="8" s="1"/>
  <c r="I276" i="8" s="1"/>
  <c r="G309" i="8"/>
  <c r="I309" i="8" s="1"/>
  <c r="G214" i="8"/>
  <c r="I214" i="8" s="1"/>
  <c r="I218" i="8" s="1"/>
  <c r="G319" i="8"/>
  <c r="I319" i="8" s="1"/>
  <c r="G732" i="8"/>
  <c r="I732" i="8" s="1"/>
  <c r="G592" i="8"/>
  <c r="I592" i="8" s="1"/>
  <c r="I596" i="8" s="1"/>
  <c r="G265" i="8"/>
  <c r="I265" i="8" s="1"/>
  <c r="Q550" i="7"/>
  <c r="R550" i="7" s="1"/>
  <c r="G318" i="8"/>
  <c r="I318" i="8" s="1"/>
  <c r="E171" i="5"/>
  <c r="E170" i="4"/>
  <c r="D454" i="5"/>
  <c r="D453" i="4"/>
  <c r="N222" i="7"/>
  <c r="O222" i="7" s="1"/>
  <c r="F64" i="16" s="1"/>
  <c r="H64" i="16" s="1"/>
  <c r="N31" i="7"/>
  <c r="O31" i="7" s="1"/>
  <c r="F23" i="15"/>
  <c r="D229" i="4"/>
  <c r="D230" i="5"/>
  <c r="Q173" i="7"/>
  <c r="R173" i="7" s="1"/>
  <c r="D186" i="17" s="1"/>
  <c r="F186" i="17" s="1"/>
  <c r="Q707" i="7"/>
  <c r="R707" i="7" s="1"/>
  <c r="Q77" i="7"/>
  <c r="R77" i="7" s="1"/>
  <c r="Q512" i="7"/>
  <c r="R512" i="7" s="1"/>
  <c r="Q374" i="7"/>
  <c r="R374" i="7" s="1"/>
  <c r="D193" i="17" s="1"/>
  <c r="F193" i="17" s="1"/>
  <c r="N247" i="7"/>
  <c r="O247" i="7" s="1"/>
  <c r="F217" i="16" s="1"/>
  <c r="H217" i="16" s="1"/>
  <c r="N240" i="7"/>
  <c r="O240" i="7" s="1"/>
  <c r="F26" i="15"/>
  <c r="G532" i="9"/>
  <c r="L532" i="9" s="1"/>
  <c r="G769" i="8"/>
  <c r="I769" i="8" s="1"/>
  <c r="N425" i="7"/>
  <c r="O425" i="7" s="1"/>
  <c r="N424" i="7"/>
  <c r="O424" i="7" s="1"/>
  <c r="F46" i="15"/>
  <c r="N423" i="7"/>
  <c r="O423" i="7" s="1"/>
  <c r="G710" i="8"/>
  <c r="L710" i="8" s="1"/>
  <c r="G609" i="7"/>
  <c r="I609" i="7" s="1"/>
  <c r="G235" i="10"/>
  <c r="L235" i="10" s="1"/>
  <c r="G422" i="9"/>
  <c r="I422" i="9" s="1"/>
  <c r="Q181" i="7"/>
  <c r="R181" i="7" s="1"/>
  <c r="Q638" i="7"/>
  <c r="R638" i="7" s="1"/>
  <c r="G353" i="7"/>
  <c r="I353" i="7" s="1"/>
  <c r="E143" i="4"/>
  <c r="E144" i="5"/>
  <c r="G401" i="9"/>
  <c r="L401" i="9" s="1"/>
  <c r="G726" i="8"/>
  <c r="I726" i="8" s="1"/>
  <c r="G17" i="15"/>
  <c r="G179" i="10"/>
  <c r="L179" i="10" s="1"/>
  <c r="G337" i="9"/>
  <c r="I337" i="9" s="1"/>
  <c r="I339" i="9" s="1"/>
  <c r="G316" i="9"/>
  <c r="I316" i="9" s="1"/>
  <c r="G343" i="9"/>
  <c r="I343" i="9" s="1"/>
  <c r="I345" i="9" s="1"/>
  <c r="G323" i="9"/>
  <c r="I323" i="9" s="1"/>
  <c r="D392" i="4"/>
  <c r="D393" i="5"/>
  <c r="G268" i="4"/>
  <c r="G269" i="5" s="1"/>
  <c r="F27" i="16"/>
  <c r="H27" i="16" s="1"/>
  <c r="Q609" i="7"/>
  <c r="R609" i="7" s="1"/>
  <c r="Q117" i="7"/>
  <c r="R117" i="7" s="1"/>
  <c r="Q162" i="7"/>
  <c r="R162" i="7" s="1"/>
  <c r="Q332" i="7"/>
  <c r="R332" i="7" s="1"/>
  <c r="Q552" i="7"/>
  <c r="R552" i="7" s="1"/>
  <c r="N212" i="7"/>
  <c r="O212" i="7" s="1"/>
  <c r="F16" i="16" s="1"/>
  <c r="H16" i="16" s="1"/>
  <c r="G249" i="8"/>
  <c r="L249" i="8" s="1"/>
  <c r="G389" i="7"/>
  <c r="I389" i="7" s="1"/>
  <c r="G268" i="7"/>
  <c r="I268" i="7" s="1"/>
  <c r="G397" i="4"/>
  <c r="G398" i="5" s="1"/>
  <c r="N618" i="7"/>
  <c r="O618" i="7" s="1"/>
  <c r="F45" i="15"/>
  <c r="N621" i="7"/>
  <c r="O621" i="7" s="1"/>
  <c r="N619" i="7"/>
  <c r="O619" i="7" s="1"/>
  <c r="G157" i="4"/>
  <c r="G158" i="5" s="1"/>
  <c r="Q560" i="7"/>
  <c r="R560" i="7" s="1"/>
  <c r="Q563" i="7"/>
  <c r="R563" i="7" s="1"/>
  <c r="Q601" i="7"/>
  <c r="R601" i="7" s="1"/>
  <c r="G396" i="8"/>
  <c r="I396" i="8" s="1"/>
  <c r="G93" i="8"/>
  <c r="L93" i="8" s="1"/>
  <c r="G424" i="7"/>
  <c r="I424" i="7" s="1"/>
  <c r="G307" i="7"/>
  <c r="I307" i="7" s="1"/>
  <c r="G443" i="7"/>
  <c r="I443" i="7" s="1"/>
  <c r="G410" i="7"/>
  <c r="I410" i="7" s="1"/>
  <c r="G289" i="7"/>
  <c r="I289" i="7" s="1"/>
  <c r="G298" i="7"/>
  <c r="I298" i="7" s="1"/>
  <c r="G398" i="7"/>
  <c r="I398" i="7" s="1"/>
  <c r="N472" i="7"/>
  <c r="O472" i="7" s="1"/>
  <c r="F137" i="16" s="1"/>
  <c r="H137" i="16" s="1"/>
  <c r="G414" i="9"/>
  <c r="I414" i="9" s="1"/>
  <c r="G155" i="10"/>
  <c r="L155" i="10" s="1"/>
  <c r="G281" i="9"/>
  <c r="I281" i="9" s="1"/>
  <c r="G292" i="9"/>
  <c r="I292" i="9" s="1"/>
  <c r="G154" i="9"/>
  <c r="L154" i="9" s="1"/>
  <c r="G224" i="8"/>
  <c r="I224" i="8" s="1"/>
  <c r="I225" i="8" s="1"/>
  <c r="E18" i="4"/>
  <c r="E19" i="5"/>
  <c r="E83" i="5"/>
  <c r="E82" i="4"/>
  <c r="E207" i="5"/>
  <c r="E206" i="4"/>
  <c r="E272" i="4"/>
  <c r="E273" i="5"/>
  <c r="E332" i="4"/>
  <c r="E333" i="5"/>
  <c r="E394" i="4"/>
  <c r="E395" i="5"/>
  <c r="I197" i="9"/>
  <c r="G69" i="8"/>
  <c r="L69" i="8" s="1"/>
  <c r="G125" i="7"/>
  <c r="I125" i="7" s="1"/>
  <c r="G56" i="7"/>
  <c r="I56" i="7" s="1"/>
  <c r="G136" i="7"/>
  <c r="I136" i="7" s="1"/>
  <c r="E22" i="4"/>
  <c r="E23" i="5"/>
  <c r="E89" i="4"/>
  <c r="E90" i="5"/>
  <c r="E150" i="5"/>
  <c r="E149" i="4"/>
  <c r="E210" i="4"/>
  <c r="E211" i="5"/>
  <c r="E279" i="5"/>
  <c r="E278" i="4"/>
  <c r="E338" i="5"/>
  <c r="E337" i="4"/>
  <c r="E398" i="4"/>
  <c r="E399" i="5"/>
  <c r="E467" i="5"/>
  <c r="E466" i="4"/>
  <c r="G191" i="10"/>
  <c r="L191" i="10" s="1"/>
  <c r="G324" i="9"/>
  <c r="I324" i="9" s="1"/>
  <c r="G331" i="9"/>
  <c r="I331" i="9" s="1"/>
  <c r="I333" i="9" s="1"/>
  <c r="G310" i="9"/>
  <c r="I310" i="9" s="1"/>
  <c r="D206" i="4"/>
  <c r="D207" i="5"/>
  <c r="E462" i="5"/>
  <c r="G67" i="7"/>
  <c r="I67" i="7" s="1"/>
  <c r="G57" i="7"/>
  <c r="I57" i="7" s="1"/>
  <c r="Q455" i="7"/>
  <c r="R455" i="7" s="1"/>
  <c r="Q493" i="7"/>
  <c r="R493" i="7" s="1"/>
  <c r="D213" i="17" s="1"/>
  <c r="F213" i="17" s="1"/>
  <c r="Q520" i="7"/>
  <c r="R520" i="7" s="1"/>
  <c r="Q444" i="7"/>
  <c r="R444" i="7" s="1"/>
  <c r="D148" i="17" s="1"/>
  <c r="F148" i="17" s="1"/>
  <c r="Q243" i="7"/>
  <c r="R243" i="7" s="1"/>
  <c r="D125" i="17" s="1"/>
  <c r="F125" i="17" s="1"/>
  <c r="Q287" i="7"/>
  <c r="R287" i="7" s="1"/>
  <c r="N223" i="7"/>
  <c r="O223" i="7" s="1"/>
  <c r="N125" i="7"/>
  <c r="O125" i="7" s="1"/>
  <c r="G369" i="8"/>
  <c r="I369" i="8" s="1"/>
  <c r="F35" i="15"/>
  <c r="N638" i="7"/>
  <c r="O638" i="7" s="1"/>
  <c r="N639" i="7"/>
  <c r="O639" i="7" s="1"/>
  <c r="F16" i="15"/>
  <c r="N117" i="7"/>
  <c r="O117" i="7" s="1"/>
  <c r="N257" i="7"/>
  <c r="O257" i="7" s="1"/>
  <c r="F39" i="15"/>
  <c r="N444" i="7"/>
  <c r="O444" i="7" s="1"/>
  <c r="F43" i="16" s="1"/>
  <c r="H43" i="16" s="1"/>
  <c r="N116" i="7"/>
  <c r="O116" i="7" s="1"/>
  <c r="D319" i="5"/>
  <c r="D318" i="4"/>
  <c r="N573" i="7"/>
  <c r="O573" i="7" s="1"/>
  <c r="N576" i="7"/>
  <c r="O576" i="7" s="1"/>
  <c r="F218" i="16" s="1"/>
  <c r="H218" i="16" s="1"/>
  <c r="F70" i="15"/>
  <c r="F416" i="4"/>
  <c r="N298" i="7" s="1"/>
  <c r="O298" i="7" s="1"/>
  <c r="F417" i="5"/>
  <c r="Q417" i="5" s="1"/>
  <c r="N495" i="7"/>
  <c r="O495" i="7" s="1"/>
  <c r="F127" i="16" s="1"/>
  <c r="H127" i="16" s="1"/>
  <c r="N492" i="7"/>
  <c r="O492" i="7" s="1"/>
  <c r="F241" i="16" s="1"/>
  <c r="H241" i="16" s="1"/>
  <c r="N499" i="7"/>
  <c r="O499" i="7" s="1"/>
  <c r="F223" i="16" s="1"/>
  <c r="H223" i="16" s="1"/>
  <c r="N493" i="7"/>
  <c r="O493" i="7" s="1"/>
  <c r="F242" i="16" s="1"/>
  <c r="H242" i="16" s="1"/>
  <c r="N494" i="7"/>
  <c r="O494" i="7" s="1"/>
  <c r="F93" i="16" s="1"/>
  <c r="H93" i="16" s="1"/>
  <c r="N502" i="7"/>
  <c r="O502" i="7" s="1"/>
  <c r="F27" i="15"/>
  <c r="N728" i="7"/>
  <c r="O728" i="7" s="1"/>
  <c r="F256" i="16" s="1"/>
  <c r="H256" i="16" s="1"/>
  <c r="F72" i="15"/>
  <c r="N730" i="7"/>
  <c r="O730" i="7" s="1"/>
  <c r="N726" i="7"/>
  <c r="O726" i="7" s="1"/>
  <c r="F236" i="16" s="1"/>
  <c r="H236" i="16" s="1"/>
  <c r="H385" i="4"/>
  <c r="G175" i="4"/>
  <c r="G176" i="5" s="1"/>
  <c r="H25" i="4"/>
  <c r="H26" i="5" s="1"/>
  <c r="I26" i="5" s="1"/>
  <c r="G361" i="4"/>
  <c r="G362" i="5" s="1"/>
  <c r="H14" i="4"/>
  <c r="H15" i="5" s="1"/>
  <c r="I15" i="5" s="1"/>
  <c r="G305" i="4"/>
  <c r="G306" i="5" s="1"/>
  <c r="G82" i="4"/>
  <c r="G83" i="5" s="1"/>
  <c r="H293" i="4"/>
  <c r="H294" i="5" s="1"/>
  <c r="G212" i="4"/>
  <c r="G213" i="5" s="1"/>
  <c r="G304" i="4"/>
  <c r="G305" i="5" s="1"/>
  <c r="H211" i="4"/>
  <c r="H212" i="5" s="1"/>
  <c r="I212" i="5" s="1"/>
  <c r="G60" i="15"/>
  <c r="G64" i="4"/>
  <c r="G65" i="5" s="1"/>
  <c r="H397" i="4"/>
  <c r="H398" i="5" s="1"/>
  <c r="I398" i="5" s="1"/>
  <c r="G454" i="4"/>
  <c r="G455" i="5" s="1"/>
  <c r="G398" i="4"/>
  <c r="G399" i="5" s="1"/>
  <c r="H199" i="4"/>
  <c r="H200" i="5" s="1"/>
  <c r="I200" i="5" s="1"/>
  <c r="G119" i="4"/>
  <c r="G120" i="5" s="1"/>
  <c r="G213" i="10"/>
  <c r="L213" i="10" s="1"/>
  <c r="G383" i="9"/>
  <c r="I383" i="9" s="1"/>
  <c r="I386" i="9" s="1"/>
  <c r="C394" i="5"/>
  <c r="C393" i="4"/>
  <c r="N553" i="7"/>
  <c r="O553" i="7" s="1"/>
  <c r="F125" i="16" s="1"/>
  <c r="H125" i="16" s="1"/>
  <c r="F65" i="15"/>
  <c r="N550" i="7"/>
  <c r="O550" i="7" s="1"/>
  <c r="N552" i="7"/>
  <c r="O552" i="7" s="1"/>
  <c r="N551" i="7"/>
  <c r="O551" i="7" s="1"/>
  <c r="N140" i="7"/>
  <c r="O140" i="7" s="1"/>
  <c r="N138" i="7"/>
  <c r="O138" i="7" s="1"/>
  <c r="N136" i="7"/>
  <c r="O136" i="7" s="1"/>
  <c r="N139" i="7"/>
  <c r="O139" i="7" s="1"/>
  <c r="F29" i="15"/>
  <c r="N192" i="7"/>
  <c r="O192" i="7" s="1"/>
  <c r="F55" i="16" s="1"/>
  <c r="H55" i="16" s="1"/>
  <c r="N190" i="7"/>
  <c r="O190" i="7" s="1"/>
  <c r="N434" i="7"/>
  <c r="O434" i="7" s="1"/>
  <c r="N165" i="7"/>
  <c r="O165" i="7" s="1"/>
  <c r="F12" i="16" s="1"/>
  <c r="H12" i="16" s="1"/>
  <c r="N137" i="7"/>
  <c r="O137" i="7" s="1"/>
  <c r="N511" i="7"/>
  <c r="O511" i="7" s="1"/>
  <c r="N433" i="7"/>
  <c r="O433" i="7" s="1"/>
  <c r="G651" i="8"/>
  <c r="I651" i="8" s="1"/>
  <c r="I652" i="8" s="1"/>
  <c r="G237" i="8"/>
  <c r="L237" i="8" s="1"/>
  <c r="G267" i="7"/>
  <c r="I267" i="7" s="1"/>
  <c r="G390" i="7"/>
  <c r="I390" i="7" s="1"/>
  <c r="G436" i="4"/>
  <c r="G437" i="5" s="1"/>
  <c r="N76" i="7"/>
  <c r="O76" i="7" s="1"/>
  <c r="F59" i="15"/>
  <c r="N172" i="7"/>
  <c r="O172" i="7" s="1"/>
  <c r="G486" i="9"/>
  <c r="L486" i="9" s="1"/>
  <c r="G751" i="8"/>
  <c r="I751" i="8" s="1"/>
  <c r="N374" i="7"/>
  <c r="O374" i="7" s="1"/>
  <c r="F68" i="16" s="1"/>
  <c r="H68" i="16" s="1"/>
  <c r="N375" i="7"/>
  <c r="O375" i="7" s="1"/>
  <c r="N163" i="7"/>
  <c r="O163" i="7" s="1"/>
  <c r="N504" i="7"/>
  <c r="O504" i="7" s="1"/>
  <c r="N496" i="7"/>
  <c r="O496" i="7" s="1"/>
  <c r="F205" i="16" s="1"/>
  <c r="H205" i="16" s="1"/>
  <c r="N656" i="7"/>
  <c r="O656" i="7" s="1"/>
  <c r="G370" i="9"/>
  <c r="L370" i="9" s="1"/>
  <c r="G572" i="8"/>
  <c r="I572" i="8" s="1"/>
  <c r="G542" i="8"/>
  <c r="I542" i="8" s="1"/>
  <c r="G535" i="8"/>
  <c r="I535" i="8" s="1"/>
  <c r="G645" i="8"/>
  <c r="I645" i="8" s="1"/>
  <c r="G565" i="8"/>
  <c r="I565" i="8" s="1"/>
  <c r="N659" i="7"/>
  <c r="O659" i="7" s="1"/>
  <c r="F124" i="16" s="1"/>
  <c r="H124" i="16" s="1"/>
  <c r="N658" i="7"/>
  <c r="O658" i="7" s="1"/>
  <c r="N660" i="7"/>
  <c r="O660" i="7" s="1"/>
  <c r="N271" i="7"/>
  <c r="O271" i="7" s="1"/>
  <c r="N265" i="7"/>
  <c r="O265" i="7" s="1"/>
  <c r="G26" i="4"/>
  <c r="G27" i="5" s="1"/>
  <c r="N646" i="7"/>
  <c r="O646" i="7" s="1"/>
  <c r="F47" i="15"/>
  <c r="N649" i="7"/>
  <c r="O649" i="7" s="1"/>
  <c r="N58" i="7"/>
  <c r="O58" i="7" s="1"/>
  <c r="N59" i="7"/>
  <c r="O59" i="7" s="1"/>
  <c r="F10" i="16" s="1"/>
  <c r="H10" i="16" s="1"/>
  <c r="F9" i="15"/>
  <c r="D17" i="4"/>
  <c r="D18" i="5"/>
  <c r="C450" i="5"/>
  <c r="C449" i="4"/>
  <c r="D136" i="4"/>
  <c r="D137" i="5"/>
  <c r="N97" i="7"/>
  <c r="O97" i="7" s="1"/>
  <c r="F30" i="15"/>
  <c r="G671" i="8"/>
  <c r="I671" i="8" s="1"/>
  <c r="N49" i="7"/>
  <c r="O49" i="7" s="1"/>
  <c r="N669" i="7"/>
  <c r="O669" i="7" s="1"/>
  <c r="F136" i="16" s="1"/>
  <c r="H136" i="16" s="1"/>
  <c r="N667" i="7"/>
  <c r="O667" i="7" s="1"/>
  <c r="N729" i="7"/>
  <c r="O729" i="7" s="1"/>
  <c r="F67" i="15"/>
  <c r="N717" i="7"/>
  <c r="O717" i="7" s="1"/>
  <c r="N718" i="7"/>
  <c r="O718" i="7" s="1"/>
  <c r="N716" i="7"/>
  <c r="O716" i="7" s="1"/>
  <c r="F163" i="16" s="1"/>
  <c r="H163" i="16" s="1"/>
  <c r="G22" i="11"/>
  <c r="L22" i="11" s="1"/>
  <c r="G142" i="10"/>
  <c r="I142" i="10" s="1"/>
  <c r="I143" i="10" s="1"/>
  <c r="D428" i="4"/>
  <c r="D429" i="5"/>
  <c r="G578" i="8"/>
  <c r="I578" i="8" s="1"/>
  <c r="N242" i="7"/>
  <c r="O242" i="7" s="1"/>
  <c r="F185" i="16" s="1"/>
  <c r="H185" i="16" s="1"/>
  <c r="N250" i="7"/>
  <c r="O250" i="7" s="1"/>
  <c r="F44" i="16" s="1"/>
  <c r="H44" i="16" s="1"/>
  <c r="N241" i="7"/>
  <c r="O241" i="7" s="1"/>
  <c r="F58" i="4"/>
  <c r="F59" i="5"/>
  <c r="K59" i="5" s="1"/>
  <c r="Q411" i="7" s="1"/>
  <c r="R411" i="7" s="1"/>
  <c r="F144" i="5"/>
  <c r="K144" i="5" s="1"/>
  <c r="F143" i="4"/>
  <c r="F70" i="5"/>
  <c r="K70" i="5" s="1"/>
  <c r="F69" i="4"/>
  <c r="F46" i="5"/>
  <c r="K46" i="5" s="1"/>
  <c r="Q308" i="7" s="1"/>
  <c r="R308" i="7" s="1"/>
  <c r="F45" i="4"/>
  <c r="N89" i="7"/>
  <c r="O89" i="7" s="1"/>
  <c r="F280" i="16" s="1"/>
  <c r="H280" i="16" s="1"/>
  <c r="E48" i="4"/>
  <c r="E49" i="5"/>
  <c r="E238" i="5"/>
  <c r="E237" i="4"/>
  <c r="E427" i="5"/>
  <c r="E426" i="4"/>
  <c r="N86" i="7"/>
  <c r="O86" i="7" s="1"/>
  <c r="N521" i="7"/>
  <c r="O521" i="7" s="1"/>
  <c r="F73" i="15"/>
  <c r="N532" i="7"/>
  <c r="O532" i="7" s="1"/>
  <c r="F229" i="16" s="1"/>
  <c r="H229" i="16" s="1"/>
  <c r="G264" i="8"/>
  <c r="I264" i="8" s="1"/>
  <c r="N680" i="7"/>
  <c r="O680" i="7" s="1"/>
  <c r="F18" i="15"/>
  <c r="N48" i="7"/>
  <c r="O48" i="7" s="1"/>
  <c r="F58" i="15"/>
  <c r="D110" i="4"/>
  <c r="D111" i="5"/>
  <c r="E112" i="4"/>
  <c r="E113" i="5"/>
  <c r="E301" i="5"/>
  <c r="E300" i="4"/>
  <c r="G211" i="7"/>
  <c r="I211" i="7" s="1"/>
  <c r="E116" i="4"/>
  <c r="E117" i="5"/>
  <c r="E185" i="5"/>
  <c r="E184" i="4"/>
  <c r="E243" i="4"/>
  <c r="E244" i="5"/>
  <c r="E305" i="5"/>
  <c r="E304" i="4"/>
  <c r="E373" i="5"/>
  <c r="E372" i="4"/>
  <c r="E432" i="4"/>
  <c r="E433" i="5"/>
  <c r="G200" i="7"/>
  <c r="I200" i="7" s="1"/>
  <c r="G729" i="7"/>
  <c r="I729" i="7" s="1"/>
  <c r="F64" i="15"/>
  <c r="N87" i="7"/>
  <c r="O87" i="7" s="1"/>
  <c r="G585" i="8"/>
  <c r="I585" i="8" s="1"/>
  <c r="I588" i="8" s="1"/>
  <c r="G527" i="8"/>
  <c r="I527" i="8" s="1"/>
  <c r="C300" i="4"/>
  <c r="C301" i="5"/>
  <c r="N593" i="7"/>
  <c r="O593" i="7" s="1"/>
  <c r="D203" i="4"/>
  <c r="D204" i="5"/>
  <c r="F51" i="5"/>
  <c r="K51" i="5" s="1"/>
  <c r="F50" i="4"/>
  <c r="F140" i="4"/>
  <c r="F141" i="5"/>
  <c r="K141" i="5" s="1"/>
  <c r="Q323" i="7" s="1"/>
  <c r="R323" i="7" s="1"/>
  <c r="D226" i="5"/>
  <c r="D225" i="4"/>
  <c r="N32" i="7"/>
  <c r="O32" i="7" s="1"/>
  <c r="N46" i="7"/>
  <c r="O46" i="7" s="1"/>
  <c r="F30" i="16" s="1"/>
  <c r="H30" i="16" s="1"/>
  <c r="N162" i="7"/>
  <c r="O162" i="7" s="1"/>
  <c r="G228" i="9"/>
  <c r="L228" i="9" s="1"/>
  <c r="G451" i="8"/>
  <c r="I451" i="8" s="1"/>
  <c r="G300" i="8"/>
  <c r="I300" i="8" s="1"/>
  <c r="I234" i="8"/>
  <c r="F52" i="15"/>
  <c r="N562" i="7"/>
  <c r="O562" i="7" s="1"/>
  <c r="N336" i="7"/>
  <c r="O336" i="7" s="1"/>
  <c r="N345" i="7"/>
  <c r="O345" i="7" s="1"/>
  <c r="N337" i="7"/>
  <c r="O337" i="7" s="1"/>
  <c r="N339" i="7"/>
  <c r="O339" i="7" s="1"/>
  <c r="N332" i="7"/>
  <c r="O332" i="7" s="1"/>
  <c r="N338" i="7"/>
  <c r="O338" i="7" s="1"/>
  <c r="D40" i="5"/>
  <c r="D39" i="4"/>
  <c r="E178" i="5"/>
  <c r="E177" i="4"/>
  <c r="E366" i="4"/>
  <c r="E367" i="5"/>
  <c r="E61" i="5"/>
  <c r="E60" i="4"/>
  <c r="E121" i="5"/>
  <c r="E120" i="4"/>
  <c r="E188" i="4"/>
  <c r="E189" i="5"/>
  <c r="E249" i="4"/>
  <c r="E250" i="5"/>
  <c r="E310" i="5"/>
  <c r="E309" i="4"/>
  <c r="E376" i="4"/>
  <c r="E377" i="5"/>
  <c r="E438" i="4"/>
  <c r="E439" i="5"/>
  <c r="I449" i="9"/>
  <c r="G358" i="9"/>
  <c r="L358" i="9" s="1"/>
  <c r="G548" i="8"/>
  <c r="I548" i="8" s="1"/>
  <c r="I552" i="8" s="1"/>
  <c r="G541" i="8"/>
  <c r="I541" i="8" s="1"/>
  <c r="G534" i="8"/>
  <c r="I534" i="8" s="1"/>
  <c r="G95" i="9"/>
  <c r="L95" i="9" s="1"/>
  <c r="G341" i="8"/>
  <c r="I341" i="8" s="1"/>
  <c r="G321" i="8"/>
  <c r="I321" i="8" s="1"/>
  <c r="C474" i="5"/>
  <c r="C473" i="4"/>
  <c r="G564" i="8"/>
  <c r="I564" i="8" s="1"/>
  <c r="G138" i="8"/>
  <c r="I138" i="8" s="1"/>
  <c r="E125" i="4"/>
  <c r="E126" i="5"/>
  <c r="E193" i="5"/>
  <c r="E192" i="4"/>
  <c r="E255" i="4"/>
  <c r="E256" i="5"/>
  <c r="E314" i="5"/>
  <c r="E313" i="4"/>
  <c r="E380" i="4"/>
  <c r="E381" i="5"/>
  <c r="E445" i="5"/>
  <c r="E444" i="4"/>
  <c r="I60" i="9"/>
  <c r="I243" i="9"/>
  <c r="G240" i="7"/>
  <c r="I240" i="7" s="1"/>
  <c r="G647" i="7"/>
  <c r="I647" i="7" s="1"/>
  <c r="I650" i="7" s="1"/>
  <c r="N30" i="7"/>
  <c r="O30" i="7" s="1"/>
  <c r="F29" i="16" s="1"/>
  <c r="H29" i="16" s="1"/>
  <c r="N245" i="7"/>
  <c r="O245" i="7" s="1"/>
  <c r="F83" i="16" s="1"/>
  <c r="H83" i="16" s="1"/>
  <c r="N164" i="7"/>
  <c r="O164" i="7" s="1"/>
  <c r="F25" i="16" s="1"/>
  <c r="H25" i="16" s="1"/>
  <c r="N248" i="7"/>
  <c r="O248" i="7" s="1"/>
  <c r="F162" i="16" s="1"/>
  <c r="H162" i="16" s="1"/>
  <c r="F71" i="15"/>
  <c r="N78" i="7"/>
  <c r="O78" i="7" s="1"/>
  <c r="N77" i="7"/>
  <c r="O77" i="7" s="1"/>
  <c r="C207" i="4"/>
  <c r="C208" i="5"/>
  <c r="F68" i="15"/>
  <c r="D133" i="5"/>
  <c r="D132" i="4"/>
  <c r="N141" i="7"/>
  <c r="O141" i="7" s="1"/>
  <c r="F150" i="16" s="1"/>
  <c r="H150" i="16" s="1"/>
  <c r="N522" i="7"/>
  <c r="O522" i="7" s="1"/>
  <c r="F224" i="16" s="1"/>
  <c r="H224" i="16" s="1"/>
  <c r="F163" i="5"/>
  <c r="K163" i="5" s="1"/>
  <c r="F162" i="4"/>
  <c r="C115" i="5"/>
  <c r="C114" i="4"/>
  <c r="F422" i="4"/>
  <c r="F423" i="5"/>
  <c r="Q423" i="5" s="1"/>
  <c r="E17" i="4"/>
  <c r="E18" i="5"/>
  <c r="N583" i="7"/>
  <c r="O583" i="7" s="1"/>
  <c r="F110" i="16" s="1"/>
  <c r="H110" i="16" s="1"/>
  <c r="N331" i="7"/>
  <c r="O331" i="7" s="1"/>
  <c r="N442" i="7"/>
  <c r="O442" i="7" s="1"/>
  <c r="F63" i="15"/>
  <c r="F33" i="15"/>
  <c r="F237" i="5"/>
  <c r="N237" i="5" s="1"/>
  <c r="F236" i="4"/>
  <c r="C22" i="5"/>
  <c r="C21" i="4"/>
  <c r="E5" i="19"/>
  <c r="G5" i="16"/>
  <c r="E5" i="20"/>
  <c r="D5" i="14"/>
  <c r="H5" i="11"/>
  <c r="D5" i="13"/>
  <c r="H5" i="9"/>
  <c r="G5" i="15"/>
  <c r="H5" i="8"/>
  <c r="H5" i="12"/>
  <c r="H5" i="10"/>
  <c r="G5" i="5"/>
  <c r="L5" i="6"/>
  <c r="G5" i="4"/>
  <c r="D5" i="2"/>
  <c r="H5" i="7"/>
  <c r="K5" i="3"/>
  <c r="H106" i="4"/>
  <c r="H107" i="5" s="1"/>
  <c r="F416" i="5"/>
  <c r="Q416" i="5" s="1"/>
  <c r="F415" i="4"/>
  <c r="N287" i="7" s="1"/>
  <c r="O287" i="7" s="1"/>
  <c r="H200" i="4"/>
  <c r="F329" i="4"/>
  <c r="F330" i="5"/>
  <c r="N330" i="5" s="1"/>
  <c r="H386" i="4"/>
  <c r="H387" i="5" s="1"/>
  <c r="G386" i="4"/>
  <c r="G387" i="5" s="1"/>
  <c r="G211" i="4"/>
  <c r="G212" i="5" s="1"/>
  <c r="G25" i="4"/>
  <c r="G26" i="5" s="1"/>
  <c r="G14" i="4"/>
  <c r="G15" i="5" s="1"/>
  <c r="G13" i="4"/>
  <c r="G14" i="5" s="1"/>
  <c r="G200" i="4"/>
  <c r="G201" i="5" s="1"/>
  <c r="H13" i="4"/>
  <c r="G105" i="7" l="1"/>
  <c r="I105" i="7" s="1"/>
  <c r="G482" i="7"/>
  <c r="I482" i="7" s="1"/>
  <c r="G433" i="7"/>
  <c r="I433" i="7" s="1"/>
  <c r="G366" i="7"/>
  <c r="I366" i="7" s="1"/>
  <c r="G423" i="9"/>
  <c r="I423" i="9" s="1"/>
  <c r="G320" i="8"/>
  <c r="I320" i="8" s="1"/>
  <c r="G518" i="8"/>
  <c r="I518" i="8" s="1"/>
  <c r="G120" i="8"/>
  <c r="I120" i="8" s="1"/>
  <c r="G129" i="8"/>
  <c r="I129" i="8" s="1"/>
  <c r="G482" i="8"/>
  <c r="I482" i="8" s="1"/>
  <c r="G460" i="8"/>
  <c r="I460" i="8" s="1"/>
  <c r="I666" i="8"/>
  <c r="I560" i="8"/>
  <c r="N749" i="8"/>
  <c r="O749" i="8" s="1"/>
  <c r="N742" i="8"/>
  <c r="O742" i="8" s="1"/>
  <c r="Q310" i="7"/>
  <c r="R310" i="7" s="1"/>
  <c r="D190" i="17" s="1"/>
  <c r="F190" i="17" s="1"/>
  <c r="Q414" i="7"/>
  <c r="R414" i="7" s="1"/>
  <c r="N432" i="8"/>
  <c r="O432" i="8" s="1"/>
  <c r="N497" i="8"/>
  <c r="O497" i="8" s="1"/>
  <c r="N499" i="8"/>
  <c r="O499" i="8" s="1"/>
  <c r="N496" i="8"/>
  <c r="O496" i="8" s="1"/>
  <c r="N431" i="8"/>
  <c r="O431" i="8" s="1"/>
  <c r="N434" i="8"/>
  <c r="O434" i="8" s="1"/>
  <c r="G224" i="4"/>
  <c r="G225" i="5" s="1"/>
  <c r="Q306" i="7"/>
  <c r="R306" i="7" s="1"/>
  <c r="Q408" i="7"/>
  <c r="R408" i="7" s="1"/>
  <c r="Q131" i="8" s="1"/>
  <c r="R131" i="8" s="1"/>
  <c r="Q413" i="7"/>
  <c r="R413" i="7" s="1"/>
  <c r="Q318" i="7"/>
  <c r="R318" i="7" s="1"/>
  <c r="Q353" i="7"/>
  <c r="R353" i="7" s="1"/>
  <c r="Q409" i="7"/>
  <c r="R409" i="7" s="1"/>
  <c r="Q416" i="7"/>
  <c r="R416" i="7" s="1"/>
  <c r="Q324" i="7"/>
  <c r="R324" i="7" s="1"/>
  <c r="N509" i="8"/>
  <c r="O509" i="8" s="1"/>
  <c r="I602" i="7"/>
  <c r="G599" i="7" s="1"/>
  <c r="L599" i="7" s="1"/>
  <c r="Q480" i="7"/>
  <c r="R480" i="7" s="1"/>
  <c r="Q519" i="8" s="1"/>
  <c r="R519" i="8" s="1"/>
  <c r="Q307" i="7"/>
  <c r="R307" i="7" s="1"/>
  <c r="Q415" i="7"/>
  <c r="R415" i="7" s="1"/>
  <c r="Q484" i="7"/>
  <c r="R484" i="7" s="1"/>
  <c r="D134" i="17" s="1"/>
  <c r="F134" i="17" s="1"/>
  <c r="Q410" i="7"/>
  <c r="R410" i="7" s="1"/>
  <c r="Q412" i="7"/>
  <c r="R412" i="7" s="1"/>
  <c r="D192" i="17" s="1"/>
  <c r="F192" i="17" s="1"/>
  <c r="Q309" i="7"/>
  <c r="R309" i="7" s="1"/>
  <c r="Q352" i="7"/>
  <c r="R352" i="7" s="1"/>
  <c r="Q321" i="7"/>
  <c r="R321" i="7" s="1"/>
  <c r="Q485" i="7"/>
  <c r="R485" i="7" s="1"/>
  <c r="D23" i="17" s="1"/>
  <c r="F23" i="17" s="1"/>
  <c r="Q356" i="7"/>
  <c r="R356" i="7" s="1"/>
  <c r="D191" i="17" s="1"/>
  <c r="F191" i="17" s="1"/>
  <c r="Q481" i="7"/>
  <c r="R481" i="7" s="1"/>
  <c r="Q320" i="7"/>
  <c r="R320" i="7" s="1"/>
  <c r="Q319" i="7"/>
  <c r="R319" i="7" s="1"/>
  <c r="Q483" i="7"/>
  <c r="R483" i="7" s="1"/>
  <c r="Q354" i="7"/>
  <c r="R354" i="7" s="1"/>
  <c r="Q283" i="8" s="1"/>
  <c r="R283" i="8" s="1"/>
  <c r="Q482" i="7"/>
  <c r="R482" i="7" s="1"/>
  <c r="Q311" i="7"/>
  <c r="R311" i="7" s="1"/>
  <c r="D37" i="17" s="1"/>
  <c r="F37" i="17" s="1"/>
  <c r="Q357" i="7"/>
  <c r="R357" i="7" s="1"/>
  <c r="D38" i="17" s="1"/>
  <c r="F38" i="17" s="1"/>
  <c r="Q355" i="7"/>
  <c r="R355" i="7" s="1"/>
  <c r="Q322" i="7"/>
  <c r="R322" i="7" s="1"/>
  <c r="Q293" i="8" s="1"/>
  <c r="R293" i="8" s="1"/>
  <c r="N636" i="8"/>
  <c r="O636" i="8" s="1"/>
  <c r="G517" i="8"/>
  <c r="I517" i="8" s="1"/>
  <c r="I530" i="8"/>
  <c r="I577" i="7"/>
  <c r="G170" i="4" s="1"/>
  <c r="G171" i="5" s="1"/>
  <c r="N623" i="8"/>
  <c r="O623" i="8" s="1"/>
  <c r="I736" i="8"/>
  <c r="G128" i="8"/>
  <c r="I128" i="8" s="1"/>
  <c r="G253" i="4"/>
  <c r="G254" i="5" s="1"/>
  <c r="I259" i="7"/>
  <c r="I260" i="7" s="1"/>
  <c r="H38" i="4" s="1"/>
  <c r="H39" i="5" s="1"/>
  <c r="I544" i="7"/>
  <c r="G353" i="4" s="1"/>
  <c r="G354" i="5" s="1"/>
  <c r="I166" i="7"/>
  <c r="G306" i="4" s="1"/>
  <c r="G307" i="5" s="1"/>
  <c r="I142" i="7"/>
  <c r="G37" i="15" s="1"/>
  <c r="I234" i="7"/>
  <c r="G21" i="15" s="1"/>
  <c r="I14" i="4"/>
  <c r="N435" i="8"/>
  <c r="O435" i="8" s="1"/>
  <c r="I537" i="8"/>
  <c r="G533" i="8" s="1"/>
  <c r="L533" i="8" s="1"/>
  <c r="I213" i="7"/>
  <c r="G63" i="9"/>
  <c r="L63" i="9" s="1"/>
  <c r="I587" i="7"/>
  <c r="G63" i="15" s="1"/>
  <c r="I699" i="7"/>
  <c r="G66" i="15" s="1"/>
  <c r="F24" i="16"/>
  <c r="H24" i="16" s="1"/>
  <c r="G119" i="8"/>
  <c r="I119" i="8" s="1"/>
  <c r="G41" i="15"/>
  <c r="G332" i="4"/>
  <c r="G333" i="5" s="1"/>
  <c r="G146" i="4"/>
  <c r="G147" i="5" s="1"/>
  <c r="G714" i="7"/>
  <c r="G413" i="4"/>
  <c r="G414" i="5" s="1"/>
  <c r="G43" i="15"/>
  <c r="G453" i="4"/>
  <c r="G454" i="5" s="1"/>
  <c r="N744" i="8"/>
  <c r="O744" i="8" s="1"/>
  <c r="I661" i="7"/>
  <c r="G280" i="4" s="1"/>
  <c r="G281" i="5" s="1"/>
  <c r="G286" i="4"/>
  <c r="G287" i="5" s="1"/>
  <c r="G41" i="4"/>
  <c r="G42" i="5" s="1"/>
  <c r="N527" i="8"/>
  <c r="O527" i="8" s="1"/>
  <c r="I204" i="7"/>
  <c r="G404" i="4" s="1"/>
  <c r="G405" i="5" s="1"/>
  <c r="I581" i="8"/>
  <c r="G577" i="8" s="1"/>
  <c r="L577" i="8" s="1"/>
  <c r="G379" i="4"/>
  <c r="G380" i="5" s="1"/>
  <c r="I646" i="8"/>
  <c r="G643" i="8" s="1"/>
  <c r="L643" i="8" s="1"/>
  <c r="N140" i="8"/>
  <c r="O140" i="8" s="1"/>
  <c r="I674" i="8"/>
  <c r="G669" i="8" s="1"/>
  <c r="L669" i="8" s="1"/>
  <c r="G67" i="15"/>
  <c r="G470" i="7"/>
  <c r="L470" i="7" s="1"/>
  <c r="I770" i="8"/>
  <c r="G639" i="7" s="1"/>
  <c r="I639" i="7" s="1"/>
  <c r="N254" i="8"/>
  <c r="O254" i="8" s="1"/>
  <c r="N138" i="8"/>
  <c r="O138" i="8" s="1"/>
  <c r="I529" i="9"/>
  <c r="G520" i="9" s="1"/>
  <c r="L520" i="9" s="1"/>
  <c r="N119" i="8"/>
  <c r="O119" i="8" s="1"/>
  <c r="G100" i="4"/>
  <c r="G101" i="5" s="1"/>
  <c r="G193" i="4"/>
  <c r="G194" i="5" s="1"/>
  <c r="N143" i="8"/>
  <c r="O143" i="8" s="1"/>
  <c r="G346" i="4"/>
  <c r="G347" i="5" s="1"/>
  <c r="I130" i="7"/>
  <c r="I131" i="7" s="1"/>
  <c r="I132" i="7" s="1"/>
  <c r="I475" i="7"/>
  <c r="I476" i="7" s="1"/>
  <c r="H55" i="15" s="1"/>
  <c r="N751" i="8"/>
  <c r="O751" i="8" s="1"/>
  <c r="N488" i="9" s="1"/>
  <c r="O488" i="9" s="1"/>
  <c r="G441" i="7"/>
  <c r="I441" i="7" s="1"/>
  <c r="I445" i="7" s="1"/>
  <c r="G435" i="4" s="1"/>
  <c r="G436" i="5" s="1"/>
  <c r="N142" i="8"/>
  <c r="O142" i="8" s="1"/>
  <c r="G472" i="4"/>
  <c r="G473" i="5" s="1"/>
  <c r="N528" i="8"/>
  <c r="O528" i="8" s="1"/>
  <c r="I211" i="4"/>
  <c r="I251" i="7"/>
  <c r="G239" i="7" s="1"/>
  <c r="F58" i="16"/>
  <c r="H58" i="16" s="1"/>
  <c r="N139" i="8"/>
  <c r="O139" i="8" s="1"/>
  <c r="N407" i="8"/>
  <c r="O407" i="8" s="1"/>
  <c r="N637" i="8"/>
  <c r="O637" i="8" s="1"/>
  <c r="G267" i="4"/>
  <c r="G268" i="5" s="1"/>
  <c r="F238" i="16"/>
  <c r="H238" i="16" s="1"/>
  <c r="I282" i="7"/>
  <c r="I283" i="7" s="1"/>
  <c r="I107" i="4"/>
  <c r="N565" i="8"/>
  <c r="O565" i="8" s="1"/>
  <c r="N144" i="8"/>
  <c r="O144" i="8" s="1"/>
  <c r="N484" i="8"/>
  <c r="O484" i="8" s="1"/>
  <c r="N426" i="8"/>
  <c r="O426" i="8" s="1"/>
  <c r="N422" i="8"/>
  <c r="O422" i="8" s="1"/>
  <c r="N482" i="8"/>
  <c r="O482" i="8" s="1"/>
  <c r="N425" i="8"/>
  <c r="O425" i="8" s="1"/>
  <c r="N750" i="8"/>
  <c r="O750" i="8" s="1"/>
  <c r="G159" i="4"/>
  <c r="G160" i="5" s="1"/>
  <c r="G81" i="4"/>
  <c r="G82" i="5" s="1"/>
  <c r="G320" i="4"/>
  <c r="G321" i="5" s="1"/>
  <c r="N746" i="8"/>
  <c r="O746" i="8" s="1"/>
  <c r="F193" i="16" s="1"/>
  <c r="H193" i="16" s="1"/>
  <c r="N405" i="8"/>
  <c r="O405" i="8" s="1"/>
  <c r="N424" i="8"/>
  <c r="O424" i="8" s="1"/>
  <c r="N564" i="8"/>
  <c r="O564" i="8" s="1"/>
  <c r="G134" i="4"/>
  <c r="G135" i="5" s="1"/>
  <c r="N440" i="8"/>
  <c r="O440" i="8" s="1"/>
  <c r="N444" i="8"/>
  <c r="O444" i="8" s="1"/>
  <c r="I80" i="7"/>
  <c r="G7" i="15" s="1"/>
  <c r="G174" i="4"/>
  <c r="G175" i="5" s="1"/>
  <c r="G51" i="15"/>
  <c r="N743" i="8"/>
  <c r="O743" i="8" s="1"/>
  <c r="N408" i="8"/>
  <c r="O408" i="8" s="1"/>
  <c r="N120" i="8"/>
  <c r="O120" i="8" s="1"/>
  <c r="I305" i="9"/>
  <c r="G301" i="9" s="1"/>
  <c r="L301" i="9" s="1"/>
  <c r="I13" i="7"/>
  <c r="G10" i="15" s="1"/>
  <c r="N345" i="8"/>
  <c r="O345" i="8" s="1"/>
  <c r="N340" i="8"/>
  <c r="O340" i="8" s="1"/>
  <c r="N291" i="9" s="1"/>
  <c r="O291" i="9" s="1"/>
  <c r="N703" i="8"/>
  <c r="O703" i="8" s="1"/>
  <c r="F208" i="16" s="1"/>
  <c r="H208" i="16" s="1"/>
  <c r="N481" i="8"/>
  <c r="O481" i="8" s="1"/>
  <c r="N121" i="8"/>
  <c r="O121" i="8" s="1"/>
  <c r="I26" i="7"/>
  <c r="H51" i="15" s="1"/>
  <c r="N740" i="8"/>
  <c r="O740" i="8" s="1"/>
  <c r="F146" i="16" s="1"/>
  <c r="H146" i="16" s="1"/>
  <c r="N404" i="8"/>
  <c r="O404" i="8" s="1"/>
  <c r="I709" i="7"/>
  <c r="G192" i="4" s="1"/>
  <c r="G193" i="5" s="1"/>
  <c r="N507" i="8"/>
  <c r="O507" i="8" s="1"/>
  <c r="I523" i="7"/>
  <c r="G518" i="7" s="1"/>
  <c r="L518" i="7" s="1"/>
  <c r="N483" i="8"/>
  <c r="O483" i="8" s="1"/>
  <c r="N624" i="8"/>
  <c r="O624" i="8" s="1"/>
  <c r="N592" i="8"/>
  <c r="O592" i="8" s="1"/>
  <c r="N634" i="8"/>
  <c r="O634" i="8" s="1"/>
  <c r="F261" i="16" s="1"/>
  <c r="H261" i="16" s="1"/>
  <c r="G360" i="4"/>
  <c r="G361" i="5" s="1"/>
  <c r="G239" i="4"/>
  <c r="G240" i="5" s="1"/>
  <c r="G18" i="7"/>
  <c r="N748" i="8"/>
  <c r="O748" i="8" s="1"/>
  <c r="I90" i="7"/>
  <c r="I91" i="7" s="1"/>
  <c r="I92" i="7" s="1"/>
  <c r="I622" i="7"/>
  <c r="G87" i="4" s="1"/>
  <c r="G88" i="5" s="1"/>
  <c r="N745" i="8"/>
  <c r="O745" i="8" s="1"/>
  <c r="N629" i="8"/>
  <c r="O629" i="8" s="1"/>
  <c r="I391" i="7"/>
  <c r="G333" i="4" s="1"/>
  <c r="G334" i="5" s="1"/>
  <c r="G279" i="7"/>
  <c r="L279" i="7" s="1"/>
  <c r="I752" i="8"/>
  <c r="G739" i="8" s="1"/>
  <c r="L739" i="8" s="1"/>
  <c r="G9" i="4"/>
  <c r="G10" i="5" s="1"/>
  <c r="I106" i="4"/>
  <c r="N626" i="8"/>
  <c r="O626" i="8" s="1"/>
  <c r="F88" i="16"/>
  <c r="H88" i="16" s="1"/>
  <c r="G28" i="4"/>
  <c r="G29" i="5" s="1"/>
  <c r="N741" i="8"/>
  <c r="O741" i="8" s="1"/>
  <c r="F156" i="16" s="1"/>
  <c r="H156" i="16" s="1"/>
  <c r="N122" i="8"/>
  <c r="O122" i="8" s="1"/>
  <c r="N622" i="8"/>
  <c r="O622" i="8" s="1"/>
  <c r="G69" i="15"/>
  <c r="G120" i="4"/>
  <c r="G121" i="5" s="1"/>
  <c r="H343" i="4"/>
  <c r="I343" i="4" s="1"/>
  <c r="H436" i="4"/>
  <c r="H437" i="5" s="1"/>
  <c r="J437" i="5" s="1"/>
  <c r="N360" i="8"/>
  <c r="O360" i="8" s="1"/>
  <c r="I70" i="7"/>
  <c r="G389" i="4" s="1"/>
  <c r="G390" i="5" s="1"/>
  <c r="N706" i="8"/>
  <c r="O706" i="8" s="1"/>
  <c r="F171" i="16" s="1"/>
  <c r="H171" i="16" s="1"/>
  <c r="N702" i="8"/>
  <c r="O702" i="8" s="1"/>
  <c r="F133" i="16" s="1"/>
  <c r="H133" i="16" s="1"/>
  <c r="N190" i="8"/>
  <c r="O190" i="8" s="1"/>
  <c r="N135" i="9" s="1"/>
  <c r="O135" i="9" s="1"/>
  <c r="N359" i="8"/>
  <c r="O359" i="8" s="1"/>
  <c r="G317" i="4"/>
  <c r="G318" i="5" s="1"/>
  <c r="N229" i="8"/>
  <c r="O229" i="8" s="1"/>
  <c r="N167" i="9" s="1"/>
  <c r="O167" i="9" s="1"/>
  <c r="H293" i="5"/>
  <c r="I293" i="5" s="1"/>
  <c r="N701" i="8"/>
  <c r="O701" i="8" s="1"/>
  <c r="F143" i="16" s="1"/>
  <c r="H143" i="16" s="1"/>
  <c r="N635" i="8"/>
  <c r="O635" i="8" s="1"/>
  <c r="F268" i="16" s="1"/>
  <c r="H268" i="16" s="1"/>
  <c r="N230" i="8"/>
  <c r="O230" i="8" s="1"/>
  <c r="N172" i="9" s="1"/>
  <c r="O172" i="9" s="1"/>
  <c r="I574" i="8"/>
  <c r="G570" i="8" s="1"/>
  <c r="L570" i="8" s="1"/>
  <c r="N232" i="8"/>
  <c r="O232" i="8" s="1"/>
  <c r="G345" i="4"/>
  <c r="G346" i="5" s="1"/>
  <c r="N632" i="8"/>
  <c r="O632" i="8" s="1"/>
  <c r="N628" i="8"/>
  <c r="O628" i="8" s="1"/>
  <c r="G67" i="4"/>
  <c r="G68" i="5" s="1"/>
  <c r="G439" i="4"/>
  <c r="G440" i="5" s="1"/>
  <c r="N233" i="8"/>
  <c r="O233" i="8" s="1"/>
  <c r="N705" i="8"/>
  <c r="O705" i="8" s="1"/>
  <c r="F210" i="16" s="1"/>
  <c r="H210" i="16" s="1"/>
  <c r="N630" i="8"/>
  <c r="O630" i="8" s="1"/>
  <c r="N595" i="8"/>
  <c r="O595" i="8" s="1"/>
  <c r="I567" i="8"/>
  <c r="G506" i="7" s="1"/>
  <c r="I506" i="7" s="1"/>
  <c r="N296" i="7"/>
  <c r="O296" i="7" s="1"/>
  <c r="N274" i="8" s="1"/>
  <c r="O274" i="8" s="1"/>
  <c r="G160" i="4"/>
  <c r="G161" i="5" s="1"/>
  <c r="G301" i="4"/>
  <c r="G302" i="5" s="1"/>
  <c r="N288" i="7"/>
  <c r="O288" i="7" s="1"/>
  <c r="G53" i="4"/>
  <c r="G54" i="5" s="1"/>
  <c r="N638" i="8"/>
  <c r="O638" i="8" s="1"/>
  <c r="I118" i="4"/>
  <c r="I670" i="7"/>
  <c r="N633" i="8"/>
  <c r="O633" i="8" s="1"/>
  <c r="F267" i="16" s="1"/>
  <c r="H267" i="16" s="1"/>
  <c r="F165" i="16"/>
  <c r="H165" i="16" s="1"/>
  <c r="G438" i="4"/>
  <c r="G439" i="5" s="1"/>
  <c r="G456" i="4"/>
  <c r="G457" i="5" s="1"/>
  <c r="I326" i="9"/>
  <c r="G322" i="9" s="1"/>
  <c r="L322" i="9" s="1"/>
  <c r="N289" i="7"/>
  <c r="O289" i="7" s="1"/>
  <c r="I293" i="4"/>
  <c r="N206" i="8"/>
  <c r="O206" i="8" s="1"/>
  <c r="N639" i="8"/>
  <c r="O639" i="8" s="1"/>
  <c r="G44" i="15"/>
  <c r="F56" i="15"/>
  <c r="G373" i="7"/>
  <c r="F48" i="16"/>
  <c r="H48" i="16" s="1"/>
  <c r="I533" i="7"/>
  <c r="G166" i="4" s="1"/>
  <c r="G167" i="5" s="1"/>
  <c r="N627" i="8"/>
  <c r="O627" i="8" s="1"/>
  <c r="N205" i="8"/>
  <c r="O205" i="8" s="1"/>
  <c r="N587" i="8"/>
  <c r="O587" i="8" s="1"/>
  <c r="F120" i="16" s="1"/>
  <c r="H120" i="16" s="1"/>
  <c r="N510" i="8"/>
  <c r="O510" i="8" s="1"/>
  <c r="G425" i="4"/>
  <c r="G426" i="5" s="1"/>
  <c r="I603" i="7"/>
  <c r="I604" i="7" s="1"/>
  <c r="H363" i="4" s="1"/>
  <c r="G256" i="7"/>
  <c r="L256" i="7" s="1"/>
  <c r="I378" i="7"/>
  <c r="I379" i="7" s="1"/>
  <c r="H425" i="4" s="1"/>
  <c r="I425" i="4" s="1"/>
  <c r="N504" i="8"/>
  <c r="O504" i="8" s="1"/>
  <c r="N354" i="9" s="1"/>
  <c r="O354" i="9" s="1"/>
  <c r="G356" i="4"/>
  <c r="G357" i="5" s="1"/>
  <c r="G167" i="4"/>
  <c r="G168" i="5" s="1"/>
  <c r="G283" i="4"/>
  <c r="G284" i="5" s="1"/>
  <c r="I691" i="7"/>
  <c r="I692" i="7" s="1"/>
  <c r="G68" i="15"/>
  <c r="G469" i="4"/>
  <c r="G470" i="5" s="1"/>
  <c r="G190" i="4"/>
  <c r="G191" i="5" s="1"/>
  <c r="G97" i="4"/>
  <c r="G98" i="5" s="1"/>
  <c r="G686" i="7"/>
  <c r="G376" i="4"/>
  <c r="G377" i="5" s="1"/>
  <c r="N693" i="8"/>
  <c r="O693" i="8" s="1"/>
  <c r="F111" i="16" s="1"/>
  <c r="H111" i="16" s="1"/>
  <c r="G307" i="4"/>
  <c r="G308" i="5" s="1"/>
  <c r="N194" i="8"/>
  <c r="O194" i="8" s="1"/>
  <c r="N692" i="8"/>
  <c r="O692" i="8" s="1"/>
  <c r="F194" i="16" s="1"/>
  <c r="H194" i="16" s="1"/>
  <c r="G294" i="4"/>
  <c r="G295" i="5" s="1"/>
  <c r="N578" i="8"/>
  <c r="O578" i="8" s="1"/>
  <c r="H17" i="15"/>
  <c r="N557" i="8"/>
  <c r="O557" i="8" s="1"/>
  <c r="N556" i="8"/>
  <c r="O556" i="8" s="1"/>
  <c r="N559" i="8"/>
  <c r="O559" i="8" s="1"/>
  <c r="F82" i="16" s="1"/>
  <c r="H82" i="16" s="1"/>
  <c r="N558" i="8"/>
  <c r="O558" i="8" s="1"/>
  <c r="G510" i="9"/>
  <c r="L510" i="9" s="1"/>
  <c r="G756" i="8"/>
  <c r="I756" i="8" s="1"/>
  <c r="G252" i="4"/>
  <c r="G253" i="5" s="1"/>
  <c r="N542" i="8"/>
  <c r="O542" i="8" s="1"/>
  <c r="I120" i="7"/>
  <c r="I121" i="7" s="1"/>
  <c r="H394" i="4" s="1"/>
  <c r="N353" i="8"/>
  <c r="O353" i="8" s="1"/>
  <c r="N352" i="8"/>
  <c r="O352" i="8" s="1"/>
  <c r="N350" i="8"/>
  <c r="O350" i="8" s="1"/>
  <c r="N354" i="8"/>
  <c r="O354" i="8" s="1"/>
  <c r="N351" i="8"/>
  <c r="O351" i="8" s="1"/>
  <c r="N195" i="8"/>
  <c r="O195" i="8" s="1"/>
  <c r="N695" i="8"/>
  <c r="O695" i="8" s="1"/>
  <c r="F123" i="16" s="1"/>
  <c r="H123" i="16" s="1"/>
  <c r="G45" i="7"/>
  <c r="N76" i="8"/>
  <c r="O76" i="8" s="1"/>
  <c r="F36" i="16"/>
  <c r="H36" i="16" s="1"/>
  <c r="G16" i="15"/>
  <c r="N193" i="8"/>
  <c r="O193" i="8" s="1"/>
  <c r="I184" i="7"/>
  <c r="G218" i="7"/>
  <c r="N511" i="8"/>
  <c r="O511" i="8" s="1"/>
  <c r="G114" i="7"/>
  <c r="N361" i="8"/>
  <c r="O361" i="8" s="1"/>
  <c r="N362" i="8"/>
  <c r="O362" i="8" s="1"/>
  <c r="I731" i="7"/>
  <c r="G72" i="15" s="1"/>
  <c r="N209" i="8"/>
  <c r="O209" i="8" s="1"/>
  <c r="G66" i="4"/>
  <c r="G67" i="5" s="1"/>
  <c r="G38" i="4"/>
  <c r="G39" i="5" s="1"/>
  <c r="G220" i="4"/>
  <c r="G221" i="5" s="1"/>
  <c r="G394" i="4"/>
  <c r="G395" i="5" s="1"/>
  <c r="I418" i="9"/>
  <c r="G686" i="8" s="1"/>
  <c r="I686" i="8" s="1"/>
  <c r="I319" i="9"/>
  <c r="G315" i="9" s="1"/>
  <c r="L315" i="9" s="1"/>
  <c r="N594" i="8"/>
  <c r="O594" i="8" s="1"/>
  <c r="N543" i="8"/>
  <c r="O543" i="8" s="1"/>
  <c r="F85" i="16" s="1"/>
  <c r="H85" i="16" s="1"/>
  <c r="H64" i="4"/>
  <c r="H65" i="5" s="1"/>
  <c r="N344" i="8"/>
  <c r="O344" i="8" s="1"/>
  <c r="N342" i="8"/>
  <c r="O342" i="8" s="1"/>
  <c r="N339" i="8"/>
  <c r="O339" i="8" s="1"/>
  <c r="N343" i="8"/>
  <c r="O343" i="8" s="1"/>
  <c r="N216" i="8"/>
  <c r="O216" i="8" s="1"/>
  <c r="N214" i="8"/>
  <c r="O214" i="8" s="1"/>
  <c r="N217" i="8"/>
  <c r="O217" i="8" s="1"/>
  <c r="N215" i="8"/>
  <c r="O215" i="8" s="1"/>
  <c r="G39" i="15"/>
  <c r="G201" i="4"/>
  <c r="G202" i="5" s="1"/>
  <c r="N506" i="8"/>
  <c r="O506" i="8" s="1"/>
  <c r="G462" i="7"/>
  <c r="H286" i="4"/>
  <c r="H287" i="5" s="1"/>
  <c r="G208" i="4"/>
  <c r="G209" i="5" s="1"/>
  <c r="N593" i="8"/>
  <c r="O593" i="8" s="1"/>
  <c r="N508" i="8"/>
  <c r="O508" i="8" s="1"/>
  <c r="I681" i="7"/>
  <c r="N415" i="8"/>
  <c r="O415" i="8" s="1"/>
  <c r="N417" i="8"/>
  <c r="O417" i="8" s="1"/>
  <c r="N414" i="8"/>
  <c r="O414" i="8" s="1"/>
  <c r="N416" i="8"/>
  <c r="O416" i="8" s="1"/>
  <c r="N413" i="8"/>
  <c r="O413" i="8" s="1"/>
  <c r="N611" i="8"/>
  <c r="O611" i="8" s="1"/>
  <c r="N614" i="8"/>
  <c r="O614" i="8" s="1"/>
  <c r="N605" i="8"/>
  <c r="O605" i="8" s="1"/>
  <c r="N603" i="8"/>
  <c r="O603" i="8" s="1"/>
  <c r="N609" i="8"/>
  <c r="O609" i="8" s="1"/>
  <c r="N607" i="8"/>
  <c r="O607" i="8" s="1"/>
  <c r="N608" i="8"/>
  <c r="O608" i="8" s="1"/>
  <c r="N600" i="8"/>
  <c r="O600" i="8" s="1"/>
  <c r="N612" i="8"/>
  <c r="O612" i="8" s="1"/>
  <c r="N610" i="8"/>
  <c r="O610" i="8" s="1"/>
  <c r="N616" i="8"/>
  <c r="O616" i="8" s="1"/>
  <c r="N606" i="8"/>
  <c r="O606" i="8" s="1"/>
  <c r="N615" i="8"/>
  <c r="O615" i="8" s="1"/>
  <c r="N601" i="8"/>
  <c r="O601" i="8" s="1"/>
  <c r="N602" i="8"/>
  <c r="O602" i="8" s="1"/>
  <c r="N617" i="8"/>
  <c r="O617" i="8" s="1"/>
  <c r="N613" i="8"/>
  <c r="O613" i="8" s="1"/>
  <c r="N604" i="8"/>
  <c r="O604" i="8" s="1"/>
  <c r="G108" i="4"/>
  <c r="G109" i="5" s="1"/>
  <c r="H250" i="4"/>
  <c r="I250" i="4" s="1"/>
  <c r="G662" i="8"/>
  <c r="L662" i="8" s="1"/>
  <c r="G563" i="7"/>
  <c r="I563" i="7" s="1"/>
  <c r="G555" i="8"/>
  <c r="L555" i="8" s="1"/>
  <c r="G505" i="7"/>
  <c r="I505" i="7" s="1"/>
  <c r="N572" i="8"/>
  <c r="O572" i="8" s="1"/>
  <c r="N571" i="8"/>
  <c r="O571" i="8" s="1"/>
  <c r="N573" i="8"/>
  <c r="O573" i="8" s="1"/>
  <c r="F202" i="16" s="1"/>
  <c r="H202" i="16" s="1"/>
  <c r="G387" i="4"/>
  <c r="G388" i="5" s="1"/>
  <c r="N694" i="8"/>
  <c r="O694" i="8" s="1"/>
  <c r="F158" i="16" s="1"/>
  <c r="H158" i="16" s="1"/>
  <c r="G15" i="4"/>
  <c r="G16" i="5" s="1"/>
  <c r="I51" i="7"/>
  <c r="I52" i="7" s="1"/>
  <c r="G264" i="4"/>
  <c r="G265" i="5" s="1"/>
  <c r="G22" i="4"/>
  <c r="G23" i="5" s="1"/>
  <c r="N580" i="8"/>
  <c r="O580" i="8" s="1"/>
  <c r="F225" i="16" s="1"/>
  <c r="H225" i="16" s="1"/>
  <c r="G59" i="15"/>
  <c r="I386" i="4"/>
  <c r="I312" i="9"/>
  <c r="G308" i="9" s="1"/>
  <c r="L308" i="9" s="1"/>
  <c r="D56" i="18"/>
  <c r="F56" i="18" s="1"/>
  <c r="G214" i="4"/>
  <c r="G215" i="5" s="1"/>
  <c r="G171" i="7"/>
  <c r="G410" i="4"/>
  <c r="G411" i="5" s="1"/>
  <c r="I175" i="7"/>
  <c r="I176" i="7" s="1"/>
  <c r="G121" i="4"/>
  <c r="G122" i="5" s="1"/>
  <c r="N586" i="8"/>
  <c r="O586" i="8" s="1"/>
  <c r="N505" i="8"/>
  <c r="O505" i="8" s="1"/>
  <c r="F198" i="16"/>
  <c r="H198" i="16" s="1"/>
  <c r="I612" i="7"/>
  <c r="G28" i="15" s="1"/>
  <c r="N442" i="8"/>
  <c r="O442" i="8" s="1"/>
  <c r="N443" i="8"/>
  <c r="O443" i="8" s="1"/>
  <c r="N473" i="8"/>
  <c r="O473" i="8" s="1"/>
  <c r="N474" i="8"/>
  <c r="O474" i="8" s="1"/>
  <c r="N470" i="8"/>
  <c r="O470" i="8" s="1"/>
  <c r="N468" i="8"/>
  <c r="O468" i="8" s="1"/>
  <c r="N349" i="9" s="1"/>
  <c r="O349" i="9" s="1"/>
  <c r="N472" i="8"/>
  <c r="O472" i="8" s="1"/>
  <c r="N469" i="8"/>
  <c r="O469" i="8" s="1"/>
  <c r="N475" i="8"/>
  <c r="O475" i="8" s="1"/>
  <c r="I193" i="7"/>
  <c r="Q414" i="8"/>
  <c r="R414" i="8" s="1"/>
  <c r="Q417" i="8"/>
  <c r="R417" i="8" s="1"/>
  <c r="Q415" i="8"/>
  <c r="R415" i="8" s="1"/>
  <c r="Q413" i="8"/>
  <c r="R413" i="8" s="1"/>
  <c r="Q416" i="8"/>
  <c r="R416" i="8" s="1"/>
  <c r="G221" i="8"/>
  <c r="L221" i="8" s="1"/>
  <c r="G265" i="7"/>
  <c r="I265" i="7" s="1"/>
  <c r="G442" i="9"/>
  <c r="L442" i="9" s="1"/>
  <c r="G724" i="8"/>
  <c r="I724" i="8" s="1"/>
  <c r="Q705" i="8"/>
  <c r="R705" i="8" s="1"/>
  <c r="D170" i="17" s="1"/>
  <c r="F170" i="17" s="1"/>
  <c r="Q706" i="8"/>
  <c r="R706" i="8" s="1"/>
  <c r="D182" i="17" s="1"/>
  <c r="F182" i="17" s="1"/>
  <c r="Q701" i="8"/>
  <c r="R701" i="8" s="1"/>
  <c r="D8" i="18" s="1"/>
  <c r="F8" i="18" s="1"/>
  <c r="Q702" i="8"/>
  <c r="R702" i="8" s="1"/>
  <c r="D19" i="18" s="1"/>
  <c r="F19" i="18" s="1"/>
  <c r="Q704" i="8"/>
  <c r="R704" i="8" s="1"/>
  <c r="D151" i="17" s="1"/>
  <c r="F151" i="17" s="1"/>
  <c r="Q703" i="8"/>
  <c r="R703" i="8" s="1"/>
  <c r="D77" i="17" s="1"/>
  <c r="F77" i="17" s="1"/>
  <c r="G187" i="4"/>
  <c r="G188" i="5" s="1"/>
  <c r="H67" i="15"/>
  <c r="H100" i="4"/>
  <c r="H193" i="4"/>
  <c r="H472" i="4"/>
  <c r="Q679" i="8"/>
  <c r="R679" i="8" s="1"/>
  <c r="Q680" i="8"/>
  <c r="R680" i="8" s="1"/>
  <c r="Q681" i="8"/>
  <c r="R681" i="8" s="1"/>
  <c r="D51" i="17" s="1"/>
  <c r="F51" i="17" s="1"/>
  <c r="Q678" i="8"/>
  <c r="R678" i="8" s="1"/>
  <c r="M176" i="5"/>
  <c r="J176" i="5"/>
  <c r="P176" i="5"/>
  <c r="I176" i="5"/>
  <c r="Q725" i="8"/>
  <c r="R725" i="8" s="1"/>
  <c r="Q724" i="8"/>
  <c r="R724" i="8" s="1"/>
  <c r="Q727" i="8"/>
  <c r="R727" i="8" s="1"/>
  <c r="D49" i="17" s="1"/>
  <c r="F49" i="17" s="1"/>
  <c r="Q723" i="8"/>
  <c r="R723" i="8" s="1"/>
  <c r="Q726" i="8"/>
  <c r="R726" i="8" s="1"/>
  <c r="H44" i="15"/>
  <c r="H159" i="4"/>
  <c r="H345" i="4"/>
  <c r="H438" i="4"/>
  <c r="H66" i="4"/>
  <c r="H252" i="4"/>
  <c r="Q265" i="8"/>
  <c r="R265" i="8" s="1"/>
  <c r="Q266" i="8"/>
  <c r="R266" i="8" s="1"/>
  <c r="Q262" i="8"/>
  <c r="R262" i="8" s="1"/>
  <c r="Q268" i="8"/>
  <c r="R268" i="8" s="1"/>
  <c r="Q267" i="8"/>
  <c r="R267" i="8" s="1"/>
  <c r="Q263" i="8"/>
  <c r="R263" i="8" s="1"/>
  <c r="Q264" i="8"/>
  <c r="R264" i="8" s="1"/>
  <c r="G329" i="9"/>
  <c r="L329" i="9" s="1"/>
  <c r="G449" i="8"/>
  <c r="I449" i="8" s="1"/>
  <c r="I454" i="8" s="1"/>
  <c r="G386" i="8"/>
  <c r="I386" i="8" s="1"/>
  <c r="I391" i="8" s="1"/>
  <c r="G146" i="10"/>
  <c r="L146" i="10" s="1"/>
  <c r="G268" i="9"/>
  <c r="I268" i="9" s="1"/>
  <c r="G291" i="9"/>
  <c r="I291" i="9" s="1"/>
  <c r="G280" i="9"/>
  <c r="I280" i="9" s="1"/>
  <c r="H380" i="5"/>
  <c r="I379" i="4"/>
  <c r="H305" i="4"/>
  <c r="H119" i="4"/>
  <c r="H26" i="4"/>
  <c r="H398" i="4"/>
  <c r="H212" i="4"/>
  <c r="I651" i="7"/>
  <c r="I652" i="7" s="1"/>
  <c r="G645" i="7"/>
  <c r="L645" i="7" s="1"/>
  <c r="G465" i="4"/>
  <c r="G466" i="5" s="1"/>
  <c r="G47" i="15"/>
  <c r="G372" i="4"/>
  <c r="G373" i="5" s="1"/>
  <c r="G93" i="4"/>
  <c r="G94" i="5" s="1"/>
  <c r="G186" i="4"/>
  <c r="G187" i="5" s="1"/>
  <c r="G279" i="4"/>
  <c r="G280" i="5" s="1"/>
  <c r="I214" i="7"/>
  <c r="I215" i="7" s="1"/>
  <c r="G209" i="7"/>
  <c r="G312" i="4"/>
  <c r="G313" i="5" s="1"/>
  <c r="G126" i="4"/>
  <c r="G127" i="5" s="1"/>
  <c r="G405" i="4"/>
  <c r="G406" i="5" s="1"/>
  <c r="G15" i="15"/>
  <c r="G33" i="4"/>
  <c r="G34" i="5" s="1"/>
  <c r="G219" i="4"/>
  <c r="G220" i="5" s="1"/>
  <c r="N172" i="8"/>
  <c r="O172" i="8" s="1"/>
  <c r="N171" i="8"/>
  <c r="O171" i="8" s="1"/>
  <c r="N170" i="8"/>
  <c r="O170" i="8" s="1"/>
  <c r="N166" i="8"/>
  <c r="O166" i="8" s="1"/>
  <c r="N125" i="9" s="1"/>
  <c r="O125" i="9" s="1"/>
  <c r="N168" i="8"/>
  <c r="O168" i="8" s="1"/>
  <c r="N167" i="8"/>
  <c r="O167" i="8" s="1"/>
  <c r="N173" i="8"/>
  <c r="O173" i="8" s="1"/>
  <c r="N169" i="8"/>
  <c r="O169" i="8" s="1"/>
  <c r="G649" i="8"/>
  <c r="L649" i="8" s="1"/>
  <c r="G561" i="7"/>
  <c r="I561" i="7" s="1"/>
  <c r="I175" i="4"/>
  <c r="I385" i="4"/>
  <c r="H386" i="5"/>
  <c r="H454" i="4"/>
  <c r="H268" i="4"/>
  <c r="H82" i="4"/>
  <c r="H60" i="15"/>
  <c r="H361" i="4"/>
  <c r="Q490" i="8"/>
  <c r="R490" i="8" s="1"/>
  <c r="Q491" i="8"/>
  <c r="R491" i="8" s="1"/>
  <c r="Q489" i="8"/>
  <c r="R489" i="8" s="1"/>
  <c r="Q528" i="8"/>
  <c r="R528" i="8" s="1"/>
  <c r="Q529" i="8"/>
  <c r="R529" i="8" s="1"/>
  <c r="D106" i="17" s="1"/>
  <c r="F106" i="17" s="1"/>
  <c r="Q527" i="8"/>
  <c r="R527" i="8" s="1"/>
  <c r="G342" i="9"/>
  <c r="L342" i="9" s="1"/>
  <c r="G404" i="8"/>
  <c r="I404" i="8" s="1"/>
  <c r="I409" i="8" s="1"/>
  <c r="N267" i="8"/>
  <c r="O267" i="8" s="1"/>
  <c r="N264" i="8"/>
  <c r="O264" i="8" s="1"/>
  <c r="N263" i="8"/>
  <c r="O263" i="8" s="1"/>
  <c r="N262" i="8"/>
  <c r="O262" i="8" s="1"/>
  <c r="N268" i="8"/>
  <c r="O268" i="8" s="1"/>
  <c r="N265" i="8"/>
  <c r="O265" i="8" s="1"/>
  <c r="N266" i="8"/>
  <c r="O266" i="8" s="1"/>
  <c r="G35" i="4"/>
  <c r="G36" i="5" s="1"/>
  <c r="G139" i="10"/>
  <c r="L139" i="10" s="1"/>
  <c r="G279" i="9"/>
  <c r="I279" i="9" s="1"/>
  <c r="G290" i="9"/>
  <c r="I290" i="9" s="1"/>
  <c r="G267" i="9"/>
  <c r="I267" i="9" s="1"/>
  <c r="N757" i="8"/>
  <c r="O757" i="8" s="1"/>
  <c r="N756" i="8"/>
  <c r="O756" i="8" s="1"/>
  <c r="N321" i="7"/>
  <c r="O321" i="7" s="1"/>
  <c r="N324" i="7"/>
  <c r="O324" i="7" s="1"/>
  <c r="N323" i="7"/>
  <c r="O323" i="7" s="1"/>
  <c r="N320" i="7"/>
  <c r="O320" i="7" s="1"/>
  <c r="N319" i="7"/>
  <c r="O319" i="7" s="1"/>
  <c r="F32" i="15"/>
  <c r="N322" i="7"/>
  <c r="O322" i="7" s="1"/>
  <c r="N318" i="7"/>
  <c r="O318" i="7" s="1"/>
  <c r="H346" i="4"/>
  <c r="H301" i="4"/>
  <c r="G240" i="9"/>
  <c r="L240" i="9" s="1"/>
  <c r="G317" i="8"/>
  <c r="I317" i="8" s="1"/>
  <c r="I323" i="8" s="1"/>
  <c r="N65" i="8"/>
  <c r="O65" i="8" s="1"/>
  <c r="N63" i="8"/>
  <c r="O63" i="8" s="1"/>
  <c r="N60" i="8"/>
  <c r="O60" i="8" s="1"/>
  <c r="N33" i="9" s="1"/>
  <c r="O33" i="9" s="1"/>
  <c r="N64" i="8"/>
  <c r="O64" i="8" s="1"/>
  <c r="N61" i="8"/>
  <c r="O61" i="8" s="1"/>
  <c r="N62" i="8"/>
  <c r="O62" i="8" s="1"/>
  <c r="N308" i="7"/>
  <c r="O308" i="7" s="1"/>
  <c r="N311" i="7"/>
  <c r="O311" i="7" s="1"/>
  <c r="F106" i="16" s="1"/>
  <c r="H106" i="16" s="1"/>
  <c r="N306" i="7"/>
  <c r="O306" i="7" s="1"/>
  <c r="F50" i="15"/>
  <c r="N307" i="7"/>
  <c r="O307" i="7" s="1"/>
  <c r="N310" i="7"/>
  <c r="O310" i="7" s="1"/>
  <c r="F196" i="16" s="1"/>
  <c r="H196" i="16" s="1"/>
  <c r="N309" i="7"/>
  <c r="O309" i="7" s="1"/>
  <c r="N183" i="8"/>
  <c r="O183" i="8" s="1"/>
  <c r="N182" i="8"/>
  <c r="O182" i="8" s="1"/>
  <c r="N179" i="8"/>
  <c r="O179" i="8" s="1"/>
  <c r="N181" i="8"/>
  <c r="O181" i="8" s="1"/>
  <c r="N180" i="8"/>
  <c r="O180" i="8" s="1"/>
  <c r="N185" i="8"/>
  <c r="O185" i="8" s="1"/>
  <c r="N184" i="8"/>
  <c r="O184" i="8" s="1"/>
  <c r="N153" i="8"/>
  <c r="O153" i="8" s="1"/>
  <c r="N151" i="8"/>
  <c r="O151" i="8" s="1"/>
  <c r="N149" i="8"/>
  <c r="O149" i="8" s="1"/>
  <c r="N120" i="9" s="1"/>
  <c r="O120" i="9" s="1"/>
  <c r="N152" i="8"/>
  <c r="O152" i="8" s="1"/>
  <c r="N154" i="8"/>
  <c r="O154" i="8" s="1"/>
  <c r="N156" i="8"/>
  <c r="O156" i="8" s="1"/>
  <c r="N155" i="8"/>
  <c r="O155" i="8" s="1"/>
  <c r="N150" i="8"/>
  <c r="O150" i="8" s="1"/>
  <c r="Q331" i="8"/>
  <c r="R331" i="8" s="1"/>
  <c r="D54" i="18" s="1"/>
  <c r="F54" i="18" s="1"/>
  <c r="Q330" i="8"/>
  <c r="R330" i="8" s="1"/>
  <c r="Q329" i="8"/>
  <c r="R329" i="8" s="1"/>
  <c r="Q332" i="8"/>
  <c r="R332" i="8" s="1"/>
  <c r="D119" i="17" s="1"/>
  <c r="F119" i="17" s="1"/>
  <c r="Q333" i="8"/>
  <c r="R333" i="8" s="1"/>
  <c r="D118" i="17" s="1"/>
  <c r="F118" i="17" s="1"/>
  <c r="Q327" i="8"/>
  <c r="R327" i="8" s="1"/>
  <c r="Q334" i="8"/>
  <c r="R334" i="8" s="1"/>
  <c r="Q328" i="8"/>
  <c r="R328" i="8" s="1"/>
  <c r="Q224" i="8"/>
  <c r="R224" i="8" s="1"/>
  <c r="Q222" i="8"/>
  <c r="R222" i="8" s="1"/>
  <c r="Q223" i="8"/>
  <c r="R223" i="8" s="1"/>
  <c r="Q120" i="8"/>
  <c r="R120" i="8" s="1"/>
  <c r="Q122" i="8"/>
  <c r="R122" i="8" s="1"/>
  <c r="Q118" i="8"/>
  <c r="R118" i="8" s="1"/>
  <c r="Q121" i="8"/>
  <c r="R121" i="8" s="1"/>
  <c r="Q119" i="8"/>
  <c r="R119" i="8" s="1"/>
  <c r="Q399" i="8"/>
  <c r="R399" i="8" s="1"/>
  <c r="Q397" i="8"/>
  <c r="R397" i="8" s="1"/>
  <c r="Q395" i="8"/>
  <c r="R395" i="8" s="1"/>
  <c r="Q398" i="8"/>
  <c r="R398" i="8" s="1"/>
  <c r="Q396" i="8"/>
  <c r="R396" i="8" s="1"/>
  <c r="Q379" i="8"/>
  <c r="R379" i="8" s="1"/>
  <c r="Q380" i="8"/>
  <c r="R380" i="8" s="1"/>
  <c r="Q377" i="8"/>
  <c r="R377" i="8" s="1"/>
  <c r="Q381" i="8"/>
  <c r="R381" i="8" s="1"/>
  <c r="Q378" i="8"/>
  <c r="R378" i="8" s="1"/>
  <c r="P200" i="5"/>
  <c r="R200" i="5" s="1"/>
  <c r="M200" i="5"/>
  <c r="O200" i="5" s="1"/>
  <c r="J200" i="5"/>
  <c r="N536" i="8"/>
  <c r="O536" i="8" s="1"/>
  <c r="F86" i="16" s="1"/>
  <c r="H86" i="16" s="1"/>
  <c r="N535" i="8"/>
  <c r="O535" i="8" s="1"/>
  <c r="N534" i="8"/>
  <c r="O534" i="8" s="1"/>
  <c r="N762" i="8"/>
  <c r="O762" i="8" s="1"/>
  <c r="F73" i="16" s="1"/>
  <c r="H73" i="16" s="1"/>
  <c r="N768" i="8"/>
  <c r="O768" i="8" s="1"/>
  <c r="N767" i="8"/>
  <c r="O767" i="8" s="1"/>
  <c r="N769" i="8"/>
  <c r="O769" i="8" s="1"/>
  <c r="N766" i="8"/>
  <c r="O766" i="8" s="1"/>
  <c r="F212" i="16" s="1"/>
  <c r="H212" i="16" s="1"/>
  <c r="N764" i="8"/>
  <c r="O764" i="8" s="1"/>
  <c r="N763" i="8"/>
  <c r="O763" i="8" s="1"/>
  <c r="N765" i="8"/>
  <c r="O765" i="8" s="1"/>
  <c r="I199" i="4"/>
  <c r="Q196" i="8"/>
  <c r="R196" i="8" s="1"/>
  <c r="Q197" i="8"/>
  <c r="R197" i="8" s="1"/>
  <c r="Q194" i="8"/>
  <c r="R194" i="8" s="1"/>
  <c r="Q192" i="8"/>
  <c r="R192" i="8" s="1"/>
  <c r="Q195" i="8"/>
  <c r="R195" i="8" s="1"/>
  <c r="Q190" i="8"/>
  <c r="R190" i="8" s="1"/>
  <c r="Q135" i="9" s="1"/>
  <c r="R135" i="9" s="1"/>
  <c r="Q191" i="8"/>
  <c r="R191" i="8" s="1"/>
  <c r="Q193" i="8"/>
  <c r="R193" i="8" s="1"/>
  <c r="N458" i="8"/>
  <c r="O458" i="8" s="1"/>
  <c r="N460" i="8"/>
  <c r="O460" i="8" s="1"/>
  <c r="N459" i="8"/>
  <c r="O459" i="8" s="1"/>
  <c r="N461" i="8"/>
  <c r="O461" i="8" s="1"/>
  <c r="N462" i="8"/>
  <c r="O462" i="8" s="1"/>
  <c r="N463" i="8"/>
  <c r="O463" i="8" s="1"/>
  <c r="G207" i="9"/>
  <c r="L207" i="9" s="1"/>
  <c r="G289" i="8"/>
  <c r="I289" i="8" s="1"/>
  <c r="N89" i="8"/>
  <c r="O89" i="8" s="1"/>
  <c r="N85" i="8"/>
  <c r="O85" i="8" s="1"/>
  <c r="N88" i="8"/>
  <c r="O88" i="8" s="1"/>
  <c r="N86" i="8"/>
  <c r="O86" i="8" s="1"/>
  <c r="N84" i="8"/>
  <c r="O84" i="8" s="1"/>
  <c r="N82" i="8"/>
  <c r="O82" i="8" s="1"/>
  <c r="N43" i="9" s="1"/>
  <c r="O43" i="9" s="1"/>
  <c r="Q312" i="8"/>
  <c r="R312" i="8" s="1"/>
  <c r="Q307" i="8"/>
  <c r="R307" i="8" s="1"/>
  <c r="Q309" i="8"/>
  <c r="R309" i="8" s="1"/>
  <c r="Q306" i="8"/>
  <c r="R306" i="8" s="1"/>
  <c r="Q310" i="8"/>
  <c r="R310" i="8" s="1"/>
  <c r="Q308" i="8"/>
  <c r="R308" i="8" s="1"/>
  <c r="Q311" i="8"/>
  <c r="R311" i="8" s="1"/>
  <c r="Q184" i="8"/>
  <c r="R184" i="8" s="1"/>
  <c r="Q180" i="8"/>
  <c r="R180" i="8" s="1"/>
  <c r="Q182" i="8"/>
  <c r="R182" i="8" s="1"/>
  <c r="Q185" i="8"/>
  <c r="R185" i="8" s="1"/>
  <c r="Q183" i="8"/>
  <c r="R183" i="8" s="1"/>
  <c r="Q179" i="8"/>
  <c r="R179" i="8" s="1"/>
  <c r="Q181" i="8"/>
  <c r="R181" i="8" s="1"/>
  <c r="Q178" i="8"/>
  <c r="R178" i="8" s="1"/>
  <c r="Q130" i="9" s="1"/>
  <c r="R130" i="9" s="1"/>
  <c r="Q231" i="8"/>
  <c r="R231" i="8" s="1"/>
  <c r="Q229" i="8"/>
  <c r="R229" i="8" s="1"/>
  <c r="Q167" i="9" s="1"/>
  <c r="R167" i="9" s="1"/>
  <c r="Q233" i="8"/>
  <c r="R233" i="8" s="1"/>
  <c r="Q232" i="8"/>
  <c r="R232" i="8" s="1"/>
  <c r="Q230" i="8"/>
  <c r="R230" i="8" s="1"/>
  <c r="Q172" i="9" s="1"/>
  <c r="R172" i="9" s="1"/>
  <c r="Q483" i="8"/>
  <c r="R483" i="8" s="1"/>
  <c r="Q481" i="8"/>
  <c r="R481" i="8" s="1"/>
  <c r="Q480" i="8"/>
  <c r="R480" i="8" s="1"/>
  <c r="Q484" i="8"/>
  <c r="R484" i="8" s="1"/>
  <c r="Q482" i="8"/>
  <c r="R482" i="8" s="1"/>
  <c r="Q594" i="8"/>
  <c r="R594" i="8" s="1"/>
  <c r="Q595" i="8"/>
  <c r="R595" i="8" s="1"/>
  <c r="Q592" i="8"/>
  <c r="R592" i="8" s="1"/>
  <c r="Q593" i="8"/>
  <c r="R593" i="8" s="1"/>
  <c r="N75" i="8"/>
  <c r="O75" i="8" s="1"/>
  <c r="Q155" i="8"/>
  <c r="R155" i="8" s="1"/>
  <c r="Q153" i="8"/>
  <c r="R153" i="8" s="1"/>
  <c r="Q151" i="8"/>
  <c r="R151" i="8" s="1"/>
  <c r="Q149" i="8"/>
  <c r="R149" i="8" s="1"/>
  <c r="Q120" i="9" s="1"/>
  <c r="R120" i="9" s="1"/>
  <c r="Q152" i="8"/>
  <c r="R152" i="8" s="1"/>
  <c r="Q154" i="8"/>
  <c r="R154" i="8" s="1"/>
  <c r="Q156" i="8"/>
  <c r="R156" i="8" s="1"/>
  <c r="Q150" i="8"/>
  <c r="R150" i="8" s="1"/>
  <c r="Q372" i="8"/>
  <c r="R372" i="8" s="1"/>
  <c r="Q370" i="8"/>
  <c r="R370" i="8" s="1"/>
  <c r="Q368" i="8"/>
  <c r="R368" i="8" s="1"/>
  <c r="Q371" i="8"/>
  <c r="R371" i="8" s="1"/>
  <c r="Q369" i="8"/>
  <c r="R369" i="8" s="1"/>
  <c r="Q74" i="8"/>
  <c r="R74" i="8" s="1"/>
  <c r="Q75" i="8"/>
  <c r="R75" i="8" s="1"/>
  <c r="Q73" i="8"/>
  <c r="R73" i="8" s="1"/>
  <c r="Q77" i="8"/>
  <c r="R77" i="8" s="1"/>
  <c r="Q76" i="8"/>
  <c r="R76" i="8" s="1"/>
  <c r="Q71" i="8"/>
  <c r="R71" i="8" s="1"/>
  <c r="Q72" i="8"/>
  <c r="R72" i="8" s="1"/>
  <c r="Q70" i="8"/>
  <c r="R70" i="8" s="1"/>
  <c r="Q38" i="9" s="1"/>
  <c r="R38" i="9" s="1"/>
  <c r="Q215" i="8"/>
  <c r="R215" i="8" s="1"/>
  <c r="Q217" i="8"/>
  <c r="R217" i="8" s="1"/>
  <c r="Q214" i="8"/>
  <c r="R214" i="8" s="1"/>
  <c r="Q216" i="8"/>
  <c r="R216" i="8" s="1"/>
  <c r="Q665" i="8"/>
  <c r="R665" i="8" s="1"/>
  <c r="D85" i="17" s="1"/>
  <c r="F85" i="17" s="1"/>
  <c r="Q663" i="8"/>
  <c r="R663" i="8" s="1"/>
  <c r="Q664" i="8"/>
  <c r="R664" i="8" s="1"/>
  <c r="N280" i="7"/>
  <c r="O280" i="7" s="1"/>
  <c r="F43" i="15"/>
  <c r="G382" i="9"/>
  <c r="L382" i="9" s="1"/>
  <c r="G678" i="8"/>
  <c r="I678" i="8" s="1"/>
  <c r="I682" i="8" s="1"/>
  <c r="G656" i="8"/>
  <c r="I656" i="8" s="1"/>
  <c r="I659" i="8" s="1"/>
  <c r="I304" i="4"/>
  <c r="H305" i="5"/>
  <c r="N250" i="8"/>
  <c r="O250" i="8" s="1"/>
  <c r="N182" i="9" s="1"/>
  <c r="O182" i="9" s="1"/>
  <c r="G57" i="9"/>
  <c r="L57" i="9" s="1"/>
  <c r="G127" i="8"/>
  <c r="I127" i="8" s="1"/>
  <c r="I134" i="8" s="1"/>
  <c r="G480" i="8"/>
  <c r="I480" i="8" s="1"/>
  <c r="I485" i="8" s="1"/>
  <c r="G516" i="8"/>
  <c r="I516" i="8" s="1"/>
  <c r="I523" i="8" s="1"/>
  <c r="G118" i="8"/>
  <c r="I118" i="8" s="1"/>
  <c r="I123" i="8" s="1"/>
  <c r="G228" i="8"/>
  <c r="L228" i="8" s="1"/>
  <c r="G266" i="7"/>
  <c r="I266" i="7" s="1"/>
  <c r="Q644" i="8"/>
  <c r="R644" i="8" s="1"/>
  <c r="Q645" i="8"/>
  <c r="R645" i="8" s="1"/>
  <c r="Q536" i="8"/>
  <c r="R536" i="8" s="1"/>
  <c r="D108" i="17" s="1"/>
  <c r="F108" i="17" s="1"/>
  <c r="Q534" i="8"/>
  <c r="R534" i="8" s="1"/>
  <c r="Q535" i="8"/>
  <c r="R535" i="8" s="1"/>
  <c r="G200" i="9"/>
  <c r="L200" i="9" s="1"/>
  <c r="G288" i="8"/>
  <c r="I288" i="8" s="1"/>
  <c r="Q717" i="8"/>
  <c r="R717" i="8" s="1"/>
  <c r="Q715" i="8"/>
  <c r="R715" i="8" s="1"/>
  <c r="Q712" i="8"/>
  <c r="R712" i="8" s="1"/>
  <c r="Q713" i="8"/>
  <c r="R713" i="8" s="1"/>
  <c r="Q718" i="8"/>
  <c r="R718" i="8" s="1"/>
  <c r="Q711" i="8"/>
  <c r="R711" i="8" s="1"/>
  <c r="Q430" i="9" s="1"/>
  <c r="R430" i="9" s="1"/>
  <c r="Q714" i="8"/>
  <c r="R714" i="8" s="1"/>
  <c r="Q716" i="8"/>
  <c r="R716" i="8" s="1"/>
  <c r="Q300" i="8"/>
  <c r="R300" i="8" s="1"/>
  <c r="Q299" i="8"/>
  <c r="R299" i="8" s="1"/>
  <c r="Q301" i="8"/>
  <c r="R301" i="8" s="1"/>
  <c r="N255" i="8"/>
  <c r="O255" i="8" s="1"/>
  <c r="Q673" i="8"/>
  <c r="R673" i="8" s="1"/>
  <c r="D44" i="17" s="1"/>
  <c r="F44" i="17" s="1"/>
  <c r="Q671" i="8"/>
  <c r="R671" i="8" s="1"/>
  <c r="Q672" i="8"/>
  <c r="R672" i="8" s="1"/>
  <c r="Q670" i="8"/>
  <c r="R670" i="8" s="1"/>
  <c r="Q83" i="8"/>
  <c r="R83" i="8" s="1"/>
  <c r="Q87" i="8"/>
  <c r="R87" i="8" s="1"/>
  <c r="Q86" i="8"/>
  <c r="R86" i="8" s="1"/>
  <c r="Q88" i="8"/>
  <c r="R88" i="8" s="1"/>
  <c r="Q84" i="8"/>
  <c r="R84" i="8" s="1"/>
  <c r="Q89" i="8"/>
  <c r="R89" i="8" s="1"/>
  <c r="Q82" i="8"/>
  <c r="R82" i="8" s="1"/>
  <c r="Q43" i="9" s="1"/>
  <c r="R43" i="9" s="1"/>
  <c r="Q85" i="8"/>
  <c r="R85" i="8" s="1"/>
  <c r="Q273" i="8"/>
  <c r="R273" i="8" s="1"/>
  <c r="Q275" i="8"/>
  <c r="R275" i="8" s="1"/>
  <c r="Q274" i="8"/>
  <c r="R274" i="8" s="1"/>
  <c r="Q548" i="8"/>
  <c r="R548" i="8" s="1"/>
  <c r="Q549" i="8"/>
  <c r="R549" i="8" s="1"/>
  <c r="Q551" i="8"/>
  <c r="R551" i="8" s="1"/>
  <c r="D194" i="17" s="1"/>
  <c r="F194" i="17" s="1"/>
  <c r="Q550" i="8"/>
  <c r="R550" i="8" s="1"/>
  <c r="D80" i="17" s="1"/>
  <c r="F80" i="17" s="1"/>
  <c r="Q320" i="8"/>
  <c r="R320" i="8" s="1"/>
  <c r="Q322" i="8"/>
  <c r="R322" i="8" s="1"/>
  <c r="D68" i="17" s="1"/>
  <c r="F68" i="17" s="1"/>
  <c r="Q321" i="8"/>
  <c r="R321" i="8" s="1"/>
  <c r="Q319" i="8"/>
  <c r="R319" i="8" s="1"/>
  <c r="Q318" i="8"/>
  <c r="R318" i="8" s="1"/>
  <c r="Q317" i="8"/>
  <c r="R317" i="8" s="1"/>
  <c r="Q386" i="8"/>
  <c r="R386" i="8" s="1"/>
  <c r="Q389" i="8"/>
  <c r="R389" i="8" s="1"/>
  <c r="Q388" i="8"/>
  <c r="R388" i="8" s="1"/>
  <c r="Q387" i="8"/>
  <c r="R387" i="8" s="1"/>
  <c r="Q390" i="8"/>
  <c r="R390" i="8" s="1"/>
  <c r="I13" i="4"/>
  <c r="H14" i="5"/>
  <c r="N386" i="8"/>
  <c r="O386" i="8" s="1"/>
  <c r="N390" i="8"/>
  <c r="O390" i="8" s="1"/>
  <c r="N389" i="8"/>
  <c r="O389" i="8" s="1"/>
  <c r="N388" i="8"/>
  <c r="O388" i="8" s="1"/>
  <c r="N387" i="8"/>
  <c r="O387" i="8" s="1"/>
  <c r="N355" i="7"/>
  <c r="O355" i="7" s="1"/>
  <c r="N352" i="7"/>
  <c r="O352" i="7" s="1"/>
  <c r="N356" i="7"/>
  <c r="O356" i="7" s="1"/>
  <c r="F160" i="16" s="1"/>
  <c r="H160" i="16" s="1"/>
  <c r="N354" i="7"/>
  <c r="O354" i="7" s="1"/>
  <c r="F22" i="15"/>
  <c r="N357" i="7"/>
  <c r="O357" i="7" s="1"/>
  <c r="F52" i="16" s="1"/>
  <c r="H52" i="16" s="1"/>
  <c r="N353" i="7"/>
  <c r="O353" i="7" s="1"/>
  <c r="N480" i="7"/>
  <c r="O480" i="7" s="1"/>
  <c r="F13" i="15"/>
  <c r="N482" i="7"/>
  <c r="O482" i="7" s="1"/>
  <c r="N485" i="7"/>
  <c r="O485" i="7" s="1"/>
  <c r="F49" i="16" s="1"/>
  <c r="H49" i="16" s="1"/>
  <c r="N484" i="7"/>
  <c r="O484" i="7" s="1"/>
  <c r="F34" i="16" s="1"/>
  <c r="H34" i="16" s="1"/>
  <c r="N481" i="7"/>
  <c r="O481" i="7" s="1"/>
  <c r="N483" i="7"/>
  <c r="O483" i="7" s="1"/>
  <c r="F105" i="16" s="1"/>
  <c r="H105" i="16" s="1"/>
  <c r="Q12" i="8"/>
  <c r="R12" i="8" s="1"/>
  <c r="Q13" i="8"/>
  <c r="R13" i="8" s="1"/>
  <c r="Q10" i="8"/>
  <c r="R10" i="8" s="1"/>
  <c r="Q9" i="8"/>
  <c r="R9" i="8" s="1"/>
  <c r="Q8" i="8"/>
  <c r="R8" i="8" s="1"/>
  <c r="Q8" i="9" s="1"/>
  <c r="R8" i="9" s="1"/>
  <c r="Q11" i="8"/>
  <c r="R11" i="8" s="1"/>
  <c r="Q31" i="8"/>
  <c r="R31" i="8" s="1"/>
  <c r="Q32" i="8"/>
  <c r="R32" i="8" s="1"/>
  <c r="Q33" i="8"/>
  <c r="R33" i="8" s="1"/>
  <c r="Q29" i="8"/>
  <c r="R29" i="8" s="1"/>
  <c r="D27" i="18" s="1"/>
  <c r="F27" i="18" s="1"/>
  <c r="Q28" i="8"/>
  <c r="R28" i="8" s="1"/>
  <c r="Q18" i="9" s="1"/>
  <c r="R18" i="9" s="1"/>
  <c r="Q30" i="8"/>
  <c r="R30" i="8" s="1"/>
  <c r="D39" i="18" s="1"/>
  <c r="F39" i="18" s="1"/>
  <c r="N203" i="8"/>
  <c r="O203" i="8" s="1"/>
  <c r="N330" i="8"/>
  <c r="O330" i="8" s="1"/>
  <c r="N327" i="8"/>
  <c r="O327" i="8" s="1"/>
  <c r="N334" i="8"/>
  <c r="O334" i="8" s="1"/>
  <c r="N332" i="8"/>
  <c r="O332" i="8" s="1"/>
  <c r="F227" i="16" s="1"/>
  <c r="H227" i="16" s="1"/>
  <c r="N328" i="8"/>
  <c r="O328" i="8" s="1"/>
  <c r="N329" i="8"/>
  <c r="O329" i="8" s="1"/>
  <c r="N331" i="8"/>
  <c r="O331" i="8" s="1"/>
  <c r="F232" i="16" s="1"/>
  <c r="H232" i="16" s="1"/>
  <c r="N333" i="8"/>
  <c r="O333" i="8" s="1"/>
  <c r="F239" i="16" s="1"/>
  <c r="H239" i="16" s="1"/>
  <c r="N87" i="8"/>
  <c r="O87" i="8" s="1"/>
  <c r="N256" i="8"/>
  <c r="O256" i="8" s="1"/>
  <c r="Q651" i="8"/>
  <c r="R651" i="8" s="1"/>
  <c r="Q650" i="8"/>
  <c r="R650" i="8" s="1"/>
  <c r="D101" i="17"/>
  <c r="F101" i="17" s="1"/>
  <c r="N202" i="8"/>
  <c r="O202" i="8" s="1"/>
  <c r="N140" i="9" s="1"/>
  <c r="O140" i="9" s="1"/>
  <c r="N397" i="8"/>
  <c r="O397" i="8" s="1"/>
  <c r="N395" i="8"/>
  <c r="O395" i="8" s="1"/>
  <c r="N396" i="8"/>
  <c r="O396" i="8" s="1"/>
  <c r="N399" i="8"/>
  <c r="O399" i="8" s="1"/>
  <c r="N398" i="8"/>
  <c r="O398" i="8" s="1"/>
  <c r="G526" i="8"/>
  <c r="L526" i="8" s="1"/>
  <c r="G501" i="7"/>
  <c r="I501" i="7" s="1"/>
  <c r="N663" i="8"/>
  <c r="O663" i="8" s="1"/>
  <c r="N665" i="8"/>
  <c r="O665" i="8" s="1"/>
  <c r="F192" i="16" s="1"/>
  <c r="H192" i="16" s="1"/>
  <c r="N664" i="8"/>
  <c r="O664" i="8" s="1"/>
  <c r="N70" i="8"/>
  <c r="O70" i="8" s="1"/>
  <c r="N38" i="9" s="1"/>
  <c r="O38" i="9" s="1"/>
  <c r="Q433" i="8"/>
  <c r="R433" i="8" s="1"/>
  <c r="Q434" i="8"/>
  <c r="R434" i="8" s="1"/>
  <c r="Q432" i="8"/>
  <c r="R432" i="8" s="1"/>
  <c r="Q431" i="8"/>
  <c r="R431" i="8" s="1"/>
  <c r="Q435" i="8"/>
  <c r="R435" i="8" s="1"/>
  <c r="Q52" i="8"/>
  <c r="R52" i="8" s="1"/>
  <c r="Q55" i="8"/>
  <c r="R55" i="8" s="1"/>
  <c r="Q50" i="8"/>
  <c r="R50" i="8" s="1"/>
  <c r="Q28" i="9" s="1"/>
  <c r="R28" i="9" s="1"/>
  <c r="Q54" i="8"/>
  <c r="R54" i="8" s="1"/>
  <c r="Q53" i="8"/>
  <c r="R53" i="8" s="1"/>
  <c r="Q51" i="8"/>
  <c r="R51" i="8" s="1"/>
  <c r="N252" i="8"/>
  <c r="O252" i="8" s="1"/>
  <c r="N379" i="8"/>
  <c r="O379" i="8" s="1"/>
  <c r="N380" i="8"/>
  <c r="O380" i="8" s="1"/>
  <c r="N378" i="8"/>
  <c r="O378" i="8" s="1"/>
  <c r="N377" i="8"/>
  <c r="O377" i="8" s="1"/>
  <c r="N381" i="8"/>
  <c r="O381" i="8" s="1"/>
  <c r="G584" i="8"/>
  <c r="L584" i="8" s="1"/>
  <c r="G509" i="7"/>
  <c r="I509" i="7" s="1"/>
  <c r="N178" i="8"/>
  <c r="O178" i="8" s="1"/>
  <c r="N130" i="9" s="1"/>
  <c r="O130" i="9" s="1"/>
  <c r="N550" i="8"/>
  <c r="O550" i="8" s="1"/>
  <c r="F172" i="16" s="1"/>
  <c r="H172" i="16" s="1"/>
  <c r="N551" i="8"/>
  <c r="O551" i="8" s="1"/>
  <c r="F216" i="16" s="1"/>
  <c r="H216" i="16" s="1"/>
  <c r="N549" i="8"/>
  <c r="O549" i="8" s="1"/>
  <c r="N548" i="8"/>
  <c r="O548" i="8" s="1"/>
  <c r="P212" i="5"/>
  <c r="R212" i="5" s="1"/>
  <c r="M212" i="5"/>
  <c r="O212" i="5" s="1"/>
  <c r="J212" i="5"/>
  <c r="M15" i="5"/>
  <c r="O15" i="5" s="1"/>
  <c r="J15" i="5"/>
  <c r="P15" i="5"/>
  <c r="R15" i="5" s="1"/>
  <c r="I60" i="7"/>
  <c r="N251" i="8"/>
  <c r="O251" i="8" s="1"/>
  <c r="N257" i="8"/>
  <c r="O257" i="8" s="1"/>
  <c r="G213" i="8"/>
  <c r="L213" i="8" s="1"/>
  <c r="G264" i="7"/>
  <c r="I264" i="7" s="1"/>
  <c r="N344" i="9"/>
  <c r="O344" i="9" s="1"/>
  <c r="F175" i="16" s="1"/>
  <c r="H175" i="16" s="1"/>
  <c r="N343" i="9"/>
  <c r="O343" i="9" s="1"/>
  <c r="M119" i="5"/>
  <c r="O119" i="5" s="1"/>
  <c r="P119" i="5"/>
  <c r="R119" i="5" s="1"/>
  <c r="J119" i="5"/>
  <c r="N650" i="8"/>
  <c r="O650" i="8" s="1"/>
  <c r="N651" i="8"/>
  <c r="O651" i="8" s="1"/>
  <c r="N77" i="8"/>
  <c r="O77" i="8" s="1"/>
  <c r="F103" i="16"/>
  <c r="H103" i="16" s="1"/>
  <c r="Q474" i="8"/>
  <c r="R474" i="8" s="1"/>
  <c r="Q471" i="8"/>
  <c r="R471" i="8" s="1"/>
  <c r="Q473" i="8"/>
  <c r="R473" i="8" s="1"/>
  <c r="Q472" i="8"/>
  <c r="R472" i="8" s="1"/>
  <c r="Q470" i="8"/>
  <c r="R470" i="8" s="1"/>
  <c r="Q468" i="8"/>
  <c r="R468" i="8" s="1"/>
  <c r="Q349" i="9" s="1"/>
  <c r="R349" i="9" s="1"/>
  <c r="Q469" i="8"/>
  <c r="R469" i="8" s="1"/>
  <c r="Q475" i="8"/>
  <c r="R475" i="8" s="1"/>
  <c r="Q244" i="8"/>
  <c r="R244" i="8" s="1"/>
  <c r="Q243" i="8"/>
  <c r="R243" i="8" s="1"/>
  <c r="Q245" i="8"/>
  <c r="R245" i="8" s="1"/>
  <c r="Q241" i="8"/>
  <c r="R241" i="8" s="1"/>
  <c r="Q239" i="8"/>
  <c r="R239" i="8" s="1"/>
  <c r="Q240" i="8"/>
  <c r="R240" i="8" s="1"/>
  <c r="Q242" i="8"/>
  <c r="R242" i="8" s="1"/>
  <c r="Q238" i="8"/>
  <c r="R238" i="8" s="1"/>
  <c r="Q177" i="9" s="1"/>
  <c r="R177" i="9" s="1"/>
  <c r="Q732" i="8"/>
  <c r="R732" i="8" s="1"/>
  <c r="Q734" i="8"/>
  <c r="R734" i="8" s="1"/>
  <c r="D197" i="17" s="1"/>
  <c r="F197" i="17" s="1"/>
  <c r="Q735" i="8"/>
  <c r="R735" i="8" s="1"/>
  <c r="D79" i="17" s="1"/>
  <c r="F79" i="17" s="1"/>
  <c r="Q733" i="8"/>
  <c r="R733" i="8" s="1"/>
  <c r="Q22" i="8"/>
  <c r="R22" i="8" s="1"/>
  <c r="Q20" i="8"/>
  <c r="R20" i="8" s="1"/>
  <c r="D43" i="18" s="1"/>
  <c r="F43" i="18" s="1"/>
  <c r="Q23" i="8"/>
  <c r="R23" i="8" s="1"/>
  <c r="Q21" i="8"/>
  <c r="R21" i="8" s="1"/>
  <c r="Q18" i="8"/>
  <c r="R18" i="8" s="1"/>
  <c r="Q13" i="9" s="1"/>
  <c r="R13" i="9" s="1"/>
  <c r="Q19" i="8"/>
  <c r="R19" i="8" s="1"/>
  <c r="D31" i="18" s="1"/>
  <c r="F31" i="18" s="1"/>
  <c r="Q342" i="8"/>
  <c r="R342" i="8" s="1"/>
  <c r="Q344" i="8"/>
  <c r="R344" i="8" s="1"/>
  <c r="Q345" i="8"/>
  <c r="R345" i="8" s="1"/>
  <c r="Q341" i="8"/>
  <c r="R341" i="8" s="1"/>
  <c r="Q339" i="8"/>
  <c r="R339" i="8" s="1"/>
  <c r="Q343" i="8"/>
  <c r="R343" i="8" s="1"/>
  <c r="Q340" i="8"/>
  <c r="R340" i="8" s="1"/>
  <c r="Q443" i="8"/>
  <c r="R443" i="8" s="1"/>
  <c r="Q440" i="8"/>
  <c r="R440" i="8" s="1"/>
  <c r="Q444" i="8"/>
  <c r="R444" i="8" s="1"/>
  <c r="Q441" i="8"/>
  <c r="R441" i="8" s="1"/>
  <c r="Q442" i="8"/>
  <c r="R442" i="8" s="1"/>
  <c r="Q64" i="8"/>
  <c r="R64" i="8" s="1"/>
  <c r="Q62" i="8"/>
  <c r="R62" i="8" s="1"/>
  <c r="Q60" i="8"/>
  <c r="R60" i="8" s="1"/>
  <c r="Q33" i="9" s="1"/>
  <c r="R33" i="9" s="1"/>
  <c r="Q63" i="8"/>
  <c r="R63" i="8" s="1"/>
  <c r="Q61" i="8"/>
  <c r="R61" i="8" s="1"/>
  <c r="Q65" i="8"/>
  <c r="R65" i="8" s="1"/>
  <c r="Q746" i="8"/>
  <c r="R746" i="8" s="1"/>
  <c r="D154" i="17" s="1"/>
  <c r="F154" i="17" s="1"/>
  <c r="Q740" i="8"/>
  <c r="R740" i="8" s="1"/>
  <c r="D67" i="17" s="1"/>
  <c r="F67" i="17" s="1"/>
  <c r="Q744" i="8"/>
  <c r="R744" i="8" s="1"/>
  <c r="Q742" i="8"/>
  <c r="R742" i="8" s="1"/>
  <c r="Q743" i="8"/>
  <c r="R743" i="8" s="1"/>
  <c r="Q750" i="8"/>
  <c r="R750" i="8" s="1"/>
  <c r="Q747" i="8"/>
  <c r="R747" i="8" s="1"/>
  <c r="Q745" i="8"/>
  <c r="R745" i="8" s="1"/>
  <c r="Q748" i="8"/>
  <c r="R748" i="8" s="1"/>
  <c r="Q751" i="8"/>
  <c r="R751" i="8" s="1"/>
  <c r="Q749" i="8"/>
  <c r="R749" i="8" s="1"/>
  <c r="Q741" i="8"/>
  <c r="R741" i="8" s="1"/>
  <c r="D127" i="17" s="1"/>
  <c r="F127" i="17" s="1"/>
  <c r="P108" i="5"/>
  <c r="R108" i="5" s="1"/>
  <c r="M108" i="5"/>
  <c r="O108" i="5" s="1"/>
  <c r="J108" i="5"/>
  <c r="I25" i="4"/>
  <c r="I397" i="4"/>
  <c r="N449" i="8"/>
  <c r="O449" i="8" s="1"/>
  <c r="N453" i="8"/>
  <c r="O453" i="8" s="1"/>
  <c r="N451" i="8"/>
  <c r="O451" i="8" s="1"/>
  <c r="N452" i="8"/>
  <c r="O452" i="8" s="1"/>
  <c r="N450" i="8"/>
  <c r="O450" i="8" s="1"/>
  <c r="N412" i="7"/>
  <c r="O412" i="7" s="1"/>
  <c r="F80" i="16" s="1"/>
  <c r="H80" i="16" s="1"/>
  <c r="N411" i="7"/>
  <c r="O411" i="7" s="1"/>
  <c r="N242" i="8" s="1"/>
  <c r="O242" i="8" s="1"/>
  <c r="N409" i="7"/>
  <c r="O409" i="7" s="1"/>
  <c r="N410" i="7"/>
  <c r="O410" i="7" s="1"/>
  <c r="N408" i="7"/>
  <c r="O408" i="7" s="1"/>
  <c r="N128" i="8" s="1"/>
  <c r="O128" i="8" s="1"/>
  <c r="N415" i="7"/>
  <c r="O415" i="7" s="1"/>
  <c r="N413" i="7"/>
  <c r="O413" i="7" s="1"/>
  <c r="F36" i="15"/>
  <c r="N416" i="7"/>
  <c r="O416" i="7" s="1"/>
  <c r="N414" i="7"/>
  <c r="O414" i="7" s="1"/>
  <c r="G273" i="4"/>
  <c r="G274" i="5" s="1"/>
  <c r="N299" i="7"/>
  <c r="O299" i="7" s="1"/>
  <c r="F70" i="16" s="1"/>
  <c r="H70" i="16" s="1"/>
  <c r="N297" i="7"/>
  <c r="O297" i="7" s="1"/>
  <c r="F31" i="15"/>
  <c r="N54" i="8"/>
  <c r="O54" i="8" s="1"/>
  <c r="N52" i="8"/>
  <c r="O52" i="8" s="1"/>
  <c r="N50" i="8"/>
  <c r="O50" i="8" s="1"/>
  <c r="N28" i="9" s="1"/>
  <c r="O28" i="9" s="1"/>
  <c r="N51" i="8"/>
  <c r="O51" i="8" s="1"/>
  <c r="N53" i="8"/>
  <c r="O53" i="8" s="1"/>
  <c r="N55" i="8"/>
  <c r="O55" i="8" s="1"/>
  <c r="I34" i="7"/>
  <c r="I35" i="7" s="1"/>
  <c r="G29" i="7"/>
  <c r="G12" i="4"/>
  <c r="G13" i="5" s="1"/>
  <c r="G23" i="15"/>
  <c r="G291" i="4"/>
  <c r="G292" i="5" s="1"/>
  <c r="G384" i="4"/>
  <c r="G385" i="5" s="1"/>
  <c r="G198" i="4"/>
  <c r="G199" i="5" s="1"/>
  <c r="N644" i="8"/>
  <c r="O644" i="8" s="1"/>
  <c r="N645" i="8"/>
  <c r="O645" i="8" s="1"/>
  <c r="N72" i="8"/>
  <c r="O72" i="8" s="1"/>
  <c r="Q452" i="8"/>
  <c r="R452" i="8" s="1"/>
  <c r="Q449" i="8"/>
  <c r="R449" i="8" s="1"/>
  <c r="Q450" i="8"/>
  <c r="R450" i="8" s="1"/>
  <c r="Q453" i="8"/>
  <c r="R453" i="8" s="1"/>
  <c r="Q451" i="8"/>
  <c r="R451" i="8" s="1"/>
  <c r="G488" i="8"/>
  <c r="L488" i="8" s="1"/>
  <c r="G425" i="7"/>
  <c r="I425" i="7" s="1"/>
  <c r="I426" i="7" s="1"/>
  <c r="D55" i="18"/>
  <c r="F55" i="18" s="1"/>
  <c r="Q206" i="8"/>
  <c r="R206" i="8" s="1"/>
  <c r="Q207" i="8"/>
  <c r="R207" i="8" s="1"/>
  <c r="Q202" i="8"/>
  <c r="R202" i="8" s="1"/>
  <c r="Q140" i="9" s="1"/>
  <c r="R140" i="9" s="1"/>
  <c r="Q205" i="8"/>
  <c r="R205" i="8" s="1"/>
  <c r="Q208" i="8"/>
  <c r="R208" i="8" s="1"/>
  <c r="Q204" i="8"/>
  <c r="R204" i="8" s="1"/>
  <c r="Q203" i="8"/>
  <c r="R203" i="8" s="1"/>
  <c r="Q209" i="8"/>
  <c r="R209" i="8" s="1"/>
  <c r="Q422" i="8"/>
  <c r="R422" i="8" s="1"/>
  <c r="Q426" i="8"/>
  <c r="R426" i="8" s="1"/>
  <c r="Q423" i="8"/>
  <c r="R423" i="8" s="1"/>
  <c r="Q424" i="8"/>
  <c r="R424" i="8" s="1"/>
  <c r="Q425" i="8"/>
  <c r="R425" i="8" s="1"/>
  <c r="D121" i="17"/>
  <c r="F121" i="17" s="1"/>
  <c r="Q580" i="8"/>
  <c r="R580" i="8" s="1"/>
  <c r="D124" i="17" s="1"/>
  <c r="F124" i="17" s="1"/>
  <c r="Q579" i="8"/>
  <c r="R579" i="8" s="1"/>
  <c r="Q578" i="8"/>
  <c r="R578" i="8" s="1"/>
  <c r="Q556" i="8"/>
  <c r="R556" i="8" s="1"/>
  <c r="Q557" i="8"/>
  <c r="R557" i="8" s="1"/>
  <c r="Q559" i="8"/>
  <c r="R559" i="8" s="1"/>
  <c r="D45" i="17" s="1"/>
  <c r="F45" i="17" s="1"/>
  <c r="Q558" i="8"/>
  <c r="R558" i="8" s="1"/>
  <c r="G186" i="9"/>
  <c r="L186" i="9" s="1"/>
  <c r="G262" i="8"/>
  <c r="I262" i="8" s="1"/>
  <c r="G306" i="8"/>
  <c r="I306" i="8" s="1"/>
  <c r="G458" i="8"/>
  <c r="I458" i="8" s="1"/>
  <c r="I71" i="7"/>
  <c r="I72" i="7" s="1"/>
  <c r="G65" i="7"/>
  <c r="Q687" i="8"/>
  <c r="R687" i="8" s="1"/>
  <c r="Q686" i="8"/>
  <c r="R686" i="8" s="1"/>
  <c r="Q628" i="8"/>
  <c r="R628" i="8" s="1"/>
  <c r="Q626" i="8"/>
  <c r="R626" i="8" s="1"/>
  <c r="Q633" i="8"/>
  <c r="R633" i="8" s="1"/>
  <c r="D18" i="17" s="1"/>
  <c r="F18" i="17" s="1"/>
  <c r="Q635" i="8"/>
  <c r="R635" i="8" s="1"/>
  <c r="D62" i="17" s="1"/>
  <c r="F62" i="17" s="1"/>
  <c r="Q624" i="8"/>
  <c r="R624" i="8" s="1"/>
  <c r="Q625" i="8"/>
  <c r="R625" i="8" s="1"/>
  <c r="Q622" i="8"/>
  <c r="R622" i="8" s="1"/>
  <c r="Q629" i="8"/>
  <c r="R629" i="8" s="1"/>
  <c r="Q639" i="8"/>
  <c r="R639" i="8" s="1"/>
  <c r="Q634" i="8"/>
  <c r="R634" i="8" s="1"/>
  <c r="D19" i="17" s="1"/>
  <c r="F19" i="17" s="1"/>
  <c r="Q637" i="8"/>
  <c r="R637" i="8" s="1"/>
  <c r="Q632" i="8"/>
  <c r="R632" i="8" s="1"/>
  <c r="Q631" i="8"/>
  <c r="R631" i="8" s="1"/>
  <c r="Q638" i="8"/>
  <c r="R638" i="8" s="1"/>
  <c r="Q627" i="8"/>
  <c r="R627" i="8" s="1"/>
  <c r="Q636" i="8"/>
  <c r="R636" i="8" s="1"/>
  <c r="Q630" i="8"/>
  <c r="R630" i="8" s="1"/>
  <c r="Q623" i="8"/>
  <c r="R623" i="8" s="1"/>
  <c r="N204" i="8"/>
  <c r="O204" i="8" s="1"/>
  <c r="N321" i="8"/>
  <c r="O321" i="8" s="1"/>
  <c r="N319" i="8"/>
  <c r="O319" i="8" s="1"/>
  <c r="N322" i="8"/>
  <c r="O322" i="8" s="1"/>
  <c r="F151" i="16" s="1"/>
  <c r="H151" i="16" s="1"/>
  <c r="N318" i="8"/>
  <c r="O318" i="8" s="1"/>
  <c r="N317" i="8"/>
  <c r="O317" i="8" s="1"/>
  <c r="N320" i="8"/>
  <c r="O320" i="8" s="1"/>
  <c r="N197" i="8"/>
  <c r="O197" i="8" s="1"/>
  <c r="N196" i="8"/>
  <c r="O196" i="8" s="1"/>
  <c r="N191" i="8"/>
  <c r="O191" i="8" s="1"/>
  <c r="N192" i="8"/>
  <c r="O192" i="8" s="1"/>
  <c r="P294" i="5"/>
  <c r="J294" i="5"/>
  <c r="M294" i="5"/>
  <c r="N489" i="8"/>
  <c r="O489" i="8" s="1"/>
  <c r="N491" i="8"/>
  <c r="O491" i="8" s="1"/>
  <c r="N490" i="8"/>
  <c r="O490" i="8" s="1"/>
  <c r="G591" i="8"/>
  <c r="L591" i="8" s="1"/>
  <c r="G512" i="7"/>
  <c r="I512" i="7" s="1"/>
  <c r="G552" i="7"/>
  <c r="I552" i="7" s="1"/>
  <c r="I554" i="7" s="1"/>
  <c r="I302" i="8"/>
  <c r="D104" i="17"/>
  <c r="F104" i="17" s="1"/>
  <c r="Q362" i="8"/>
  <c r="R362" i="8" s="1"/>
  <c r="Q363" i="8"/>
  <c r="R363" i="8" s="1"/>
  <c r="Q361" i="8"/>
  <c r="R361" i="8" s="1"/>
  <c r="Q359" i="8"/>
  <c r="R359" i="8" s="1"/>
  <c r="Q360" i="8"/>
  <c r="R360" i="8" s="1"/>
  <c r="Q587" i="8"/>
  <c r="R587" i="8" s="1"/>
  <c r="D84" i="17" s="1"/>
  <c r="F84" i="17" s="1"/>
  <c r="Q586" i="8"/>
  <c r="R586" i="8" s="1"/>
  <c r="Q585" i="8"/>
  <c r="R585" i="8" s="1"/>
  <c r="Q656" i="8"/>
  <c r="R656" i="8" s="1"/>
  <c r="Q658" i="8"/>
  <c r="R658" i="8" s="1"/>
  <c r="Q657" i="8"/>
  <c r="R657" i="8" s="1"/>
  <c r="D70" i="18"/>
  <c r="F70" i="18" s="1"/>
  <c r="G72" i="4"/>
  <c r="G73" i="5" s="1"/>
  <c r="G45" i="15"/>
  <c r="N681" i="8"/>
  <c r="O681" i="8" s="1"/>
  <c r="F219" i="16" s="1"/>
  <c r="H219" i="16" s="1"/>
  <c r="N680" i="8"/>
  <c r="O680" i="8" s="1"/>
  <c r="N678" i="8"/>
  <c r="O678" i="8" s="1"/>
  <c r="N679" i="8"/>
  <c r="O679" i="8" s="1"/>
  <c r="Q764" i="8"/>
  <c r="R764" i="8" s="1"/>
  <c r="Q766" i="8"/>
  <c r="R766" i="8" s="1"/>
  <c r="D95" i="17" s="1"/>
  <c r="F95" i="17" s="1"/>
  <c r="Q765" i="8"/>
  <c r="R765" i="8" s="1"/>
  <c r="Q769" i="8"/>
  <c r="R769" i="8" s="1"/>
  <c r="Q762" i="8"/>
  <c r="R762" i="8" s="1"/>
  <c r="D33" i="17" s="1"/>
  <c r="F33" i="17" s="1"/>
  <c r="Q767" i="8"/>
  <c r="R767" i="8" s="1"/>
  <c r="Q763" i="8"/>
  <c r="R763" i="8" s="1"/>
  <c r="Q768" i="8"/>
  <c r="R768" i="8" s="1"/>
  <c r="Q565" i="8"/>
  <c r="R565" i="8" s="1"/>
  <c r="Q566" i="8"/>
  <c r="R566" i="8" s="1"/>
  <c r="D70" i="17" s="1"/>
  <c r="F70" i="17" s="1"/>
  <c r="Q564" i="8"/>
  <c r="R564" i="8" s="1"/>
  <c r="Q693" i="8"/>
  <c r="R693" i="8" s="1"/>
  <c r="D66" i="18" s="1"/>
  <c r="F66" i="18" s="1"/>
  <c r="Q696" i="8"/>
  <c r="R696" i="8" s="1"/>
  <c r="D142" i="17" s="1"/>
  <c r="F142" i="17" s="1"/>
  <c r="Q695" i="8"/>
  <c r="R695" i="8" s="1"/>
  <c r="D63" i="17" s="1"/>
  <c r="F63" i="17" s="1"/>
  <c r="Q694" i="8"/>
  <c r="R694" i="8" s="1"/>
  <c r="D29" i="17" s="1"/>
  <c r="F29" i="17" s="1"/>
  <c r="Q692" i="8"/>
  <c r="R692" i="8" s="1"/>
  <c r="D18" i="18" s="1"/>
  <c r="F18" i="18" s="1"/>
  <c r="Q111" i="8"/>
  <c r="R111" i="8" s="1"/>
  <c r="Q112" i="8"/>
  <c r="R112" i="8" s="1"/>
  <c r="Q108" i="8"/>
  <c r="R108" i="8" s="1"/>
  <c r="Q109" i="8"/>
  <c r="R109" i="8" s="1"/>
  <c r="Q107" i="8"/>
  <c r="R107" i="8" s="1"/>
  <c r="Q110" i="8"/>
  <c r="R110" i="8" s="1"/>
  <c r="Q113" i="8"/>
  <c r="R113" i="8" s="1"/>
  <c r="Q106" i="8"/>
  <c r="R106" i="8" s="1"/>
  <c r="Q53" i="9" s="1"/>
  <c r="R53" i="9" s="1"/>
  <c r="Q510" i="8"/>
  <c r="R510" i="8" s="1"/>
  <c r="Q508" i="8"/>
  <c r="R508" i="8" s="1"/>
  <c r="Q506" i="8"/>
  <c r="R506" i="8" s="1"/>
  <c r="Q504" i="8"/>
  <c r="R504" i="8" s="1"/>
  <c r="Q354" i="9" s="1"/>
  <c r="R354" i="9" s="1"/>
  <c r="Q507" i="8"/>
  <c r="R507" i="8" s="1"/>
  <c r="Q511" i="8"/>
  <c r="R511" i="8" s="1"/>
  <c r="Q505" i="8"/>
  <c r="R505" i="8" s="1"/>
  <c r="Q509" i="8"/>
  <c r="R509" i="8" s="1"/>
  <c r="N657" i="8"/>
  <c r="O657" i="8" s="1"/>
  <c r="N656" i="8"/>
  <c r="O656" i="8" s="1"/>
  <c r="N658" i="8"/>
  <c r="O658" i="8" s="1"/>
  <c r="N223" i="8"/>
  <c r="O223" i="8" s="1"/>
  <c r="N224" i="8"/>
  <c r="O224" i="8" s="1"/>
  <c r="N222" i="8"/>
  <c r="O222" i="8" s="1"/>
  <c r="N145" i="9" s="1"/>
  <c r="O145" i="9" s="1"/>
  <c r="N83" i="8"/>
  <c r="O83" i="8" s="1"/>
  <c r="H157" i="4"/>
  <c r="Q571" i="8"/>
  <c r="R571" i="8" s="1"/>
  <c r="Q572" i="8"/>
  <c r="R572" i="8" s="1"/>
  <c r="Q573" i="8"/>
  <c r="R573" i="8" s="1"/>
  <c r="D73" i="17" s="1"/>
  <c r="F73" i="17" s="1"/>
  <c r="M107" i="5"/>
  <c r="J107" i="5"/>
  <c r="P107" i="5"/>
  <c r="I544" i="8"/>
  <c r="M398" i="5"/>
  <c r="O398" i="5" s="1"/>
  <c r="P398" i="5"/>
  <c r="R398" i="5" s="1"/>
  <c r="J398" i="5"/>
  <c r="N501" i="9"/>
  <c r="O501" i="9" s="1"/>
  <c r="N495" i="9"/>
  <c r="O495" i="9" s="1"/>
  <c r="N505" i="9"/>
  <c r="O505" i="9" s="1"/>
  <c r="N506" i="9"/>
  <c r="O506" i="9" s="1"/>
  <c r="N500" i="9"/>
  <c r="O500" i="9" s="1"/>
  <c r="N492" i="9"/>
  <c r="O492" i="9" s="1"/>
  <c r="G272" i="8"/>
  <c r="L272" i="8" s="1"/>
  <c r="G296" i="7"/>
  <c r="I296" i="7" s="1"/>
  <c r="I300" i="7" s="1"/>
  <c r="Q405" i="8"/>
  <c r="R405" i="8" s="1"/>
  <c r="Q407" i="8"/>
  <c r="R407" i="8" s="1"/>
  <c r="Q408" i="8"/>
  <c r="R408" i="8" s="1"/>
  <c r="Q404" i="8"/>
  <c r="R404" i="8" s="1"/>
  <c r="Q406" i="8"/>
  <c r="R406" i="8" s="1"/>
  <c r="N672" i="8"/>
  <c r="O672" i="8" s="1"/>
  <c r="N671" i="8"/>
  <c r="O671" i="8" s="1"/>
  <c r="N670" i="8"/>
  <c r="O670" i="8" s="1"/>
  <c r="N673" i="8"/>
  <c r="O673" i="8" s="1"/>
  <c r="F109" i="16" s="1"/>
  <c r="H109" i="16" s="1"/>
  <c r="N71" i="8"/>
  <c r="O71" i="8" s="1"/>
  <c r="N208" i="8"/>
  <c r="O208" i="8" s="1"/>
  <c r="N712" i="8"/>
  <c r="O712" i="8" s="1"/>
  <c r="N716" i="8"/>
  <c r="O716" i="8" s="1"/>
  <c r="N717" i="8"/>
  <c r="O717" i="8" s="1"/>
  <c r="N713" i="8"/>
  <c r="O713" i="8" s="1"/>
  <c r="N714" i="8"/>
  <c r="O714" i="8" s="1"/>
  <c r="N718" i="8"/>
  <c r="O718" i="8" s="1"/>
  <c r="N711" i="8"/>
  <c r="O711" i="8" s="1"/>
  <c r="N430" i="9" s="1"/>
  <c r="O430" i="9" s="1"/>
  <c r="N715" i="8"/>
  <c r="O715" i="8" s="1"/>
  <c r="Q256" i="8"/>
  <c r="R256" i="8" s="1"/>
  <c r="Q254" i="8"/>
  <c r="R254" i="8" s="1"/>
  <c r="Q252" i="8"/>
  <c r="R252" i="8" s="1"/>
  <c r="Q255" i="8"/>
  <c r="R255" i="8" s="1"/>
  <c r="Q250" i="8"/>
  <c r="R250" i="8" s="1"/>
  <c r="Q182" i="9" s="1"/>
  <c r="R182" i="9" s="1"/>
  <c r="Q253" i="8"/>
  <c r="R253" i="8" s="1"/>
  <c r="Q257" i="8"/>
  <c r="R257" i="8" s="1"/>
  <c r="Q251" i="8"/>
  <c r="R251" i="8" s="1"/>
  <c r="D102" i="17"/>
  <c r="F102" i="17" s="1"/>
  <c r="Q459" i="8"/>
  <c r="R459" i="8" s="1"/>
  <c r="Q461" i="8"/>
  <c r="R461" i="8" s="1"/>
  <c r="Q463" i="8"/>
  <c r="R463" i="8" s="1"/>
  <c r="Q460" i="8"/>
  <c r="R460" i="8" s="1"/>
  <c r="Q458" i="8"/>
  <c r="R458" i="8" s="1"/>
  <c r="Q462" i="8"/>
  <c r="R462" i="8" s="1"/>
  <c r="D81" i="17"/>
  <c r="F81" i="17" s="1"/>
  <c r="Q143" i="8"/>
  <c r="R143" i="8" s="1"/>
  <c r="Q141" i="8"/>
  <c r="R141" i="8" s="1"/>
  <c r="Q140" i="8"/>
  <c r="R140" i="8" s="1"/>
  <c r="Q142" i="8"/>
  <c r="R142" i="8" s="1"/>
  <c r="Q144" i="8"/>
  <c r="R144" i="8" s="1"/>
  <c r="Q138" i="8"/>
  <c r="R138" i="8" s="1"/>
  <c r="Q139" i="8"/>
  <c r="R139" i="8" s="1"/>
  <c r="Q610" i="8"/>
  <c r="R610" i="8" s="1"/>
  <c r="Q601" i="8"/>
  <c r="R601" i="8" s="1"/>
  <c r="Q615" i="8"/>
  <c r="R615" i="8" s="1"/>
  <c r="Q614" i="8"/>
  <c r="R614" i="8" s="1"/>
  <c r="Q609" i="8"/>
  <c r="R609" i="8" s="1"/>
  <c r="Q611" i="8"/>
  <c r="R611" i="8" s="1"/>
  <c r="Q606" i="8"/>
  <c r="R606" i="8" s="1"/>
  <c r="Q607" i="8"/>
  <c r="R607" i="8" s="1"/>
  <c r="Q616" i="8"/>
  <c r="R616" i="8" s="1"/>
  <c r="Q600" i="8"/>
  <c r="R600" i="8" s="1"/>
  <c r="Q608" i="8"/>
  <c r="R608" i="8" s="1"/>
  <c r="Q612" i="8"/>
  <c r="R612" i="8" s="1"/>
  <c r="Q604" i="8"/>
  <c r="R604" i="8" s="1"/>
  <c r="Q603" i="8"/>
  <c r="R603" i="8" s="1"/>
  <c r="Q602" i="8"/>
  <c r="R602" i="8" s="1"/>
  <c r="Q617" i="8"/>
  <c r="R617" i="8" s="1"/>
  <c r="Q605" i="8"/>
  <c r="R605" i="8" s="1"/>
  <c r="Q613" i="8"/>
  <c r="R613" i="8" s="1"/>
  <c r="H201" i="5"/>
  <c r="I200" i="4"/>
  <c r="P26" i="5"/>
  <c r="R26" i="5" s="1"/>
  <c r="J26" i="5"/>
  <c r="M26" i="5"/>
  <c r="O26" i="5" s="1"/>
  <c r="G336" i="9"/>
  <c r="L336" i="9" s="1"/>
  <c r="G395" i="8"/>
  <c r="I395" i="8" s="1"/>
  <c r="I400" i="8" s="1"/>
  <c r="I145" i="8"/>
  <c r="I426" i="9"/>
  <c r="G731" i="8"/>
  <c r="G630" i="7"/>
  <c r="I630" i="7" s="1"/>
  <c r="N725" i="8"/>
  <c r="O725" i="8" s="1"/>
  <c r="N723" i="8"/>
  <c r="O723" i="8" s="1"/>
  <c r="N724" i="8"/>
  <c r="O724" i="8" s="1"/>
  <c r="N727" i="8"/>
  <c r="O727" i="8" s="1"/>
  <c r="F11" i="16" s="1"/>
  <c r="H11" i="16" s="1"/>
  <c r="N726" i="8"/>
  <c r="O726" i="8" s="1"/>
  <c r="N74" i="8"/>
  <c r="O74" i="8" s="1"/>
  <c r="I294" i="5"/>
  <c r="N253" i="8"/>
  <c r="O253" i="8" s="1"/>
  <c r="N735" i="8"/>
  <c r="O735" i="8" s="1"/>
  <c r="F213" i="16" s="1"/>
  <c r="H213" i="16" s="1"/>
  <c r="N733" i="8"/>
  <c r="O733" i="8" s="1"/>
  <c r="N734" i="8"/>
  <c r="O734" i="8" s="1"/>
  <c r="F199" i="16" s="1"/>
  <c r="H199" i="16" s="1"/>
  <c r="N732" i="8"/>
  <c r="O732" i="8" s="1"/>
  <c r="I107" i="5"/>
  <c r="N369" i="8"/>
  <c r="O369" i="8" s="1"/>
  <c r="N370" i="8"/>
  <c r="O370" i="8" s="1"/>
  <c r="N368" i="8"/>
  <c r="O368" i="8" s="1"/>
  <c r="N371" i="8"/>
  <c r="O371" i="8" s="1"/>
  <c r="N372" i="8"/>
  <c r="O372" i="8" s="1"/>
  <c r="G342" i="4"/>
  <c r="G343" i="5" s="1"/>
  <c r="G101" i="4"/>
  <c r="G102" i="5" s="1"/>
  <c r="P387" i="5"/>
  <c r="M387" i="5"/>
  <c r="J387" i="5"/>
  <c r="I387" i="5"/>
  <c r="G547" i="8"/>
  <c r="L547" i="8" s="1"/>
  <c r="G504" i="7"/>
  <c r="I504" i="7" s="1"/>
  <c r="F37" i="16"/>
  <c r="H37" i="16" s="1"/>
  <c r="N107" i="8"/>
  <c r="O107" i="8" s="1"/>
  <c r="N110" i="8"/>
  <c r="O110" i="8" s="1"/>
  <c r="N112" i="8"/>
  <c r="O112" i="8" s="1"/>
  <c r="N108" i="8"/>
  <c r="O108" i="8" s="1"/>
  <c r="N106" i="8"/>
  <c r="O106" i="8" s="1"/>
  <c r="N53" i="9" s="1"/>
  <c r="O53" i="9" s="1"/>
  <c r="N109" i="8"/>
  <c r="O109" i="8" s="1"/>
  <c r="N111" i="8"/>
  <c r="O111" i="8" s="1"/>
  <c r="N113" i="8"/>
  <c r="O113" i="8" s="1"/>
  <c r="G192" i="9"/>
  <c r="L192" i="9" s="1"/>
  <c r="G263" i="8"/>
  <c r="I263" i="8" s="1"/>
  <c r="G459" i="8"/>
  <c r="I459" i="8" s="1"/>
  <c r="G307" i="8"/>
  <c r="I307" i="8" s="1"/>
  <c r="Q756" i="8"/>
  <c r="R756" i="8" s="1"/>
  <c r="Q757" i="8"/>
  <c r="R757" i="8" s="1"/>
  <c r="G279" i="8"/>
  <c r="L279" i="8" s="1"/>
  <c r="G434" i="7"/>
  <c r="I434" i="7" s="1"/>
  <c r="I435" i="7" s="1"/>
  <c r="G354" i="7"/>
  <c r="I354" i="7" s="1"/>
  <c r="I358" i="7" s="1"/>
  <c r="G308" i="7"/>
  <c r="I308" i="7" s="1"/>
  <c r="I312" i="7" s="1"/>
  <c r="N686" i="8"/>
  <c r="O686" i="8" s="1"/>
  <c r="N687" i="8"/>
  <c r="O687" i="8" s="1"/>
  <c r="N73" i="8"/>
  <c r="O73" i="8" s="1"/>
  <c r="G434" i="9"/>
  <c r="L434" i="9" s="1"/>
  <c r="G723" i="8"/>
  <c r="I723" i="8" s="1"/>
  <c r="N207" i="8"/>
  <c r="O207" i="8" s="1"/>
  <c r="Q350" i="8"/>
  <c r="R350" i="8" s="1"/>
  <c r="Q353" i="8"/>
  <c r="R353" i="8" s="1"/>
  <c r="Q351" i="8"/>
  <c r="R351" i="8" s="1"/>
  <c r="Q354" i="8"/>
  <c r="R354" i="8" s="1"/>
  <c r="Q352" i="8"/>
  <c r="R352" i="8" s="1"/>
  <c r="Q173" i="8"/>
  <c r="R173" i="8" s="1"/>
  <c r="Q168" i="8"/>
  <c r="R168" i="8" s="1"/>
  <c r="Q169" i="8"/>
  <c r="R169" i="8" s="1"/>
  <c r="Q166" i="8"/>
  <c r="R166" i="8" s="1"/>
  <c r="Q125" i="9" s="1"/>
  <c r="R125" i="9" s="1"/>
  <c r="Q167" i="8"/>
  <c r="R167" i="8" s="1"/>
  <c r="Q172" i="8"/>
  <c r="R172" i="8" s="1"/>
  <c r="Q170" i="8"/>
  <c r="R170" i="8" s="1"/>
  <c r="Q171" i="8"/>
  <c r="R171" i="8" s="1"/>
  <c r="Q498" i="8"/>
  <c r="R498" i="8" s="1"/>
  <c r="Q497" i="8"/>
  <c r="R497" i="8" s="1"/>
  <c r="Q499" i="8"/>
  <c r="R499" i="8" s="1"/>
  <c r="Q496" i="8"/>
  <c r="R496" i="8" s="1"/>
  <c r="D165" i="17"/>
  <c r="F165" i="17" s="1"/>
  <c r="Q543" i="8"/>
  <c r="R543" i="8" s="1"/>
  <c r="D43" i="17" s="1"/>
  <c r="F43" i="17" s="1"/>
  <c r="Q542" i="8"/>
  <c r="R542" i="8" s="1"/>
  <c r="Q541" i="8"/>
  <c r="R541" i="8" s="1"/>
  <c r="Q289" i="8" l="1"/>
  <c r="R289" i="8" s="1"/>
  <c r="Q522" i="8"/>
  <c r="R522" i="8" s="1"/>
  <c r="G98" i="4"/>
  <c r="G99" i="5" s="1"/>
  <c r="G258" i="4"/>
  <c r="G259" i="5" s="1"/>
  <c r="D168" i="17"/>
  <c r="F168" i="17" s="1"/>
  <c r="D143" i="17"/>
  <c r="F143" i="17" s="1"/>
  <c r="Q130" i="8"/>
  <c r="R130" i="8" s="1"/>
  <c r="Q132" i="8"/>
  <c r="R132" i="8" s="1"/>
  <c r="F32" i="16"/>
  <c r="H32" i="16" s="1"/>
  <c r="Q128" i="8"/>
  <c r="R128" i="8" s="1"/>
  <c r="Q129" i="8"/>
  <c r="R129" i="8" s="1"/>
  <c r="Q127" i="8"/>
  <c r="R127" i="8" s="1"/>
  <c r="Q133" i="8"/>
  <c r="R133" i="8" s="1"/>
  <c r="G73" i="4"/>
  <c r="G74" i="5" s="1"/>
  <c r="Q518" i="8"/>
  <c r="R518" i="8" s="1"/>
  <c r="Q521" i="8"/>
  <c r="R521" i="8" s="1"/>
  <c r="G177" i="4"/>
  <c r="G178" i="5" s="1"/>
  <c r="G446" i="4"/>
  <c r="G447" i="5" s="1"/>
  <c r="G502" i="7"/>
  <c r="I502" i="7" s="1"/>
  <c r="Q516" i="8"/>
  <c r="R516" i="8" s="1"/>
  <c r="I545" i="7"/>
  <c r="I546" i="7" s="1"/>
  <c r="H74" i="4" s="1"/>
  <c r="G53" i="15"/>
  <c r="I700" i="7"/>
  <c r="I701" i="7" s="1"/>
  <c r="H191" i="4" s="1"/>
  <c r="I191" i="4" s="1"/>
  <c r="G572" i="7"/>
  <c r="L572" i="7" s="1"/>
  <c r="Q517" i="8"/>
  <c r="R517" i="8" s="1"/>
  <c r="G77" i="4"/>
  <c r="G78" i="5" s="1"/>
  <c r="G70" i="15"/>
  <c r="G270" i="4"/>
  <c r="G271" i="5" s="1"/>
  <c r="G363" i="4"/>
  <c r="G364" i="5" s="1"/>
  <c r="G263" i="4"/>
  <c r="G264" i="5" s="1"/>
  <c r="G84" i="4"/>
  <c r="G85" i="5" s="1"/>
  <c r="G449" i="4"/>
  <c r="G450" i="5" s="1"/>
  <c r="I578" i="7"/>
  <c r="I579" i="7" s="1"/>
  <c r="H77" i="4" s="1"/>
  <c r="Q520" i="8"/>
  <c r="R520" i="8" s="1"/>
  <c r="Q288" i="8"/>
  <c r="R288" i="8" s="1"/>
  <c r="Q202" i="9" s="1"/>
  <c r="R202" i="9" s="1"/>
  <c r="Q291" i="8"/>
  <c r="R291" i="8" s="1"/>
  <c r="Q114" i="9" s="1"/>
  <c r="R114" i="9" s="1"/>
  <c r="Q290" i="8"/>
  <c r="R290" i="8" s="1"/>
  <c r="Q103" i="9" s="1"/>
  <c r="R103" i="9" s="1"/>
  <c r="Q294" i="8"/>
  <c r="R294" i="8" s="1"/>
  <c r="Q292" i="8"/>
  <c r="R292" i="8" s="1"/>
  <c r="D184" i="17" s="1"/>
  <c r="F184" i="17" s="1"/>
  <c r="Q40" i="8"/>
  <c r="R40" i="8" s="1"/>
  <c r="Q39" i="8"/>
  <c r="R39" i="8" s="1"/>
  <c r="Q44" i="8"/>
  <c r="R44" i="8" s="1"/>
  <c r="Q280" i="8"/>
  <c r="R280" i="8" s="1"/>
  <c r="Q90" i="9" s="1"/>
  <c r="R90" i="9" s="1"/>
  <c r="Q281" i="8"/>
  <c r="R281" i="8" s="1"/>
  <c r="Q96" i="8"/>
  <c r="R96" i="8" s="1"/>
  <c r="Q41" i="8"/>
  <c r="R41" i="8" s="1"/>
  <c r="Q43" i="8"/>
  <c r="R43" i="8" s="1"/>
  <c r="Q45" i="8"/>
  <c r="R45" i="8" s="1"/>
  <c r="Q99" i="8"/>
  <c r="R99" i="8" s="1"/>
  <c r="Q42" i="8"/>
  <c r="R42" i="8" s="1"/>
  <c r="Q38" i="8"/>
  <c r="R38" i="8" s="1"/>
  <c r="Q23" i="9" s="1"/>
  <c r="R23" i="9" s="1"/>
  <c r="Q94" i="8"/>
  <c r="R94" i="8" s="1"/>
  <c r="Q48" i="9" s="1"/>
  <c r="R48" i="9" s="1"/>
  <c r="Q282" i="8"/>
  <c r="R282" i="8" s="1"/>
  <c r="D53" i="17" s="1"/>
  <c r="F53" i="17" s="1"/>
  <c r="D24" i="17"/>
  <c r="F24" i="17" s="1"/>
  <c r="Q101" i="8"/>
  <c r="R101" i="8" s="1"/>
  <c r="Q95" i="8"/>
  <c r="R95" i="8" s="1"/>
  <c r="Q97" i="8"/>
  <c r="R97" i="8" s="1"/>
  <c r="Q100" i="8"/>
  <c r="R100" i="8" s="1"/>
  <c r="Q98" i="8"/>
  <c r="R98" i="8" s="1"/>
  <c r="G470" i="4"/>
  <c r="G471" i="5" s="1"/>
  <c r="G377" i="4"/>
  <c r="G378" i="5" s="1"/>
  <c r="G444" i="4"/>
  <c r="G445" i="5" s="1"/>
  <c r="G303" i="4"/>
  <c r="G304" i="5" s="1"/>
  <c r="I588" i="7"/>
  <c r="I589" i="7" s="1"/>
  <c r="H63" i="15" s="1"/>
  <c r="G440" i="7"/>
  <c r="L440" i="7" s="1"/>
  <c r="H410" i="4"/>
  <c r="I410" i="4" s="1"/>
  <c r="G450" i="4"/>
  <c r="G451" i="5" s="1"/>
  <c r="G357" i="4"/>
  <c r="G358" i="5" s="1"/>
  <c r="G78" i="4"/>
  <c r="G79" i="5" s="1"/>
  <c r="G695" i="7"/>
  <c r="I38" i="4"/>
  <c r="I446" i="7"/>
  <c r="I447" i="7" s="1"/>
  <c r="G351" i="4"/>
  <c r="G352" i="5" s="1"/>
  <c r="G757" i="8"/>
  <c r="I757" i="8" s="1"/>
  <c r="I758" i="8" s="1"/>
  <c r="G638" i="7" s="1"/>
  <c r="I638" i="7" s="1"/>
  <c r="G191" i="4"/>
  <c r="G192" i="5" s="1"/>
  <c r="I524" i="7"/>
  <c r="I525" i="7" s="1"/>
  <c r="H456" i="4"/>
  <c r="H457" i="5" s="1"/>
  <c r="H131" i="4"/>
  <c r="H132" i="5" s="1"/>
  <c r="G74" i="4"/>
  <c r="G75" i="5" s="1"/>
  <c r="G284" i="4"/>
  <c r="G285" i="5" s="1"/>
  <c r="G582" i="7"/>
  <c r="G459" i="4"/>
  <c r="G460" i="5" s="1"/>
  <c r="G373" i="4"/>
  <c r="G374" i="5" s="1"/>
  <c r="G7" i="7"/>
  <c r="G538" i="7"/>
  <c r="L538" i="7" s="1"/>
  <c r="G213" i="4"/>
  <c r="G214" i="5" s="1"/>
  <c r="G135" i="7"/>
  <c r="I143" i="7"/>
  <c r="I144" i="7" s="1"/>
  <c r="G563" i="8"/>
  <c r="L563" i="8" s="1"/>
  <c r="G221" i="4"/>
  <c r="G222" i="5" s="1"/>
  <c r="G57" i="15"/>
  <c r="H426" i="5"/>
  <c r="P426" i="5" s="1"/>
  <c r="G171" i="4"/>
  <c r="G172" i="5" s="1"/>
  <c r="G260" i="4"/>
  <c r="G261" i="5" s="1"/>
  <c r="H270" i="4"/>
  <c r="H271" i="5" s="1"/>
  <c r="M271" i="5" s="1"/>
  <c r="M270" i="5" s="1"/>
  <c r="G27" i="4"/>
  <c r="G28" i="5" s="1"/>
  <c r="N310" i="9"/>
  <c r="O310" i="9" s="1"/>
  <c r="G26" i="15"/>
  <c r="G314" i="4"/>
  <c r="G315" i="5" s="1"/>
  <c r="I14" i="7"/>
  <c r="I15" i="7" s="1"/>
  <c r="G32" i="4"/>
  <c r="G33" i="5" s="1"/>
  <c r="G125" i="4"/>
  <c r="G126" i="5" s="1"/>
  <c r="H224" i="4"/>
  <c r="H317" i="4"/>
  <c r="H318" i="5" s="1"/>
  <c r="I318" i="5" s="1"/>
  <c r="I235" i="7"/>
  <c r="I236" i="7" s="1"/>
  <c r="H313" i="4" s="1"/>
  <c r="H314" i="5" s="1"/>
  <c r="G313" i="4"/>
  <c r="G314" i="5" s="1"/>
  <c r="G399" i="4"/>
  <c r="G400" i="5" s="1"/>
  <c r="G528" i="7"/>
  <c r="L528" i="7" s="1"/>
  <c r="G560" i="7"/>
  <c r="I560" i="7" s="1"/>
  <c r="G370" i="4"/>
  <c r="G371" i="5" s="1"/>
  <c r="G311" i="4"/>
  <c r="G312" i="5" s="1"/>
  <c r="H39" i="15"/>
  <c r="G406" i="4"/>
  <c r="G407" i="5" s="1"/>
  <c r="G161" i="7"/>
  <c r="G204" i="4"/>
  <c r="G205" i="5" s="1"/>
  <c r="G407" i="4"/>
  <c r="G408" i="5" s="1"/>
  <c r="G210" i="4"/>
  <c r="G211" i="5" s="1"/>
  <c r="G17" i="4"/>
  <c r="G18" i="5" s="1"/>
  <c r="I534" i="7"/>
  <c r="I535" i="7" s="1"/>
  <c r="H259" i="4" s="1"/>
  <c r="G86" i="4"/>
  <c r="G87" i="5" s="1"/>
  <c r="G198" i="7"/>
  <c r="G11" i="15"/>
  <c r="G259" i="4"/>
  <c r="G260" i="5" s="1"/>
  <c r="G396" i="4"/>
  <c r="G397" i="5" s="1"/>
  <c r="G24" i="4"/>
  <c r="G25" i="5" s="1"/>
  <c r="G127" i="4"/>
  <c r="G128" i="5" s="1"/>
  <c r="G34" i="4"/>
  <c r="G35" i="5" s="1"/>
  <c r="D68" i="18"/>
  <c r="F68" i="18" s="1"/>
  <c r="G382" i="7"/>
  <c r="G12" i="15"/>
  <c r="I205" i="7"/>
  <c r="I206" i="7" s="1"/>
  <c r="H311" i="4" s="1"/>
  <c r="G61" i="15"/>
  <c r="I167" i="7"/>
  <c r="I168" i="7" s="1"/>
  <c r="H11" i="15" s="1"/>
  <c r="H284" i="4"/>
  <c r="I284" i="4" s="1"/>
  <c r="N273" i="8"/>
  <c r="O273" i="8" s="1"/>
  <c r="G637" i="7"/>
  <c r="I637" i="7" s="1"/>
  <c r="H208" i="4"/>
  <c r="H209" i="5" s="1"/>
  <c r="N311" i="9"/>
  <c r="O311" i="9" s="1"/>
  <c r="F182" i="16" s="1"/>
  <c r="H182" i="16" s="1"/>
  <c r="G117" i="4"/>
  <c r="G118" i="5" s="1"/>
  <c r="I298" i="9"/>
  <c r="G289" i="9" s="1"/>
  <c r="L289" i="9" s="1"/>
  <c r="I392" i="7"/>
  <c r="I393" i="7" s="1"/>
  <c r="H426" i="4" s="1"/>
  <c r="G128" i="4"/>
  <c r="G129" i="5" s="1"/>
  <c r="G111" i="4"/>
  <c r="G112" i="5" s="1"/>
  <c r="H344" i="5"/>
  <c r="J344" i="5" s="1"/>
  <c r="G71" i="15"/>
  <c r="N309" i="9"/>
  <c r="O309" i="9" s="1"/>
  <c r="H98" i="4"/>
  <c r="I252" i="7"/>
  <c r="I253" i="7" s="1"/>
  <c r="H35" i="4" s="1"/>
  <c r="G116" i="4"/>
  <c r="G117" i="5" s="1"/>
  <c r="G74" i="15"/>
  <c r="G377" i="8"/>
  <c r="I377" i="8" s="1"/>
  <c r="I382" i="8" s="1"/>
  <c r="G376" i="8" s="1"/>
  <c r="L376" i="8" s="1"/>
  <c r="G508" i="7"/>
  <c r="I508" i="7" s="1"/>
  <c r="N293" i="9"/>
  <c r="O293" i="9" s="1"/>
  <c r="G110" i="4"/>
  <c r="G111" i="5" s="1"/>
  <c r="N275" i="8"/>
  <c r="O275" i="8" s="1"/>
  <c r="G218" i="4"/>
  <c r="G219" i="5" s="1"/>
  <c r="G440" i="8"/>
  <c r="I440" i="8" s="1"/>
  <c r="I445" i="8" s="1"/>
  <c r="G439" i="8" s="1"/>
  <c r="L439" i="8" s="1"/>
  <c r="G296" i="4"/>
  <c r="G297" i="5" s="1"/>
  <c r="G352" i="4"/>
  <c r="G353" i="5" s="1"/>
  <c r="G445" i="4"/>
  <c r="G446" i="5" s="1"/>
  <c r="I728" i="8"/>
  <c r="G628" i="7" s="1"/>
  <c r="I628" i="7" s="1"/>
  <c r="I631" i="7" s="1"/>
  <c r="N150" i="9"/>
  <c r="O150" i="9" s="1"/>
  <c r="G34" i="15"/>
  <c r="G297" i="4"/>
  <c r="G298" i="5" s="1"/>
  <c r="H267" i="4"/>
  <c r="I267" i="4" s="1"/>
  <c r="H174" i="4"/>
  <c r="H175" i="5" s="1"/>
  <c r="H43" i="15"/>
  <c r="H227" i="4"/>
  <c r="H228" i="5" s="1"/>
  <c r="I228" i="5" s="1"/>
  <c r="I227" i="5" s="1"/>
  <c r="H320" i="4"/>
  <c r="H321" i="5" s="1"/>
  <c r="I321" i="5" s="1"/>
  <c r="I320" i="5" s="1"/>
  <c r="D17" i="18"/>
  <c r="F17" i="18" s="1"/>
  <c r="G94" i="4"/>
  <c r="G95" i="5" s="1"/>
  <c r="G704" i="7"/>
  <c r="G63" i="4"/>
  <c r="G64" i="5" s="1"/>
  <c r="I613" i="7"/>
  <c r="I614" i="7" s="1"/>
  <c r="H365" i="4" s="1"/>
  <c r="N496" i="9"/>
  <c r="O496" i="9" s="1"/>
  <c r="N490" i="9"/>
  <c r="O490" i="9" s="1"/>
  <c r="N498" i="9"/>
  <c r="O498" i="9" s="1"/>
  <c r="H377" i="4"/>
  <c r="I377" i="4" s="1"/>
  <c r="G205" i="4"/>
  <c r="G206" i="5" s="1"/>
  <c r="I662" i="7"/>
  <c r="I663" i="7" s="1"/>
  <c r="H280" i="4" s="1"/>
  <c r="N489" i="9"/>
  <c r="O489" i="9" s="1"/>
  <c r="N497" i="9"/>
  <c r="O497" i="9" s="1"/>
  <c r="G390" i="4"/>
  <c r="G391" i="5" s="1"/>
  <c r="G564" i="7"/>
  <c r="I564" i="7" s="1"/>
  <c r="H439" i="4"/>
  <c r="H440" i="5" s="1"/>
  <c r="H470" i="4"/>
  <c r="H471" i="5" s="1"/>
  <c r="G112" i="4"/>
  <c r="G113" i="5" s="1"/>
  <c r="G413" i="9"/>
  <c r="L413" i="9" s="1"/>
  <c r="G655" i="7"/>
  <c r="L655" i="7" s="1"/>
  <c r="N487" i="9"/>
  <c r="O487" i="9" s="1"/>
  <c r="G249" i="4"/>
  <c r="G250" i="5" s="1"/>
  <c r="G761" i="8"/>
  <c r="L761" i="8" s="1"/>
  <c r="N491" i="9"/>
  <c r="O491" i="9" s="1"/>
  <c r="N493" i="9"/>
  <c r="O493" i="9" s="1"/>
  <c r="I269" i="8"/>
  <c r="G261" i="8" s="1"/>
  <c r="L261" i="8" s="1"/>
  <c r="H253" i="4"/>
  <c r="I253" i="4" s="1"/>
  <c r="H66" i="15"/>
  <c r="G391" i="4"/>
  <c r="G392" i="5" s="1"/>
  <c r="G33" i="15"/>
  <c r="F155" i="16"/>
  <c r="H155" i="16" s="1"/>
  <c r="G203" i="4"/>
  <c r="G204" i="5" s="1"/>
  <c r="G380" i="4"/>
  <c r="G381" i="5" s="1"/>
  <c r="I437" i="5"/>
  <c r="F154" i="16"/>
  <c r="H154" i="16" s="1"/>
  <c r="G75" i="7"/>
  <c r="G366" i="4"/>
  <c r="G367" i="5" s="1"/>
  <c r="H9" i="4"/>
  <c r="I9" i="4" s="1"/>
  <c r="I51" i="15" s="1"/>
  <c r="N503" i="9"/>
  <c r="O503" i="9" s="1"/>
  <c r="N502" i="9"/>
  <c r="O502" i="9" s="1"/>
  <c r="I81" i="7"/>
  <c r="I82" i="7" s="1"/>
  <c r="H390" i="4" s="1"/>
  <c r="M437" i="5"/>
  <c r="H67" i="4"/>
  <c r="I67" i="4" s="1"/>
  <c r="I286" i="9"/>
  <c r="G339" i="8" s="1"/>
  <c r="I339" i="8" s="1"/>
  <c r="G298" i="4"/>
  <c r="G299" i="5" s="1"/>
  <c r="I623" i="7"/>
  <c r="I624" i="7" s="1"/>
  <c r="H160" i="4"/>
  <c r="H161" i="5" s="1"/>
  <c r="G466" i="4"/>
  <c r="G467" i="5" s="1"/>
  <c r="G18" i="4"/>
  <c r="G19" i="5" s="1"/>
  <c r="G20" i="15"/>
  <c r="G209" i="4"/>
  <c r="G210" i="5" s="1"/>
  <c r="G23" i="4"/>
  <c r="G24" i="5" s="1"/>
  <c r="G156" i="4"/>
  <c r="G157" i="5" s="1"/>
  <c r="G302" i="4"/>
  <c r="G303" i="5" s="1"/>
  <c r="G124" i="7"/>
  <c r="N494" i="9"/>
  <c r="O494" i="9" s="1"/>
  <c r="N499" i="9"/>
  <c r="O499" i="9" s="1"/>
  <c r="N504" i="9"/>
  <c r="O504" i="9" s="1"/>
  <c r="G395" i="4"/>
  <c r="G396" i="5" s="1"/>
  <c r="G507" i="7"/>
  <c r="I507" i="7" s="1"/>
  <c r="N290" i="9"/>
  <c r="O290" i="9" s="1"/>
  <c r="H41" i="4"/>
  <c r="H360" i="4"/>
  <c r="I313" i="8"/>
  <c r="G305" i="8" s="1"/>
  <c r="L305" i="8" s="1"/>
  <c r="N292" i="9"/>
  <c r="O292" i="9" s="1"/>
  <c r="N295" i="9"/>
  <c r="O295" i="9" s="1"/>
  <c r="F81" i="16"/>
  <c r="H81" i="16" s="1"/>
  <c r="N297" i="9"/>
  <c r="O297" i="9" s="1"/>
  <c r="H453" i="4"/>
  <c r="I453" i="4" s="1"/>
  <c r="H84" i="4"/>
  <c r="H85" i="5" s="1"/>
  <c r="I85" i="5" s="1"/>
  <c r="I84" i="5" s="1"/>
  <c r="I710" i="7"/>
  <c r="I711" i="7" s="1"/>
  <c r="G378" i="4"/>
  <c r="G379" i="5" s="1"/>
  <c r="G99" i="4"/>
  <c r="G100" i="5" s="1"/>
  <c r="G471" i="4"/>
  <c r="G472" i="5" s="1"/>
  <c r="N95" i="8"/>
  <c r="O95" i="8" s="1"/>
  <c r="G19" i="4"/>
  <c r="G20" i="5" s="1"/>
  <c r="G58" i="15"/>
  <c r="G473" i="4"/>
  <c r="G474" i="5" s="1"/>
  <c r="H239" i="4"/>
  <c r="H240" i="5" s="1"/>
  <c r="G73" i="15"/>
  <c r="G165" i="4"/>
  <c r="G166" i="5" s="1"/>
  <c r="G8" i="4"/>
  <c r="G9" i="5" s="1"/>
  <c r="G413" i="8"/>
  <c r="I413" i="8" s="1"/>
  <c r="I418" i="8" s="1"/>
  <c r="G412" i="8" s="1"/>
  <c r="L412" i="8" s="1"/>
  <c r="G272" i="4"/>
  <c r="G273" i="5" s="1"/>
  <c r="G240" i="4"/>
  <c r="G241" i="5" s="1"/>
  <c r="H53" i="4"/>
  <c r="H54" i="5" s="1"/>
  <c r="G85" i="7"/>
  <c r="H81" i="4"/>
  <c r="N294" i="9"/>
  <c r="O294" i="9" s="1"/>
  <c r="N129" i="8"/>
  <c r="O129" i="8" s="1"/>
  <c r="F140" i="16"/>
  <c r="H140" i="16" s="1"/>
  <c r="H413" i="4"/>
  <c r="H414" i="5" s="1"/>
  <c r="G54" i="4"/>
  <c r="G55" i="5" s="1"/>
  <c r="H146" i="4"/>
  <c r="I146" i="4" s="1"/>
  <c r="G350" i="8"/>
  <c r="I350" i="8" s="1"/>
  <c r="I355" i="8" s="1"/>
  <c r="G334" i="7" s="1"/>
  <c r="I334" i="7" s="1"/>
  <c r="H251" i="5"/>
  <c r="M251" i="5" s="1"/>
  <c r="I64" i="4"/>
  <c r="G184" i="4"/>
  <c r="G185" i="5" s="1"/>
  <c r="G147" i="4"/>
  <c r="G148" i="5" s="1"/>
  <c r="H41" i="15"/>
  <c r="G180" i="4"/>
  <c r="G181" i="5" s="1"/>
  <c r="F231" i="16"/>
  <c r="H231" i="16" s="1"/>
  <c r="N296" i="9"/>
  <c r="O296" i="9" s="1"/>
  <c r="H134" i="4"/>
  <c r="H135" i="5" s="1"/>
  <c r="N131" i="8"/>
  <c r="O131" i="8" s="1"/>
  <c r="J293" i="5"/>
  <c r="L293" i="5" s="1"/>
  <c r="G194" i="4"/>
  <c r="G195" i="5" s="1"/>
  <c r="G287" i="4"/>
  <c r="G288" i="5" s="1"/>
  <c r="G617" i="7"/>
  <c r="L617" i="7" s="1"/>
  <c r="G607" i="7"/>
  <c r="G426" i="4"/>
  <c r="G427" i="5" s="1"/>
  <c r="H332" i="4"/>
  <c r="G285" i="4"/>
  <c r="G286" i="5" s="1"/>
  <c r="H115" i="4"/>
  <c r="H116" i="5" s="1"/>
  <c r="H53" i="15"/>
  <c r="N127" i="8"/>
  <c r="O127" i="8" s="1"/>
  <c r="H16" i="15"/>
  <c r="G62" i="15"/>
  <c r="I671" i="7"/>
  <c r="I672" i="7" s="1"/>
  <c r="G467" i="4"/>
  <c r="G468" i="5" s="1"/>
  <c r="G666" i="7"/>
  <c r="G281" i="4"/>
  <c r="G282" i="5" s="1"/>
  <c r="G188" i="4"/>
  <c r="G189" i="5" s="1"/>
  <c r="N130" i="8"/>
  <c r="O130" i="8" s="1"/>
  <c r="G474" i="4"/>
  <c r="G475" i="5" s="1"/>
  <c r="D44" i="18"/>
  <c r="F44" i="18" s="1"/>
  <c r="G195" i="4"/>
  <c r="G196" i="5" s="1"/>
  <c r="D16" i="18"/>
  <c r="F16" i="18" s="1"/>
  <c r="D26" i="18"/>
  <c r="F26" i="18" s="1"/>
  <c r="F54" i="16"/>
  <c r="H54" i="16" s="1"/>
  <c r="G368" i="8"/>
  <c r="I368" i="8" s="1"/>
  <c r="I373" i="8" s="1"/>
  <c r="G367" i="8" s="1"/>
  <c r="L367" i="8" s="1"/>
  <c r="G102" i="4"/>
  <c r="G103" i="5" s="1"/>
  <c r="G374" i="4"/>
  <c r="G375" i="5" s="1"/>
  <c r="G431" i="8"/>
  <c r="I431" i="8" s="1"/>
  <c r="I436" i="8" s="1"/>
  <c r="G430" i="8" s="1"/>
  <c r="L430" i="8" s="1"/>
  <c r="G288" i="4"/>
  <c r="G289" i="5" s="1"/>
  <c r="P293" i="5"/>
  <c r="R293" i="5" s="1"/>
  <c r="G381" i="4"/>
  <c r="G382" i="5" s="1"/>
  <c r="F145" i="16"/>
  <c r="H145" i="16" s="1"/>
  <c r="D15" i="18"/>
  <c r="F15" i="18" s="1"/>
  <c r="H177" i="4"/>
  <c r="I177" i="4" s="1"/>
  <c r="I176" i="4" s="1"/>
  <c r="M293" i="5"/>
  <c r="O293" i="5" s="1"/>
  <c r="N372" i="9"/>
  <c r="O372" i="9" s="1"/>
  <c r="P437" i="5"/>
  <c r="I275" i="9"/>
  <c r="G266" i="9" s="1"/>
  <c r="L266" i="9" s="1"/>
  <c r="G724" i="7"/>
  <c r="I464" i="8"/>
  <c r="G457" i="8" s="1"/>
  <c r="L457" i="8" s="1"/>
  <c r="N360" i="9"/>
  <c r="O360" i="9" s="1"/>
  <c r="I436" i="4"/>
  <c r="H22" i="4"/>
  <c r="H23" i="5" s="1"/>
  <c r="I732" i="7"/>
  <c r="I733" i="7" s="1"/>
  <c r="G95" i="4"/>
  <c r="G96" i="5" s="1"/>
  <c r="H353" i="4"/>
  <c r="H354" i="5" s="1"/>
  <c r="H446" i="4"/>
  <c r="I446" i="4" s="1"/>
  <c r="H167" i="4"/>
  <c r="I167" i="4" s="1"/>
  <c r="H260" i="4"/>
  <c r="H261" i="5" s="1"/>
  <c r="H61" i="15"/>
  <c r="H201" i="4"/>
  <c r="H108" i="4"/>
  <c r="H294" i="4"/>
  <c r="H18" i="15"/>
  <c r="H387" i="4"/>
  <c r="H15" i="4"/>
  <c r="H16" i="5" s="1"/>
  <c r="H97" i="4"/>
  <c r="H283" i="4"/>
  <c r="H469" i="4"/>
  <c r="H190" i="4"/>
  <c r="I190" i="4" s="1"/>
  <c r="H376" i="4"/>
  <c r="H377" i="5" s="1"/>
  <c r="H68" i="15"/>
  <c r="N365" i="9"/>
  <c r="O365" i="9" s="1"/>
  <c r="H395" i="5"/>
  <c r="I394" i="4"/>
  <c r="D94" i="17"/>
  <c r="F94" i="17" s="1"/>
  <c r="N38" i="8"/>
  <c r="O38" i="8" s="1"/>
  <c r="N23" i="9" s="1"/>
  <c r="O23" i="9" s="1"/>
  <c r="N41" i="8"/>
  <c r="O41" i="8" s="1"/>
  <c r="H28" i="4"/>
  <c r="H214" i="4"/>
  <c r="H307" i="4"/>
  <c r="H400" i="4"/>
  <c r="H170" i="4"/>
  <c r="H263" i="4"/>
  <c r="H449" i="4"/>
  <c r="H70" i="15"/>
  <c r="H356" i="4"/>
  <c r="G365" i="4"/>
  <c r="G366" i="5" s="1"/>
  <c r="N133" i="8"/>
  <c r="O133" i="8" s="1"/>
  <c r="N44" i="8"/>
  <c r="O44" i="8" s="1"/>
  <c r="G179" i="4"/>
  <c r="G180" i="5" s="1"/>
  <c r="G375" i="4"/>
  <c r="G376" i="5" s="1"/>
  <c r="G282" i="4"/>
  <c r="G283" i="5" s="1"/>
  <c r="G96" i="4"/>
  <c r="G97" i="5" s="1"/>
  <c r="G468" i="4"/>
  <c r="G469" i="5" s="1"/>
  <c r="I682" i="7"/>
  <c r="I683" i="7" s="1"/>
  <c r="G189" i="4"/>
  <c r="G190" i="5" s="1"/>
  <c r="G675" i="7"/>
  <c r="G64" i="15"/>
  <c r="D78" i="17"/>
  <c r="F78" i="17" s="1"/>
  <c r="D32" i="18"/>
  <c r="F32" i="18" s="1"/>
  <c r="N39" i="8"/>
  <c r="O39" i="8" s="1"/>
  <c r="G277" i="4"/>
  <c r="G278" i="5" s="1"/>
  <c r="G123" i="4"/>
  <c r="G124" i="5" s="1"/>
  <c r="G216" i="4"/>
  <c r="G217" i="5" s="1"/>
  <c r="G30" i="4"/>
  <c r="G31" i="5" s="1"/>
  <c r="G402" i="4"/>
  <c r="G403" i="5" s="1"/>
  <c r="G179" i="7"/>
  <c r="G309" i="4"/>
  <c r="G310" i="5" s="1"/>
  <c r="G14" i="15"/>
  <c r="I185" i="7"/>
  <c r="I186" i="7" s="1"/>
  <c r="I25" i="15"/>
  <c r="N43" i="8"/>
  <c r="O43" i="8" s="1"/>
  <c r="F28" i="16"/>
  <c r="H28" i="16" s="1"/>
  <c r="G359" i="8"/>
  <c r="I359" i="8" s="1"/>
  <c r="I364" i="8" s="1"/>
  <c r="G358" i="8" s="1"/>
  <c r="L358" i="8" s="1"/>
  <c r="G91" i="4"/>
  <c r="G92" i="5" s="1"/>
  <c r="N302" i="9"/>
  <c r="O302" i="9" s="1"/>
  <c r="N304" i="9"/>
  <c r="O304" i="9" s="1"/>
  <c r="F184" i="16" s="1"/>
  <c r="H184" i="16" s="1"/>
  <c r="N303" i="9"/>
  <c r="O303" i="9" s="1"/>
  <c r="G403" i="4"/>
  <c r="G404" i="5" s="1"/>
  <c r="G29" i="15"/>
  <c r="G31" i="4"/>
  <c r="G32" i="5" s="1"/>
  <c r="I194" i="7"/>
  <c r="I195" i="7" s="1"/>
  <c r="G124" i="4"/>
  <c r="G125" i="5" s="1"/>
  <c r="G217" i="4"/>
  <c r="G218" i="5" s="1"/>
  <c r="G189" i="7"/>
  <c r="G310" i="4"/>
  <c r="G311" i="5" s="1"/>
  <c r="F246" i="16"/>
  <c r="H246" i="16" s="1"/>
  <c r="I295" i="8"/>
  <c r="G322" i="7" s="1"/>
  <c r="I322" i="7" s="1"/>
  <c r="I286" i="4"/>
  <c r="N132" i="8"/>
  <c r="O132" i="8" s="1"/>
  <c r="H121" i="4"/>
  <c r="I121" i="4" s="1"/>
  <c r="D183" i="17"/>
  <c r="F183" i="17" s="1"/>
  <c r="O294" i="5"/>
  <c r="F233" i="16"/>
  <c r="H233" i="16" s="1"/>
  <c r="D25" i="18"/>
  <c r="F25" i="18" s="1"/>
  <c r="H59" i="15"/>
  <c r="N375" i="9"/>
  <c r="O375" i="9" s="1"/>
  <c r="Q150" i="9"/>
  <c r="R150" i="9" s="1"/>
  <c r="G422" i="8"/>
  <c r="I422" i="8" s="1"/>
  <c r="I427" i="8" s="1"/>
  <c r="G421" i="8" s="1"/>
  <c r="L421" i="8" s="1"/>
  <c r="G463" i="4"/>
  <c r="G464" i="5" s="1"/>
  <c r="N283" i="9"/>
  <c r="O283" i="9" s="1"/>
  <c r="N281" i="9"/>
  <c r="O281" i="9" s="1"/>
  <c r="N282" i="9"/>
  <c r="O282" i="9" s="1"/>
  <c r="N284" i="9"/>
  <c r="O284" i="9" s="1"/>
  <c r="N279" i="9"/>
  <c r="O279" i="9" s="1"/>
  <c r="N280" i="9"/>
  <c r="O280" i="9" s="1"/>
  <c r="N285" i="9"/>
  <c r="O285" i="9" s="1"/>
  <c r="F157" i="16" s="1"/>
  <c r="H157" i="16" s="1"/>
  <c r="N363" i="9"/>
  <c r="O363" i="9" s="1"/>
  <c r="G458" i="4"/>
  <c r="G459" i="5" s="1"/>
  <c r="N364" i="9"/>
  <c r="O364" i="9" s="1"/>
  <c r="Q145" i="9"/>
  <c r="R145" i="9" s="1"/>
  <c r="N99" i="8"/>
  <c r="O99" i="8" s="1"/>
  <c r="H47" i="15"/>
  <c r="H186" i="4"/>
  <c r="H372" i="4"/>
  <c r="H279" i="4"/>
  <c r="H465" i="4"/>
  <c r="H93" i="4"/>
  <c r="H63" i="4"/>
  <c r="H33" i="15"/>
  <c r="H435" i="4"/>
  <c r="H249" i="4"/>
  <c r="H156" i="4"/>
  <c r="H342" i="4"/>
  <c r="H298" i="4"/>
  <c r="H391" i="4"/>
  <c r="H205" i="4"/>
  <c r="H112" i="4"/>
  <c r="H73" i="15"/>
  <c r="H19" i="4"/>
  <c r="H445" i="4"/>
  <c r="G448" i="8"/>
  <c r="L448" i="8" s="1"/>
  <c r="G345" i="7"/>
  <c r="I345" i="7" s="1"/>
  <c r="H67" i="5"/>
  <c r="I66" i="4"/>
  <c r="Q528" i="9"/>
  <c r="R528" i="9" s="1"/>
  <c r="Q527" i="9"/>
  <c r="R527" i="9" s="1"/>
  <c r="Q524" i="9"/>
  <c r="R524" i="9" s="1"/>
  <c r="Q525" i="9"/>
  <c r="R525" i="9" s="1"/>
  <c r="Q521" i="9"/>
  <c r="R521" i="9" s="1"/>
  <c r="Q526" i="9"/>
  <c r="R526" i="9" s="1"/>
  <c r="Q522" i="9"/>
  <c r="R522" i="9" s="1"/>
  <c r="Q523" i="9"/>
  <c r="R523" i="9" s="1"/>
  <c r="H78" i="4"/>
  <c r="H357" i="4"/>
  <c r="H450" i="4"/>
  <c r="H171" i="4"/>
  <c r="H264" i="4"/>
  <c r="H296" i="4"/>
  <c r="H110" i="4"/>
  <c r="H389" i="4"/>
  <c r="H17" i="4"/>
  <c r="H74" i="15"/>
  <c r="H203" i="4"/>
  <c r="G117" i="8"/>
  <c r="L117" i="8" s="1"/>
  <c r="G98" i="7"/>
  <c r="I98" i="7" s="1"/>
  <c r="I99" i="7" s="1"/>
  <c r="Q318" i="9"/>
  <c r="R318" i="9" s="1"/>
  <c r="D12" i="17" s="1"/>
  <c r="F12" i="17" s="1"/>
  <c r="Q316" i="9"/>
  <c r="R316" i="9" s="1"/>
  <c r="Q317" i="9"/>
  <c r="R317" i="9" s="1"/>
  <c r="N453" i="9"/>
  <c r="O453" i="9" s="1"/>
  <c r="N297" i="10" s="1"/>
  <c r="O297" i="10" s="1"/>
  <c r="N456" i="9"/>
  <c r="O456" i="9" s="1"/>
  <c r="N454" i="9"/>
  <c r="O454" i="9" s="1"/>
  <c r="F139" i="16" s="1"/>
  <c r="H139" i="16" s="1"/>
  <c r="N458" i="9"/>
  <c r="O458" i="9" s="1"/>
  <c r="N460" i="9"/>
  <c r="O460" i="9" s="1"/>
  <c r="N455" i="9"/>
  <c r="O455" i="9" s="1"/>
  <c r="F132" i="16" s="1"/>
  <c r="H132" i="16" s="1"/>
  <c r="N457" i="9"/>
  <c r="O457" i="9" s="1"/>
  <c r="N459" i="9"/>
  <c r="O459" i="9" s="1"/>
  <c r="N248" i="9"/>
  <c r="O248" i="9" s="1"/>
  <c r="N130" i="10" s="1"/>
  <c r="O130" i="10" s="1"/>
  <c r="N247" i="9"/>
  <c r="O247" i="9" s="1"/>
  <c r="N125" i="10" s="1"/>
  <c r="O125" i="10" s="1"/>
  <c r="N250" i="9"/>
  <c r="O250" i="9" s="1"/>
  <c r="N249" i="9"/>
  <c r="O249" i="9" s="1"/>
  <c r="N359" i="9"/>
  <c r="O359" i="9" s="1"/>
  <c r="N204" i="10" s="1"/>
  <c r="O204" i="10" s="1"/>
  <c r="N100" i="8"/>
  <c r="O100" i="8" s="1"/>
  <c r="Q491" i="9"/>
  <c r="R491" i="9" s="1"/>
  <c r="Q489" i="9"/>
  <c r="R489" i="9" s="1"/>
  <c r="Q488" i="9"/>
  <c r="R488" i="9" s="1"/>
  <c r="Q490" i="9"/>
  <c r="R490" i="9" s="1"/>
  <c r="Q487" i="9"/>
  <c r="R487" i="9" s="1"/>
  <c r="Q498" i="9"/>
  <c r="R498" i="9" s="1"/>
  <c r="Q500" i="9"/>
  <c r="R500" i="9" s="1"/>
  <c r="Q501" i="9"/>
  <c r="R501" i="9" s="1"/>
  <c r="Q504" i="9"/>
  <c r="R504" i="9" s="1"/>
  <c r="Q492" i="9"/>
  <c r="R492" i="9" s="1"/>
  <c r="Q493" i="9"/>
  <c r="R493" i="9" s="1"/>
  <c r="Q506" i="9"/>
  <c r="R506" i="9" s="1"/>
  <c r="Q502" i="9"/>
  <c r="R502" i="9" s="1"/>
  <c r="Q499" i="9"/>
  <c r="R499" i="9" s="1"/>
  <c r="Q497" i="9"/>
  <c r="R497" i="9" s="1"/>
  <c r="Q495" i="9"/>
  <c r="R495" i="9" s="1"/>
  <c r="Q494" i="9"/>
  <c r="R494" i="9" s="1"/>
  <c r="Q505" i="9"/>
  <c r="R505" i="9" s="1"/>
  <c r="Q496" i="9"/>
  <c r="R496" i="9" s="1"/>
  <c r="Q503" i="9"/>
  <c r="R503" i="9" s="1"/>
  <c r="N376" i="9"/>
  <c r="O376" i="9" s="1"/>
  <c r="N521" i="8"/>
  <c r="O521" i="8" s="1"/>
  <c r="N518" i="8"/>
  <c r="O518" i="8" s="1"/>
  <c r="N519" i="8"/>
  <c r="O519" i="8" s="1"/>
  <c r="N516" i="8"/>
  <c r="O516" i="8" s="1"/>
  <c r="N517" i="8"/>
  <c r="O517" i="8" s="1"/>
  <c r="N67" i="9" s="1"/>
  <c r="O67" i="9" s="1"/>
  <c r="N520" i="8"/>
  <c r="O520" i="8" s="1"/>
  <c r="N522" i="8"/>
  <c r="O522" i="8" s="1"/>
  <c r="G515" i="8"/>
  <c r="L515" i="8" s="1"/>
  <c r="G480" i="7"/>
  <c r="I480" i="7" s="1"/>
  <c r="I486" i="7" s="1"/>
  <c r="N101" i="8"/>
  <c r="O101" i="8" s="1"/>
  <c r="N289" i="8"/>
  <c r="O289" i="8" s="1"/>
  <c r="N288" i="8"/>
  <c r="O288" i="8" s="1"/>
  <c r="N294" i="8"/>
  <c r="O294" i="8" s="1"/>
  <c r="N293" i="8"/>
  <c r="O293" i="8" s="1"/>
  <c r="N291" i="8"/>
  <c r="O291" i="8" s="1"/>
  <c r="N292" i="8"/>
  <c r="O292" i="8" s="1"/>
  <c r="F66" i="16" s="1"/>
  <c r="H66" i="16" s="1"/>
  <c r="N290" i="8"/>
  <c r="O290" i="8" s="1"/>
  <c r="I313" i="7"/>
  <c r="I314" i="7" s="1"/>
  <c r="G305" i="7"/>
  <c r="L305" i="7" s="1"/>
  <c r="G50" i="15"/>
  <c r="G231" i="4"/>
  <c r="G232" i="5" s="1"/>
  <c r="G45" i="4"/>
  <c r="G46" i="5" s="1"/>
  <c r="G324" i="4"/>
  <c r="G325" i="5" s="1"/>
  <c r="G138" i="4"/>
  <c r="G139" i="5" s="1"/>
  <c r="G417" i="4"/>
  <c r="G418" i="5" s="1"/>
  <c r="Q362" i="9"/>
  <c r="R362" i="9" s="1"/>
  <c r="Q364" i="9"/>
  <c r="R364" i="9" s="1"/>
  <c r="Q363" i="9"/>
  <c r="R363" i="9" s="1"/>
  <c r="Q360" i="9"/>
  <c r="R360" i="9" s="1"/>
  <c r="Q361" i="9"/>
  <c r="R361" i="9" s="1"/>
  <c r="Q359" i="9"/>
  <c r="R359" i="9" s="1"/>
  <c r="Q204" i="10" s="1"/>
  <c r="R204" i="10" s="1"/>
  <c r="Q365" i="9"/>
  <c r="R365" i="9" s="1"/>
  <c r="Q366" i="9"/>
  <c r="R366" i="9" s="1"/>
  <c r="P386" i="5"/>
  <c r="M386" i="5"/>
  <c r="J386" i="5"/>
  <c r="I386" i="5"/>
  <c r="H346" i="5"/>
  <c r="I345" i="4"/>
  <c r="S176" i="5"/>
  <c r="L176" i="5"/>
  <c r="Q407" i="9"/>
  <c r="R407" i="9" s="1"/>
  <c r="Q409" i="9"/>
  <c r="R409" i="9" s="1"/>
  <c r="Q408" i="9"/>
  <c r="R408" i="9" s="1"/>
  <c r="Q404" i="9"/>
  <c r="R404" i="9" s="1"/>
  <c r="Q402" i="9"/>
  <c r="R402" i="9" s="1"/>
  <c r="Q231" i="10" s="1"/>
  <c r="R231" i="10" s="1"/>
  <c r="Q403" i="9"/>
  <c r="R403" i="9" s="1"/>
  <c r="Q405" i="9"/>
  <c r="R405" i="9" s="1"/>
  <c r="Q406" i="9"/>
  <c r="R406" i="9" s="1"/>
  <c r="I427" i="7"/>
  <c r="I428" i="7" s="1"/>
  <c r="G422" i="7"/>
  <c r="L422" i="7" s="1"/>
  <c r="G432" i="4"/>
  <c r="G433" i="5" s="1"/>
  <c r="G46" i="15"/>
  <c r="G153" i="4"/>
  <c r="G154" i="5" s="1"/>
  <c r="G246" i="4"/>
  <c r="G247" i="5" s="1"/>
  <c r="G60" i="4"/>
  <c r="G61" i="5" s="1"/>
  <c r="G339" i="4"/>
  <c r="G340" i="5" s="1"/>
  <c r="N374" i="9"/>
  <c r="O374" i="9" s="1"/>
  <c r="I61" i="7"/>
  <c r="I62" i="7" s="1"/>
  <c r="G55" i="7"/>
  <c r="G16" i="4"/>
  <c r="G17" i="5" s="1"/>
  <c r="G295" i="4"/>
  <c r="G296" i="5" s="1"/>
  <c r="G109" i="4"/>
  <c r="G110" i="5" s="1"/>
  <c r="G202" i="4"/>
  <c r="G203" i="5" s="1"/>
  <c r="G9" i="15"/>
  <c r="G388" i="4"/>
  <c r="G389" i="5" s="1"/>
  <c r="N96" i="8"/>
  <c r="O96" i="8" s="1"/>
  <c r="Q332" i="9"/>
  <c r="R332" i="9" s="1"/>
  <c r="Q331" i="9"/>
  <c r="R331" i="9" s="1"/>
  <c r="Q330" i="9"/>
  <c r="R330" i="9" s="1"/>
  <c r="G479" i="8"/>
  <c r="L479" i="8" s="1"/>
  <c r="G399" i="7"/>
  <c r="I399" i="7" s="1"/>
  <c r="I402" i="7" s="1"/>
  <c r="F167" i="16"/>
  <c r="H167" i="16" s="1"/>
  <c r="D99" i="17"/>
  <c r="F99" i="17" s="1"/>
  <c r="N362" i="9"/>
  <c r="O362" i="9" s="1"/>
  <c r="N377" i="9"/>
  <c r="O377" i="9" s="1"/>
  <c r="H351" i="4"/>
  <c r="H72" i="4"/>
  <c r="H165" i="4"/>
  <c r="H69" i="15"/>
  <c r="H258" i="4"/>
  <c r="H444" i="4"/>
  <c r="N45" i="8"/>
  <c r="O45" i="8" s="1"/>
  <c r="F169" i="16"/>
  <c r="H169" i="16" s="1"/>
  <c r="Q372" i="9"/>
  <c r="R372" i="9" s="1"/>
  <c r="Q376" i="9"/>
  <c r="R376" i="9" s="1"/>
  <c r="Q377" i="9"/>
  <c r="R377" i="9" s="1"/>
  <c r="Q375" i="9"/>
  <c r="R375" i="9" s="1"/>
  <c r="Q371" i="9"/>
  <c r="R371" i="9" s="1"/>
  <c r="Q209" i="10" s="1"/>
  <c r="R209" i="10" s="1"/>
  <c r="Q373" i="9"/>
  <c r="R373" i="9" s="1"/>
  <c r="Q378" i="9"/>
  <c r="R378" i="9" s="1"/>
  <c r="Q374" i="9"/>
  <c r="R374" i="9" s="1"/>
  <c r="H213" i="5"/>
  <c r="I212" i="4"/>
  <c r="N317" i="9"/>
  <c r="O317" i="9" s="1"/>
  <c r="N316" i="9"/>
  <c r="O316" i="9" s="1"/>
  <c r="N318" i="9"/>
  <c r="O318" i="9" s="1"/>
  <c r="N281" i="8"/>
  <c r="O281" i="8" s="1"/>
  <c r="N280" i="8"/>
  <c r="O280" i="8" s="1"/>
  <c r="N283" i="8"/>
  <c r="O283" i="8" s="1"/>
  <c r="N282" i="8"/>
  <c r="O282" i="8" s="1"/>
  <c r="F65" i="16" s="1"/>
  <c r="H65" i="16" s="1"/>
  <c r="H302" i="5"/>
  <c r="I301" i="4"/>
  <c r="N415" i="9"/>
  <c r="O415" i="9" s="1"/>
  <c r="N416" i="9"/>
  <c r="O416" i="9" s="1"/>
  <c r="F183" i="16" s="1"/>
  <c r="H183" i="16" s="1"/>
  <c r="N414" i="9"/>
  <c r="O414" i="9" s="1"/>
  <c r="N417" i="9"/>
  <c r="O417" i="9" s="1"/>
  <c r="F180" i="16" s="1"/>
  <c r="H180" i="16" s="1"/>
  <c r="O387" i="5"/>
  <c r="R107" i="5"/>
  <c r="I555" i="7"/>
  <c r="I556" i="7" s="1"/>
  <c r="G549" i="7"/>
  <c r="L549" i="7" s="1"/>
  <c r="G261" i="4"/>
  <c r="G262" i="5" s="1"/>
  <c r="G75" i="4"/>
  <c r="G76" i="5" s="1"/>
  <c r="G354" i="4"/>
  <c r="G355" i="5" s="1"/>
  <c r="G168" i="4"/>
  <c r="G169" i="5" s="1"/>
  <c r="G65" i="15"/>
  <c r="G447" i="4"/>
  <c r="G448" i="5" s="1"/>
  <c r="R294" i="5"/>
  <c r="H23" i="4"/>
  <c r="H395" i="4"/>
  <c r="H302" i="4"/>
  <c r="H209" i="4"/>
  <c r="H116" i="4"/>
  <c r="H20" i="15"/>
  <c r="Q469" i="9"/>
  <c r="R469" i="9" s="1"/>
  <c r="Q482" i="9"/>
  <c r="R482" i="9" s="1"/>
  <c r="Q467" i="9"/>
  <c r="R467" i="9" s="1"/>
  <c r="Q480" i="9"/>
  <c r="R480" i="9" s="1"/>
  <c r="Q479" i="9"/>
  <c r="R479" i="9" s="1"/>
  <c r="Q478" i="9"/>
  <c r="R478" i="9" s="1"/>
  <c r="Q476" i="9"/>
  <c r="R476" i="9" s="1"/>
  <c r="Q473" i="9"/>
  <c r="R473" i="9" s="1"/>
  <c r="Q471" i="9"/>
  <c r="R471" i="9" s="1"/>
  <c r="Q477" i="9"/>
  <c r="R477" i="9" s="1"/>
  <c r="Q474" i="9"/>
  <c r="R474" i="9" s="1"/>
  <c r="Q481" i="9"/>
  <c r="R481" i="9" s="1"/>
  <c r="Q475" i="9"/>
  <c r="R475" i="9" s="1"/>
  <c r="Q465" i="9"/>
  <c r="R465" i="9" s="1"/>
  <c r="Q472" i="9"/>
  <c r="R472" i="9" s="1"/>
  <c r="Q470" i="9"/>
  <c r="R470" i="9" s="1"/>
  <c r="Q468" i="9"/>
  <c r="R468" i="9" s="1"/>
  <c r="Q466" i="9"/>
  <c r="R466" i="9" s="1"/>
  <c r="M14" i="5"/>
  <c r="J14" i="5"/>
  <c r="P14" i="5"/>
  <c r="I14" i="5"/>
  <c r="N544" i="9"/>
  <c r="O544" i="9" s="1"/>
  <c r="N542" i="9"/>
  <c r="O542" i="9" s="1"/>
  <c r="N539" i="9"/>
  <c r="O539" i="9" s="1"/>
  <c r="N540" i="9"/>
  <c r="O540" i="9" s="1"/>
  <c r="N538" i="9"/>
  <c r="O538" i="9" s="1"/>
  <c r="N537" i="9"/>
  <c r="O537" i="9" s="1"/>
  <c r="N536" i="9"/>
  <c r="O536" i="9" s="1"/>
  <c r="N543" i="9"/>
  <c r="O543" i="9" s="1"/>
  <c r="N533" i="9"/>
  <c r="O533" i="9" s="1"/>
  <c r="N545" i="9"/>
  <c r="O545" i="9" s="1"/>
  <c r="N534" i="9"/>
  <c r="O534" i="9" s="1"/>
  <c r="N541" i="9"/>
  <c r="O541" i="9" s="1"/>
  <c r="N548" i="9"/>
  <c r="O548" i="9" s="1"/>
  <c r="N535" i="9"/>
  <c r="O535" i="9" s="1"/>
  <c r="N546" i="9"/>
  <c r="O546" i="9" s="1"/>
  <c r="N547" i="9"/>
  <c r="O547" i="9" s="1"/>
  <c r="N299" i="8"/>
  <c r="O299" i="8" s="1"/>
  <c r="N300" i="8"/>
  <c r="O300" i="8" s="1"/>
  <c r="N301" i="8"/>
  <c r="O301" i="8" s="1"/>
  <c r="H27" i="5"/>
  <c r="I26" i="4"/>
  <c r="Q188" i="9"/>
  <c r="R188" i="9" s="1"/>
  <c r="Q187" i="9"/>
  <c r="R187" i="9" s="1"/>
  <c r="Q438" i="9"/>
  <c r="R438" i="9" s="1"/>
  <c r="Q436" i="9"/>
  <c r="R436" i="9" s="1"/>
  <c r="Q437" i="9"/>
  <c r="R437" i="9" s="1"/>
  <c r="Q435" i="9"/>
  <c r="R435" i="9" s="1"/>
  <c r="H32" i="4"/>
  <c r="N525" i="9"/>
  <c r="O525" i="9" s="1"/>
  <c r="N523" i="9"/>
  <c r="O523" i="9" s="1"/>
  <c r="N526" i="9"/>
  <c r="O526" i="9" s="1"/>
  <c r="N521" i="9"/>
  <c r="O521" i="9" s="1"/>
  <c r="N528" i="9"/>
  <c r="O528" i="9" s="1"/>
  <c r="N524" i="9"/>
  <c r="O524" i="9" s="1"/>
  <c r="N522" i="9"/>
  <c r="O522" i="9" s="1"/>
  <c r="N527" i="9"/>
  <c r="O527" i="9" s="1"/>
  <c r="G403" i="8"/>
  <c r="L403" i="8" s="1"/>
  <c r="G340" i="7"/>
  <c r="I340" i="7" s="1"/>
  <c r="N241" i="9"/>
  <c r="O241" i="9" s="1"/>
  <c r="N242" i="9"/>
  <c r="O242" i="9" s="1"/>
  <c r="N373" i="9"/>
  <c r="O373" i="9" s="1"/>
  <c r="H333" i="4"/>
  <c r="H54" i="4"/>
  <c r="Q514" i="9"/>
  <c r="R514" i="9" s="1"/>
  <c r="Q512" i="9"/>
  <c r="R512" i="9" s="1"/>
  <c r="Q513" i="9"/>
  <c r="R513" i="9" s="1"/>
  <c r="D140" i="17" s="1"/>
  <c r="F140" i="17" s="1"/>
  <c r="Q515" i="9"/>
  <c r="R515" i="9" s="1"/>
  <c r="Q511" i="9"/>
  <c r="R511" i="9" s="1"/>
  <c r="D28" i="17" s="1"/>
  <c r="F28" i="17" s="1"/>
  <c r="Q516" i="9"/>
  <c r="R516" i="9" s="1"/>
  <c r="L26" i="5"/>
  <c r="T26" i="5" s="1"/>
  <c r="S26" i="5"/>
  <c r="S398" i="5"/>
  <c r="L398" i="5"/>
  <c r="T398" i="5" s="1"/>
  <c r="N361" i="9"/>
  <c r="O361" i="9" s="1"/>
  <c r="Q325" i="9"/>
  <c r="R325" i="9" s="1"/>
  <c r="D8" i="17" s="1"/>
  <c r="F8" i="17" s="1"/>
  <c r="Q324" i="9"/>
  <c r="R324" i="9" s="1"/>
  <c r="Q323" i="9"/>
  <c r="R323" i="9" s="1"/>
  <c r="Q241" i="9"/>
  <c r="R241" i="9" s="1"/>
  <c r="Q242" i="9"/>
  <c r="R242" i="9" s="1"/>
  <c r="G126" i="8"/>
  <c r="L126" i="8" s="1"/>
  <c r="G408" i="7"/>
  <c r="I408" i="7" s="1"/>
  <c r="I417" i="7" s="1"/>
  <c r="G107" i="7"/>
  <c r="I107" i="7" s="1"/>
  <c r="G655" i="8"/>
  <c r="L655" i="8" s="1"/>
  <c r="G562" i="7"/>
  <c r="I562" i="7" s="1"/>
  <c r="N378" i="9"/>
  <c r="O378" i="9" s="1"/>
  <c r="H362" i="5"/>
  <c r="I361" i="4"/>
  <c r="R387" i="5"/>
  <c r="H117" i="4"/>
  <c r="H37" i="15"/>
  <c r="H24" i="4"/>
  <c r="H210" i="4"/>
  <c r="H303" i="4"/>
  <c r="H396" i="4"/>
  <c r="N437" i="9"/>
  <c r="O437" i="9" s="1"/>
  <c r="N438" i="9"/>
  <c r="O438" i="9" s="1"/>
  <c r="N436" i="9"/>
  <c r="O436" i="9" s="1"/>
  <c r="N435" i="9"/>
  <c r="O435" i="9" s="1"/>
  <c r="N98" i="8"/>
  <c r="O98" i="8" s="1"/>
  <c r="Q210" i="9"/>
  <c r="R210" i="9" s="1"/>
  <c r="Q211" i="9"/>
  <c r="R211" i="9" s="1"/>
  <c r="Q209" i="9"/>
  <c r="R209" i="9" s="1"/>
  <c r="Q100" i="10" s="1"/>
  <c r="R100" i="10" s="1"/>
  <c r="Q212" i="9"/>
  <c r="R212" i="9" s="1"/>
  <c r="Q208" i="9"/>
  <c r="R208" i="9" s="1"/>
  <c r="Q95" i="10" s="1"/>
  <c r="R95" i="10" s="1"/>
  <c r="S107" i="5"/>
  <c r="L107" i="5"/>
  <c r="N403" i="9"/>
  <c r="O403" i="9" s="1"/>
  <c r="N404" i="9"/>
  <c r="O404" i="9" s="1"/>
  <c r="N402" i="9"/>
  <c r="O402" i="9" s="1"/>
  <c r="N231" i="10" s="1"/>
  <c r="O231" i="10" s="1"/>
  <c r="N408" i="9"/>
  <c r="O408" i="9" s="1"/>
  <c r="N409" i="9"/>
  <c r="O409" i="9" s="1"/>
  <c r="N406" i="9"/>
  <c r="O406" i="9" s="1"/>
  <c r="N405" i="9"/>
  <c r="O405" i="9" s="1"/>
  <c r="N407" i="9"/>
  <c r="O407" i="9" s="1"/>
  <c r="H384" i="4"/>
  <c r="H105" i="4"/>
  <c r="H23" i="15"/>
  <c r="H291" i="4"/>
  <c r="H198" i="4"/>
  <c r="H12" i="4"/>
  <c r="I274" i="7"/>
  <c r="N337" i="9"/>
  <c r="O337" i="9" s="1"/>
  <c r="N338" i="9"/>
  <c r="O338" i="9" s="1"/>
  <c r="D11" i="18"/>
  <c r="F11" i="18" s="1"/>
  <c r="I40" i="15"/>
  <c r="D53" i="18"/>
  <c r="F53" i="18" s="1"/>
  <c r="N307" i="8"/>
  <c r="O307" i="8" s="1"/>
  <c r="N194" i="9" s="1"/>
  <c r="O194" i="9" s="1"/>
  <c r="N68" i="10" s="1"/>
  <c r="O68" i="10" s="1"/>
  <c r="N308" i="8"/>
  <c r="O308" i="8" s="1"/>
  <c r="N310" i="8"/>
  <c r="O310" i="8" s="1"/>
  <c r="N309" i="8"/>
  <c r="O309" i="8" s="1"/>
  <c r="N311" i="8"/>
  <c r="O311" i="8" s="1"/>
  <c r="N312" i="8"/>
  <c r="O312" i="8" s="1"/>
  <c r="N306" i="8"/>
  <c r="O306" i="8" s="1"/>
  <c r="N187" i="9" s="1"/>
  <c r="O187" i="9" s="1"/>
  <c r="I82" i="4"/>
  <c r="H83" i="5"/>
  <c r="I119" i="4"/>
  <c r="H120" i="5"/>
  <c r="H333" i="5"/>
  <c r="I332" i="4"/>
  <c r="N97" i="8"/>
  <c r="O97" i="8" s="1"/>
  <c r="N260" i="9"/>
  <c r="O260" i="9" s="1"/>
  <c r="N258" i="9"/>
  <c r="O258" i="9" s="1"/>
  <c r="N256" i="9"/>
  <c r="O256" i="9" s="1"/>
  <c r="N255" i="9"/>
  <c r="O255" i="9" s="1"/>
  <c r="N135" i="10" s="1"/>
  <c r="O135" i="10" s="1"/>
  <c r="N257" i="9"/>
  <c r="O257" i="9" s="1"/>
  <c r="N262" i="9"/>
  <c r="O262" i="9" s="1"/>
  <c r="N259" i="9"/>
  <c r="O259" i="9" s="1"/>
  <c r="N261" i="9"/>
  <c r="O261" i="9" s="1"/>
  <c r="S212" i="5"/>
  <c r="L212" i="5"/>
  <c r="T212" i="5" s="1"/>
  <c r="H158" i="5"/>
  <c r="I157" i="4"/>
  <c r="S119" i="5"/>
  <c r="L119" i="5"/>
  <c r="T119" i="5" s="1"/>
  <c r="N272" i="9"/>
  <c r="O272" i="9" s="1"/>
  <c r="N271" i="9"/>
  <c r="O271" i="9" s="1"/>
  <c r="N274" i="9"/>
  <c r="O274" i="9" s="1"/>
  <c r="N268" i="9"/>
  <c r="O268" i="9" s="1"/>
  <c r="N273" i="9"/>
  <c r="O273" i="9" s="1"/>
  <c r="N269" i="9"/>
  <c r="O269" i="9" s="1"/>
  <c r="N267" i="9"/>
  <c r="O267" i="9" s="1"/>
  <c r="N270" i="9"/>
  <c r="O270" i="9" s="1"/>
  <c r="G316" i="8"/>
  <c r="L316" i="8" s="1"/>
  <c r="G331" i="7"/>
  <c r="I331" i="7" s="1"/>
  <c r="Q396" i="9"/>
  <c r="R396" i="9" s="1"/>
  <c r="Q394" i="9"/>
  <c r="R394" i="9" s="1"/>
  <c r="Q391" i="9"/>
  <c r="R391" i="9" s="1"/>
  <c r="Q392" i="9"/>
  <c r="R392" i="9" s="1"/>
  <c r="Q395" i="9"/>
  <c r="R395" i="9" s="1"/>
  <c r="Q397" i="9"/>
  <c r="R397" i="9" s="1"/>
  <c r="Q390" i="9"/>
  <c r="R390" i="9" s="1"/>
  <c r="Q226" i="10" s="1"/>
  <c r="R226" i="10" s="1"/>
  <c r="Q393" i="9"/>
  <c r="R393" i="9" s="1"/>
  <c r="H407" i="4"/>
  <c r="G278" i="9"/>
  <c r="L278" i="9" s="1"/>
  <c r="N425" i="9"/>
  <c r="O425" i="9" s="1"/>
  <c r="F209" i="16" s="1"/>
  <c r="H209" i="16" s="1"/>
  <c r="N423" i="9"/>
  <c r="O423" i="9" s="1"/>
  <c r="N422" i="9"/>
  <c r="O422" i="9" s="1"/>
  <c r="N424" i="9"/>
  <c r="O424" i="9" s="1"/>
  <c r="F222" i="16" s="1"/>
  <c r="H222" i="16" s="1"/>
  <c r="L387" i="5"/>
  <c r="S387" i="5"/>
  <c r="Q542" i="9"/>
  <c r="R542" i="9" s="1"/>
  <c r="Q539" i="9"/>
  <c r="R539" i="9" s="1"/>
  <c r="Q541" i="9"/>
  <c r="R541" i="9" s="1"/>
  <c r="Q533" i="9"/>
  <c r="R533" i="9" s="1"/>
  <c r="Q538" i="9"/>
  <c r="R538" i="9" s="1"/>
  <c r="Q545" i="9"/>
  <c r="R545" i="9" s="1"/>
  <c r="Q543" i="9"/>
  <c r="R543" i="9" s="1"/>
  <c r="Q547" i="9"/>
  <c r="R547" i="9" s="1"/>
  <c r="Q546" i="9"/>
  <c r="R546" i="9" s="1"/>
  <c r="Q548" i="9"/>
  <c r="R548" i="9" s="1"/>
  <c r="Q537" i="9"/>
  <c r="R537" i="9" s="1"/>
  <c r="Q535" i="9"/>
  <c r="R535" i="9" s="1"/>
  <c r="Q544" i="9"/>
  <c r="R544" i="9" s="1"/>
  <c r="Q534" i="9"/>
  <c r="R534" i="9" s="1"/>
  <c r="Q536" i="9"/>
  <c r="R536" i="9" s="1"/>
  <c r="Q540" i="9"/>
  <c r="R540" i="9" s="1"/>
  <c r="S200" i="5"/>
  <c r="L200" i="5"/>
  <c r="T200" i="5" s="1"/>
  <c r="I398" i="4"/>
  <c r="H399" i="5"/>
  <c r="N447" i="9"/>
  <c r="O447" i="9" s="1"/>
  <c r="N445" i="9"/>
  <c r="O445" i="9" s="1"/>
  <c r="N292" i="10" s="1"/>
  <c r="O292" i="10" s="1"/>
  <c r="N444" i="9"/>
  <c r="O444" i="9" s="1"/>
  <c r="N287" i="10" s="1"/>
  <c r="O287" i="10" s="1"/>
  <c r="N448" i="9"/>
  <c r="O448" i="9" s="1"/>
  <c r="N443" i="9"/>
  <c r="O443" i="9" s="1"/>
  <c r="N446" i="9"/>
  <c r="O446" i="9" s="1"/>
  <c r="I201" i="5"/>
  <c r="M201" i="5"/>
  <c r="J201" i="5"/>
  <c r="P201" i="5"/>
  <c r="Q344" i="9"/>
  <c r="R344" i="9" s="1"/>
  <c r="D10" i="17" s="1"/>
  <c r="F10" i="17" s="1"/>
  <c r="Q343" i="9"/>
  <c r="R343" i="9" s="1"/>
  <c r="D25" i="17"/>
  <c r="F25" i="17" s="1"/>
  <c r="O107" i="5"/>
  <c r="N385" i="9"/>
  <c r="O385" i="9" s="1"/>
  <c r="N383" i="9"/>
  <c r="O383" i="9" s="1"/>
  <c r="N384" i="9"/>
  <c r="O384" i="9" s="1"/>
  <c r="Q219" i="9"/>
  <c r="R219" i="9" s="1"/>
  <c r="Q224" i="9"/>
  <c r="R224" i="9" s="1"/>
  <c r="Q217" i="9"/>
  <c r="R217" i="9" s="1"/>
  <c r="Q105" i="10" s="1"/>
  <c r="R105" i="10" s="1"/>
  <c r="Q221" i="9"/>
  <c r="R221" i="9" s="1"/>
  <c r="Q220" i="9"/>
  <c r="R220" i="9" s="1"/>
  <c r="Q218" i="9"/>
  <c r="R218" i="9" s="1"/>
  <c r="Q222" i="9"/>
  <c r="R222" i="9" s="1"/>
  <c r="Q223" i="9"/>
  <c r="R223" i="9" s="1"/>
  <c r="M305" i="5"/>
  <c r="P305" i="5"/>
  <c r="J305" i="5"/>
  <c r="I305" i="5"/>
  <c r="F51" i="16"/>
  <c r="H51" i="16" s="1"/>
  <c r="N482" i="9"/>
  <c r="O482" i="9" s="1"/>
  <c r="N471" i="9"/>
  <c r="O471" i="9" s="1"/>
  <c r="N474" i="9"/>
  <c r="O474" i="9" s="1"/>
  <c r="N472" i="9"/>
  <c r="O472" i="9" s="1"/>
  <c r="N469" i="9"/>
  <c r="O469" i="9" s="1"/>
  <c r="N475" i="9"/>
  <c r="O475" i="9" s="1"/>
  <c r="N476" i="9"/>
  <c r="O476" i="9" s="1"/>
  <c r="N473" i="9"/>
  <c r="O473" i="9" s="1"/>
  <c r="N466" i="9"/>
  <c r="O466" i="9" s="1"/>
  <c r="N481" i="9"/>
  <c r="O481" i="9" s="1"/>
  <c r="N468" i="9"/>
  <c r="O468" i="9" s="1"/>
  <c r="N479" i="9"/>
  <c r="O479" i="9" s="1"/>
  <c r="N480" i="9"/>
  <c r="O480" i="9" s="1"/>
  <c r="N467" i="9"/>
  <c r="O467" i="9" s="1"/>
  <c r="N477" i="9"/>
  <c r="O477" i="9" s="1"/>
  <c r="N478" i="9"/>
  <c r="O478" i="9" s="1"/>
  <c r="N470" i="9"/>
  <c r="O470" i="9" s="1"/>
  <c r="N465" i="9"/>
  <c r="O465" i="9" s="1"/>
  <c r="Q337" i="9"/>
  <c r="R337" i="9" s="1"/>
  <c r="Q338" i="9"/>
  <c r="R338" i="9" s="1"/>
  <c r="Q273" i="9"/>
  <c r="R273" i="9" s="1"/>
  <c r="Q271" i="9"/>
  <c r="R271" i="9" s="1"/>
  <c r="Q272" i="9"/>
  <c r="R272" i="9" s="1"/>
  <c r="Q269" i="9"/>
  <c r="R269" i="9" s="1"/>
  <c r="Q270" i="9"/>
  <c r="R270" i="9" s="1"/>
  <c r="Q274" i="9"/>
  <c r="R274" i="9" s="1"/>
  <c r="Q267" i="9"/>
  <c r="R267" i="9" s="1"/>
  <c r="Q268" i="9"/>
  <c r="R268" i="9" s="1"/>
  <c r="I268" i="4"/>
  <c r="H269" i="5"/>
  <c r="H306" i="5"/>
  <c r="I305" i="4"/>
  <c r="H285" i="5"/>
  <c r="Q443" i="9"/>
  <c r="R443" i="9" s="1"/>
  <c r="Q448" i="9"/>
  <c r="R448" i="9" s="1"/>
  <c r="Q444" i="9"/>
  <c r="R444" i="9" s="1"/>
  <c r="Q287" i="10" s="1"/>
  <c r="R287" i="10" s="1"/>
  <c r="Q445" i="9"/>
  <c r="R445" i="9" s="1"/>
  <c r="Q292" i="10" s="1"/>
  <c r="R292" i="10" s="1"/>
  <c r="Q447" i="9"/>
  <c r="R447" i="9" s="1"/>
  <c r="Q446" i="9"/>
  <c r="R446" i="9" s="1"/>
  <c r="M287" i="5"/>
  <c r="J287" i="5"/>
  <c r="P287" i="5"/>
  <c r="I287" i="5"/>
  <c r="F230" i="16"/>
  <c r="H230" i="16" s="1"/>
  <c r="P39" i="5"/>
  <c r="M39" i="5"/>
  <c r="J39" i="5"/>
  <c r="I39" i="5"/>
  <c r="H439" i="5"/>
  <c r="I438" i="4"/>
  <c r="F170" i="16"/>
  <c r="H170" i="16" s="1"/>
  <c r="G540" i="8"/>
  <c r="L540" i="8" s="1"/>
  <c r="G503" i="7"/>
  <c r="I503" i="7" s="1"/>
  <c r="N161" i="9"/>
  <c r="O161" i="9" s="1"/>
  <c r="N158" i="9"/>
  <c r="O158" i="9" s="1"/>
  <c r="N157" i="9"/>
  <c r="O157" i="9" s="1"/>
  <c r="N162" i="9"/>
  <c r="O162" i="9" s="1"/>
  <c r="N155" i="9"/>
  <c r="O155" i="9" s="1"/>
  <c r="N48" i="10" s="1"/>
  <c r="O48" i="10" s="1"/>
  <c r="N159" i="9"/>
  <c r="O159" i="9" s="1"/>
  <c r="N160" i="9"/>
  <c r="O160" i="9" s="1"/>
  <c r="N156" i="9"/>
  <c r="O156" i="9" s="1"/>
  <c r="G298" i="8"/>
  <c r="L298" i="8" s="1"/>
  <c r="G323" i="7"/>
  <c r="I323" i="7" s="1"/>
  <c r="S294" i="5"/>
  <c r="L294" i="5"/>
  <c r="Q248" i="9"/>
  <c r="R248" i="9" s="1"/>
  <c r="Q130" i="10" s="1"/>
  <c r="R130" i="10" s="1"/>
  <c r="Q250" i="9"/>
  <c r="R250" i="9" s="1"/>
  <c r="Q249" i="9"/>
  <c r="R249" i="9" s="1"/>
  <c r="Q247" i="9"/>
  <c r="R247" i="9" s="1"/>
  <c r="Q125" i="10" s="1"/>
  <c r="R125" i="10" s="1"/>
  <c r="G677" i="8"/>
  <c r="L677" i="8" s="1"/>
  <c r="G565" i="7"/>
  <c r="I565" i="7" s="1"/>
  <c r="Q303" i="9"/>
  <c r="R303" i="9" s="1"/>
  <c r="Q302" i="9"/>
  <c r="R302" i="9" s="1"/>
  <c r="Q304" i="9"/>
  <c r="R304" i="9" s="1"/>
  <c r="D13" i="17" s="1"/>
  <c r="F13" i="17" s="1"/>
  <c r="I359" i="7"/>
  <c r="I360" i="7" s="1"/>
  <c r="G351" i="7"/>
  <c r="L351" i="7" s="1"/>
  <c r="G143" i="4"/>
  <c r="G144" i="5" s="1"/>
  <c r="G50" i="4"/>
  <c r="G51" i="5" s="1"/>
  <c r="G422" i="4"/>
  <c r="G423" i="5" s="1"/>
  <c r="G236" i="4"/>
  <c r="G237" i="5" s="1"/>
  <c r="G22" i="15"/>
  <c r="G329" i="4"/>
  <c r="G330" i="5" s="1"/>
  <c r="G137" i="8"/>
  <c r="L137" i="8" s="1"/>
  <c r="G108" i="7"/>
  <c r="I108" i="7" s="1"/>
  <c r="N390" i="9"/>
  <c r="O390" i="9" s="1"/>
  <c r="N226" i="10" s="1"/>
  <c r="O226" i="10" s="1"/>
  <c r="N392" i="9"/>
  <c r="O392" i="9" s="1"/>
  <c r="N395" i="9"/>
  <c r="O395" i="9" s="1"/>
  <c r="N397" i="9"/>
  <c r="O397" i="9" s="1"/>
  <c r="N393" i="9"/>
  <c r="O393" i="9" s="1"/>
  <c r="N394" i="9"/>
  <c r="O394" i="9" s="1"/>
  <c r="N396" i="9"/>
  <c r="O396" i="9" s="1"/>
  <c r="N391" i="9"/>
  <c r="O391" i="9" s="1"/>
  <c r="Q309" i="9"/>
  <c r="R309" i="9" s="1"/>
  <c r="Q310" i="9"/>
  <c r="R310" i="9" s="1"/>
  <c r="Q311" i="9"/>
  <c r="R311" i="9" s="1"/>
  <c r="D11" i="17" s="1"/>
  <c r="F11" i="17" s="1"/>
  <c r="N241" i="8"/>
  <c r="O241" i="8" s="1"/>
  <c r="N239" i="8"/>
  <c r="O239" i="8" s="1"/>
  <c r="N240" i="8"/>
  <c r="O240" i="8" s="1"/>
  <c r="N245" i="8"/>
  <c r="O245" i="8" s="1"/>
  <c r="N244" i="8"/>
  <c r="O244" i="8" s="1"/>
  <c r="N243" i="8"/>
  <c r="O243" i="8" s="1"/>
  <c r="N238" i="8"/>
  <c r="O238" i="8" s="1"/>
  <c r="N177" i="9" s="1"/>
  <c r="O177" i="9" s="1"/>
  <c r="S108" i="5"/>
  <c r="L108" i="5"/>
  <c r="T108" i="5" s="1"/>
  <c r="D24" i="18"/>
  <c r="F24" i="18" s="1"/>
  <c r="L15" i="5"/>
  <c r="T15" i="5" s="1"/>
  <c r="S15" i="5"/>
  <c r="Q259" i="9"/>
  <c r="R259" i="9" s="1"/>
  <c r="Q257" i="9"/>
  <c r="R257" i="9" s="1"/>
  <c r="Q262" i="9"/>
  <c r="R262" i="9" s="1"/>
  <c r="Q260" i="9"/>
  <c r="R260" i="9" s="1"/>
  <c r="Q258" i="9"/>
  <c r="R258" i="9" s="1"/>
  <c r="Q256" i="9"/>
  <c r="R256" i="9" s="1"/>
  <c r="Q261" i="9"/>
  <c r="R261" i="9" s="1"/>
  <c r="Q255" i="9"/>
  <c r="R255" i="9" s="1"/>
  <c r="Q135" i="10" s="1"/>
  <c r="R135" i="10" s="1"/>
  <c r="Q235" i="9"/>
  <c r="R235" i="9" s="1"/>
  <c r="Q231" i="9"/>
  <c r="R231" i="9" s="1"/>
  <c r="Q234" i="9"/>
  <c r="R234" i="9" s="1"/>
  <c r="Q229" i="9"/>
  <c r="R229" i="9" s="1"/>
  <c r="Q110" i="10" s="1"/>
  <c r="R110" i="10" s="1"/>
  <c r="Q232" i="9"/>
  <c r="R232" i="9" s="1"/>
  <c r="Q230" i="9"/>
  <c r="R230" i="9" s="1"/>
  <c r="Q236" i="9"/>
  <c r="R236" i="9" s="1"/>
  <c r="Q233" i="9"/>
  <c r="R233" i="9" s="1"/>
  <c r="N94" i="8"/>
  <c r="O94" i="8" s="1"/>
  <c r="N48" i="9" s="1"/>
  <c r="O48" i="9" s="1"/>
  <c r="N42" i="8"/>
  <c r="O42" i="8" s="1"/>
  <c r="H455" i="5"/>
  <c r="I454" i="4"/>
  <c r="H99" i="5"/>
  <c r="I98" i="4"/>
  <c r="H473" i="5"/>
  <c r="I472" i="4"/>
  <c r="N366" i="9"/>
  <c r="O366" i="9" s="1"/>
  <c r="N371" i="9"/>
  <c r="O371" i="9" s="1"/>
  <c r="N209" i="10" s="1"/>
  <c r="O209" i="10" s="1"/>
  <c r="N40" i="8"/>
  <c r="O40" i="8" s="1"/>
  <c r="M65" i="5"/>
  <c r="P65" i="5"/>
  <c r="J65" i="5"/>
  <c r="I65" i="5"/>
  <c r="H347" i="5"/>
  <c r="I346" i="4"/>
  <c r="H194" i="5"/>
  <c r="I193" i="4"/>
  <c r="Q460" i="9"/>
  <c r="R460" i="9" s="1"/>
  <c r="Q455" i="9"/>
  <c r="R455" i="9" s="1"/>
  <c r="D47" i="18" s="1"/>
  <c r="F47" i="18" s="1"/>
  <c r="Q454" i="9"/>
  <c r="R454" i="9" s="1"/>
  <c r="D35" i="18" s="1"/>
  <c r="F35" i="18" s="1"/>
  <c r="Q453" i="9"/>
  <c r="R453" i="9" s="1"/>
  <c r="Q297" i="10" s="1"/>
  <c r="R297" i="10" s="1"/>
  <c r="Q458" i="9"/>
  <c r="R458" i="9" s="1"/>
  <c r="Q459" i="9"/>
  <c r="R459" i="9" s="1"/>
  <c r="Q456" i="9"/>
  <c r="R456" i="9" s="1"/>
  <c r="Q457" i="9"/>
  <c r="R457" i="9" s="1"/>
  <c r="D157" i="17"/>
  <c r="F157" i="17" s="1"/>
  <c r="Q282" i="9"/>
  <c r="R282" i="9" s="1"/>
  <c r="Q284" i="9"/>
  <c r="R284" i="9" s="1"/>
  <c r="Q283" i="9"/>
  <c r="R283" i="9" s="1"/>
  <c r="Q281" i="9"/>
  <c r="R281" i="9" s="1"/>
  <c r="Q285" i="9"/>
  <c r="R285" i="9" s="1"/>
  <c r="D59" i="17" s="1"/>
  <c r="F59" i="17" s="1"/>
  <c r="Q279" i="9"/>
  <c r="R279" i="9" s="1"/>
  <c r="Q280" i="9"/>
  <c r="R280" i="9" s="1"/>
  <c r="R176" i="5"/>
  <c r="Q157" i="9"/>
  <c r="R157" i="9" s="1"/>
  <c r="Q156" i="9"/>
  <c r="R156" i="9" s="1"/>
  <c r="Q158" i="9"/>
  <c r="R158" i="9" s="1"/>
  <c r="Q155" i="9"/>
  <c r="R155" i="9" s="1"/>
  <c r="Q48" i="10" s="1"/>
  <c r="R48" i="10" s="1"/>
  <c r="Q159" i="9"/>
  <c r="R159" i="9" s="1"/>
  <c r="Q160" i="9"/>
  <c r="R160" i="9" s="1"/>
  <c r="Q162" i="9"/>
  <c r="R162" i="9" s="1"/>
  <c r="Q161" i="9"/>
  <c r="R161" i="9" s="1"/>
  <c r="H33" i="4"/>
  <c r="H405" i="4"/>
  <c r="H126" i="4"/>
  <c r="H219" i="4"/>
  <c r="H15" i="15"/>
  <c r="H312" i="4"/>
  <c r="L437" i="5"/>
  <c r="Q193" i="9"/>
  <c r="R193" i="9" s="1"/>
  <c r="Q63" i="10" s="1"/>
  <c r="R63" i="10" s="1"/>
  <c r="Q196" i="9"/>
  <c r="R196" i="9" s="1"/>
  <c r="Q194" i="9"/>
  <c r="R194" i="9" s="1"/>
  <c r="Q68" i="10" s="1"/>
  <c r="R68" i="10" s="1"/>
  <c r="Q195" i="9"/>
  <c r="R195" i="9" s="1"/>
  <c r="I159" i="4"/>
  <c r="H160" i="5"/>
  <c r="O176" i="5"/>
  <c r="Q385" i="9"/>
  <c r="R385" i="9" s="1"/>
  <c r="Q383" i="9"/>
  <c r="R383" i="9" s="1"/>
  <c r="Q384" i="9"/>
  <c r="R384" i="9" s="1"/>
  <c r="N330" i="9"/>
  <c r="O330" i="9" s="1"/>
  <c r="N332" i="9"/>
  <c r="O332" i="9" s="1"/>
  <c r="N331" i="9"/>
  <c r="O331" i="9" s="1"/>
  <c r="N325" i="9"/>
  <c r="O325" i="9" s="1"/>
  <c r="F112" i="16" s="1"/>
  <c r="H112" i="16" s="1"/>
  <c r="N323" i="9"/>
  <c r="O323" i="9" s="1"/>
  <c r="N324" i="9"/>
  <c r="O324" i="9" s="1"/>
  <c r="I436" i="7"/>
  <c r="I437" i="7" s="1"/>
  <c r="G431" i="7"/>
  <c r="L431" i="7" s="1"/>
  <c r="G154" i="4"/>
  <c r="G155" i="5" s="1"/>
  <c r="G340" i="4"/>
  <c r="G341" i="5" s="1"/>
  <c r="G24" i="15"/>
  <c r="G61" i="4"/>
  <c r="G62" i="5" s="1"/>
  <c r="G433" i="4"/>
  <c r="G434" i="5" s="1"/>
  <c r="G247" i="4"/>
  <c r="G248" i="5" s="1"/>
  <c r="G394" i="8"/>
  <c r="L394" i="8" s="1"/>
  <c r="G339" i="7"/>
  <c r="I339" i="7" s="1"/>
  <c r="Q98" i="9"/>
  <c r="R98" i="9" s="1"/>
  <c r="Q417" i="9"/>
  <c r="R417" i="9" s="1"/>
  <c r="D200" i="17" s="1"/>
  <c r="F200" i="17" s="1"/>
  <c r="Q415" i="9"/>
  <c r="R415" i="9" s="1"/>
  <c r="Q414" i="9"/>
  <c r="R414" i="9" s="1"/>
  <c r="Q416" i="9"/>
  <c r="R416" i="9" s="1"/>
  <c r="D111" i="17" s="1"/>
  <c r="F111" i="17" s="1"/>
  <c r="G421" i="9"/>
  <c r="L421" i="9" s="1"/>
  <c r="G687" i="8"/>
  <c r="I687" i="8" s="1"/>
  <c r="I688" i="8" s="1"/>
  <c r="I301" i="7"/>
  <c r="I302" i="7" s="1"/>
  <c r="G295" i="7"/>
  <c r="L295" i="7" s="1"/>
  <c r="G31" i="15"/>
  <c r="G416" i="4"/>
  <c r="G417" i="5" s="1"/>
  <c r="G137" i="4"/>
  <c r="G138" i="5" s="1"/>
  <c r="G230" i="4"/>
  <c r="G231" i="5" s="1"/>
  <c r="G44" i="4"/>
  <c r="G45" i="5" s="1"/>
  <c r="G323" i="4"/>
  <c r="G324" i="5" s="1"/>
  <c r="H364" i="5"/>
  <c r="I363" i="4"/>
  <c r="I362" i="4" s="1"/>
  <c r="Q422" i="9"/>
  <c r="R422" i="9" s="1"/>
  <c r="Q424" i="9"/>
  <c r="R424" i="9" s="1"/>
  <c r="D180" i="17" s="1"/>
  <c r="F180" i="17" s="1"/>
  <c r="Q423" i="9"/>
  <c r="R423" i="9" s="1"/>
  <c r="Q425" i="9"/>
  <c r="R425" i="9" s="1"/>
  <c r="D96" i="17" s="1"/>
  <c r="F96" i="17" s="1"/>
  <c r="Q292" i="9"/>
  <c r="R292" i="9" s="1"/>
  <c r="Q294" i="9"/>
  <c r="R294" i="9" s="1"/>
  <c r="Q293" i="9"/>
  <c r="R293" i="9" s="1"/>
  <c r="Q296" i="9"/>
  <c r="R296" i="9" s="1"/>
  <c r="Q291" i="9"/>
  <c r="R291" i="9" s="1"/>
  <c r="Q290" i="9"/>
  <c r="R290" i="9" s="1"/>
  <c r="Q297" i="9"/>
  <c r="R297" i="9" s="1"/>
  <c r="Q295" i="9"/>
  <c r="R295" i="9" s="1"/>
  <c r="D13" i="18"/>
  <c r="F13" i="18" s="1"/>
  <c r="F191" i="16"/>
  <c r="H191" i="16" s="1"/>
  <c r="N515" i="9"/>
  <c r="O515" i="9" s="1"/>
  <c r="N513" i="9"/>
  <c r="O513" i="9" s="1"/>
  <c r="F129" i="16" s="1"/>
  <c r="H129" i="16" s="1"/>
  <c r="N512" i="9"/>
  <c r="O512" i="9" s="1"/>
  <c r="N516" i="9"/>
  <c r="O516" i="9" s="1"/>
  <c r="N514" i="9"/>
  <c r="O514" i="9" s="1"/>
  <c r="N511" i="9"/>
  <c r="O511" i="9" s="1"/>
  <c r="F135" i="16" s="1"/>
  <c r="H135" i="16" s="1"/>
  <c r="P380" i="5"/>
  <c r="M380" i="5"/>
  <c r="J380" i="5"/>
  <c r="I380" i="5"/>
  <c r="G385" i="8"/>
  <c r="L385" i="8" s="1"/>
  <c r="G338" i="7"/>
  <c r="I338" i="7" s="1"/>
  <c r="H253" i="5"/>
  <c r="I252" i="4"/>
  <c r="H101" i="5"/>
  <c r="I100" i="4"/>
  <c r="Q87" i="9" l="1"/>
  <c r="R87" i="9" s="1"/>
  <c r="Q85" i="9"/>
  <c r="R85" i="9" s="1"/>
  <c r="Q115" i="9"/>
  <c r="R115" i="9" s="1"/>
  <c r="D139" i="17"/>
  <c r="F139" i="17" s="1"/>
  <c r="Q59" i="9"/>
  <c r="R59" i="9" s="1"/>
  <c r="Q89" i="9"/>
  <c r="R89" i="9" s="1"/>
  <c r="Q111" i="9"/>
  <c r="R111" i="9" s="1"/>
  <c r="Q201" i="9"/>
  <c r="R201" i="9" s="1"/>
  <c r="Q109" i="9"/>
  <c r="R109" i="9" s="1"/>
  <c r="Q108" i="9"/>
  <c r="R108" i="9" s="1"/>
  <c r="Q43" i="10" s="1"/>
  <c r="R43" i="10" s="1"/>
  <c r="Q203" i="9"/>
  <c r="R203" i="9" s="1"/>
  <c r="Q85" i="10" s="1"/>
  <c r="R85" i="10" s="1"/>
  <c r="Q86" i="9"/>
  <c r="R86" i="9" s="1"/>
  <c r="Q58" i="9"/>
  <c r="R58" i="9" s="1"/>
  <c r="Q91" i="9"/>
  <c r="R91" i="9" s="1"/>
  <c r="D30" i="17"/>
  <c r="F30" i="17" s="1"/>
  <c r="Q73" i="9"/>
  <c r="R73" i="9" s="1"/>
  <c r="H306" i="4"/>
  <c r="H307" i="5" s="1"/>
  <c r="P307" i="5" s="1"/>
  <c r="G344" i="7"/>
  <c r="I344" i="7" s="1"/>
  <c r="H120" i="4"/>
  <c r="H399" i="4"/>
  <c r="G755" i="8"/>
  <c r="L755" i="8" s="1"/>
  <c r="I640" i="7"/>
  <c r="Q78" i="9"/>
  <c r="R78" i="9" s="1"/>
  <c r="Q72" i="9"/>
  <c r="R72" i="9" s="1"/>
  <c r="Q28" i="10" s="1"/>
  <c r="R28" i="10" s="1"/>
  <c r="Q77" i="9"/>
  <c r="R77" i="9" s="1"/>
  <c r="Q79" i="9"/>
  <c r="R79" i="9" s="1"/>
  <c r="Q74" i="9"/>
  <c r="R74" i="9" s="1"/>
  <c r="I456" i="4"/>
  <c r="I455" i="4" s="1"/>
  <c r="E114" i="2" s="1"/>
  <c r="Q75" i="9"/>
  <c r="R75" i="9" s="1"/>
  <c r="H192" i="5"/>
  <c r="P192" i="5" s="1"/>
  <c r="Q76" i="9"/>
  <c r="R76" i="9" s="1"/>
  <c r="H378" i="5"/>
  <c r="H447" i="5"/>
  <c r="I320" i="4"/>
  <c r="I319" i="4" s="1"/>
  <c r="Q64" i="9"/>
  <c r="R64" i="9" s="1"/>
  <c r="Q18" i="10" s="1"/>
  <c r="R18" i="10" s="1"/>
  <c r="I227" i="4"/>
  <c r="I226" i="4" s="1"/>
  <c r="C58" i="3" s="1"/>
  <c r="Q66" i="9"/>
  <c r="R66" i="9" s="1"/>
  <c r="Q8" i="10" s="1"/>
  <c r="R8" i="10" s="1"/>
  <c r="Q96" i="9"/>
  <c r="R96" i="9" s="1"/>
  <c r="Q38" i="10" s="1"/>
  <c r="R38" i="10" s="1"/>
  <c r="Q67" i="9"/>
  <c r="R67" i="9" s="1"/>
  <c r="Q13" i="10" s="1"/>
  <c r="R13" i="10" s="1"/>
  <c r="Q65" i="9"/>
  <c r="R65" i="9" s="1"/>
  <c r="Q23" i="10" s="1"/>
  <c r="R23" i="10" s="1"/>
  <c r="Q101" i="9"/>
  <c r="R101" i="9" s="1"/>
  <c r="Q99" i="9"/>
  <c r="R99" i="9" s="1"/>
  <c r="Q100" i="9"/>
  <c r="R100" i="9" s="1"/>
  <c r="I160" i="4"/>
  <c r="I158" i="4" s="1"/>
  <c r="Q102" i="9"/>
  <c r="R102" i="9" s="1"/>
  <c r="Q97" i="9"/>
  <c r="R97" i="9" s="1"/>
  <c r="I452" i="4"/>
  <c r="C114" i="3" s="1"/>
  <c r="H287" i="4"/>
  <c r="H288" i="5" s="1"/>
  <c r="H194" i="4"/>
  <c r="H195" i="5" s="1"/>
  <c r="F126" i="16"/>
  <c r="H126" i="16" s="1"/>
  <c r="Q84" i="9"/>
  <c r="R84" i="9" s="1"/>
  <c r="Q33" i="10" s="1"/>
  <c r="R33" i="10" s="1"/>
  <c r="Q112" i="9"/>
  <c r="R112" i="9" s="1"/>
  <c r="Q110" i="9"/>
  <c r="R110" i="9" s="1"/>
  <c r="Q113" i="9"/>
  <c r="R113" i="9" s="1"/>
  <c r="Q88" i="9"/>
  <c r="R88" i="9" s="1"/>
  <c r="P228" i="5"/>
  <c r="O437" i="5"/>
  <c r="P321" i="5"/>
  <c r="J321" i="5"/>
  <c r="O201" i="5"/>
  <c r="M321" i="5"/>
  <c r="M320" i="5" s="1"/>
  <c r="J228" i="5"/>
  <c r="J227" i="5" s="1"/>
  <c r="E58" i="3" s="1"/>
  <c r="M228" i="5"/>
  <c r="M227" i="5" s="1"/>
  <c r="O227" i="5" s="1"/>
  <c r="I426" i="5"/>
  <c r="R426" i="5" s="1"/>
  <c r="I174" i="4"/>
  <c r="I173" i="4" s="1"/>
  <c r="I208" i="4"/>
  <c r="J426" i="5"/>
  <c r="H411" i="5"/>
  <c r="J411" i="5" s="1"/>
  <c r="P318" i="5"/>
  <c r="R318" i="5" s="1"/>
  <c r="R437" i="5"/>
  <c r="P271" i="5"/>
  <c r="P270" i="5" s="1"/>
  <c r="M426" i="5"/>
  <c r="I131" i="4"/>
  <c r="H406" i="4"/>
  <c r="I406" i="4" s="1"/>
  <c r="I270" i="4"/>
  <c r="I269" i="4" s="1"/>
  <c r="E70" i="2" s="1"/>
  <c r="H454" i="5"/>
  <c r="J454" i="5" s="1"/>
  <c r="H213" i="4"/>
  <c r="H214" i="5" s="1"/>
  <c r="P214" i="5" s="1"/>
  <c r="H277" i="4"/>
  <c r="H278" i="5" s="1"/>
  <c r="M318" i="5"/>
  <c r="O318" i="5" s="1"/>
  <c r="H21" i="15"/>
  <c r="H27" i="4"/>
  <c r="H28" i="5" s="1"/>
  <c r="P28" i="5" s="1"/>
  <c r="H34" i="15"/>
  <c r="H220" i="4"/>
  <c r="H221" i="5" s="1"/>
  <c r="M221" i="5" s="1"/>
  <c r="J271" i="5"/>
  <c r="J270" i="5" s="1"/>
  <c r="H147" i="4"/>
  <c r="H148" i="5" s="1"/>
  <c r="H166" i="4"/>
  <c r="H167" i="5" s="1"/>
  <c r="I271" i="5"/>
  <c r="I270" i="5" s="1"/>
  <c r="H268" i="5"/>
  <c r="P268" i="5" s="1"/>
  <c r="I251" i="5"/>
  <c r="O251" i="5" s="1"/>
  <c r="H127" i="4"/>
  <c r="I127" i="4" s="1"/>
  <c r="H225" i="5"/>
  <c r="I224" i="4"/>
  <c r="I344" i="5"/>
  <c r="L344" i="5" s="1"/>
  <c r="H68" i="5"/>
  <c r="P68" i="5" s="1"/>
  <c r="H404" i="4"/>
  <c r="H71" i="15"/>
  <c r="T293" i="5"/>
  <c r="H73" i="4"/>
  <c r="I73" i="4" s="1"/>
  <c r="I53" i="4"/>
  <c r="H7" i="15"/>
  <c r="H34" i="4"/>
  <c r="H35" i="5" s="1"/>
  <c r="P35" i="5" s="1"/>
  <c r="J251" i="5"/>
  <c r="H352" i="4"/>
  <c r="I352" i="4" s="1"/>
  <c r="J318" i="5"/>
  <c r="L318" i="5" s="1"/>
  <c r="P251" i="5"/>
  <c r="G324" i="7"/>
  <c r="I324" i="7" s="1"/>
  <c r="I325" i="7" s="1"/>
  <c r="H12" i="15"/>
  <c r="E57" i="2"/>
  <c r="H218" i="4"/>
  <c r="H219" i="5" s="1"/>
  <c r="H125" i="4"/>
  <c r="H126" i="5" s="1"/>
  <c r="G340" i="8"/>
  <c r="I340" i="8" s="1"/>
  <c r="M344" i="5"/>
  <c r="H147" i="5"/>
  <c r="J147" i="5" s="1"/>
  <c r="G335" i="7"/>
  <c r="I335" i="7" s="1"/>
  <c r="I17" i="15"/>
  <c r="H94" i="4"/>
  <c r="H95" i="5" s="1"/>
  <c r="H8" i="4"/>
  <c r="H10" i="15"/>
  <c r="P344" i="5"/>
  <c r="H240" i="4"/>
  <c r="H241" i="5" s="1"/>
  <c r="H466" i="4"/>
  <c r="I466" i="4" s="1"/>
  <c r="R201" i="5"/>
  <c r="H221" i="4"/>
  <c r="H222" i="5" s="1"/>
  <c r="I317" i="4"/>
  <c r="G722" i="8"/>
  <c r="L722" i="8" s="1"/>
  <c r="H10" i="5"/>
  <c r="I10" i="5" s="1"/>
  <c r="H314" i="4"/>
  <c r="I314" i="4" s="1"/>
  <c r="H26" i="15"/>
  <c r="I313" i="4"/>
  <c r="G343" i="7"/>
  <c r="I343" i="7" s="1"/>
  <c r="G341" i="7"/>
  <c r="I341" i="7" s="1"/>
  <c r="H128" i="4"/>
  <c r="H129" i="5" s="1"/>
  <c r="I115" i="4"/>
  <c r="H373" i="4"/>
  <c r="H374" i="5" s="1"/>
  <c r="I134" i="4"/>
  <c r="I133" i="4" s="1"/>
  <c r="C36" i="3" s="1"/>
  <c r="I260" i="4"/>
  <c r="G337" i="7"/>
  <c r="I337" i="7" s="1"/>
  <c r="J85" i="5"/>
  <c r="J84" i="5" s="1"/>
  <c r="L84" i="5" s="1"/>
  <c r="N115" i="10"/>
  <c r="O115" i="10" s="1"/>
  <c r="I413" i="4"/>
  <c r="I412" i="4" s="1"/>
  <c r="C102" i="3" s="1"/>
  <c r="H204" i="4"/>
  <c r="H205" i="5" s="1"/>
  <c r="H366" i="4"/>
  <c r="H367" i="5" s="1"/>
  <c r="H187" i="4"/>
  <c r="H188" i="5" s="1"/>
  <c r="N195" i="9"/>
  <c r="O195" i="9" s="1"/>
  <c r="N53" i="10" s="1"/>
  <c r="O53" i="10" s="1"/>
  <c r="I439" i="4"/>
  <c r="I437" i="4" s="1"/>
  <c r="H273" i="4"/>
  <c r="H274" i="5" s="1"/>
  <c r="G336" i="7"/>
  <c r="I336" i="7" s="1"/>
  <c r="H254" i="5"/>
  <c r="P254" i="5" s="1"/>
  <c r="H87" i="4"/>
  <c r="I87" i="4" s="1"/>
  <c r="H168" i="5"/>
  <c r="I168" i="5" s="1"/>
  <c r="H57" i="15"/>
  <c r="I470" i="4"/>
  <c r="I66" i="15" s="1"/>
  <c r="H458" i="4"/>
  <c r="H459" i="5" s="1"/>
  <c r="H86" i="4"/>
  <c r="H87" i="5" s="1"/>
  <c r="H111" i="4"/>
  <c r="I111" i="4" s="1"/>
  <c r="G287" i="7"/>
  <c r="I287" i="7" s="1"/>
  <c r="I290" i="7" s="1"/>
  <c r="G286" i="7" s="1"/>
  <c r="L286" i="7" s="1"/>
  <c r="I84" i="4"/>
  <c r="I83" i="4" s="1"/>
  <c r="E26" i="2" s="1"/>
  <c r="H180" i="4"/>
  <c r="H181" i="5" s="1"/>
  <c r="I251" i="4"/>
  <c r="E65" i="2" s="1"/>
  <c r="M85" i="5"/>
  <c r="O85" i="5" s="1"/>
  <c r="H184" i="4"/>
  <c r="H185" i="5" s="1"/>
  <c r="H178" i="5"/>
  <c r="P178" i="5" s="1"/>
  <c r="I353" i="4"/>
  <c r="S437" i="5"/>
  <c r="I513" i="7"/>
  <c r="I514" i="7" s="1"/>
  <c r="I515" i="7" s="1"/>
  <c r="H459" i="4"/>
  <c r="H460" i="5" s="1"/>
  <c r="H91" i="4"/>
  <c r="H92" i="5" s="1"/>
  <c r="Q78" i="10"/>
  <c r="R78" i="10" s="1"/>
  <c r="H18" i="4"/>
  <c r="H19" i="5" s="1"/>
  <c r="H473" i="4"/>
  <c r="H474" i="5" s="1"/>
  <c r="D42" i="18"/>
  <c r="F42" i="18" s="1"/>
  <c r="H101" i="4"/>
  <c r="I101" i="4" s="1"/>
  <c r="H272" i="4"/>
  <c r="I272" i="4" s="1"/>
  <c r="G349" i="8"/>
  <c r="L349" i="8" s="1"/>
  <c r="N59" i="9"/>
  <c r="O59" i="9" s="1"/>
  <c r="N13" i="10" s="1"/>
  <c r="O13" i="10" s="1"/>
  <c r="H179" i="4"/>
  <c r="I179" i="4" s="1"/>
  <c r="H297" i="4"/>
  <c r="H298" i="5" s="1"/>
  <c r="H45" i="15"/>
  <c r="P85" i="5"/>
  <c r="H370" i="4"/>
  <c r="I370" i="4" s="1"/>
  <c r="H463" i="4"/>
  <c r="I463" i="4" s="1"/>
  <c r="H380" i="4"/>
  <c r="H381" i="5" s="1"/>
  <c r="H28" i="15"/>
  <c r="F131" i="16"/>
  <c r="H131" i="16" s="1"/>
  <c r="F53" i="16"/>
  <c r="H53" i="16" s="1"/>
  <c r="I306" i="4"/>
  <c r="N76" i="9"/>
  <c r="O76" i="9" s="1"/>
  <c r="F20" i="16"/>
  <c r="H20" i="16" s="1"/>
  <c r="H82" i="5"/>
  <c r="I81" i="4"/>
  <c r="I80" i="4" s="1"/>
  <c r="I22" i="4"/>
  <c r="I239" i="4"/>
  <c r="N85" i="9"/>
  <c r="O85" i="9" s="1"/>
  <c r="H361" i="5"/>
  <c r="I360" i="4"/>
  <c r="I359" i="4" s="1"/>
  <c r="E91" i="2" s="1"/>
  <c r="H42" i="5"/>
  <c r="I41" i="4"/>
  <c r="I40" i="4" s="1"/>
  <c r="C14" i="3" s="1"/>
  <c r="M307" i="5"/>
  <c r="N265" i="10"/>
  <c r="O265" i="10" s="1"/>
  <c r="H192" i="4"/>
  <c r="H378" i="4"/>
  <c r="H99" i="4"/>
  <c r="H285" i="4"/>
  <c r="H58" i="15"/>
  <c r="H471" i="4"/>
  <c r="H288" i="4"/>
  <c r="H289" i="5" s="1"/>
  <c r="H381" i="4"/>
  <c r="I381" i="4" s="1"/>
  <c r="H195" i="4"/>
  <c r="H196" i="5" s="1"/>
  <c r="H474" i="4"/>
  <c r="H475" i="5" s="1"/>
  <c r="H102" i="4"/>
  <c r="H103" i="5" s="1"/>
  <c r="H72" i="15"/>
  <c r="D64" i="18"/>
  <c r="F64" i="18" s="1"/>
  <c r="D23" i="18"/>
  <c r="F23" i="18" s="1"/>
  <c r="H400" i="5"/>
  <c r="I399" i="4"/>
  <c r="F98" i="16"/>
  <c r="H98" i="16" s="1"/>
  <c r="G327" i="8"/>
  <c r="I327" i="8" s="1"/>
  <c r="I335" i="8" s="1"/>
  <c r="G326" i="8" s="1"/>
  <c r="L326" i="8" s="1"/>
  <c r="D153" i="17"/>
  <c r="F153" i="17" s="1"/>
  <c r="G364" i="7"/>
  <c r="I364" i="7" s="1"/>
  <c r="I368" i="7" s="1"/>
  <c r="G237" i="4" s="1"/>
  <c r="G238" i="5" s="1"/>
  <c r="Q260" i="10"/>
  <c r="R260" i="10" s="1"/>
  <c r="I120" i="4"/>
  <c r="H121" i="5"/>
  <c r="N86" i="9"/>
  <c r="O86" i="9" s="1"/>
  <c r="H62" i="15"/>
  <c r="H95" i="4"/>
  <c r="H281" i="4"/>
  <c r="H467" i="4"/>
  <c r="H374" i="4"/>
  <c r="H188" i="4"/>
  <c r="F60" i="16"/>
  <c r="H60" i="16" s="1"/>
  <c r="S293" i="5"/>
  <c r="G287" i="8"/>
  <c r="L287" i="8" s="1"/>
  <c r="I307" i="5"/>
  <c r="R307" i="5" s="1"/>
  <c r="D63" i="18"/>
  <c r="F63" i="18" s="1"/>
  <c r="N198" i="10"/>
  <c r="O198" i="10" s="1"/>
  <c r="N120" i="10"/>
  <c r="O120" i="10" s="1"/>
  <c r="J307" i="5"/>
  <c r="F42" i="16"/>
  <c r="H42" i="16" s="1"/>
  <c r="D14" i="18"/>
  <c r="F14" i="18" s="1"/>
  <c r="H470" i="5"/>
  <c r="I469" i="4"/>
  <c r="N193" i="9"/>
  <c r="O193" i="9" s="1"/>
  <c r="N63" i="10" s="1"/>
  <c r="O63" i="10" s="1"/>
  <c r="Q270" i="10"/>
  <c r="R270" i="10" s="1"/>
  <c r="N79" i="9"/>
  <c r="O79" i="9" s="1"/>
  <c r="H98" i="5"/>
  <c r="I97" i="4"/>
  <c r="H191" i="5"/>
  <c r="I191" i="5" s="1"/>
  <c r="H78" i="5"/>
  <c r="I77" i="4"/>
  <c r="I400" i="4"/>
  <c r="H401" i="5"/>
  <c r="I132" i="5"/>
  <c r="M132" i="5"/>
  <c r="P132" i="5"/>
  <c r="J132" i="5"/>
  <c r="H215" i="5"/>
  <c r="I214" i="4"/>
  <c r="H29" i="5"/>
  <c r="I28" i="4"/>
  <c r="H295" i="5"/>
  <c r="I294" i="4"/>
  <c r="N66" i="9"/>
  <c r="O66" i="9" s="1"/>
  <c r="N73" i="9"/>
  <c r="O73" i="9" s="1"/>
  <c r="I15" i="4"/>
  <c r="I266" i="4"/>
  <c r="E69" i="2" s="1"/>
  <c r="N77" i="9"/>
  <c r="O77" i="9" s="1"/>
  <c r="Q53" i="10"/>
  <c r="R53" i="10" s="1"/>
  <c r="H282" i="4"/>
  <c r="H468" i="4"/>
  <c r="H189" i="4"/>
  <c r="H96" i="4"/>
  <c r="H64" i="15"/>
  <c r="H375" i="4"/>
  <c r="I376" i="4"/>
  <c r="H202" i="5"/>
  <c r="I201" i="4"/>
  <c r="D169" i="17"/>
  <c r="F169" i="17" s="1"/>
  <c r="F45" i="16"/>
  <c r="H45" i="16" s="1"/>
  <c r="H357" i="5"/>
  <c r="I356" i="4"/>
  <c r="D145" i="17"/>
  <c r="F145" i="17" s="1"/>
  <c r="O380" i="5"/>
  <c r="R380" i="5"/>
  <c r="F152" i="16"/>
  <c r="H152" i="16" s="1"/>
  <c r="N89" i="9"/>
  <c r="O89" i="9" s="1"/>
  <c r="H450" i="5"/>
  <c r="I449" i="4"/>
  <c r="P395" i="5"/>
  <c r="J395" i="5"/>
  <c r="I395" i="5"/>
  <c r="M395" i="5"/>
  <c r="H31" i="4"/>
  <c r="H29" i="15"/>
  <c r="H217" i="4"/>
  <c r="H124" i="4"/>
  <c r="H310" i="4"/>
  <c r="H403" i="4"/>
  <c r="H388" i="5"/>
  <c r="I387" i="4"/>
  <c r="H14" i="15"/>
  <c r="H216" i="4"/>
  <c r="H402" i="4"/>
  <c r="H309" i="4"/>
  <c r="H123" i="4"/>
  <c r="H30" i="4"/>
  <c r="N196" i="9"/>
  <c r="O196" i="9" s="1"/>
  <c r="I283" i="4"/>
  <c r="H284" i="5"/>
  <c r="Q265" i="10"/>
  <c r="R265" i="10" s="1"/>
  <c r="F108" i="16"/>
  <c r="H108" i="16" s="1"/>
  <c r="H122" i="5"/>
  <c r="P122" i="5" s="1"/>
  <c r="G342" i="7"/>
  <c r="I342" i="7" s="1"/>
  <c r="D30" i="18"/>
  <c r="F30" i="18" s="1"/>
  <c r="H264" i="5"/>
  <c r="I263" i="4"/>
  <c r="H308" i="5"/>
  <c r="I307" i="4"/>
  <c r="H109" i="5"/>
  <c r="I108" i="4"/>
  <c r="I67" i="15"/>
  <c r="F40" i="16"/>
  <c r="H40" i="16" s="1"/>
  <c r="H171" i="5"/>
  <c r="I170" i="4"/>
  <c r="H75" i="5"/>
  <c r="I74" i="4"/>
  <c r="H143" i="4"/>
  <c r="H22" i="15"/>
  <c r="H422" i="4"/>
  <c r="H236" i="4"/>
  <c r="H329" i="4"/>
  <c r="H50" i="4"/>
  <c r="H447" i="4"/>
  <c r="H168" i="4"/>
  <c r="H354" i="4"/>
  <c r="H261" i="4"/>
  <c r="H65" i="15"/>
  <c r="H75" i="4"/>
  <c r="H324" i="4"/>
  <c r="H45" i="4"/>
  <c r="H417" i="4"/>
  <c r="H231" i="4"/>
  <c r="H138" i="4"/>
  <c r="H50" i="15"/>
  <c r="J99" i="5"/>
  <c r="M99" i="5"/>
  <c r="P99" i="5"/>
  <c r="I99" i="5"/>
  <c r="N160" i="10"/>
  <c r="O160" i="10" s="1"/>
  <c r="N156" i="10"/>
  <c r="O156" i="10" s="1"/>
  <c r="N163" i="10"/>
  <c r="O163" i="10" s="1"/>
  <c r="N45" i="11" s="1"/>
  <c r="O45" i="11" s="1"/>
  <c r="N162" i="10"/>
  <c r="O162" i="10" s="1"/>
  <c r="N161" i="10"/>
  <c r="O161" i="10" s="1"/>
  <c r="N158" i="10"/>
  <c r="O158" i="10" s="1"/>
  <c r="N157" i="10"/>
  <c r="O157" i="10" s="1"/>
  <c r="N159" i="10"/>
  <c r="O159" i="10" s="1"/>
  <c r="H247" i="4"/>
  <c r="H24" i="15"/>
  <c r="H340" i="4"/>
  <c r="H433" i="4"/>
  <c r="H61" i="4"/>
  <c r="H154" i="4"/>
  <c r="P54" i="5"/>
  <c r="J54" i="5"/>
  <c r="M54" i="5"/>
  <c r="I54" i="5"/>
  <c r="N97" i="9"/>
  <c r="O97" i="9" s="1"/>
  <c r="N100" i="9"/>
  <c r="O100" i="9" s="1"/>
  <c r="N99" i="9"/>
  <c r="O99" i="9" s="1"/>
  <c r="N102" i="9"/>
  <c r="O102" i="9" s="1"/>
  <c r="N98" i="9"/>
  <c r="O98" i="9" s="1"/>
  <c r="N96" i="9"/>
  <c r="O96" i="9" s="1"/>
  <c r="N38" i="10" s="1"/>
  <c r="O38" i="10" s="1"/>
  <c r="N103" i="9"/>
  <c r="O103" i="9" s="1"/>
  <c r="N101" i="9"/>
  <c r="O101" i="9" s="1"/>
  <c r="J194" i="5"/>
  <c r="M194" i="5"/>
  <c r="P194" i="5"/>
  <c r="I194" i="5"/>
  <c r="R65" i="5"/>
  <c r="M455" i="5"/>
  <c r="J455" i="5"/>
  <c r="P455" i="5"/>
  <c r="I455" i="5"/>
  <c r="R287" i="5"/>
  <c r="P306" i="5"/>
  <c r="J306" i="5"/>
  <c r="M306" i="5"/>
  <c r="I306" i="5"/>
  <c r="M161" i="5"/>
  <c r="P161" i="5"/>
  <c r="J161" i="5"/>
  <c r="I161" i="5"/>
  <c r="N150" i="10"/>
  <c r="O150" i="10" s="1"/>
  <c r="N148" i="10"/>
  <c r="O148" i="10" s="1"/>
  <c r="N40" i="11" s="1"/>
  <c r="O40" i="11" s="1"/>
  <c r="N149" i="10"/>
  <c r="O149" i="10" s="1"/>
  <c r="N151" i="10"/>
  <c r="O151" i="10" s="1"/>
  <c r="N147" i="10"/>
  <c r="O147" i="10" s="1"/>
  <c r="N35" i="11" s="1"/>
  <c r="O35" i="11" s="1"/>
  <c r="O65" i="5"/>
  <c r="O386" i="5"/>
  <c r="I65" i="4"/>
  <c r="I44" i="15"/>
  <c r="N78" i="9"/>
  <c r="O78" i="9" s="1"/>
  <c r="H358" i="5"/>
  <c r="I357" i="4"/>
  <c r="H157" i="5"/>
  <c r="I156" i="4"/>
  <c r="I155" i="4" s="1"/>
  <c r="D60" i="17"/>
  <c r="F60" i="17" s="1"/>
  <c r="H127" i="5"/>
  <c r="I126" i="4"/>
  <c r="Q171" i="10"/>
  <c r="R171" i="10" s="1"/>
  <c r="Q169" i="10"/>
  <c r="R169" i="10" s="1"/>
  <c r="Q173" i="10"/>
  <c r="R173" i="10" s="1"/>
  <c r="Q172" i="10"/>
  <c r="R172" i="10" s="1"/>
  <c r="Q168" i="10"/>
  <c r="R168" i="10" s="1"/>
  <c r="Q174" i="10"/>
  <c r="R174" i="10" s="1"/>
  <c r="Q175" i="10"/>
  <c r="R175" i="10" s="1"/>
  <c r="Q50" i="11" s="1"/>
  <c r="R50" i="11" s="1"/>
  <c r="Q170" i="10"/>
  <c r="R170" i="10" s="1"/>
  <c r="P414" i="5"/>
  <c r="J414" i="5"/>
  <c r="M414" i="5"/>
  <c r="I414" i="5"/>
  <c r="I413" i="5" s="1"/>
  <c r="N90" i="9"/>
  <c r="O90" i="9" s="1"/>
  <c r="H79" i="5"/>
  <c r="I78" i="4"/>
  <c r="H260" i="5"/>
  <c r="I259" i="4"/>
  <c r="H466" i="5"/>
  <c r="I465" i="4"/>
  <c r="H406" i="5"/>
  <c r="I405" i="4"/>
  <c r="T294" i="5"/>
  <c r="I632" i="7"/>
  <c r="I633" i="7" s="1"/>
  <c r="G627" i="7"/>
  <c r="G368" i="4"/>
  <c r="G369" i="5" s="1"/>
  <c r="G275" i="4"/>
  <c r="G276" i="5" s="1"/>
  <c r="G461" i="4"/>
  <c r="G462" i="5" s="1"/>
  <c r="G182" i="4"/>
  <c r="G183" i="5" s="1"/>
  <c r="G8" i="15"/>
  <c r="G89" i="4"/>
  <c r="G90" i="5" s="1"/>
  <c r="N279" i="10"/>
  <c r="O279" i="10" s="1"/>
  <c r="N275" i="10"/>
  <c r="O275" i="10" s="1"/>
  <c r="N281" i="10"/>
  <c r="O281" i="10" s="1"/>
  <c r="N282" i="10"/>
  <c r="O282" i="10" s="1"/>
  <c r="N80" i="11" s="1"/>
  <c r="O80" i="11" s="1"/>
  <c r="N280" i="10"/>
  <c r="O280" i="10" s="1"/>
  <c r="N277" i="10"/>
  <c r="O277" i="10" s="1"/>
  <c r="N278" i="10"/>
  <c r="O278" i="10" s="1"/>
  <c r="N276" i="10"/>
  <c r="O276" i="10" s="1"/>
  <c r="Q120" i="10"/>
  <c r="R120" i="10" s="1"/>
  <c r="H55" i="5"/>
  <c r="I54" i="4"/>
  <c r="N332" i="10"/>
  <c r="O332" i="10" s="1"/>
  <c r="N330" i="10"/>
  <c r="O330" i="10" s="1"/>
  <c r="F269" i="16" s="1"/>
  <c r="H269" i="16" s="1"/>
  <c r="N328" i="10"/>
  <c r="O328" i="10" s="1"/>
  <c r="F274" i="16" s="1"/>
  <c r="H274" i="16" s="1"/>
  <c r="N326" i="10"/>
  <c r="O326" i="10" s="1"/>
  <c r="N325" i="10"/>
  <c r="O325" i="10" s="1"/>
  <c r="N347" i="10"/>
  <c r="O347" i="10" s="1"/>
  <c r="N324" i="10"/>
  <c r="O324" i="10" s="1"/>
  <c r="N331" i="10"/>
  <c r="O331" i="10" s="1"/>
  <c r="N348" i="10"/>
  <c r="O348" i="10" s="1"/>
  <c r="N346" i="10"/>
  <c r="O346" i="10" s="1"/>
  <c r="N341" i="10"/>
  <c r="O341" i="10" s="1"/>
  <c r="F273" i="16" s="1"/>
  <c r="H273" i="16" s="1"/>
  <c r="N344" i="10"/>
  <c r="O344" i="10" s="1"/>
  <c r="F272" i="16" s="1"/>
  <c r="H272" i="16" s="1"/>
  <c r="N327" i="10"/>
  <c r="O327" i="10" s="1"/>
  <c r="N342" i="10"/>
  <c r="O342" i="10" s="1"/>
  <c r="F266" i="16" s="1"/>
  <c r="H266" i="16" s="1"/>
  <c r="N345" i="10"/>
  <c r="O345" i="10" s="1"/>
  <c r="N340" i="10"/>
  <c r="O340" i="10" s="1"/>
  <c r="F270" i="16" s="1"/>
  <c r="H270" i="16" s="1"/>
  <c r="N333" i="10"/>
  <c r="O333" i="10" s="1"/>
  <c r="N337" i="10"/>
  <c r="O337" i="10" s="1"/>
  <c r="F275" i="16" s="1"/>
  <c r="H275" i="16" s="1"/>
  <c r="N338" i="10"/>
  <c r="O338" i="10" s="1"/>
  <c r="F278" i="16" s="1"/>
  <c r="H278" i="16" s="1"/>
  <c r="N336" i="10"/>
  <c r="O336" i="10" s="1"/>
  <c r="N329" i="10"/>
  <c r="O329" i="10" s="1"/>
  <c r="F271" i="16" s="1"/>
  <c r="H271" i="16" s="1"/>
  <c r="N334" i="10"/>
  <c r="O334" i="10" s="1"/>
  <c r="N339" i="10"/>
  <c r="O339" i="10" s="1"/>
  <c r="F276" i="16" s="1"/>
  <c r="H276" i="16" s="1"/>
  <c r="N343" i="10"/>
  <c r="O343" i="10" s="1"/>
  <c r="F277" i="16" s="1"/>
  <c r="H277" i="16" s="1"/>
  <c r="N335" i="10"/>
  <c r="O335" i="10" s="1"/>
  <c r="I404" i="4"/>
  <c r="H405" i="5"/>
  <c r="P27" i="5"/>
  <c r="J27" i="5"/>
  <c r="M27" i="5"/>
  <c r="I27" i="5"/>
  <c r="F107" i="16"/>
  <c r="H107" i="16" s="1"/>
  <c r="R14" i="5"/>
  <c r="I403" i="7"/>
  <c r="I404" i="7" s="1"/>
  <c r="G396" i="7"/>
  <c r="L396" i="7" s="1"/>
  <c r="G243" i="4"/>
  <c r="G244" i="5" s="1"/>
  <c r="G57" i="4"/>
  <c r="G58" i="5" s="1"/>
  <c r="G429" i="4"/>
  <c r="G430" i="5" s="1"/>
  <c r="G336" i="4"/>
  <c r="G337" i="5" s="1"/>
  <c r="G49" i="15"/>
  <c r="G150" i="4"/>
  <c r="G151" i="5" s="1"/>
  <c r="H60" i="4"/>
  <c r="H246" i="4"/>
  <c r="H153" i="4"/>
  <c r="H339" i="4"/>
  <c r="H46" i="15"/>
  <c r="H432" i="4"/>
  <c r="N91" i="9"/>
  <c r="O91" i="9" s="1"/>
  <c r="N211" i="9"/>
  <c r="O211" i="9" s="1"/>
  <c r="N209" i="9"/>
  <c r="O209" i="9" s="1"/>
  <c r="N100" i="10" s="1"/>
  <c r="O100" i="10" s="1"/>
  <c r="N208" i="9"/>
  <c r="O208" i="9" s="1"/>
  <c r="N95" i="10" s="1"/>
  <c r="O95" i="10" s="1"/>
  <c r="N210" i="9"/>
  <c r="O210" i="9" s="1"/>
  <c r="N212" i="9"/>
  <c r="O212" i="9" s="1"/>
  <c r="H280" i="5"/>
  <c r="I279" i="4"/>
  <c r="O39" i="5"/>
  <c r="H292" i="5"/>
  <c r="I291" i="4"/>
  <c r="H25" i="5"/>
  <c r="I24" i="4"/>
  <c r="J346" i="5"/>
  <c r="P346" i="5"/>
  <c r="M346" i="5"/>
  <c r="I346" i="5"/>
  <c r="I17" i="4"/>
  <c r="H18" i="5"/>
  <c r="H230" i="4"/>
  <c r="H323" i="4"/>
  <c r="H31" i="15"/>
  <c r="H44" i="4"/>
  <c r="H416" i="4"/>
  <c r="H137" i="4"/>
  <c r="H273" i="5"/>
  <c r="L65" i="5"/>
  <c r="S65" i="5"/>
  <c r="I459" i="4"/>
  <c r="I23" i="4"/>
  <c r="H24" i="5"/>
  <c r="N187" i="10"/>
  <c r="O187" i="10" s="1"/>
  <c r="N55" i="11" s="1"/>
  <c r="O55" i="11" s="1"/>
  <c r="N180" i="10"/>
  <c r="O180" i="10" s="1"/>
  <c r="N181" i="10"/>
  <c r="O181" i="10" s="1"/>
  <c r="N185" i="10"/>
  <c r="O185" i="10" s="1"/>
  <c r="N186" i="10"/>
  <c r="O186" i="10" s="1"/>
  <c r="N183" i="10"/>
  <c r="O183" i="10" s="1"/>
  <c r="H166" i="5"/>
  <c r="I165" i="4"/>
  <c r="Q364" i="10"/>
  <c r="R364" i="10" s="1"/>
  <c r="Q365" i="10"/>
  <c r="R365" i="10" s="1"/>
  <c r="Q368" i="10"/>
  <c r="R368" i="10" s="1"/>
  <c r="D174" i="17" s="1"/>
  <c r="F174" i="17" s="1"/>
  <c r="Q355" i="10"/>
  <c r="R355" i="10" s="1"/>
  <c r="Q366" i="10"/>
  <c r="R366" i="10" s="1"/>
  <c r="D131" i="17" s="1"/>
  <c r="F131" i="17" s="1"/>
  <c r="Q362" i="10"/>
  <c r="R362" i="10" s="1"/>
  <c r="Q359" i="10"/>
  <c r="R359" i="10" s="1"/>
  <c r="Q371" i="10"/>
  <c r="R371" i="10" s="1"/>
  <c r="Q360" i="10"/>
  <c r="R360" i="10" s="1"/>
  <c r="D176" i="17" s="1"/>
  <c r="F176" i="17" s="1"/>
  <c r="Q367" i="10"/>
  <c r="R367" i="10" s="1"/>
  <c r="D105" i="17" s="1"/>
  <c r="F105" i="17" s="1"/>
  <c r="Q358" i="10"/>
  <c r="R358" i="10" s="1"/>
  <c r="Q356" i="10"/>
  <c r="R356" i="10" s="1"/>
  <c r="Q354" i="10"/>
  <c r="R354" i="10" s="1"/>
  <c r="Q372" i="10"/>
  <c r="R372" i="10" s="1"/>
  <c r="Q370" i="10"/>
  <c r="R370" i="10" s="1"/>
  <c r="Q357" i="10"/>
  <c r="R357" i="10" s="1"/>
  <c r="Q361" i="10"/>
  <c r="R361" i="10" s="1"/>
  <c r="D103" i="17" s="1"/>
  <c r="F103" i="17" s="1"/>
  <c r="Q363" i="10"/>
  <c r="R363" i="10" s="1"/>
  <c r="Q369" i="10"/>
  <c r="R369" i="10" s="1"/>
  <c r="Q353" i="10"/>
  <c r="R353" i="10" s="1"/>
  <c r="N368" i="10"/>
  <c r="O368" i="10" s="1"/>
  <c r="F249" i="16" s="1"/>
  <c r="H249" i="16" s="1"/>
  <c r="N369" i="10"/>
  <c r="O369" i="10" s="1"/>
  <c r="N366" i="10"/>
  <c r="O366" i="10" s="1"/>
  <c r="F258" i="16" s="1"/>
  <c r="H258" i="16" s="1"/>
  <c r="N364" i="10"/>
  <c r="O364" i="10" s="1"/>
  <c r="N367" i="10"/>
  <c r="O367" i="10" s="1"/>
  <c r="F253" i="16" s="1"/>
  <c r="H253" i="16" s="1"/>
  <c r="N362" i="10"/>
  <c r="O362" i="10" s="1"/>
  <c r="N360" i="10"/>
  <c r="O360" i="10" s="1"/>
  <c r="F263" i="16" s="1"/>
  <c r="H263" i="16" s="1"/>
  <c r="N361" i="10"/>
  <c r="O361" i="10" s="1"/>
  <c r="F262" i="16" s="1"/>
  <c r="H262" i="16" s="1"/>
  <c r="N363" i="10"/>
  <c r="O363" i="10" s="1"/>
  <c r="N358" i="10"/>
  <c r="O358" i="10" s="1"/>
  <c r="N357" i="10"/>
  <c r="O357" i="10" s="1"/>
  <c r="N372" i="10"/>
  <c r="O372" i="10" s="1"/>
  <c r="N370" i="10"/>
  <c r="O370" i="10" s="1"/>
  <c r="N353" i="10"/>
  <c r="O353" i="10" s="1"/>
  <c r="N356" i="10"/>
  <c r="O356" i="10" s="1"/>
  <c r="N365" i="10"/>
  <c r="O365" i="10" s="1"/>
  <c r="N354" i="10"/>
  <c r="O354" i="10" s="1"/>
  <c r="N355" i="10"/>
  <c r="O355" i="10" s="1"/>
  <c r="N371" i="10"/>
  <c r="O371" i="10" s="1"/>
  <c r="N359" i="10"/>
  <c r="O359" i="10" s="1"/>
  <c r="G685" i="8"/>
  <c r="L685" i="8" s="1"/>
  <c r="G566" i="7"/>
  <c r="I566" i="7" s="1"/>
  <c r="I567" i="7" s="1"/>
  <c r="J16" i="5"/>
  <c r="M16" i="5"/>
  <c r="P16" i="5"/>
  <c r="I16" i="5"/>
  <c r="H36" i="5"/>
  <c r="I35" i="4"/>
  <c r="P120" i="5"/>
  <c r="M120" i="5"/>
  <c r="J120" i="5"/>
  <c r="I120" i="5"/>
  <c r="P116" i="5"/>
  <c r="J116" i="5"/>
  <c r="M116" i="5"/>
  <c r="I116" i="5"/>
  <c r="H385" i="5"/>
  <c r="I384" i="4"/>
  <c r="H352" i="5"/>
  <c r="I351" i="4"/>
  <c r="P457" i="5"/>
  <c r="M457" i="5"/>
  <c r="J457" i="5"/>
  <c r="I457" i="5"/>
  <c r="I456" i="5" s="1"/>
  <c r="I346" i="8"/>
  <c r="I109" i="7"/>
  <c r="J213" i="5"/>
  <c r="P213" i="5"/>
  <c r="M213" i="5"/>
  <c r="I213" i="5"/>
  <c r="R386" i="5"/>
  <c r="J67" i="5"/>
  <c r="P67" i="5"/>
  <c r="M67" i="5"/>
  <c r="I67" i="5"/>
  <c r="E92" i="2"/>
  <c r="C93" i="3"/>
  <c r="H220" i="5"/>
  <c r="I219" i="4"/>
  <c r="I71" i="3"/>
  <c r="N188" i="9"/>
  <c r="O188" i="9" s="1"/>
  <c r="M83" i="5"/>
  <c r="P83" i="5"/>
  <c r="J83" i="5"/>
  <c r="I83" i="5"/>
  <c r="Q58" i="10"/>
  <c r="R58" i="10" s="1"/>
  <c r="H94" i="5"/>
  <c r="I93" i="4"/>
  <c r="N72" i="9"/>
  <c r="O72" i="9" s="1"/>
  <c r="N28" i="10" s="1"/>
  <c r="O28" i="10" s="1"/>
  <c r="N74" i="9"/>
  <c r="O74" i="9" s="1"/>
  <c r="I60" i="15"/>
  <c r="N192" i="10"/>
  <c r="O192" i="10" s="1"/>
  <c r="M362" i="5"/>
  <c r="J362" i="5"/>
  <c r="I362" i="5"/>
  <c r="P362" i="5"/>
  <c r="H33" i="5"/>
  <c r="I32" i="4"/>
  <c r="I38" i="15"/>
  <c r="N196" i="10"/>
  <c r="O196" i="10" s="1"/>
  <c r="N203" i="9"/>
  <c r="O203" i="9" s="1"/>
  <c r="N201" i="9"/>
  <c r="O201" i="9" s="1"/>
  <c r="N202" i="9"/>
  <c r="O202" i="9" s="1"/>
  <c r="I291" i="7"/>
  <c r="I292" i="7" s="1"/>
  <c r="G415" i="4"/>
  <c r="G416" i="5" s="1"/>
  <c r="G56" i="4"/>
  <c r="G57" i="5" s="1"/>
  <c r="N58" i="9"/>
  <c r="O58" i="9" s="1"/>
  <c r="I435" i="4"/>
  <c r="I434" i="4" s="1"/>
  <c r="H436" i="5"/>
  <c r="Q162" i="10"/>
  <c r="R162" i="10" s="1"/>
  <c r="Q163" i="10"/>
  <c r="R163" i="10" s="1"/>
  <c r="Q45" i="11" s="1"/>
  <c r="R45" i="11" s="1"/>
  <c r="Q158" i="10"/>
  <c r="R158" i="10" s="1"/>
  <c r="Q156" i="10"/>
  <c r="R156" i="10" s="1"/>
  <c r="Q161" i="10"/>
  <c r="R161" i="10" s="1"/>
  <c r="Q159" i="10"/>
  <c r="R159" i="10" s="1"/>
  <c r="Q160" i="10"/>
  <c r="R160" i="10" s="1"/>
  <c r="Q157" i="10"/>
  <c r="R157" i="10" s="1"/>
  <c r="O305" i="5"/>
  <c r="I147" i="5"/>
  <c r="N318" i="10"/>
  <c r="O318" i="10" s="1"/>
  <c r="N311" i="10"/>
  <c r="O311" i="10" s="1"/>
  <c r="N308" i="10"/>
  <c r="O308" i="10" s="1"/>
  <c r="N309" i="10"/>
  <c r="O309" i="10" s="1"/>
  <c r="N303" i="10"/>
  <c r="O303" i="10" s="1"/>
  <c r="N302" i="10"/>
  <c r="O302" i="10" s="1"/>
  <c r="N304" i="10"/>
  <c r="O304" i="10" s="1"/>
  <c r="N312" i="10"/>
  <c r="O312" i="10" s="1"/>
  <c r="N314" i="10"/>
  <c r="O314" i="10" s="1"/>
  <c r="F254" i="16" s="1"/>
  <c r="H254" i="16" s="1"/>
  <c r="N316" i="10"/>
  <c r="O316" i="10" s="1"/>
  <c r="N305" i="10"/>
  <c r="O305" i="10" s="1"/>
  <c r="N306" i="10"/>
  <c r="O306" i="10" s="1"/>
  <c r="F255" i="16" s="1"/>
  <c r="H255" i="16" s="1"/>
  <c r="N307" i="10"/>
  <c r="O307" i="10" s="1"/>
  <c r="N319" i="10"/>
  <c r="O319" i="10" s="1"/>
  <c r="N317" i="10"/>
  <c r="O317" i="10" s="1"/>
  <c r="N310" i="10"/>
  <c r="O310" i="10" s="1"/>
  <c r="N313" i="10"/>
  <c r="O313" i="10" s="1"/>
  <c r="N315" i="10"/>
  <c r="O315" i="10" s="1"/>
  <c r="F243" i="16" s="1"/>
  <c r="H243" i="16" s="1"/>
  <c r="E71" i="3"/>
  <c r="H34" i="5"/>
  <c r="I33" i="4"/>
  <c r="H366" i="5"/>
  <c r="I365" i="4"/>
  <c r="J221" i="5"/>
  <c r="I221" i="5"/>
  <c r="N199" i="10"/>
  <c r="O199" i="10" s="1"/>
  <c r="N60" i="11" s="1"/>
  <c r="O60" i="11" s="1"/>
  <c r="L201" i="5"/>
  <c r="S201" i="5"/>
  <c r="P399" i="5"/>
  <c r="M399" i="5"/>
  <c r="J399" i="5"/>
  <c r="I399" i="5"/>
  <c r="M261" i="5"/>
  <c r="P261" i="5"/>
  <c r="J261" i="5"/>
  <c r="I261" i="5"/>
  <c r="N270" i="10"/>
  <c r="O270" i="10" s="1"/>
  <c r="Q115" i="10"/>
  <c r="R115" i="10" s="1"/>
  <c r="Q311" i="10"/>
  <c r="R311" i="10" s="1"/>
  <c r="Q303" i="10"/>
  <c r="R303" i="10" s="1"/>
  <c r="Q312" i="10"/>
  <c r="R312" i="10" s="1"/>
  <c r="Q310" i="10"/>
  <c r="R310" i="10" s="1"/>
  <c r="Q318" i="10"/>
  <c r="R318" i="10" s="1"/>
  <c r="Q314" i="10"/>
  <c r="R314" i="10" s="1"/>
  <c r="D161" i="17" s="1"/>
  <c r="F161" i="17" s="1"/>
  <c r="Q304" i="10"/>
  <c r="R304" i="10" s="1"/>
  <c r="Q308" i="10"/>
  <c r="R308" i="10" s="1"/>
  <c r="Q319" i="10"/>
  <c r="R319" i="10" s="1"/>
  <c r="Q316" i="10"/>
  <c r="R316" i="10" s="1"/>
  <c r="Q317" i="10"/>
  <c r="R317" i="10" s="1"/>
  <c r="Q307" i="10"/>
  <c r="R307" i="10" s="1"/>
  <c r="Q305" i="10"/>
  <c r="R305" i="10" s="1"/>
  <c r="Q309" i="10"/>
  <c r="R309" i="10" s="1"/>
  <c r="Q302" i="10"/>
  <c r="R302" i="10" s="1"/>
  <c r="Q306" i="10"/>
  <c r="R306" i="10" s="1"/>
  <c r="D185" i="17" s="1"/>
  <c r="F185" i="17" s="1"/>
  <c r="Q315" i="10"/>
  <c r="R315" i="10" s="1"/>
  <c r="Q313" i="10"/>
  <c r="R313" i="10" s="1"/>
  <c r="H334" i="5"/>
  <c r="I333" i="4"/>
  <c r="I331" i="4" s="1"/>
  <c r="J447" i="5"/>
  <c r="P447" i="5"/>
  <c r="M447" i="5"/>
  <c r="I447" i="5"/>
  <c r="N235" i="9"/>
  <c r="O235" i="9" s="1"/>
  <c r="N236" i="9"/>
  <c r="O236" i="9" s="1"/>
  <c r="N234" i="9"/>
  <c r="O234" i="9" s="1"/>
  <c r="N233" i="9"/>
  <c r="O233" i="9" s="1"/>
  <c r="N232" i="9"/>
  <c r="O232" i="9" s="1"/>
  <c r="N229" i="9"/>
  <c r="O229" i="9" s="1"/>
  <c r="N110" i="10" s="1"/>
  <c r="O110" i="10" s="1"/>
  <c r="N231" i="9"/>
  <c r="O231" i="9" s="1"/>
  <c r="N230" i="9"/>
  <c r="O230" i="9" s="1"/>
  <c r="S14" i="5"/>
  <c r="L14" i="5"/>
  <c r="N241" i="10"/>
  <c r="O241" i="10" s="1"/>
  <c r="N240" i="10"/>
  <c r="O240" i="10" s="1"/>
  <c r="N243" i="10"/>
  <c r="O243" i="10" s="1"/>
  <c r="N70" i="11" s="1"/>
  <c r="O70" i="11" s="1"/>
  <c r="N239" i="10"/>
  <c r="O239" i="10" s="1"/>
  <c r="N238" i="10"/>
  <c r="O238" i="10" s="1"/>
  <c r="N236" i="10"/>
  <c r="O236" i="10" s="1"/>
  <c r="N237" i="10"/>
  <c r="O237" i="10" s="1"/>
  <c r="N242" i="10"/>
  <c r="O242" i="10" s="1"/>
  <c r="N88" i="9"/>
  <c r="O88" i="9" s="1"/>
  <c r="F19" i="16"/>
  <c r="H19" i="16" s="1"/>
  <c r="I100" i="7"/>
  <c r="I101" i="7"/>
  <c r="G95" i="7"/>
  <c r="G113" i="4"/>
  <c r="G114" i="5" s="1"/>
  <c r="G30" i="15"/>
  <c r="G392" i="4"/>
  <c r="G393" i="5" s="1"/>
  <c r="G206" i="4"/>
  <c r="G207" i="5" s="1"/>
  <c r="G299" i="4"/>
  <c r="G300" i="5" s="1"/>
  <c r="G20" i="4"/>
  <c r="G21" i="5" s="1"/>
  <c r="I19" i="4"/>
  <c r="H20" i="5"/>
  <c r="H64" i="5"/>
  <c r="I63" i="4"/>
  <c r="I372" i="4"/>
  <c r="H373" i="5"/>
  <c r="M377" i="5"/>
  <c r="J377" i="5"/>
  <c r="P377" i="5"/>
  <c r="I377" i="5"/>
  <c r="H396" i="5"/>
  <c r="I395" i="4"/>
  <c r="P302" i="5"/>
  <c r="M302" i="5"/>
  <c r="J302" i="5"/>
  <c r="I302" i="5"/>
  <c r="P240" i="5"/>
  <c r="M240" i="5"/>
  <c r="J240" i="5"/>
  <c r="I240" i="5"/>
  <c r="H390" i="5"/>
  <c r="I389" i="4"/>
  <c r="N64" i="9"/>
  <c r="O64" i="9" s="1"/>
  <c r="N18" i="10" s="1"/>
  <c r="O18" i="10" s="1"/>
  <c r="M101" i="5"/>
  <c r="J101" i="5"/>
  <c r="P101" i="5"/>
  <c r="I101" i="5"/>
  <c r="C80" i="3"/>
  <c r="E79" i="2"/>
  <c r="H172" i="5"/>
  <c r="I171" i="4"/>
  <c r="Q391" i="10"/>
  <c r="R391" i="10" s="1"/>
  <c r="Q385" i="10"/>
  <c r="R385" i="10" s="1"/>
  <c r="D202" i="17" s="1"/>
  <c r="F202" i="17" s="1"/>
  <c r="Q392" i="10"/>
  <c r="R392" i="10" s="1"/>
  <c r="Q383" i="10"/>
  <c r="R383" i="10" s="1"/>
  <c r="Q381" i="10"/>
  <c r="R381" i="10" s="1"/>
  <c r="Q380" i="10"/>
  <c r="R380" i="10" s="1"/>
  <c r="Q379" i="10"/>
  <c r="R379" i="10" s="1"/>
  <c r="Q377" i="10"/>
  <c r="R377" i="10" s="1"/>
  <c r="Q389" i="10"/>
  <c r="R389" i="10" s="1"/>
  <c r="Q387" i="10"/>
  <c r="R387" i="10" s="1"/>
  <c r="Q390" i="10"/>
  <c r="R390" i="10" s="1"/>
  <c r="Q386" i="10"/>
  <c r="R386" i="10" s="1"/>
  <c r="Q382" i="10"/>
  <c r="R382" i="10" s="1"/>
  <c r="Q384" i="10"/>
  <c r="R384" i="10" s="1"/>
  <c r="D26" i="17" s="1"/>
  <c r="F26" i="17" s="1"/>
  <c r="Q378" i="10"/>
  <c r="R378" i="10" s="1"/>
  <c r="Q388" i="10"/>
  <c r="R388" i="10" s="1"/>
  <c r="I166" i="4"/>
  <c r="N65" i="9"/>
  <c r="O65" i="9" s="1"/>
  <c r="N23" i="10" s="1"/>
  <c r="O23" i="10" s="1"/>
  <c r="Q184" i="10"/>
  <c r="R184" i="10" s="1"/>
  <c r="Q187" i="10"/>
  <c r="R187" i="10" s="1"/>
  <c r="Q55" i="11" s="1"/>
  <c r="R55" i="11" s="1"/>
  <c r="Q186" i="10"/>
  <c r="R186" i="10" s="1"/>
  <c r="Q182" i="10"/>
  <c r="R182" i="10" s="1"/>
  <c r="Q180" i="10"/>
  <c r="R180" i="10" s="1"/>
  <c r="Q183" i="10"/>
  <c r="R183" i="10" s="1"/>
  <c r="Q185" i="10"/>
  <c r="R185" i="10" s="1"/>
  <c r="Q181" i="10"/>
  <c r="R181" i="10" s="1"/>
  <c r="Q150" i="10"/>
  <c r="R150" i="10" s="1"/>
  <c r="Q147" i="10"/>
  <c r="R147" i="10" s="1"/>
  <c r="Q35" i="11" s="1"/>
  <c r="R35" i="11" s="1"/>
  <c r="Q148" i="10"/>
  <c r="R148" i="10" s="1"/>
  <c r="Q40" i="11" s="1"/>
  <c r="R40" i="11" s="1"/>
  <c r="Q149" i="10"/>
  <c r="R149" i="10" s="1"/>
  <c r="Q151" i="10"/>
  <c r="R151" i="10" s="1"/>
  <c r="H297" i="5"/>
  <c r="I296" i="4"/>
  <c r="H451" i="5"/>
  <c r="I450" i="4"/>
  <c r="H446" i="5"/>
  <c r="I445" i="4"/>
  <c r="N219" i="10"/>
  <c r="O219" i="10" s="1"/>
  <c r="N215" i="10"/>
  <c r="O215" i="10" s="1"/>
  <c r="N216" i="10"/>
  <c r="O216" i="10" s="1"/>
  <c r="N221" i="10"/>
  <c r="O221" i="10" s="1"/>
  <c r="N65" i="11" s="1"/>
  <c r="O65" i="11" s="1"/>
  <c r="N214" i="10"/>
  <c r="O214" i="10" s="1"/>
  <c r="N220" i="10"/>
  <c r="O220" i="10" s="1"/>
  <c r="N217" i="10"/>
  <c r="O217" i="10" s="1"/>
  <c r="N218" i="10"/>
  <c r="O218" i="10" s="1"/>
  <c r="N260" i="10"/>
  <c r="O260" i="10" s="1"/>
  <c r="H250" i="5"/>
  <c r="I249" i="4"/>
  <c r="I248" i="4" s="1"/>
  <c r="P471" i="5"/>
  <c r="M471" i="5"/>
  <c r="J471" i="5"/>
  <c r="I471" i="5"/>
  <c r="P354" i="5"/>
  <c r="M354" i="5"/>
  <c r="J354" i="5"/>
  <c r="I354" i="5"/>
  <c r="J160" i="5"/>
  <c r="P160" i="5"/>
  <c r="M160" i="5"/>
  <c r="I160" i="5"/>
  <c r="P378" i="5"/>
  <c r="J378" i="5"/>
  <c r="M378" i="5"/>
  <c r="I378" i="5"/>
  <c r="P439" i="5"/>
  <c r="M439" i="5"/>
  <c r="J439" i="5"/>
  <c r="I439" i="5"/>
  <c r="Q73" i="10"/>
  <c r="R73" i="10" s="1"/>
  <c r="H397" i="5"/>
  <c r="I396" i="4"/>
  <c r="M440" i="5"/>
  <c r="P440" i="5"/>
  <c r="J440" i="5"/>
  <c r="I440" i="5"/>
  <c r="H391" i="5"/>
  <c r="I390" i="4"/>
  <c r="E47" i="2"/>
  <c r="C48" i="3"/>
  <c r="N222" i="9"/>
  <c r="O222" i="9" s="1"/>
  <c r="N223" i="9"/>
  <c r="O223" i="9" s="1"/>
  <c r="N217" i="9"/>
  <c r="O217" i="9" s="1"/>
  <c r="N105" i="10" s="1"/>
  <c r="O105" i="10" s="1"/>
  <c r="N221" i="9"/>
  <c r="O221" i="9" s="1"/>
  <c r="N224" i="9"/>
  <c r="O224" i="9" s="1"/>
  <c r="N220" i="9"/>
  <c r="O220" i="9" s="1"/>
  <c r="N219" i="9"/>
  <c r="O219" i="9" s="1"/>
  <c r="N218" i="9"/>
  <c r="O218" i="9" s="1"/>
  <c r="O14" i="5"/>
  <c r="H117" i="5"/>
  <c r="I116" i="4"/>
  <c r="H202" i="4"/>
  <c r="H9" i="15"/>
  <c r="H109" i="4"/>
  <c r="H388" i="4"/>
  <c r="H16" i="4"/>
  <c r="H295" i="4"/>
  <c r="N75" i="9"/>
  <c r="O75" i="9" s="1"/>
  <c r="N84" i="9"/>
  <c r="O84" i="9" s="1"/>
  <c r="N33" i="10" s="1"/>
  <c r="O33" i="10" s="1"/>
  <c r="T176" i="5"/>
  <c r="I487" i="7"/>
  <c r="I488" i="7" s="1"/>
  <c r="G479" i="7"/>
  <c r="L479" i="7" s="1"/>
  <c r="G348" i="4"/>
  <c r="G349" i="5" s="1"/>
  <c r="G255" i="4"/>
  <c r="G256" i="5" s="1"/>
  <c r="G13" i="15"/>
  <c r="G162" i="4"/>
  <c r="G163" i="5" s="1"/>
  <c r="G69" i="4"/>
  <c r="G70" i="5" s="1"/>
  <c r="G441" i="4"/>
  <c r="G442" i="5" s="1"/>
  <c r="Q340" i="10"/>
  <c r="R340" i="10" s="1"/>
  <c r="D76" i="17" s="1"/>
  <c r="F76" i="17" s="1"/>
  <c r="Q345" i="10"/>
  <c r="R345" i="10" s="1"/>
  <c r="Q346" i="10"/>
  <c r="R346" i="10" s="1"/>
  <c r="Q325" i="10"/>
  <c r="R325" i="10" s="1"/>
  <c r="Q344" i="10"/>
  <c r="R344" i="10" s="1"/>
  <c r="D132" i="17" s="1"/>
  <c r="F132" i="17" s="1"/>
  <c r="Q347" i="10"/>
  <c r="R347" i="10" s="1"/>
  <c r="Q342" i="10"/>
  <c r="R342" i="10" s="1"/>
  <c r="D175" i="17" s="1"/>
  <c r="F175" i="17" s="1"/>
  <c r="Q335" i="10"/>
  <c r="R335" i="10" s="1"/>
  <c r="Q338" i="10"/>
  <c r="R338" i="10" s="1"/>
  <c r="D160" i="17" s="1"/>
  <c r="F160" i="17" s="1"/>
  <c r="Q336" i="10"/>
  <c r="R336" i="10" s="1"/>
  <c r="Q330" i="10"/>
  <c r="R330" i="10" s="1"/>
  <c r="D166" i="17" s="1"/>
  <c r="F166" i="17" s="1"/>
  <c r="Q337" i="10"/>
  <c r="R337" i="10" s="1"/>
  <c r="D136" i="17" s="1"/>
  <c r="F136" i="17" s="1"/>
  <c r="Q328" i="10"/>
  <c r="R328" i="10" s="1"/>
  <c r="D75" i="17" s="1"/>
  <c r="F75" i="17" s="1"/>
  <c r="Q326" i="10"/>
  <c r="R326" i="10" s="1"/>
  <c r="Q324" i="10"/>
  <c r="R324" i="10" s="1"/>
  <c r="Q329" i="10"/>
  <c r="R329" i="10" s="1"/>
  <c r="D66" i="17" s="1"/>
  <c r="F66" i="17" s="1"/>
  <c r="Q343" i="10"/>
  <c r="R343" i="10" s="1"/>
  <c r="D130" i="17" s="1"/>
  <c r="F130" i="17" s="1"/>
  <c r="Q327" i="10"/>
  <c r="R327" i="10" s="1"/>
  <c r="Q341" i="10"/>
  <c r="R341" i="10" s="1"/>
  <c r="D92" i="17" s="1"/>
  <c r="F92" i="17" s="1"/>
  <c r="Q348" i="10"/>
  <c r="R348" i="10" s="1"/>
  <c r="Q331" i="10"/>
  <c r="R331" i="10" s="1"/>
  <c r="Q339" i="10"/>
  <c r="R339" i="10" s="1"/>
  <c r="D133" i="17" s="1"/>
  <c r="F133" i="17" s="1"/>
  <c r="Q334" i="10"/>
  <c r="R334" i="10" s="1"/>
  <c r="Q332" i="10"/>
  <c r="R332" i="10" s="1"/>
  <c r="Q333" i="10"/>
  <c r="R333" i="10" s="1"/>
  <c r="F89" i="16"/>
  <c r="H89" i="16" s="1"/>
  <c r="D64" i="17"/>
  <c r="F64" i="17" s="1"/>
  <c r="H187" i="5"/>
  <c r="I186" i="4"/>
  <c r="Q238" i="10"/>
  <c r="R238" i="10" s="1"/>
  <c r="Q243" i="10"/>
  <c r="R243" i="10" s="1"/>
  <c r="Q70" i="11" s="1"/>
  <c r="R70" i="11" s="1"/>
  <c r="Q241" i="10"/>
  <c r="R241" i="10" s="1"/>
  <c r="Q237" i="10"/>
  <c r="R237" i="10" s="1"/>
  <c r="Q236" i="10"/>
  <c r="R236" i="10" s="1"/>
  <c r="Q240" i="10"/>
  <c r="R240" i="10" s="1"/>
  <c r="Q242" i="10"/>
  <c r="R242" i="10" s="1"/>
  <c r="Q239" i="10"/>
  <c r="R239" i="10" s="1"/>
  <c r="I264" i="4"/>
  <c r="H265" i="5"/>
  <c r="Q252" i="10"/>
  <c r="R252" i="10" s="1"/>
  <c r="Q255" i="10"/>
  <c r="R255" i="10" s="1"/>
  <c r="Q75" i="11" s="1"/>
  <c r="R75" i="11" s="1"/>
  <c r="Q254" i="10"/>
  <c r="R254" i="10" s="1"/>
  <c r="Q250" i="10"/>
  <c r="R250" i="10" s="1"/>
  <c r="Q253" i="10"/>
  <c r="R253" i="10" s="1"/>
  <c r="Q251" i="10"/>
  <c r="R251" i="10" s="1"/>
  <c r="Q249" i="10"/>
  <c r="R249" i="10" s="1"/>
  <c r="Q248" i="10"/>
  <c r="R248" i="10" s="1"/>
  <c r="S386" i="5"/>
  <c r="L386" i="5"/>
  <c r="H111" i="5"/>
  <c r="I110" i="4"/>
  <c r="Q281" i="10"/>
  <c r="R281" i="10" s="1"/>
  <c r="Q277" i="10"/>
  <c r="R277" i="10" s="1"/>
  <c r="Q279" i="10"/>
  <c r="R279" i="10" s="1"/>
  <c r="Q282" i="10"/>
  <c r="R282" i="10" s="1"/>
  <c r="Q80" i="11" s="1"/>
  <c r="R80" i="11" s="1"/>
  <c r="Q280" i="10"/>
  <c r="R280" i="10" s="1"/>
  <c r="Q278" i="10"/>
  <c r="R278" i="10" s="1"/>
  <c r="Q276" i="10"/>
  <c r="R276" i="10" s="1"/>
  <c r="Q275" i="10"/>
  <c r="R275" i="10" s="1"/>
  <c r="H343" i="5"/>
  <c r="I342" i="4"/>
  <c r="I341" i="4" s="1"/>
  <c r="J253" i="5"/>
  <c r="P253" i="5"/>
  <c r="M253" i="5"/>
  <c r="I253" i="5"/>
  <c r="Q195" i="10"/>
  <c r="R195" i="10" s="1"/>
  <c r="Q193" i="10"/>
  <c r="R193" i="10" s="1"/>
  <c r="Q194" i="10"/>
  <c r="R194" i="10" s="1"/>
  <c r="Q192" i="10"/>
  <c r="R192" i="10" s="1"/>
  <c r="Q196" i="10"/>
  <c r="R196" i="10" s="1"/>
  <c r="Q199" i="10"/>
  <c r="R199" i="10" s="1"/>
  <c r="Q60" i="11" s="1"/>
  <c r="R60" i="11" s="1"/>
  <c r="Q197" i="10"/>
  <c r="R197" i="10" s="1"/>
  <c r="Q198" i="10"/>
  <c r="R198" i="10" s="1"/>
  <c r="Q140" i="10"/>
  <c r="R140" i="10" s="1"/>
  <c r="Q141" i="10"/>
  <c r="R141" i="10" s="1"/>
  <c r="Q142" i="10"/>
  <c r="R142" i="10" s="1"/>
  <c r="N184" i="10"/>
  <c r="O184" i="10" s="1"/>
  <c r="I275" i="7"/>
  <c r="I276" i="7" s="1"/>
  <c r="G263" i="7"/>
  <c r="L263" i="7" s="1"/>
  <c r="G19" i="15"/>
  <c r="G225" i="4"/>
  <c r="G226" i="5" s="1"/>
  <c r="G39" i="4"/>
  <c r="G40" i="5" s="1"/>
  <c r="G132" i="4"/>
  <c r="G133" i="5" s="1"/>
  <c r="G318" i="4"/>
  <c r="G319" i="5" s="1"/>
  <c r="G411" i="4"/>
  <c r="G412" i="5" s="1"/>
  <c r="T107" i="5"/>
  <c r="I418" i="7"/>
  <c r="I419" i="7" s="1"/>
  <c r="G407" i="7"/>
  <c r="L407" i="7" s="1"/>
  <c r="G58" i="4"/>
  <c r="G59" i="5" s="1"/>
  <c r="G430" i="4"/>
  <c r="G431" i="5" s="1"/>
  <c r="G36" i="15"/>
  <c r="G337" i="4"/>
  <c r="G338" i="5" s="1"/>
  <c r="G244" i="4"/>
  <c r="G245" i="5" s="1"/>
  <c r="G151" i="4"/>
  <c r="G152" i="5" s="1"/>
  <c r="N381" i="10"/>
  <c r="O381" i="10" s="1"/>
  <c r="N380" i="10"/>
  <c r="O380" i="10" s="1"/>
  <c r="N391" i="10"/>
  <c r="O391" i="10" s="1"/>
  <c r="N384" i="10"/>
  <c r="O384" i="10" s="1"/>
  <c r="F264" i="16" s="1"/>
  <c r="H264" i="16" s="1"/>
  <c r="N389" i="10"/>
  <c r="O389" i="10" s="1"/>
  <c r="N386" i="10"/>
  <c r="O386" i="10" s="1"/>
  <c r="N388" i="10"/>
  <c r="O388" i="10" s="1"/>
  <c r="N387" i="10"/>
  <c r="O387" i="10" s="1"/>
  <c r="N385" i="10"/>
  <c r="O385" i="10" s="1"/>
  <c r="F260" i="16" s="1"/>
  <c r="H260" i="16" s="1"/>
  <c r="N383" i="10"/>
  <c r="O383" i="10" s="1"/>
  <c r="N379" i="10"/>
  <c r="O379" i="10" s="1"/>
  <c r="N377" i="10"/>
  <c r="O377" i="10" s="1"/>
  <c r="N378" i="10"/>
  <c r="O378" i="10" s="1"/>
  <c r="N382" i="10"/>
  <c r="O382" i="10" s="1"/>
  <c r="N392" i="10"/>
  <c r="O392" i="10" s="1"/>
  <c r="N390" i="10"/>
  <c r="O390" i="10" s="1"/>
  <c r="J364" i="5"/>
  <c r="M364" i="5"/>
  <c r="P364" i="5"/>
  <c r="I364" i="5"/>
  <c r="I363" i="5" s="1"/>
  <c r="R305" i="5"/>
  <c r="L380" i="5"/>
  <c r="S380" i="5"/>
  <c r="M473" i="5"/>
  <c r="J473" i="5"/>
  <c r="P473" i="5"/>
  <c r="I473" i="5"/>
  <c r="I641" i="7"/>
  <c r="I642" i="7" s="1"/>
  <c r="G636" i="7"/>
  <c r="L636" i="7" s="1"/>
  <c r="G371" i="4"/>
  <c r="G372" i="5" s="1"/>
  <c r="G185" i="4"/>
  <c r="G186" i="5" s="1"/>
  <c r="G92" i="4"/>
  <c r="G93" i="5" s="1"/>
  <c r="G278" i="4"/>
  <c r="G279" i="5" s="1"/>
  <c r="G35" i="15"/>
  <c r="G464" i="4"/>
  <c r="G465" i="5" s="1"/>
  <c r="M135" i="5"/>
  <c r="P135" i="5"/>
  <c r="J135" i="5"/>
  <c r="I135" i="5"/>
  <c r="I134" i="5" s="1"/>
  <c r="M23" i="5"/>
  <c r="J23" i="5"/>
  <c r="P23" i="5"/>
  <c r="I23" i="5"/>
  <c r="C49" i="3"/>
  <c r="E48" i="2"/>
  <c r="T387" i="5"/>
  <c r="N171" i="10"/>
  <c r="O171" i="10" s="1"/>
  <c r="N170" i="10"/>
  <c r="O170" i="10" s="1"/>
  <c r="N168" i="10"/>
  <c r="O168" i="10" s="1"/>
  <c r="N174" i="10"/>
  <c r="O174" i="10" s="1"/>
  <c r="N172" i="10"/>
  <c r="O172" i="10" s="1"/>
  <c r="N173" i="10"/>
  <c r="O173" i="10" s="1"/>
  <c r="N169" i="10"/>
  <c r="O169" i="10" s="1"/>
  <c r="N175" i="10"/>
  <c r="O175" i="10" s="1"/>
  <c r="N50" i="11" s="1"/>
  <c r="O50" i="11" s="1"/>
  <c r="H13" i="5"/>
  <c r="I12" i="4"/>
  <c r="H304" i="5"/>
  <c r="I303" i="4"/>
  <c r="M175" i="5"/>
  <c r="J175" i="5"/>
  <c r="P175" i="5"/>
  <c r="I175" i="5"/>
  <c r="I174" i="5" s="1"/>
  <c r="G48" i="15"/>
  <c r="G330" i="4"/>
  <c r="G331" i="5" s="1"/>
  <c r="H210" i="5"/>
  <c r="I209" i="4"/>
  <c r="N253" i="10"/>
  <c r="O253" i="10" s="1"/>
  <c r="N254" i="10"/>
  <c r="O254" i="10" s="1"/>
  <c r="N250" i="10"/>
  <c r="O250" i="10" s="1"/>
  <c r="N252" i="10"/>
  <c r="O252" i="10" s="1"/>
  <c r="N248" i="10"/>
  <c r="O248" i="10" s="1"/>
  <c r="N249" i="10"/>
  <c r="O249" i="10" s="1"/>
  <c r="N251" i="10"/>
  <c r="O251" i="10" s="1"/>
  <c r="N255" i="10"/>
  <c r="O255" i="10" s="1"/>
  <c r="N75" i="11" s="1"/>
  <c r="O75" i="11" s="1"/>
  <c r="H445" i="5"/>
  <c r="I444" i="4"/>
  <c r="N87" i="9"/>
  <c r="O87" i="9" s="1"/>
  <c r="I203" i="4"/>
  <c r="H204" i="5"/>
  <c r="H113" i="5"/>
  <c r="I112" i="4"/>
  <c r="P314" i="5"/>
  <c r="M314" i="5"/>
  <c r="J314" i="5"/>
  <c r="I314" i="5"/>
  <c r="D9" i="17"/>
  <c r="F9" i="17" s="1"/>
  <c r="I391" i="4"/>
  <c r="H392" i="5"/>
  <c r="G71" i="3"/>
  <c r="O270" i="5"/>
  <c r="R39" i="5"/>
  <c r="I68" i="5"/>
  <c r="M209" i="5"/>
  <c r="J209" i="5"/>
  <c r="P209" i="5"/>
  <c r="I209" i="5"/>
  <c r="H299" i="5"/>
  <c r="I298" i="4"/>
  <c r="Q219" i="10"/>
  <c r="R219" i="10" s="1"/>
  <c r="Q220" i="10"/>
  <c r="R220" i="10" s="1"/>
  <c r="Q216" i="10"/>
  <c r="R216" i="10" s="1"/>
  <c r="Q221" i="10"/>
  <c r="R221" i="10" s="1"/>
  <c r="Q65" i="11" s="1"/>
  <c r="R65" i="11" s="1"/>
  <c r="Q217" i="10"/>
  <c r="R217" i="10" s="1"/>
  <c r="Q215" i="10"/>
  <c r="R215" i="10" s="1"/>
  <c r="Q218" i="10"/>
  <c r="R218" i="10" s="1"/>
  <c r="Q214" i="10"/>
  <c r="R214" i="10" s="1"/>
  <c r="D36" i="18" s="1"/>
  <c r="F36" i="18" s="1"/>
  <c r="R321" i="5"/>
  <c r="P320" i="5"/>
  <c r="M333" i="5"/>
  <c r="J333" i="5"/>
  <c r="P333" i="5"/>
  <c r="I333" i="5"/>
  <c r="H106" i="5"/>
  <c r="I105" i="4"/>
  <c r="H118" i="5"/>
  <c r="I117" i="4"/>
  <c r="N193" i="10"/>
  <c r="O193" i="10" s="1"/>
  <c r="N195" i="10"/>
  <c r="O195" i="10" s="1"/>
  <c r="N197" i="10"/>
  <c r="O197" i="10" s="1"/>
  <c r="I280" i="4"/>
  <c r="H281" i="5"/>
  <c r="H73" i="5"/>
  <c r="I72" i="4"/>
  <c r="H313" i="5"/>
  <c r="I312" i="4"/>
  <c r="L287" i="5"/>
  <c r="S287" i="5"/>
  <c r="M269" i="5"/>
  <c r="P269" i="5"/>
  <c r="J269" i="5"/>
  <c r="I269" i="5"/>
  <c r="L321" i="5"/>
  <c r="J320" i="5"/>
  <c r="N112" i="9"/>
  <c r="O112" i="9" s="1"/>
  <c r="N115" i="9"/>
  <c r="O115" i="9" s="1"/>
  <c r="N110" i="9"/>
  <c r="O110" i="9" s="1"/>
  <c r="N108" i="9"/>
  <c r="O108" i="9" s="1"/>
  <c r="N43" i="10" s="1"/>
  <c r="O43" i="10" s="1"/>
  <c r="N111" i="9"/>
  <c r="O111" i="9" s="1"/>
  <c r="N109" i="9"/>
  <c r="O109" i="9" s="1"/>
  <c r="N113" i="9"/>
  <c r="O113" i="9" s="1"/>
  <c r="N114" i="9"/>
  <c r="O114" i="9" s="1"/>
  <c r="O287" i="5"/>
  <c r="S305" i="5"/>
  <c r="L305" i="5"/>
  <c r="H427" i="5"/>
  <c r="I426" i="4"/>
  <c r="I424" i="4" s="1"/>
  <c r="I194" i="4"/>
  <c r="N182" i="10"/>
  <c r="O182" i="10" s="1"/>
  <c r="F144" i="16"/>
  <c r="H144" i="16" s="1"/>
  <c r="M347" i="5"/>
  <c r="P347" i="5"/>
  <c r="J347" i="5"/>
  <c r="I347" i="5"/>
  <c r="S39" i="5"/>
  <c r="L39" i="5"/>
  <c r="M285" i="5"/>
  <c r="J285" i="5"/>
  <c r="P285" i="5"/>
  <c r="I285" i="5"/>
  <c r="J178" i="5"/>
  <c r="I407" i="4"/>
  <c r="H408" i="5"/>
  <c r="N142" i="10"/>
  <c r="O142" i="10" s="1"/>
  <c r="N141" i="10"/>
  <c r="O141" i="10" s="1"/>
  <c r="N140" i="10"/>
  <c r="O140" i="10" s="1"/>
  <c r="J158" i="5"/>
  <c r="P158" i="5"/>
  <c r="M158" i="5"/>
  <c r="I158" i="5"/>
  <c r="H199" i="5"/>
  <c r="I198" i="4"/>
  <c r="H211" i="5"/>
  <c r="I210" i="4"/>
  <c r="H312" i="5"/>
  <c r="I311" i="4"/>
  <c r="H303" i="5"/>
  <c r="I302" i="4"/>
  <c r="H259" i="5"/>
  <c r="I258" i="4"/>
  <c r="I344" i="4"/>
  <c r="H206" i="5"/>
  <c r="I205" i="4"/>
  <c r="N194" i="10"/>
  <c r="O194" i="10" s="1"/>
  <c r="Q87" i="10" l="1"/>
  <c r="R87" i="10" s="1"/>
  <c r="Q86" i="10"/>
  <c r="R86" i="10" s="1"/>
  <c r="Q84" i="10"/>
  <c r="R84" i="10" s="1"/>
  <c r="Q88" i="10"/>
  <c r="R88" i="10" s="1"/>
  <c r="Q89" i="10"/>
  <c r="R89" i="10" s="1"/>
  <c r="Q90" i="10"/>
  <c r="R90" i="10" s="1"/>
  <c r="Q8" i="11" s="1"/>
  <c r="R8" i="11" s="1"/>
  <c r="Q83" i="10"/>
  <c r="R83" i="10" s="1"/>
  <c r="D59" i="18"/>
  <c r="F59" i="18" s="1"/>
  <c r="C115" i="3"/>
  <c r="J453" i="5"/>
  <c r="I268" i="5"/>
  <c r="M268" i="5"/>
  <c r="I192" i="5"/>
  <c r="I277" i="4"/>
  <c r="J192" i="5"/>
  <c r="M192" i="5"/>
  <c r="S270" i="5"/>
  <c r="D86" i="17"/>
  <c r="F86" i="17" s="1"/>
  <c r="O321" i="5"/>
  <c r="I147" i="4"/>
  <c r="I145" i="4" s="1"/>
  <c r="I287" i="4"/>
  <c r="O426" i="5"/>
  <c r="L270" i="5"/>
  <c r="I221" i="4"/>
  <c r="L426" i="5"/>
  <c r="I102" i="4"/>
  <c r="I52" i="4"/>
  <c r="M411" i="5"/>
  <c r="P411" i="5"/>
  <c r="H315" i="5"/>
  <c r="J315" i="5" s="1"/>
  <c r="H353" i="5"/>
  <c r="I411" i="5"/>
  <c r="L411" i="5" s="1"/>
  <c r="I94" i="4"/>
  <c r="J191" i="5"/>
  <c r="F265" i="16"/>
  <c r="H265" i="16" s="1"/>
  <c r="I213" i="4"/>
  <c r="S426" i="5"/>
  <c r="R270" i="5"/>
  <c r="E113" i="2"/>
  <c r="T437" i="5"/>
  <c r="I41" i="15"/>
  <c r="J28" i="5"/>
  <c r="L28" i="5" s="1"/>
  <c r="S251" i="5"/>
  <c r="O344" i="5"/>
  <c r="I28" i="5"/>
  <c r="M28" i="5"/>
  <c r="P454" i="5"/>
  <c r="P453" i="5" s="1"/>
  <c r="I114" i="3" s="1"/>
  <c r="L271" i="5"/>
  <c r="I27" i="4"/>
  <c r="T318" i="5"/>
  <c r="P221" i="5"/>
  <c r="S228" i="5"/>
  <c r="H128" i="5"/>
  <c r="P128" i="5" s="1"/>
  <c r="S271" i="5"/>
  <c r="M84" i="5"/>
  <c r="G27" i="3" s="1"/>
  <c r="I220" i="4"/>
  <c r="S321" i="5"/>
  <c r="P147" i="5"/>
  <c r="R147" i="5" s="1"/>
  <c r="I35" i="5"/>
  <c r="R35" i="5" s="1"/>
  <c r="M10" i="5"/>
  <c r="O10" i="5" s="1"/>
  <c r="I454" i="5"/>
  <c r="L454" i="5" s="1"/>
  <c r="M35" i="5"/>
  <c r="L227" i="5"/>
  <c r="M147" i="5"/>
  <c r="O147" i="5" s="1"/>
  <c r="L251" i="5"/>
  <c r="I214" i="5"/>
  <c r="J35" i="5"/>
  <c r="P10" i="5"/>
  <c r="R10" i="5" s="1"/>
  <c r="O271" i="5"/>
  <c r="M214" i="5"/>
  <c r="J10" i="5"/>
  <c r="L10" i="5" s="1"/>
  <c r="L228" i="5"/>
  <c r="E27" i="3"/>
  <c r="J214" i="5"/>
  <c r="O228" i="5"/>
  <c r="R251" i="5"/>
  <c r="J268" i="5"/>
  <c r="S268" i="5" s="1"/>
  <c r="G58" i="3"/>
  <c r="H58" i="3" s="1"/>
  <c r="R271" i="5"/>
  <c r="M454" i="5"/>
  <c r="R228" i="5"/>
  <c r="P227" i="5"/>
  <c r="S344" i="5"/>
  <c r="S318" i="5"/>
  <c r="H407" i="5"/>
  <c r="P407" i="5" s="1"/>
  <c r="S85" i="5"/>
  <c r="L85" i="5"/>
  <c r="I240" i="4"/>
  <c r="I238" i="4" s="1"/>
  <c r="C62" i="3" s="1"/>
  <c r="G242" i="4"/>
  <c r="G243" i="5" s="1"/>
  <c r="C71" i="3"/>
  <c r="J71" i="3" s="1"/>
  <c r="I39" i="15"/>
  <c r="G229" i="4"/>
  <c r="G230" i="5" s="1"/>
  <c r="I195" i="4"/>
  <c r="G144" i="4"/>
  <c r="G145" i="5" s="1"/>
  <c r="N78" i="10"/>
  <c r="O78" i="10" s="1"/>
  <c r="H467" i="5"/>
  <c r="M467" i="5" s="1"/>
  <c r="I125" i="4"/>
  <c r="J122" i="5"/>
  <c r="M68" i="5"/>
  <c r="M66" i="5" s="1"/>
  <c r="R344" i="5"/>
  <c r="F57" i="16"/>
  <c r="H57" i="16" s="1"/>
  <c r="I225" i="5"/>
  <c r="J225" i="5"/>
  <c r="P225" i="5"/>
  <c r="M225" i="5"/>
  <c r="I204" i="4"/>
  <c r="H382" i="5"/>
  <c r="M382" i="5" s="1"/>
  <c r="E101" i="2"/>
  <c r="H74" i="5"/>
  <c r="P74" i="5" s="1"/>
  <c r="I473" i="4"/>
  <c r="I16" i="15"/>
  <c r="T201" i="5"/>
  <c r="J68" i="5"/>
  <c r="H9" i="5"/>
  <c r="I8" i="4"/>
  <c r="I297" i="4"/>
  <c r="I187" i="4"/>
  <c r="I34" i="4"/>
  <c r="I128" i="4"/>
  <c r="I26" i="15" s="1"/>
  <c r="I218" i="4"/>
  <c r="D46" i="18"/>
  <c r="F46" i="18" s="1"/>
  <c r="I366" i="4"/>
  <c r="I458" i="4"/>
  <c r="I457" i="4" s="1"/>
  <c r="H371" i="5"/>
  <c r="M371" i="5" s="1"/>
  <c r="I184" i="4"/>
  <c r="G257" i="4"/>
  <c r="G258" i="5" s="1"/>
  <c r="O307" i="5"/>
  <c r="I273" i="4"/>
  <c r="I271" i="4" s="1"/>
  <c r="I265" i="4" s="1"/>
  <c r="I55" i="15"/>
  <c r="I178" i="5"/>
  <c r="I177" i="5" s="1"/>
  <c r="E35" i="2"/>
  <c r="G350" i="4"/>
  <c r="G351" i="5" s="1"/>
  <c r="I61" i="15"/>
  <c r="I373" i="4"/>
  <c r="M178" i="5"/>
  <c r="S178" i="5" s="1"/>
  <c r="D7" i="18"/>
  <c r="F7" i="18" s="1"/>
  <c r="D9" i="18"/>
  <c r="F9" i="18" s="1"/>
  <c r="G71" i="4"/>
  <c r="G72" i="5" s="1"/>
  <c r="I86" i="4"/>
  <c r="I18" i="4"/>
  <c r="G443" i="4"/>
  <c r="G444" i="5" s="1"/>
  <c r="C110" i="3"/>
  <c r="E109" i="2"/>
  <c r="G423" i="4"/>
  <c r="G424" i="5" s="1"/>
  <c r="C27" i="3"/>
  <c r="F177" i="16"/>
  <c r="H177" i="16" s="1"/>
  <c r="J254" i="5"/>
  <c r="J252" i="5" s="1"/>
  <c r="G136" i="4"/>
  <c r="G137" i="5" s="1"/>
  <c r="I380" i="4"/>
  <c r="H88" i="5"/>
  <c r="J88" i="5" s="1"/>
  <c r="J168" i="5"/>
  <c r="H102" i="5"/>
  <c r="P102" i="5" s="1"/>
  <c r="G56" i="15"/>
  <c r="G164" i="4"/>
  <c r="G165" i="5" s="1"/>
  <c r="I288" i="4"/>
  <c r="S307" i="5"/>
  <c r="M254" i="5"/>
  <c r="M252" i="5" s="1"/>
  <c r="I369" i="7"/>
  <c r="I370" i="7" s="1"/>
  <c r="Q18" i="11"/>
  <c r="R18" i="11" s="1"/>
  <c r="P168" i="5"/>
  <c r="R168" i="5" s="1"/>
  <c r="D214" i="17"/>
  <c r="F214" i="17" s="1"/>
  <c r="H180" i="5"/>
  <c r="I180" i="5" s="1"/>
  <c r="G149" i="4"/>
  <c r="G150" i="5" s="1"/>
  <c r="G27" i="15"/>
  <c r="I180" i="4"/>
  <c r="I178" i="4" s="1"/>
  <c r="I172" i="4" s="1"/>
  <c r="E46" i="2" s="1"/>
  <c r="I474" i="4"/>
  <c r="I254" i="5"/>
  <c r="R254" i="5" s="1"/>
  <c r="I43" i="15"/>
  <c r="F87" i="16"/>
  <c r="H87" i="16" s="1"/>
  <c r="G335" i="4"/>
  <c r="G336" i="5" s="1"/>
  <c r="G491" i="7"/>
  <c r="H112" i="5"/>
  <c r="M112" i="5" s="1"/>
  <c r="I91" i="4"/>
  <c r="R85" i="5"/>
  <c r="P84" i="5"/>
  <c r="D36" i="17"/>
  <c r="F36" i="17" s="1"/>
  <c r="E13" i="2"/>
  <c r="M168" i="5"/>
  <c r="O168" i="5" s="1"/>
  <c r="F94" i="16"/>
  <c r="H94" i="16" s="1"/>
  <c r="C66" i="3"/>
  <c r="G428" i="4"/>
  <c r="G429" i="5" s="1"/>
  <c r="H464" i="5"/>
  <c r="M464" i="5" s="1"/>
  <c r="G363" i="7"/>
  <c r="L363" i="7" s="1"/>
  <c r="I59" i="15"/>
  <c r="J407" i="5"/>
  <c r="I53" i="15"/>
  <c r="G322" i="4"/>
  <c r="G323" i="5" s="1"/>
  <c r="G51" i="4"/>
  <c r="G52" i="5" s="1"/>
  <c r="G43" i="4"/>
  <c r="G44" i="5" s="1"/>
  <c r="N8" i="10"/>
  <c r="O8" i="10" s="1"/>
  <c r="F187" i="16" s="1"/>
  <c r="H187" i="16" s="1"/>
  <c r="O132" i="5"/>
  <c r="C26" i="3"/>
  <c r="E25" i="2"/>
  <c r="I471" i="4"/>
  <c r="H472" i="5"/>
  <c r="I361" i="5"/>
  <c r="I360" i="5" s="1"/>
  <c r="J361" i="5"/>
  <c r="J360" i="5" s="1"/>
  <c r="M361" i="5"/>
  <c r="P361" i="5"/>
  <c r="I378" i="4"/>
  <c r="H379" i="5"/>
  <c r="F113" i="16"/>
  <c r="H113" i="16" s="1"/>
  <c r="C92" i="3"/>
  <c r="H193" i="5"/>
  <c r="I192" i="4"/>
  <c r="I345" i="5"/>
  <c r="I82" i="5"/>
  <c r="I81" i="5" s="1"/>
  <c r="J82" i="5"/>
  <c r="P82" i="5"/>
  <c r="M82" i="5"/>
  <c r="H286" i="5"/>
  <c r="I285" i="4"/>
  <c r="H100" i="5"/>
  <c r="I99" i="4"/>
  <c r="D172" i="17"/>
  <c r="F172" i="17" s="1"/>
  <c r="D107" i="17"/>
  <c r="F107" i="17" s="1"/>
  <c r="T287" i="5"/>
  <c r="D12" i="18"/>
  <c r="F12" i="18" s="1"/>
  <c r="N13" i="11"/>
  <c r="O13" i="11" s="1"/>
  <c r="M42" i="5"/>
  <c r="J42" i="5"/>
  <c r="I42" i="5"/>
  <c r="I41" i="5" s="1"/>
  <c r="P42" i="5"/>
  <c r="F56" i="16"/>
  <c r="H56" i="16" s="1"/>
  <c r="I467" i="4"/>
  <c r="H468" i="5"/>
  <c r="P400" i="5"/>
  <c r="M400" i="5"/>
  <c r="J400" i="5"/>
  <c r="I400" i="5"/>
  <c r="P191" i="5"/>
  <c r="R191" i="5" s="1"/>
  <c r="M191" i="5"/>
  <c r="O191" i="5" s="1"/>
  <c r="F248" i="16"/>
  <c r="H248" i="16" s="1"/>
  <c r="I37" i="15"/>
  <c r="O395" i="5"/>
  <c r="R132" i="5"/>
  <c r="I18" i="15"/>
  <c r="I68" i="15"/>
  <c r="H96" i="5"/>
  <c r="I95" i="4"/>
  <c r="H189" i="5"/>
  <c r="I188" i="4"/>
  <c r="D35" i="17"/>
  <c r="F35" i="17" s="1"/>
  <c r="I281" i="4"/>
  <c r="H282" i="5"/>
  <c r="N18" i="11"/>
  <c r="O18" i="11" s="1"/>
  <c r="L307" i="5"/>
  <c r="P121" i="5"/>
  <c r="M121" i="5"/>
  <c r="J121" i="5"/>
  <c r="I121" i="5"/>
  <c r="H375" i="5"/>
  <c r="I374" i="4"/>
  <c r="G332" i="7"/>
  <c r="I332" i="7" s="1"/>
  <c r="F39" i="16"/>
  <c r="H39" i="16" s="1"/>
  <c r="I15" i="15"/>
  <c r="O16" i="5"/>
  <c r="D211" i="17"/>
  <c r="F211" i="17" s="1"/>
  <c r="D57" i="17"/>
  <c r="F57" i="17" s="1"/>
  <c r="F252" i="16"/>
  <c r="H252" i="16" s="1"/>
  <c r="D54" i="17"/>
  <c r="F54" i="17" s="1"/>
  <c r="F259" i="16"/>
  <c r="H259" i="16" s="1"/>
  <c r="T39" i="5"/>
  <c r="D129" i="17"/>
  <c r="F129" i="17" s="1"/>
  <c r="T270" i="5"/>
  <c r="F240" i="16"/>
  <c r="H240" i="16" s="1"/>
  <c r="F35" i="16"/>
  <c r="H35" i="16" s="1"/>
  <c r="H218" i="5"/>
  <c r="I217" i="4"/>
  <c r="R28" i="5"/>
  <c r="O473" i="5"/>
  <c r="O447" i="5"/>
  <c r="J308" i="5"/>
  <c r="M308" i="5"/>
  <c r="P308" i="5"/>
  <c r="I308" i="5"/>
  <c r="R269" i="5"/>
  <c r="I357" i="5"/>
  <c r="M357" i="5"/>
  <c r="P357" i="5"/>
  <c r="J357" i="5"/>
  <c r="R302" i="5"/>
  <c r="M171" i="5"/>
  <c r="J171" i="5"/>
  <c r="P171" i="5"/>
  <c r="I171" i="5"/>
  <c r="R395" i="5"/>
  <c r="H469" i="5"/>
  <c r="I468" i="4"/>
  <c r="P401" i="5"/>
  <c r="I401" i="5"/>
  <c r="J401" i="5"/>
  <c r="M401" i="5"/>
  <c r="R354" i="5"/>
  <c r="I123" i="4"/>
  <c r="H124" i="5"/>
  <c r="S132" i="5"/>
  <c r="L132" i="5"/>
  <c r="D67" i="18"/>
  <c r="F67" i="18" s="1"/>
  <c r="R213" i="5"/>
  <c r="H97" i="5"/>
  <c r="I96" i="4"/>
  <c r="F72" i="16"/>
  <c r="H72" i="16" s="1"/>
  <c r="R440" i="5"/>
  <c r="R83" i="5"/>
  <c r="I189" i="4"/>
  <c r="H190" i="5"/>
  <c r="C70" i="3"/>
  <c r="H283" i="5"/>
  <c r="I282" i="4"/>
  <c r="R447" i="5"/>
  <c r="T426" i="5"/>
  <c r="I438" i="5"/>
  <c r="I70" i="15"/>
  <c r="H217" i="5"/>
  <c r="I216" i="4"/>
  <c r="L395" i="5"/>
  <c r="S395" i="5"/>
  <c r="T380" i="5"/>
  <c r="N58" i="10"/>
  <c r="O58" i="10" s="1"/>
  <c r="F228" i="16" s="1"/>
  <c r="H228" i="16" s="1"/>
  <c r="D21" i="18"/>
  <c r="F21" i="18" s="1"/>
  <c r="O116" i="5"/>
  <c r="F8" i="16"/>
  <c r="H8" i="16" s="1"/>
  <c r="I122" i="5"/>
  <c r="R122" i="5" s="1"/>
  <c r="J388" i="5"/>
  <c r="M388" i="5"/>
  <c r="P388" i="5"/>
  <c r="I388" i="5"/>
  <c r="I450" i="5"/>
  <c r="P450" i="5"/>
  <c r="J450" i="5"/>
  <c r="M450" i="5"/>
  <c r="T65" i="5"/>
  <c r="H376" i="5"/>
  <c r="I375" i="4"/>
  <c r="P264" i="5"/>
  <c r="I264" i="5"/>
  <c r="J264" i="5"/>
  <c r="M264" i="5"/>
  <c r="I98" i="5"/>
  <c r="M98" i="5"/>
  <c r="J98" i="5"/>
  <c r="P98" i="5"/>
  <c r="F134" i="16"/>
  <c r="H134" i="16" s="1"/>
  <c r="D60" i="18"/>
  <c r="F60" i="18" s="1"/>
  <c r="O440" i="5"/>
  <c r="M122" i="5"/>
  <c r="I403" i="4"/>
  <c r="H404" i="5"/>
  <c r="I202" i="5"/>
  <c r="J202" i="5"/>
  <c r="M202" i="5"/>
  <c r="P202" i="5"/>
  <c r="M295" i="5"/>
  <c r="P295" i="5"/>
  <c r="J295" i="5"/>
  <c r="I295" i="5"/>
  <c r="I78" i="5"/>
  <c r="P78" i="5"/>
  <c r="M78" i="5"/>
  <c r="J78" i="5"/>
  <c r="J470" i="5"/>
  <c r="M470" i="5"/>
  <c r="I470" i="5"/>
  <c r="P470" i="5"/>
  <c r="F250" i="16"/>
  <c r="H250" i="16" s="1"/>
  <c r="H31" i="5"/>
  <c r="I30" i="4"/>
  <c r="I215" i="5"/>
  <c r="J215" i="5"/>
  <c r="P215" i="5"/>
  <c r="M215" i="5"/>
  <c r="H32" i="5"/>
  <c r="I31" i="4"/>
  <c r="O269" i="5"/>
  <c r="D34" i="18"/>
  <c r="F34" i="18" s="1"/>
  <c r="I309" i="4"/>
  <c r="H310" i="5"/>
  <c r="I267" i="5"/>
  <c r="J75" i="5"/>
  <c r="M75" i="5"/>
  <c r="P75" i="5"/>
  <c r="I75" i="5"/>
  <c r="I402" i="4"/>
  <c r="H403" i="5"/>
  <c r="O83" i="5"/>
  <c r="F207" i="16"/>
  <c r="H207" i="16" s="1"/>
  <c r="J109" i="5"/>
  <c r="I109" i="5"/>
  <c r="P109" i="5"/>
  <c r="M109" i="5"/>
  <c r="P284" i="5"/>
  <c r="M284" i="5"/>
  <c r="J284" i="5"/>
  <c r="I284" i="5"/>
  <c r="I310" i="4"/>
  <c r="H311" i="5"/>
  <c r="H125" i="5"/>
  <c r="I124" i="4"/>
  <c r="P29" i="5"/>
  <c r="I29" i="5"/>
  <c r="M29" i="5"/>
  <c r="J29" i="5"/>
  <c r="H244" i="4"/>
  <c r="H337" i="4"/>
  <c r="H151" i="4"/>
  <c r="H430" i="4"/>
  <c r="H58" i="4"/>
  <c r="H36" i="15"/>
  <c r="I568" i="7"/>
  <c r="I569" i="7" s="1"/>
  <c r="G559" i="7"/>
  <c r="G355" i="4"/>
  <c r="G356" i="5" s="1"/>
  <c r="G448" i="4"/>
  <c r="G449" i="5" s="1"/>
  <c r="G76" i="4"/>
  <c r="G77" i="5" s="1"/>
  <c r="G169" i="4"/>
  <c r="G170" i="5" s="1"/>
  <c r="G262" i="4"/>
  <c r="G263" i="5" s="1"/>
  <c r="G52" i="15"/>
  <c r="H19" i="15"/>
  <c r="H39" i="4"/>
  <c r="H132" i="4"/>
  <c r="H225" i="4"/>
  <c r="H318" i="4"/>
  <c r="H411" i="4"/>
  <c r="P157" i="5"/>
  <c r="M157" i="5"/>
  <c r="J157" i="5"/>
  <c r="I157" i="5"/>
  <c r="I156" i="5" s="1"/>
  <c r="O320" i="5"/>
  <c r="G80" i="3"/>
  <c r="H80" i="3" s="1"/>
  <c r="M199" i="5"/>
  <c r="P199" i="5"/>
  <c r="J199" i="5"/>
  <c r="I199" i="5"/>
  <c r="S175" i="5"/>
  <c r="L175" i="5"/>
  <c r="J174" i="5"/>
  <c r="L16" i="5"/>
  <c r="S16" i="5"/>
  <c r="F235" i="16"/>
  <c r="H235" i="16" s="1"/>
  <c r="L378" i="5"/>
  <c r="S378" i="5"/>
  <c r="P451" i="5"/>
  <c r="M451" i="5"/>
  <c r="J451" i="5"/>
  <c r="I451" i="5"/>
  <c r="M413" i="5"/>
  <c r="O414" i="5"/>
  <c r="D28" i="18"/>
  <c r="F28" i="18" s="1"/>
  <c r="P427" i="5"/>
  <c r="M427" i="5"/>
  <c r="J427" i="5"/>
  <c r="I427" i="5"/>
  <c r="I425" i="5" s="1"/>
  <c r="S253" i="5"/>
  <c r="L253" i="5"/>
  <c r="J381" i="5"/>
  <c r="P381" i="5"/>
  <c r="M381" i="5"/>
  <c r="I381" i="5"/>
  <c r="L194" i="5"/>
  <c r="S194" i="5"/>
  <c r="O54" i="5"/>
  <c r="M374" i="5"/>
  <c r="P374" i="5"/>
  <c r="J374" i="5"/>
  <c r="I374" i="5"/>
  <c r="L347" i="5"/>
  <c r="S347" i="5"/>
  <c r="H13" i="15"/>
  <c r="H441" i="4"/>
  <c r="H162" i="4"/>
  <c r="H255" i="4"/>
  <c r="H348" i="4"/>
  <c r="H69" i="4"/>
  <c r="P297" i="5"/>
  <c r="J297" i="5"/>
  <c r="M297" i="5"/>
  <c r="I297" i="5"/>
  <c r="E108" i="2"/>
  <c r="C109" i="3"/>
  <c r="S27" i="5"/>
  <c r="L27" i="5"/>
  <c r="L54" i="5"/>
  <c r="S54" i="5"/>
  <c r="P474" i="5"/>
  <c r="M474" i="5"/>
  <c r="J474" i="5"/>
  <c r="I474" i="5"/>
  <c r="M303" i="5"/>
  <c r="P303" i="5"/>
  <c r="J303" i="5"/>
  <c r="I303" i="5"/>
  <c r="M313" i="5"/>
  <c r="P313" i="5"/>
  <c r="J313" i="5"/>
  <c r="I313" i="5"/>
  <c r="J304" i="5"/>
  <c r="M304" i="5"/>
  <c r="P304" i="5"/>
  <c r="I304" i="5"/>
  <c r="J111" i="5"/>
  <c r="M111" i="5"/>
  <c r="P111" i="5"/>
  <c r="I111" i="5"/>
  <c r="O67" i="5"/>
  <c r="R333" i="5"/>
  <c r="P392" i="5"/>
  <c r="M392" i="5"/>
  <c r="J392" i="5"/>
  <c r="I392" i="5"/>
  <c r="O68" i="5"/>
  <c r="L447" i="5"/>
  <c r="S447" i="5"/>
  <c r="J34" i="5"/>
  <c r="P34" i="5"/>
  <c r="M34" i="5"/>
  <c r="I34" i="5"/>
  <c r="H448" i="5"/>
  <c r="I447" i="4"/>
  <c r="H203" i="5"/>
  <c r="I202" i="4"/>
  <c r="M167" i="5"/>
  <c r="P167" i="5"/>
  <c r="J167" i="5"/>
  <c r="I167" i="5"/>
  <c r="R261" i="5"/>
  <c r="L414" i="5"/>
  <c r="S414" i="5"/>
  <c r="J413" i="5"/>
  <c r="E83" i="2"/>
  <c r="C84" i="3"/>
  <c r="H27" i="3"/>
  <c r="P456" i="5"/>
  <c r="R457" i="5"/>
  <c r="P267" i="5"/>
  <c r="R268" i="5"/>
  <c r="L314" i="5"/>
  <c r="S314" i="5"/>
  <c r="F257" i="16"/>
  <c r="H257" i="16" s="1"/>
  <c r="P187" i="5"/>
  <c r="M187" i="5"/>
  <c r="J187" i="5"/>
  <c r="I187" i="5"/>
  <c r="H247" i="5"/>
  <c r="I246" i="4"/>
  <c r="R27" i="5"/>
  <c r="O347" i="5"/>
  <c r="P445" i="5"/>
  <c r="J445" i="5"/>
  <c r="M445" i="5"/>
  <c r="I445" i="5"/>
  <c r="J334" i="5"/>
  <c r="J332" i="5" s="1"/>
  <c r="M334" i="5"/>
  <c r="M332" i="5" s="1"/>
  <c r="P334" i="5"/>
  <c r="I334" i="5"/>
  <c r="I332" i="5" s="1"/>
  <c r="I71" i="15"/>
  <c r="D216" i="17"/>
  <c r="F216" i="17" s="1"/>
  <c r="F116" i="16"/>
  <c r="H116" i="16" s="1"/>
  <c r="P159" i="5"/>
  <c r="R160" i="5"/>
  <c r="J250" i="5"/>
  <c r="P250" i="5"/>
  <c r="M250" i="5"/>
  <c r="I250" i="5"/>
  <c r="I249" i="5" s="1"/>
  <c r="E114" i="3"/>
  <c r="O399" i="5"/>
  <c r="R221" i="5"/>
  <c r="N84" i="10"/>
  <c r="O84" i="10" s="1"/>
  <c r="N90" i="10"/>
  <c r="O90" i="10" s="1"/>
  <c r="N8" i="11" s="1"/>
  <c r="O8" i="11" s="1"/>
  <c r="N88" i="10"/>
  <c r="O88" i="10" s="1"/>
  <c r="N87" i="10"/>
  <c r="O87" i="10" s="1"/>
  <c r="N85" i="10"/>
  <c r="O85" i="10" s="1"/>
  <c r="N83" i="10"/>
  <c r="O83" i="10" s="1"/>
  <c r="N89" i="10"/>
  <c r="O89" i="10" s="1"/>
  <c r="N86" i="10"/>
  <c r="O86" i="10" s="1"/>
  <c r="E39" i="2"/>
  <c r="C40" i="3"/>
  <c r="P66" i="5"/>
  <c r="R67" i="5"/>
  <c r="M385" i="5"/>
  <c r="J385" i="5"/>
  <c r="P385" i="5"/>
  <c r="I385" i="5"/>
  <c r="P129" i="5"/>
  <c r="M129" i="5"/>
  <c r="J129" i="5"/>
  <c r="I129" i="5"/>
  <c r="J166" i="5"/>
  <c r="M166" i="5"/>
  <c r="P166" i="5"/>
  <c r="I166" i="5"/>
  <c r="J460" i="5"/>
  <c r="P460" i="5"/>
  <c r="M460" i="5"/>
  <c r="I460" i="5"/>
  <c r="H45" i="5"/>
  <c r="I44" i="4"/>
  <c r="F99" i="16"/>
  <c r="H99" i="16" s="1"/>
  <c r="H461" i="4"/>
  <c r="H8" i="15"/>
  <c r="H275" i="4"/>
  <c r="H89" i="4"/>
  <c r="H182" i="4"/>
  <c r="H368" i="4"/>
  <c r="M127" i="5"/>
  <c r="P127" i="5"/>
  <c r="J127" i="5"/>
  <c r="I127" i="5"/>
  <c r="F164" i="16"/>
  <c r="H164" i="16" s="1"/>
  <c r="L455" i="5"/>
  <c r="S455" i="5"/>
  <c r="H62" i="5"/>
  <c r="I61" i="4"/>
  <c r="F251" i="16"/>
  <c r="H251" i="16" s="1"/>
  <c r="D40" i="17"/>
  <c r="F40" i="17" s="1"/>
  <c r="D126" i="17"/>
  <c r="F126" i="17" s="1"/>
  <c r="D56" i="17"/>
  <c r="F56" i="17" s="1"/>
  <c r="C88" i="3"/>
  <c r="E87" i="2"/>
  <c r="M353" i="5"/>
  <c r="P353" i="5"/>
  <c r="J353" i="5"/>
  <c r="I353" i="5"/>
  <c r="J181" i="5"/>
  <c r="P181" i="5"/>
  <c r="M181" i="5"/>
  <c r="I181" i="5"/>
  <c r="J406" i="5"/>
  <c r="P406" i="5"/>
  <c r="M406" i="5"/>
  <c r="I406" i="5"/>
  <c r="H325" i="5"/>
  <c r="I324" i="4"/>
  <c r="H355" i="5"/>
  <c r="I354" i="4"/>
  <c r="H110" i="5"/>
  <c r="I109" i="4"/>
  <c r="P390" i="5"/>
  <c r="M390" i="5"/>
  <c r="J390" i="5"/>
  <c r="I390" i="5"/>
  <c r="H113" i="4"/>
  <c r="H20" i="4"/>
  <c r="H206" i="4"/>
  <c r="H392" i="4"/>
  <c r="H30" i="15"/>
  <c r="H299" i="4"/>
  <c r="M273" i="5"/>
  <c r="P273" i="5"/>
  <c r="J273" i="5"/>
  <c r="I273" i="5"/>
  <c r="I74" i="15"/>
  <c r="H433" i="5"/>
  <c r="I432" i="4"/>
  <c r="R194" i="5"/>
  <c r="H144" i="5"/>
  <c r="I143" i="4"/>
  <c r="P259" i="5"/>
  <c r="J259" i="5"/>
  <c r="M259" i="5"/>
  <c r="I259" i="5"/>
  <c r="E105" i="2"/>
  <c r="C106" i="3"/>
  <c r="O175" i="5"/>
  <c r="M174" i="5"/>
  <c r="O158" i="5"/>
  <c r="P177" i="5"/>
  <c r="J219" i="5"/>
  <c r="P219" i="5"/>
  <c r="M219" i="5"/>
  <c r="I219" i="5"/>
  <c r="P397" i="5"/>
  <c r="M397" i="5"/>
  <c r="J397" i="5"/>
  <c r="I397" i="5"/>
  <c r="R378" i="5"/>
  <c r="S471" i="5"/>
  <c r="L471" i="5"/>
  <c r="J64" i="5"/>
  <c r="P64" i="5"/>
  <c r="M64" i="5"/>
  <c r="I64" i="5"/>
  <c r="I63" i="5" s="1"/>
  <c r="M345" i="5"/>
  <c r="O346" i="5"/>
  <c r="H340" i="5"/>
  <c r="I339" i="4"/>
  <c r="O27" i="5"/>
  <c r="M267" i="5"/>
  <c r="O268" i="5"/>
  <c r="C44" i="3"/>
  <c r="E43" i="2"/>
  <c r="P288" i="5"/>
  <c r="M288" i="5"/>
  <c r="J288" i="5"/>
  <c r="I288" i="5"/>
  <c r="E86" i="2"/>
  <c r="C87" i="3"/>
  <c r="F96" i="16"/>
  <c r="H96" i="16" s="1"/>
  <c r="M343" i="5"/>
  <c r="P343" i="5"/>
  <c r="J343" i="5"/>
  <c r="I343" i="5"/>
  <c r="I342" i="5" s="1"/>
  <c r="M438" i="5"/>
  <c r="O439" i="5"/>
  <c r="I159" i="5"/>
  <c r="R471" i="5"/>
  <c r="I326" i="7"/>
  <c r="I327" i="7" s="1"/>
  <c r="G317" i="7"/>
  <c r="G47" i="4"/>
  <c r="G48" i="5" s="1"/>
  <c r="G233" i="4"/>
  <c r="G234" i="5" s="1"/>
  <c r="G32" i="15"/>
  <c r="G419" i="4"/>
  <c r="G420" i="5" s="1"/>
  <c r="G140" i="4"/>
  <c r="G141" i="5" s="1"/>
  <c r="G326" i="4"/>
  <c r="G327" i="5" s="1"/>
  <c r="P36" i="5"/>
  <c r="J36" i="5"/>
  <c r="M36" i="5"/>
  <c r="I36" i="5"/>
  <c r="I20" i="15"/>
  <c r="H138" i="5"/>
  <c r="I137" i="4"/>
  <c r="S346" i="5"/>
  <c r="J345" i="5"/>
  <c r="L346" i="5"/>
  <c r="D55" i="17"/>
  <c r="F55" i="17" s="1"/>
  <c r="P438" i="5"/>
  <c r="R439" i="5"/>
  <c r="M159" i="5"/>
  <c r="O160" i="5"/>
  <c r="C65" i="3"/>
  <c r="E64" i="2"/>
  <c r="H61" i="5"/>
  <c r="I60" i="4"/>
  <c r="P405" i="5"/>
  <c r="J405" i="5"/>
  <c r="M405" i="5"/>
  <c r="I405" i="5"/>
  <c r="J466" i="5"/>
  <c r="M466" i="5"/>
  <c r="P466" i="5"/>
  <c r="I466" i="5"/>
  <c r="D48" i="18"/>
  <c r="F48" i="18" s="1"/>
  <c r="J265" i="5"/>
  <c r="P265" i="5"/>
  <c r="M265" i="5"/>
  <c r="I265" i="5"/>
  <c r="N29" i="11"/>
  <c r="O29" i="11" s="1"/>
  <c r="N27" i="11"/>
  <c r="O27" i="11" s="1"/>
  <c r="N25" i="11"/>
  <c r="O25" i="11" s="1"/>
  <c r="N23" i="11"/>
  <c r="O23" i="11" s="1"/>
  <c r="N28" i="11"/>
  <c r="O28" i="11" s="1"/>
  <c r="N30" i="11"/>
  <c r="O30" i="11" s="1"/>
  <c r="N8" i="12" s="1"/>
  <c r="O8" i="12" s="1"/>
  <c r="N24" i="11"/>
  <c r="O24" i="11" s="1"/>
  <c r="N26" i="11"/>
  <c r="O26" i="11" s="1"/>
  <c r="S285" i="5"/>
  <c r="L285" i="5"/>
  <c r="J367" i="5"/>
  <c r="P367" i="5"/>
  <c r="M367" i="5"/>
  <c r="I367" i="5"/>
  <c r="P13" i="5"/>
  <c r="M13" i="5"/>
  <c r="J13" i="5"/>
  <c r="I13" i="5"/>
  <c r="P222" i="5"/>
  <c r="M222" i="5"/>
  <c r="J222" i="5"/>
  <c r="I222" i="5"/>
  <c r="O364" i="5"/>
  <c r="M363" i="5"/>
  <c r="P459" i="5"/>
  <c r="M459" i="5"/>
  <c r="J459" i="5"/>
  <c r="I459" i="5"/>
  <c r="L160" i="5"/>
  <c r="J159" i="5"/>
  <c r="S160" i="5"/>
  <c r="R101" i="5"/>
  <c r="R377" i="5"/>
  <c r="F214" i="16"/>
  <c r="H214" i="16" s="1"/>
  <c r="R399" i="5"/>
  <c r="O221" i="5"/>
  <c r="D22" i="18"/>
  <c r="F22" i="18" s="1"/>
  <c r="P87" i="5"/>
  <c r="M87" i="5"/>
  <c r="J87" i="5"/>
  <c r="I87" i="5"/>
  <c r="S67" i="5"/>
  <c r="L67" i="5"/>
  <c r="C18" i="3"/>
  <c r="M260" i="5"/>
  <c r="J260" i="5"/>
  <c r="P260" i="5"/>
  <c r="I260" i="5"/>
  <c r="O306" i="5"/>
  <c r="O455" i="5"/>
  <c r="H434" i="5"/>
  <c r="I433" i="4"/>
  <c r="H139" i="5"/>
  <c r="I138" i="4"/>
  <c r="H51" i="5"/>
  <c r="I50" i="4"/>
  <c r="M117" i="5"/>
  <c r="J117" i="5"/>
  <c r="P117" i="5"/>
  <c r="I117" i="5"/>
  <c r="P373" i="5"/>
  <c r="M373" i="5"/>
  <c r="J373" i="5"/>
  <c r="I373" i="5"/>
  <c r="J103" i="5"/>
  <c r="M103" i="5"/>
  <c r="P103" i="5"/>
  <c r="I103" i="5"/>
  <c r="J220" i="5"/>
  <c r="M220" i="5"/>
  <c r="P220" i="5"/>
  <c r="I220" i="5"/>
  <c r="P18" i="5"/>
  <c r="M18" i="5"/>
  <c r="J18" i="5"/>
  <c r="I18" i="5"/>
  <c r="M55" i="5"/>
  <c r="M53" i="5" s="1"/>
  <c r="P55" i="5"/>
  <c r="P53" i="5" s="1"/>
  <c r="J55" i="5"/>
  <c r="J53" i="5" s="1"/>
  <c r="I55" i="5"/>
  <c r="I53" i="5" s="1"/>
  <c r="L333" i="5"/>
  <c r="S333" i="5"/>
  <c r="O378" i="5"/>
  <c r="L362" i="5"/>
  <c r="S362" i="5"/>
  <c r="L120" i="5"/>
  <c r="S120" i="5"/>
  <c r="H169" i="5"/>
  <c r="I168" i="4"/>
  <c r="M281" i="5"/>
  <c r="J281" i="5"/>
  <c r="P281" i="5"/>
  <c r="I281" i="5"/>
  <c r="O333" i="5"/>
  <c r="S261" i="5"/>
  <c r="L261" i="5"/>
  <c r="H27" i="15"/>
  <c r="H71" i="4"/>
  <c r="H164" i="4"/>
  <c r="H350" i="4"/>
  <c r="H443" i="4"/>
  <c r="H257" i="4"/>
  <c r="S457" i="5"/>
  <c r="J456" i="5"/>
  <c r="L457" i="5"/>
  <c r="O120" i="5"/>
  <c r="M25" i="5"/>
  <c r="P25" i="5"/>
  <c r="J25" i="5"/>
  <c r="I25" i="5"/>
  <c r="H429" i="4"/>
  <c r="H243" i="4"/>
  <c r="H150" i="4"/>
  <c r="H57" i="4"/>
  <c r="H336" i="4"/>
  <c r="H49" i="15"/>
  <c r="J358" i="5"/>
  <c r="P358" i="5"/>
  <c r="M358" i="5"/>
  <c r="I358" i="5"/>
  <c r="O194" i="5"/>
  <c r="F46" i="16"/>
  <c r="H46" i="16" s="1"/>
  <c r="R68" i="5"/>
  <c r="I47" i="15"/>
  <c r="D40" i="18"/>
  <c r="F40" i="18" s="1"/>
  <c r="D41" i="18"/>
  <c r="F41" i="18" s="1"/>
  <c r="O240" i="5"/>
  <c r="J20" i="5"/>
  <c r="P20" i="5"/>
  <c r="M20" i="5"/>
  <c r="I20" i="5"/>
  <c r="P24" i="5"/>
  <c r="M24" i="5"/>
  <c r="J24" i="5"/>
  <c r="I24" i="5"/>
  <c r="M289" i="5"/>
  <c r="J289" i="5"/>
  <c r="P289" i="5"/>
  <c r="I289" i="5"/>
  <c r="R346" i="5"/>
  <c r="P345" i="5"/>
  <c r="J292" i="5"/>
  <c r="M292" i="5"/>
  <c r="P292" i="5"/>
  <c r="I292" i="5"/>
  <c r="H154" i="5"/>
  <c r="I153" i="4"/>
  <c r="P413" i="5"/>
  <c r="R414" i="5"/>
  <c r="R23" i="5"/>
  <c r="R54" i="5"/>
  <c r="R192" i="5"/>
  <c r="P210" i="5"/>
  <c r="J210" i="5"/>
  <c r="M210" i="5"/>
  <c r="I210" i="5"/>
  <c r="F247" i="16"/>
  <c r="H247" i="16" s="1"/>
  <c r="D29" i="18"/>
  <c r="F29" i="18" s="1"/>
  <c r="M299" i="5"/>
  <c r="P299" i="5"/>
  <c r="J299" i="5"/>
  <c r="I299" i="5"/>
  <c r="O23" i="5"/>
  <c r="J274" i="5"/>
  <c r="P274" i="5"/>
  <c r="M274" i="5"/>
  <c r="I274" i="5"/>
  <c r="M205" i="5"/>
  <c r="J205" i="5"/>
  <c r="P205" i="5"/>
  <c r="I205" i="5"/>
  <c r="J118" i="5"/>
  <c r="M118" i="5"/>
  <c r="P118" i="5"/>
  <c r="I118" i="5"/>
  <c r="M95" i="5"/>
  <c r="J95" i="5"/>
  <c r="P95" i="5"/>
  <c r="I95" i="5"/>
  <c r="J391" i="5"/>
  <c r="P391" i="5"/>
  <c r="M391" i="5"/>
  <c r="I391" i="5"/>
  <c r="M241" i="5"/>
  <c r="M239" i="5" s="1"/>
  <c r="P241" i="5"/>
  <c r="P239" i="5" s="1"/>
  <c r="J241" i="5"/>
  <c r="I241" i="5"/>
  <c r="I239" i="5" s="1"/>
  <c r="J172" i="5"/>
  <c r="M172" i="5"/>
  <c r="P172" i="5"/>
  <c r="I172" i="5"/>
  <c r="L101" i="5"/>
  <c r="S101" i="5"/>
  <c r="L377" i="5"/>
  <c r="S377" i="5"/>
  <c r="D97" i="17"/>
  <c r="F97" i="17" s="1"/>
  <c r="J188" i="5"/>
  <c r="M188" i="5"/>
  <c r="P188" i="5"/>
  <c r="I188" i="5"/>
  <c r="H324" i="5"/>
  <c r="I323" i="4"/>
  <c r="I63" i="15"/>
  <c r="S306" i="5"/>
  <c r="L306" i="5"/>
  <c r="I340" i="4"/>
  <c r="H341" i="5"/>
  <c r="R99" i="5"/>
  <c r="I231" i="4"/>
  <c r="H232" i="5"/>
  <c r="H76" i="5"/>
  <c r="I75" i="4"/>
  <c r="D159" i="17"/>
  <c r="F159" i="17" s="1"/>
  <c r="H330" i="5"/>
  <c r="I329" i="4"/>
  <c r="H417" i="5"/>
  <c r="I416" i="4"/>
  <c r="F33" i="16"/>
  <c r="H33" i="16" s="1"/>
  <c r="J196" i="5"/>
  <c r="P196" i="5"/>
  <c r="M196" i="5"/>
  <c r="I196" i="5"/>
  <c r="E80" i="3"/>
  <c r="S320" i="5"/>
  <c r="L320" i="5"/>
  <c r="R364" i="5"/>
  <c r="P363" i="5"/>
  <c r="Q28" i="11"/>
  <c r="R28" i="11" s="1"/>
  <c r="Q29" i="11"/>
  <c r="R29" i="11" s="1"/>
  <c r="Q24" i="11"/>
  <c r="R24" i="11" s="1"/>
  <c r="D45" i="18" s="1"/>
  <c r="F45" i="18" s="1"/>
  <c r="Q30" i="11"/>
  <c r="R30" i="11" s="1"/>
  <c r="Q8" i="12" s="1"/>
  <c r="R8" i="12" s="1"/>
  <c r="Q25" i="11"/>
  <c r="R25" i="11" s="1"/>
  <c r="D65" i="18" s="1"/>
  <c r="F65" i="18" s="1"/>
  <c r="Q26" i="11"/>
  <c r="R26" i="11" s="1"/>
  <c r="Q27" i="11"/>
  <c r="R27" i="11" s="1"/>
  <c r="D69" i="18" s="1"/>
  <c r="F69" i="18" s="1"/>
  <c r="Q23" i="11"/>
  <c r="R23" i="11" s="1"/>
  <c r="T386" i="5"/>
  <c r="T321" i="5"/>
  <c r="P126" i="5"/>
  <c r="J126" i="5"/>
  <c r="M126" i="5"/>
  <c r="I126" i="5"/>
  <c r="L135" i="5"/>
  <c r="S135" i="5"/>
  <c r="J134" i="5"/>
  <c r="I69" i="15"/>
  <c r="J106" i="5"/>
  <c r="P106" i="5"/>
  <c r="M106" i="5"/>
  <c r="I106" i="5"/>
  <c r="I295" i="4"/>
  <c r="H296" i="5"/>
  <c r="I364" i="4"/>
  <c r="J148" i="5"/>
  <c r="M148" i="5"/>
  <c r="P148" i="5"/>
  <c r="I148" i="5"/>
  <c r="I146" i="5" s="1"/>
  <c r="J92" i="5"/>
  <c r="M92" i="5"/>
  <c r="P92" i="5"/>
  <c r="I92" i="5"/>
  <c r="J352" i="5"/>
  <c r="P352" i="5"/>
  <c r="M352" i="5"/>
  <c r="I352" i="5"/>
  <c r="S116" i="5"/>
  <c r="L116" i="5"/>
  <c r="H231" i="5"/>
  <c r="I230" i="4"/>
  <c r="J19" i="5"/>
  <c r="P19" i="5"/>
  <c r="M19" i="5"/>
  <c r="I19" i="5"/>
  <c r="P79" i="5"/>
  <c r="M79" i="5"/>
  <c r="J79" i="5"/>
  <c r="I79" i="5"/>
  <c r="R306" i="5"/>
  <c r="O99" i="5"/>
  <c r="H418" i="5"/>
  <c r="I417" i="4"/>
  <c r="D20" i="17"/>
  <c r="F20" i="17" s="1"/>
  <c r="H237" i="5"/>
  <c r="I236" i="4"/>
  <c r="D158" i="17"/>
  <c r="F158" i="17" s="1"/>
  <c r="P174" i="5"/>
  <c r="R175" i="5"/>
  <c r="I388" i="4"/>
  <c r="H389" i="5"/>
  <c r="P446" i="5"/>
  <c r="M446" i="5"/>
  <c r="J446" i="5"/>
  <c r="I446" i="5"/>
  <c r="O253" i="5"/>
  <c r="S213" i="5"/>
  <c r="L213" i="5"/>
  <c r="P252" i="5"/>
  <c r="R253" i="5"/>
  <c r="P396" i="5"/>
  <c r="J396" i="5"/>
  <c r="M396" i="5"/>
  <c r="I396" i="5"/>
  <c r="I62" i="4"/>
  <c r="I33" i="15"/>
  <c r="I12" i="15"/>
  <c r="O362" i="5"/>
  <c r="I110" i="7"/>
  <c r="I111" i="7" s="1"/>
  <c r="G104" i="7"/>
  <c r="G114" i="4"/>
  <c r="G115" i="5" s="1"/>
  <c r="G300" i="4"/>
  <c r="G301" i="5" s="1"/>
  <c r="G393" i="4"/>
  <c r="G394" i="5" s="1"/>
  <c r="G54" i="15"/>
  <c r="G207" i="4"/>
  <c r="G208" i="5" s="1"/>
  <c r="G21" i="4"/>
  <c r="G22" i="5" s="1"/>
  <c r="S240" i="5"/>
  <c r="L240" i="5"/>
  <c r="J436" i="5"/>
  <c r="M436" i="5"/>
  <c r="P436" i="5"/>
  <c r="I436" i="5"/>
  <c r="I435" i="5" s="1"/>
  <c r="J33" i="5"/>
  <c r="M33" i="5"/>
  <c r="P33" i="5"/>
  <c r="I33" i="5"/>
  <c r="M456" i="5"/>
  <c r="O457" i="5"/>
  <c r="R120" i="5"/>
  <c r="S192" i="5"/>
  <c r="L192" i="5"/>
  <c r="P312" i="5"/>
  <c r="J312" i="5"/>
  <c r="M312" i="5"/>
  <c r="I312" i="5"/>
  <c r="R158" i="5"/>
  <c r="J177" i="5"/>
  <c r="F79" i="16"/>
  <c r="H79" i="16" s="1"/>
  <c r="S439" i="5"/>
  <c r="L439" i="5"/>
  <c r="J438" i="5"/>
  <c r="O471" i="5"/>
  <c r="J298" i="5"/>
  <c r="M298" i="5"/>
  <c r="P298" i="5"/>
  <c r="I298" i="5"/>
  <c r="O261" i="5"/>
  <c r="J94" i="5"/>
  <c r="P94" i="5"/>
  <c r="M94" i="5"/>
  <c r="I94" i="5"/>
  <c r="M185" i="5"/>
  <c r="P185" i="5"/>
  <c r="J185" i="5"/>
  <c r="I185" i="5"/>
  <c r="L161" i="5"/>
  <c r="S161" i="5"/>
  <c r="O192" i="5"/>
  <c r="S158" i="5"/>
  <c r="L158" i="5"/>
  <c r="F200" i="16"/>
  <c r="H200" i="16" s="1"/>
  <c r="R347" i="5"/>
  <c r="R240" i="5"/>
  <c r="I73" i="15"/>
  <c r="I66" i="5"/>
  <c r="R161" i="5"/>
  <c r="P206" i="5"/>
  <c r="J206" i="5"/>
  <c r="M206" i="5"/>
  <c r="I206" i="5"/>
  <c r="O314" i="5"/>
  <c r="L23" i="5"/>
  <c r="S23" i="5"/>
  <c r="H185" i="4"/>
  <c r="H35" i="15"/>
  <c r="H278" i="4"/>
  <c r="H371" i="4"/>
  <c r="H92" i="4"/>
  <c r="H464" i="4"/>
  <c r="S399" i="5"/>
  <c r="L399" i="5"/>
  <c r="S221" i="5"/>
  <c r="L221" i="5"/>
  <c r="K71" i="3"/>
  <c r="H415" i="4"/>
  <c r="H56" i="4"/>
  <c r="H149" i="4"/>
  <c r="H229" i="4"/>
  <c r="H136" i="4"/>
  <c r="H428" i="4"/>
  <c r="H43" i="4"/>
  <c r="H322" i="4"/>
  <c r="H56" i="15"/>
  <c r="H242" i="4"/>
  <c r="H335" i="4"/>
  <c r="N73" i="10"/>
  <c r="O73" i="10" s="1"/>
  <c r="O161" i="5"/>
  <c r="R455" i="5"/>
  <c r="H155" i="5"/>
  <c r="I154" i="4"/>
  <c r="F58" i="3"/>
  <c r="D61" i="17"/>
  <c r="F61" i="17" s="1"/>
  <c r="R285" i="5"/>
  <c r="T305" i="5"/>
  <c r="I80" i="3"/>
  <c r="J80" i="3" s="1"/>
  <c r="R320" i="5"/>
  <c r="R314" i="5"/>
  <c r="I23" i="15"/>
  <c r="P408" i="5"/>
  <c r="M408" i="5"/>
  <c r="J408" i="5"/>
  <c r="I408" i="5"/>
  <c r="O285" i="5"/>
  <c r="F189" i="16"/>
  <c r="H189" i="16" s="1"/>
  <c r="R209" i="5"/>
  <c r="M113" i="5"/>
  <c r="P113" i="5"/>
  <c r="J113" i="5"/>
  <c r="I113" i="5"/>
  <c r="F245" i="16"/>
  <c r="H245" i="16" s="1"/>
  <c r="L191" i="5"/>
  <c r="J363" i="5"/>
  <c r="S364" i="5"/>
  <c r="L364" i="5"/>
  <c r="Q13" i="11"/>
  <c r="R13" i="11" s="1"/>
  <c r="P195" i="5"/>
  <c r="J195" i="5"/>
  <c r="M195" i="5"/>
  <c r="I195" i="5"/>
  <c r="S209" i="5"/>
  <c r="L209" i="5"/>
  <c r="P134" i="5"/>
  <c r="R135" i="5"/>
  <c r="R473" i="5"/>
  <c r="F226" i="16"/>
  <c r="H226" i="16" s="1"/>
  <c r="L354" i="5"/>
  <c r="S354" i="5"/>
  <c r="O101" i="5"/>
  <c r="S302" i="5"/>
  <c r="L302" i="5"/>
  <c r="O377" i="5"/>
  <c r="T14" i="5"/>
  <c r="J211" i="5"/>
  <c r="P211" i="5"/>
  <c r="M211" i="5"/>
  <c r="I211" i="5"/>
  <c r="S269" i="5"/>
  <c r="L269" i="5"/>
  <c r="M73" i="5"/>
  <c r="J73" i="5"/>
  <c r="P73" i="5"/>
  <c r="I73" i="5"/>
  <c r="O209" i="5"/>
  <c r="P204" i="5"/>
  <c r="J204" i="5"/>
  <c r="M204" i="5"/>
  <c r="I204" i="5"/>
  <c r="M134" i="5"/>
  <c r="O135" i="5"/>
  <c r="L473" i="5"/>
  <c r="S473" i="5"/>
  <c r="F50" i="16"/>
  <c r="H50" i="16" s="1"/>
  <c r="H17" i="5"/>
  <c r="I16" i="4"/>
  <c r="S440" i="5"/>
  <c r="L440" i="5"/>
  <c r="M278" i="5"/>
  <c r="J278" i="5"/>
  <c r="P278" i="5"/>
  <c r="I278" i="5"/>
  <c r="O354" i="5"/>
  <c r="F178" i="16"/>
  <c r="H178" i="16" s="1"/>
  <c r="O302" i="5"/>
  <c r="D98" i="17"/>
  <c r="F98" i="17" s="1"/>
  <c r="P366" i="5"/>
  <c r="M366" i="5"/>
  <c r="J366" i="5"/>
  <c r="I366" i="5"/>
  <c r="L147" i="5"/>
  <c r="R362" i="5"/>
  <c r="L83" i="5"/>
  <c r="S83" i="5"/>
  <c r="O213" i="5"/>
  <c r="G338" i="8"/>
  <c r="L338" i="8" s="1"/>
  <c r="G333" i="7"/>
  <c r="I333" i="7" s="1"/>
  <c r="R116" i="5"/>
  <c r="R16" i="5"/>
  <c r="J280" i="5"/>
  <c r="P280" i="5"/>
  <c r="M280" i="5"/>
  <c r="I280" i="5"/>
  <c r="D20" i="18"/>
  <c r="F20" i="18" s="1"/>
  <c r="C43" i="3"/>
  <c r="E42" i="2"/>
  <c r="E21" i="2"/>
  <c r="C22" i="3"/>
  <c r="P475" i="5"/>
  <c r="M475" i="5"/>
  <c r="J475" i="5"/>
  <c r="I475" i="5"/>
  <c r="H248" i="5"/>
  <c r="I247" i="4"/>
  <c r="S99" i="5"/>
  <c r="L99" i="5"/>
  <c r="H46" i="5"/>
  <c r="I45" i="4"/>
  <c r="I261" i="4"/>
  <c r="H262" i="5"/>
  <c r="D163" i="17"/>
  <c r="F163" i="17" s="1"/>
  <c r="H423" i="5"/>
  <c r="I422" i="4"/>
  <c r="D33" i="18" l="1"/>
  <c r="F33" i="18" s="1"/>
  <c r="D10" i="18"/>
  <c r="F10" i="18" s="1"/>
  <c r="O411" i="5"/>
  <c r="R411" i="5"/>
  <c r="I34" i="15"/>
  <c r="M146" i="5"/>
  <c r="F71" i="3"/>
  <c r="I315" i="5"/>
  <c r="P315" i="5"/>
  <c r="M315" i="5"/>
  <c r="S411" i="5"/>
  <c r="I11" i="15"/>
  <c r="S28" i="5"/>
  <c r="T251" i="5"/>
  <c r="M180" i="5"/>
  <c r="O180" i="5" s="1"/>
  <c r="S454" i="5"/>
  <c r="M453" i="5"/>
  <c r="G114" i="3" s="1"/>
  <c r="I128" i="5"/>
  <c r="R128" i="5" s="1"/>
  <c r="M128" i="5"/>
  <c r="O28" i="5"/>
  <c r="T28" i="5" s="1"/>
  <c r="O454" i="5"/>
  <c r="J128" i="5"/>
  <c r="I467" i="5"/>
  <c r="P467" i="5"/>
  <c r="T344" i="5"/>
  <c r="J467" i="5"/>
  <c r="R178" i="5"/>
  <c r="O225" i="5"/>
  <c r="T228" i="5"/>
  <c r="T271" i="5"/>
  <c r="S35" i="5"/>
  <c r="L214" i="5"/>
  <c r="R225" i="5"/>
  <c r="S147" i="5"/>
  <c r="S10" i="5"/>
  <c r="R214" i="5"/>
  <c r="S214" i="5"/>
  <c r="O35" i="5"/>
  <c r="O84" i="5"/>
  <c r="I21" i="15"/>
  <c r="I57" i="15"/>
  <c r="F27" i="3"/>
  <c r="I74" i="5"/>
  <c r="L35" i="5"/>
  <c r="J180" i="5"/>
  <c r="L180" i="5" s="1"/>
  <c r="J74" i="5"/>
  <c r="R454" i="5"/>
  <c r="J267" i="5"/>
  <c r="L267" i="5" s="1"/>
  <c r="P180" i="5"/>
  <c r="P179" i="5" s="1"/>
  <c r="P173" i="5" s="1"/>
  <c r="M74" i="5"/>
  <c r="I464" i="5"/>
  <c r="O464" i="5" s="1"/>
  <c r="I407" i="5"/>
  <c r="R407" i="5" s="1"/>
  <c r="O82" i="5"/>
  <c r="R361" i="5"/>
  <c r="I58" i="3"/>
  <c r="J58" i="3" s="1"/>
  <c r="L58" i="3" s="1"/>
  <c r="R227" i="5"/>
  <c r="T227" i="5" s="1"/>
  <c r="L268" i="5"/>
  <c r="T268" i="5" s="1"/>
  <c r="L178" i="5"/>
  <c r="P464" i="5"/>
  <c r="R82" i="5"/>
  <c r="O361" i="5"/>
  <c r="I453" i="5"/>
  <c r="M407" i="5"/>
  <c r="S407" i="5" s="1"/>
  <c r="O214" i="5"/>
  <c r="S68" i="5"/>
  <c r="S227" i="5"/>
  <c r="T85" i="5"/>
  <c r="S122" i="5"/>
  <c r="L254" i="5"/>
  <c r="E61" i="2"/>
  <c r="H71" i="3"/>
  <c r="M177" i="5"/>
  <c r="S177" i="5" s="1"/>
  <c r="O401" i="5"/>
  <c r="I28" i="15"/>
  <c r="I85" i="4"/>
  <c r="I79" i="4" s="1"/>
  <c r="I7" i="4"/>
  <c r="I10" i="15"/>
  <c r="L225" i="5"/>
  <c r="S225" i="5"/>
  <c r="I382" i="5"/>
  <c r="O382" i="5" s="1"/>
  <c r="P81" i="5"/>
  <c r="R81" i="5" s="1"/>
  <c r="T158" i="5"/>
  <c r="I371" i="5"/>
  <c r="O371" i="5" s="1"/>
  <c r="P382" i="5"/>
  <c r="I308" i="4"/>
  <c r="E76" i="2" s="1"/>
  <c r="P371" i="5"/>
  <c r="J382" i="5"/>
  <c r="O98" i="5"/>
  <c r="R450" i="5"/>
  <c r="J66" i="5"/>
  <c r="S66" i="5" s="1"/>
  <c r="J371" i="5"/>
  <c r="L68" i="5"/>
  <c r="T68" i="5" s="1"/>
  <c r="M9" i="5"/>
  <c r="J9" i="5"/>
  <c r="P9" i="5"/>
  <c r="I9" i="5"/>
  <c r="I8" i="5" s="1"/>
  <c r="T411" i="5"/>
  <c r="S254" i="5"/>
  <c r="I252" i="5"/>
  <c r="R252" i="5" s="1"/>
  <c r="T307" i="5"/>
  <c r="I7" i="15"/>
  <c r="J464" i="5"/>
  <c r="S168" i="5"/>
  <c r="F15" i="16"/>
  <c r="H15" i="16" s="1"/>
  <c r="P112" i="5"/>
  <c r="J112" i="5"/>
  <c r="I45" i="15"/>
  <c r="I112" i="5"/>
  <c r="O112" i="5" s="1"/>
  <c r="R121" i="5"/>
  <c r="I72" i="15"/>
  <c r="O178" i="5"/>
  <c r="R98" i="5"/>
  <c r="O450" i="5"/>
  <c r="H330" i="4"/>
  <c r="I330" i="4" s="1"/>
  <c r="I328" i="4" s="1"/>
  <c r="H48" i="15"/>
  <c r="H51" i="4"/>
  <c r="H52" i="5" s="1"/>
  <c r="H237" i="4"/>
  <c r="H238" i="5" s="1"/>
  <c r="H144" i="4"/>
  <c r="H145" i="5" s="1"/>
  <c r="H423" i="4"/>
  <c r="H424" i="5" s="1"/>
  <c r="I27" i="3"/>
  <c r="R84" i="5"/>
  <c r="S84" i="5"/>
  <c r="J102" i="5"/>
  <c r="I88" i="5"/>
  <c r="R397" i="5"/>
  <c r="P88" i="5"/>
  <c r="I65" i="15"/>
  <c r="M88" i="5"/>
  <c r="M86" i="5" s="1"/>
  <c r="I102" i="5"/>
  <c r="L168" i="5"/>
  <c r="T168" i="5" s="1"/>
  <c r="O397" i="5"/>
  <c r="S191" i="5"/>
  <c r="M360" i="5"/>
  <c r="O254" i="5"/>
  <c r="D173" i="17"/>
  <c r="F173" i="17" s="1"/>
  <c r="F217" i="17" s="1"/>
  <c r="M102" i="5"/>
  <c r="P360" i="5"/>
  <c r="I92" i="3" s="1"/>
  <c r="I58" i="15"/>
  <c r="D61" i="18"/>
  <c r="F61" i="18" s="1"/>
  <c r="L122" i="5"/>
  <c r="T132" i="5"/>
  <c r="L42" i="5"/>
  <c r="J41" i="5"/>
  <c r="S42" i="5"/>
  <c r="T23" i="5"/>
  <c r="C72" i="3"/>
  <c r="M41" i="5"/>
  <c r="O42" i="5"/>
  <c r="E71" i="2"/>
  <c r="S82" i="5"/>
  <c r="J81" i="5"/>
  <c r="L82" i="5"/>
  <c r="S361" i="5"/>
  <c r="L361" i="5"/>
  <c r="T302" i="5"/>
  <c r="F221" i="16"/>
  <c r="H221" i="16" s="1"/>
  <c r="I472" i="5"/>
  <c r="M472" i="5"/>
  <c r="J472" i="5"/>
  <c r="P472" i="5"/>
  <c r="M100" i="5"/>
  <c r="P100" i="5"/>
  <c r="I100" i="5"/>
  <c r="J100" i="5"/>
  <c r="T440" i="5"/>
  <c r="M81" i="5"/>
  <c r="G26" i="3" s="1"/>
  <c r="R42" i="5"/>
  <c r="P41" i="5"/>
  <c r="P286" i="5"/>
  <c r="I286" i="5"/>
  <c r="M286" i="5"/>
  <c r="J286" i="5"/>
  <c r="O109" i="5"/>
  <c r="P379" i="5"/>
  <c r="M379" i="5"/>
  <c r="J379" i="5"/>
  <c r="I379" i="5"/>
  <c r="O29" i="5"/>
  <c r="R109" i="5"/>
  <c r="M193" i="5"/>
  <c r="J193" i="5"/>
  <c r="P193" i="5"/>
  <c r="I193" i="5"/>
  <c r="T221" i="5"/>
  <c r="R308" i="5"/>
  <c r="R466" i="5"/>
  <c r="R460" i="5"/>
  <c r="I29" i="15"/>
  <c r="R446" i="5"/>
  <c r="T447" i="5"/>
  <c r="I401" i="4"/>
  <c r="C99" i="3" s="1"/>
  <c r="T395" i="5"/>
  <c r="I122" i="4"/>
  <c r="C33" i="3" s="1"/>
  <c r="M189" i="5"/>
  <c r="J189" i="5"/>
  <c r="I189" i="5"/>
  <c r="P189" i="5"/>
  <c r="S400" i="5"/>
  <c r="L400" i="5"/>
  <c r="I282" i="5"/>
  <c r="M282" i="5"/>
  <c r="P282" i="5"/>
  <c r="J282" i="5"/>
  <c r="O470" i="5"/>
  <c r="O308" i="5"/>
  <c r="I346" i="7"/>
  <c r="I347" i="7" s="1"/>
  <c r="I458" i="5"/>
  <c r="F76" i="16"/>
  <c r="H76" i="16" s="1"/>
  <c r="O215" i="5"/>
  <c r="O78" i="5"/>
  <c r="O264" i="5"/>
  <c r="I215" i="4"/>
  <c r="E54" i="2" s="1"/>
  <c r="M375" i="5"/>
  <c r="I375" i="5"/>
  <c r="P375" i="5"/>
  <c r="J375" i="5"/>
  <c r="I62" i="15"/>
  <c r="O400" i="5"/>
  <c r="R33" i="5"/>
  <c r="C47" i="3"/>
  <c r="R215" i="5"/>
  <c r="R78" i="5"/>
  <c r="O122" i="5"/>
  <c r="M96" i="5"/>
  <c r="I96" i="5"/>
  <c r="P96" i="5"/>
  <c r="J96" i="5"/>
  <c r="R400" i="5"/>
  <c r="R34" i="5"/>
  <c r="R357" i="5"/>
  <c r="S121" i="5"/>
  <c r="L121" i="5"/>
  <c r="M468" i="5"/>
  <c r="I468" i="5"/>
  <c r="J468" i="5"/>
  <c r="P468" i="5"/>
  <c r="C50" i="3"/>
  <c r="O357" i="5"/>
  <c r="O121" i="5"/>
  <c r="T362" i="5"/>
  <c r="T83" i="5"/>
  <c r="O33" i="5"/>
  <c r="T364" i="5"/>
  <c r="F244" i="16"/>
  <c r="H244" i="16" s="1"/>
  <c r="H282" i="16" s="1"/>
  <c r="E49" i="2"/>
  <c r="S284" i="5"/>
  <c r="L284" i="5"/>
  <c r="L470" i="5"/>
  <c r="S470" i="5"/>
  <c r="L98" i="5"/>
  <c r="S98" i="5"/>
  <c r="S450" i="5"/>
  <c r="L450" i="5"/>
  <c r="R171" i="5"/>
  <c r="T269" i="5"/>
  <c r="O451" i="5"/>
  <c r="O284" i="5"/>
  <c r="J32" i="5"/>
  <c r="P32" i="5"/>
  <c r="M32" i="5"/>
  <c r="I32" i="5"/>
  <c r="L78" i="5"/>
  <c r="S78" i="5"/>
  <c r="S171" i="5"/>
  <c r="L171" i="5"/>
  <c r="R334" i="5"/>
  <c r="M190" i="5"/>
  <c r="P190" i="5"/>
  <c r="I190" i="5"/>
  <c r="J190" i="5"/>
  <c r="O334" i="5"/>
  <c r="O187" i="5"/>
  <c r="I217" i="5"/>
  <c r="M217" i="5"/>
  <c r="P217" i="5"/>
  <c r="J217" i="5"/>
  <c r="T377" i="5"/>
  <c r="R18" i="5"/>
  <c r="R187" i="5"/>
  <c r="O315" i="5"/>
  <c r="R29" i="5"/>
  <c r="S109" i="5"/>
  <c r="L109" i="5"/>
  <c r="L202" i="5"/>
  <c r="S202" i="5"/>
  <c r="P403" i="5"/>
  <c r="M403" i="5"/>
  <c r="I403" i="5"/>
  <c r="J403" i="5"/>
  <c r="I14" i="15"/>
  <c r="S295" i="5"/>
  <c r="L295" i="5"/>
  <c r="R264" i="5"/>
  <c r="S388" i="5"/>
  <c r="L388" i="5"/>
  <c r="R408" i="5"/>
  <c r="T213" i="5"/>
  <c r="O19" i="5"/>
  <c r="T160" i="5"/>
  <c r="T285" i="5"/>
  <c r="O259" i="5"/>
  <c r="O392" i="5"/>
  <c r="R304" i="5"/>
  <c r="T16" i="5"/>
  <c r="J310" i="5"/>
  <c r="M310" i="5"/>
  <c r="P310" i="5"/>
  <c r="I310" i="5"/>
  <c r="M31" i="5"/>
  <c r="J31" i="5"/>
  <c r="P31" i="5"/>
  <c r="I31" i="5"/>
  <c r="R295" i="5"/>
  <c r="I64" i="15"/>
  <c r="R401" i="5"/>
  <c r="F90" i="16"/>
  <c r="H90" i="16" s="1"/>
  <c r="O18" i="5"/>
  <c r="I431" i="4"/>
  <c r="E107" i="2" s="1"/>
  <c r="R19" i="5"/>
  <c r="R392" i="5"/>
  <c r="O304" i="5"/>
  <c r="O474" i="5"/>
  <c r="M125" i="5"/>
  <c r="J125" i="5"/>
  <c r="I125" i="5"/>
  <c r="P125" i="5"/>
  <c r="O295" i="5"/>
  <c r="M376" i="5"/>
  <c r="J376" i="5"/>
  <c r="P376" i="5"/>
  <c r="I376" i="5"/>
  <c r="P97" i="5"/>
  <c r="I97" i="5"/>
  <c r="J97" i="5"/>
  <c r="M97" i="5"/>
  <c r="P218" i="5"/>
  <c r="I218" i="5"/>
  <c r="M218" i="5"/>
  <c r="J218" i="5"/>
  <c r="R451" i="5"/>
  <c r="R315" i="5"/>
  <c r="O353" i="5"/>
  <c r="O75" i="5"/>
  <c r="L215" i="5"/>
  <c r="S215" i="5"/>
  <c r="S264" i="5"/>
  <c r="L264" i="5"/>
  <c r="R388" i="5"/>
  <c r="L357" i="5"/>
  <c r="S357" i="5"/>
  <c r="L75" i="5"/>
  <c r="S75" i="5"/>
  <c r="O388" i="5"/>
  <c r="I365" i="5"/>
  <c r="I359" i="5" s="1"/>
  <c r="R195" i="5"/>
  <c r="O205" i="5"/>
  <c r="T457" i="5"/>
  <c r="T120" i="5"/>
  <c r="R259" i="5"/>
  <c r="F21" i="16"/>
  <c r="H21" i="16" s="1"/>
  <c r="R474" i="5"/>
  <c r="J311" i="5"/>
  <c r="I311" i="5"/>
  <c r="P311" i="5"/>
  <c r="M311" i="5"/>
  <c r="R470" i="5"/>
  <c r="R202" i="5"/>
  <c r="P469" i="5"/>
  <c r="J469" i="5"/>
  <c r="M469" i="5"/>
  <c r="I469" i="5"/>
  <c r="T67" i="5"/>
  <c r="P404" i="5"/>
  <c r="M404" i="5"/>
  <c r="I404" i="5"/>
  <c r="J404" i="5"/>
  <c r="J124" i="5"/>
  <c r="P124" i="5"/>
  <c r="M124" i="5"/>
  <c r="I124" i="5"/>
  <c r="S308" i="5"/>
  <c r="L308" i="5"/>
  <c r="R284" i="5"/>
  <c r="O171" i="5"/>
  <c r="F41" i="16"/>
  <c r="H41" i="16" s="1"/>
  <c r="L29" i="5"/>
  <c r="S29" i="5"/>
  <c r="R75" i="5"/>
  <c r="I29" i="4"/>
  <c r="E10" i="2" s="1"/>
  <c r="S401" i="5"/>
  <c r="L401" i="5"/>
  <c r="O408" i="5"/>
  <c r="T147" i="5"/>
  <c r="P332" i="5"/>
  <c r="I84" i="3" s="1"/>
  <c r="J84" i="3" s="1"/>
  <c r="O202" i="5"/>
  <c r="I283" i="5"/>
  <c r="J283" i="5"/>
  <c r="M283" i="5"/>
  <c r="P283" i="5"/>
  <c r="G40" i="3"/>
  <c r="H40" i="3" s="1"/>
  <c r="O146" i="5"/>
  <c r="H44" i="5"/>
  <c r="I43" i="4"/>
  <c r="I185" i="4"/>
  <c r="I183" i="4" s="1"/>
  <c r="H186" i="5"/>
  <c r="S185" i="5"/>
  <c r="L185" i="5"/>
  <c r="E20" i="2"/>
  <c r="C21" i="3"/>
  <c r="T320" i="5"/>
  <c r="P324" i="5"/>
  <c r="J324" i="5"/>
  <c r="M324" i="5"/>
  <c r="I324" i="5"/>
  <c r="I152" i="4"/>
  <c r="M169" i="5"/>
  <c r="J169" i="5"/>
  <c r="P169" i="5"/>
  <c r="I169" i="5"/>
  <c r="I22" i="15"/>
  <c r="S367" i="5"/>
  <c r="L367" i="5"/>
  <c r="J340" i="5"/>
  <c r="M340" i="5"/>
  <c r="P340" i="5"/>
  <c r="I340" i="5"/>
  <c r="H393" i="5"/>
  <c r="I392" i="4"/>
  <c r="H90" i="5"/>
  <c r="I89" i="4"/>
  <c r="S187" i="5"/>
  <c r="L187" i="5"/>
  <c r="L304" i="5"/>
  <c r="S304" i="5"/>
  <c r="R427" i="5"/>
  <c r="P425" i="5"/>
  <c r="P156" i="5"/>
  <c r="R157" i="5"/>
  <c r="H319" i="5"/>
  <c r="I318" i="4"/>
  <c r="I316" i="4" s="1"/>
  <c r="T378" i="5"/>
  <c r="H226" i="5"/>
  <c r="I225" i="4"/>
  <c r="I223" i="4" s="1"/>
  <c r="P248" i="5"/>
  <c r="J248" i="5"/>
  <c r="M248" i="5"/>
  <c r="I248" i="5"/>
  <c r="S366" i="5"/>
  <c r="L366" i="5"/>
  <c r="J365" i="5"/>
  <c r="J359" i="5" s="1"/>
  <c r="H137" i="5"/>
  <c r="I136" i="4"/>
  <c r="I135" i="4" s="1"/>
  <c r="T399" i="5"/>
  <c r="O396" i="5"/>
  <c r="M389" i="5"/>
  <c r="J389" i="5"/>
  <c r="P389" i="5"/>
  <c r="I389" i="5"/>
  <c r="L332" i="5"/>
  <c r="E84" i="3"/>
  <c r="H114" i="3"/>
  <c r="S445" i="5"/>
  <c r="L445" i="5"/>
  <c r="G22" i="3"/>
  <c r="H22" i="3" s="1"/>
  <c r="O66" i="5"/>
  <c r="S313" i="5"/>
  <c r="L313" i="5"/>
  <c r="S297" i="5"/>
  <c r="L297" i="5"/>
  <c r="T297" i="5" s="1"/>
  <c r="R374" i="5"/>
  <c r="H133" i="5"/>
  <c r="I132" i="4"/>
  <c r="I130" i="4" s="1"/>
  <c r="P435" i="5"/>
  <c r="R436" i="5"/>
  <c r="O188" i="5"/>
  <c r="R241" i="5"/>
  <c r="O95" i="5"/>
  <c r="R274" i="5"/>
  <c r="O299" i="5"/>
  <c r="R292" i="5"/>
  <c r="R24" i="5"/>
  <c r="S475" i="5"/>
  <c r="L475" i="5"/>
  <c r="P365" i="5"/>
  <c r="R366" i="5"/>
  <c r="O211" i="5"/>
  <c r="H150" i="5"/>
  <c r="I149" i="4"/>
  <c r="S298" i="5"/>
  <c r="L298" i="5"/>
  <c r="M435" i="5"/>
  <c r="O436" i="5"/>
  <c r="R106" i="5"/>
  <c r="H337" i="5"/>
  <c r="I336" i="4"/>
  <c r="M155" i="5"/>
  <c r="J155" i="5"/>
  <c r="P155" i="5"/>
  <c r="I155" i="5"/>
  <c r="R185" i="5"/>
  <c r="M237" i="5"/>
  <c r="J237" i="5"/>
  <c r="P237" i="5"/>
  <c r="I237" i="5"/>
  <c r="R148" i="5"/>
  <c r="L106" i="5"/>
  <c r="S106" i="5"/>
  <c r="H58" i="5"/>
  <c r="I57" i="4"/>
  <c r="T261" i="5"/>
  <c r="I275" i="4"/>
  <c r="I274" i="4" s="1"/>
  <c r="H276" i="5"/>
  <c r="S374" i="5"/>
  <c r="L374" i="5"/>
  <c r="O185" i="5"/>
  <c r="R298" i="5"/>
  <c r="P330" i="5"/>
  <c r="M330" i="5"/>
  <c r="J330" i="5"/>
  <c r="I330" i="5"/>
  <c r="R188" i="5"/>
  <c r="L405" i="5"/>
  <c r="S405" i="5"/>
  <c r="I110" i="3"/>
  <c r="J110" i="3" s="1"/>
  <c r="R438" i="5"/>
  <c r="S36" i="5"/>
  <c r="L36" i="5"/>
  <c r="S343" i="5"/>
  <c r="J342" i="5"/>
  <c r="L343" i="5"/>
  <c r="G88" i="3"/>
  <c r="H88" i="3" s="1"/>
  <c r="O345" i="5"/>
  <c r="M365" i="5"/>
  <c r="O366" i="5"/>
  <c r="S204" i="5"/>
  <c r="L204" i="5"/>
  <c r="T204" i="5" s="1"/>
  <c r="H230" i="5"/>
  <c r="I229" i="4"/>
  <c r="I228" i="4" s="1"/>
  <c r="R239" i="5"/>
  <c r="I62" i="3"/>
  <c r="J62" i="3" s="1"/>
  <c r="O298" i="5"/>
  <c r="H244" i="5"/>
  <c r="I243" i="4"/>
  <c r="T333" i="5"/>
  <c r="S373" i="5"/>
  <c r="L373" i="5"/>
  <c r="R405" i="5"/>
  <c r="R36" i="5"/>
  <c r="P342" i="5"/>
  <c r="R343" i="5"/>
  <c r="H462" i="5"/>
  <c r="I461" i="4"/>
  <c r="I460" i="4" s="1"/>
  <c r="R166" i="5"/>
  <c r="O385" i="5"/>
  <c r="L167" i="5"/>
  <c r="S167" i="5"/>
  <c r="R313" i="5"/>
  <c r="R297" i="5"/>
  <c r="O374" i="5"/>
  <c r="O381" i="5"/>
  <c r="O278" i="5"/>
  <c r="R204" i="5"/>
  <c r="R134" i="5"/>
  <c r="I36" i="3"/>
  <c r="J36" i="3" s="1"/>
  <c r="O113" i="5"/>
  <c r="R467" i="5"/>
  <c r="R396" i="5"/>
  <c r="J418" i="5"/>
  <c r="P418" i="5"/>
  <c r="M418" i="5"/>
  <c r="I418" i="5"/>
  <c r="L352" i="5"/>
  <c r="S352" i="5"/>
  <c r="R126" i="5"/>
  <c r="H430" i="5"/>
  <c r="I429" i="4"/>
  <c r="H258" i="5"/>
  <c r="I257" i="4"/>
  <c r="E92" i="3"/>
  <c r="L360" i="5"/>
  <c r="R220" i="5"/>
  <c r="O373" i="5"/>
  <c r="J139" i="5"/>
  <c r="M139" i="5"/>
  <c r="P139" i="5"/>
  <c r="I139" i="5"/>
  <c r="R260" i="5"/>
  <c r="S18" i="5"/>
  <c r="L18" i="5"/>
  <c r="T18" i="5" s="1"/>
  <c r="J114" i="3"/>
  <c r="R95" i="5"/>
  <c r="S299" i="5"/>
  <c r="L299" i="5"/>
  <c r="T299" i="5" s="1"/>
  <c r="J154" i="5"/>
  <c r="M154" i="5"/>
  <c r="P154" i="5"/>
  <c r="I154" i="5"/>
  <c r="S24" i="5"/>
  <c r="L24" i="5"/>
  <c r="E115" i="3"/>
  <c r="L456" i="5"/>
  <c r="S456" i="5"/>
  <c r="P51" i="5"/>
  <c r="M51" i="5"/>
  <c r="J51" i="5"/>
  <c r="I51" i="5"/>
  <c r="O405" i="5"/>
  <c r="O36" i="5"/>
  <c r="S259" i="5"/>
  <c r="L259" i="5"/>
  <c r="L222" i="5"/>
  <c r="S222" i="5"/>
  <c r="F23" i="16"/>
  <c r="H23" i="16" s="1"/>
  <c r="R222" i="5"/>
  <c r="O265" i="5"/>
  <c r="O343" i="5"/>
  <c r="M342" i="5"/>
  <c r="M63" i="5"/>
  <c r="O64" i="5"/>
  <c r="O219" i="5"/>
  <c r="P144" i="5"/>
  <c r="M144" i="5"/>
  <c r="J144" i="5"/>
  <c r="I144" i="5"/>
  <c r="S273" i="5"/>
  <c r="J272" i="5"/>
  <c r="J266" i="5" s="1"/>
  <c r="L273" i="5"/>
  <c r="L406" i="5"/>
  <c r="S406" i="5"/>
  <c r="H70" i="5"/>
  <c r="I69" i="4"/>
  <c r="S199" i="5"/>
  <c r="L199" i="5"/>
  <c r="P423" i="5"/>
  <c r="M423" i="5"/>
  <c r="J423" i="5"/>
  <c r="I423" i="5"/>
  <c r="O475" i="5"/>
  <c r="O94" i="5"/>
  <c r="E49" i="3"/>
  <c r="L177" i="5"/>
  <c r="S436" i="5"/>
  <c r="L436" i="5"/>
  <c r="J435" i="5"/>
  <c r="H114" i="4"/>
  <c r="H207" i="4"/>
  <c r="H300" i="4"/>
  <c r="H393" i="4"/>
  <c r="H54" i="15"/>
  <c r="H21" i="4"/>
  <c r="G66" i="3"/>
  <c r="H66" i="3" s="1"/>
  <c r="T135" i="5"/>
  <c r="J76" i="5"/>
  <c r="M76" i="5"/>
  <c r="P76" i="5"/>
  <c r="I76" i="5"/>
  <c r="G44" i="3"/>
  <c r="H44" i="3" s="1"/>
  <c r="O159" i="5"/>
  <c r="H32" i="15"/>
  <c r="H47" i="4"/>
  <c r="H140" i="4"/>
  <c r="H419" i="4"/>
  <c r="H233" i="4"/>
  <c r="H326" i="4"/>
  <c r="S397" i="5"/>
  <c r="L397" i="5"/>
  <c r="O126" i="5"/>
  <c r="S241" i="5"/>
  <c r="L241" i="5"/>
  <c r="L95" i="5"/>
  <c r="S95" i="5"/>
  <c r="O274" i="5"/>
  <c r="R299" i="5"/>
  <c r="O24" i="5"/>
  <c r="G62" i="3"/>
  <c r="H62" i="3" s="1"/>
  <c r="O239" i="5"/>
  <c r="H151" i="5"/>
  <c r="I150" i="4"/>
  <c r="H21" i="5"/>
  <c r="I20" i="4"/>
  <c r="O406" i="5"/>
  <c r="S385" i="5"/>
  <c r="L385" i="5"/>
  <c r="O222" i="5"/>
  <c r="O174" i="5"/>
  <c r="G48" i="3"/>
  <c r="I272" i="5"/>
  <c r="I266" i="5" s="1"/>
  <c r="H114" i="5"/>
  <c r="I113" i="4"/>
  <c r="R406" i="5"/>
  <c r="T455" i="5"/>
  <c r="R445" i="5"/>
  <c r="H40" i="5"/>
  <c r="I39" i="4"/>
  <c r="O196" i="5"/>
  <c r="I18" i="3"/>
  <c r="J18" i="3" s="1"/>
  <c r="R53" i="5"/>
  <c r="O292" i="5"/>
  <c r="R196" i="5"/>
  <c r="R211" i="5"/>
  <c r="H57" i="5"/>
  <c r="I56" i="4"/>
  <c r="S292" i="5"/>
  <c r="L292" i="5"/>
  <c r="R64" i="5"/>
  <c r="P63" i="5"/>
  <c r="R219" i="5"/>
  <c r="P272" i="5"/>
  <c r="P266" i="5" s="1"/>
  <c r="R273" i="5"/>
  <c r="S390" i="5"/>
  <c r="L390" i="5"/>
  <c r="T390" i="5" s="1"/>
  <c r="S166" i="5"/>
  <c r="L166" i="5"/>
  <c r="R66" i="5"/>
  <c r="I22" i="3"/>
  <c r="J22" i="3" s="1"/>
  <c r="T314" i="5"/>
  <c r="R475" i="5"/>
  <c r="R280" i="5"/>
  <c r="S211" i="5"/>
  <c r="L211" i="5"/>
  <c r="T354" i="5"/>
  <c r="E110" i="3"/>
  <c r="S438" i="5"/>
  <c r="L438" i="5"/>
  <c r="E88" i="3"/>
  <c r="L345" i="5"/>
  <c r="S345" i="5"/>
  <c r="R74" i="5"/>
  <c r="R390" i="5"/>
  <c r="R181" i="5"/>
  <c r="H336" i="5"/>
  <c r="I335" i="4"/>
  <c r="H93" i="5"/>
  <c r="I92" i="4"/>
  <c r="O206" i="5"/>
  <c r="T439" i="5"/>
  <c r="O312" i="5"/>
  <c r="O456" i="5"/>
  <c r="G115" i="3"/>
  <c r="H115" i="3" s="1"/>
  <c r="J239" i="5"/>
  <c r="S79" i="5"/>
  <c r="L79" i="5"/>
  <c r="M296" i="5"/>
  <c r="P296" i="5"/>
  <c r="J296" i="5"/>
  <c r="I296" i="5"/>
  <c r="I93" i="3"/>
  <c r="J93" i="3" s="1"/>
  <c r="R363" i="5"/>
  <c r="L118" i="5"/>
  <c r="S118" i="5"/>
  <c r="O210" i="5"/>
  <c r="S20" i="5"/>
  <c r="L20" i="5"/>
  <c r="T20" i="5" s="1"/>
  <c r="O358" i="5"/>
  <c r="O25" i="5"/>
  <c r="H72" i="5"/>
  <c r="I71" i="4"/>
  <c r="L281" i="5"/>
  <c r="S281" i="5"/>
  <c r="O55" i="5"/>
  <c r="R103" i="5"/>
  <c r="L117" i="5"/>
  <c r="S117" i="5"/>
  <c r="R87" i="5"/>
  <c r="M458" i="5"/>
  <c r="O459" i="5"/>
  <c r="R13" i="5"/>
  <c r="O267" i="5"/>
  <c r="G70" i="3"/>
  <c r="T471" i="5"/>
  <c r="J325" i="5"/>
  <c r="M325" i="5"/>
  <c r="P325" i="5"/>
  <c r="I325" i="5"/>
  <c r="S181" i="5"/>
  <c r="L181" i="5"/>
  <c r="R127" i="5"/>
  <c r="I31" i="15"/>
  <c r="O129" i="5"/>
  <c r="I70" i="3"/>
  <c r="R267" i="5"/>
  <c r="E102" i="3"/>
  <c r="L413" i="5"/>
  <c r="S413" i="5"/>
  <c r="S111" i="5"/>
  <c r="L111" i="5"/>
  <c r="T111" i="5" s="1"/>
  <c r="O303" i="5"/>
  <c r="T27" i="5"/>
  <c r="H442" i="5"/>
  <c r="I441" i="4"/>
  <c r="I440" i="4" s="1"/>
  <c r="T194" i="5"/>
  <c r="H431" i="5"/>
  <c r="I430" i="4"/>
  <c r="O167" i="5"/>
  <c r="E18" i="3"/>
  <c r="S53" i="5"/>
  <c r="L53" i="5"/>
  <c r="H349" i="5"/>
  <c r="I348" i="4"/>
  <c r="I347" i="4" s="1"/>
  <c r="L381" i="5"/>
  <c r="S381" i="5"/>
  <c r="O413" i="5"/>
  <c r="G102" i="3"/>
  <c r="H102" i="3" s="1"/>
  <c r="R199" i="5"/>
  <c r="T209" i="5"/>
  <c r="S196" i="5"/>
  <c r="L196" i="5"/>
  <c r="J232" i="5"/>
  <c r="M232" i="5"/>
  <c r="P232" i="5"/>
  <c r="I232" i="5"/>
  <c r="O20" i="5"/>
  <c r="S25" i="5"/>
  <c r="L25" i="5"/>
  <c r="S55" i="5"/>
  <c r="L55" i="5"/>
  <c r="S87" i="5"/>
  <c r="J86" i="5"/>
  <c r="L87" i="5"/>
  <c r="S13" i="5"/>
  <c r="L13" i="5"/>
  <c r="S265" i="5"/>
  <c r="L265" i="5"/>
  <c r="J61" i="5"/>
  <c r="P61" i="5"/>
  <c r="M61" i="5"/>
  <c r="I61" i="5"/>
  <c r="T346" i="5"/>
  <c r="J63" i="5"/>
  <c r="S64" i="5"/>
  <c r="L64" i="5"/>
  <c r="L219" i="5"/>
  <c r="S219" i="5"/>
  <c r="O390" i="5"/>
  <c r="R111" i="5"/>
  <c r="L303" i="5"/>
  <c r="S303" i="5"/>
  <c r="H256" i="5"/>
  <c r="I255" i="4"/>
  <c r="I254" i="4" s="1"/>
  <c r="G18" i="3"/>
  <c r="H18" i="3" s="1"/>
  <c r="O53" i="5"/>
  <c r="E66" i="3"/>
  <c r="S252" i="5"/>
  <c r="O199" i="5"/>
  <c r="H163" i="5"/>
  <c r="I162" i="4"/>
  <c r="I161" i="4" s="1"/>
  <c r="T253" i="5"/>
  <c r="I50" i="15"/>
  <c r="E93" i="3"/>
  <c r="S363" i="5"/>
  <c r="L363" i="5"/>
  <c r="H243" i="5"/>
  <c r="I242" i="4"/>
  <c r="H372" i="5"/>
  <c r="I371" i="4"/>
  <c r="I369" i="4" s="1"/>
  <c r="S206" i="5"/>
  <c r="L206" i="5"/>
  <c r="T206" i="5" s="1"/>
  <c r="L312" i="5"/>
  <c r="S312" i="5"/>
  <c r="I66" i="3"/>
  <c r="J66" i="3" s="1"/>
  <c r="R174" i="5"/>
  <c r="I48" i="3"/>
  <c r="O79" i="5"/>
  <c r="M231" i="5"/>
  <c r="J231" i="5"/>
  <c r="P231" i="5"/>
  <c r="I231" i="5"/>
  <c r="R92" i="5"/>
  <c r="M341" i="5"/>
  <c r="J341" i="5"/>
  <c r="P341" i="5"/>
  <c r="I341" i="5"/>
  <c r="R459" i="5"/>
  <c r="P458" i="5"/>
  <c r="S288" i="5"/>
  <c r="L288" i="5"/>
  <c r="O127" i="5"/>
  <c r="J45" i="5"/>
  <c r="P45" i="5"/>
  <c r="M45" i="5"/>
  <c r="I45" i="5"/>
  <c r="R129" i="5"/>
  <c r="O250" i="5"/>
  <c r="M249" i="5"/>
  <c r="I245" i="4"/>
  <c r="J448" i="5"/>
  <c r="P448" i="5"/>
  <c r="M448" i="5"/>
  <c r="I448" i="5"/>
  <c r="S392" i="5"/>
  <c r="L392" i="5"/>
  <c r="T392" i="5" s="1"/>
  <c r="S451" i="5"/>
  <c r="L451" i="5"/>
  <c r="L174" i="5"/>
  <c r="E48" i="3"/>
  <c r="S174" i="5"/>
  <c r="H152" i="5"/>
  <c r="I151" i="4"/>
  <c r="J262" i="5"/>
  <c r="M262" i="5"/>
  <c r="P262" i="5"/>
  <c r="I262" i="5"/>
  <c r="S280" i="5"/>
  <c r="L280" i="5"/>
  <c r="T473" i="5"/>
  <c r="H465" i="5"/>
  <c r="I464" i="4"/>
  <c r="I462" i="4" s="1"/>
  <c r="S94" i="5"/>
  <c r="L94" i="5"/>
  <c r="R20" i="5"/>
  <c r="R25" i="5"/>
  <c r="H165" i="5"/>
  <c r="I164" i="4"/>
  <c r="R281" i="5"/>
  <c r="R55" i="5"/>
  <c r="R117" i="5"/>
  <c r="J434" i="5"/>
  <c r="P434" i="5"/>
  <c r="M434" i="5"/>
  <c r="I434" i="5"/>
  <c r="T10" i="5"/>
  <c r="O87" i="5"/>
  <c r="J458" i="5"/>
  <c r="J452" i="5" s="1"/>
  <c r="S459" i="5"/>
  <c r="L459" i="5"/>
  <c r="O13" i="5"/>
  <c r="I49" i="3"/>
  <c r="J49" i="3" s="1"/>
  <c r="R177" i="5"/>
  <c r="M203" i="5"/>
  <c r="P203" i="5"/>
  <c r="J203" i="5"/>
  <c r="I203" i="5"/>
  <c r="O111" i="5"/>
  <c r="R303" i="5"/>
  <c r="T54" i="5"/>
  <c r="H59" i="5"/>
  <c r="I58" i="4"/>
  <c r="I9" i="15"/>
  <c r="R73" i="5"/>
  <c r="M17" i="5"/>
  <c r="P17" i="5"/>
  <c r="J17" i="5"/>
  <c r="I17" i="5"/>
  <c r="O134" i="5"/>
  <c r="G36" i="3"/>
  <c r="H36" i="3" s="1"/>
  <c r="S73" i="5"/>
  <c r="L73" i="5"/>
  <c r="O195" i="5"/>
  <c r="R172" i="5"/>
  <c r="O391" i="5"/>
  <c r="S210" i="5"/>
  <c r="L210" i="5"/>
  <c r="D38" i="18"/>
  <c r="F38" i="18" s="1"/>
  <c r="R289" i="5"/>
  <c r="R358" i="5"/>
  <c r="O281" i="5"/>
  <c r="O103" i="5"/>
  <c r="O117" i="5"/>
  <c r="J46" i="5"/>
  <c r="M46" i="5"/>
  <c r="P46" i="5"/>
  <c r="I46" i="5"/>
  <c r="O73" i="5"/>
  <c r="S195" i="5"/>
  <c r="L195" i="5"/>
  <c r="H279" i="5"/>
  <c r="I278" i="4"/>
  <c r="I276" i="4" s="1"/>
  <c r="R206" i="5"/>
  <c r="T161" i="5"/>
  <c r="R312" i="5"/>
  <c r="S446" i="5"/>
  <c r="L446" i="5"/>
  <c r="R79" i="5"/>
  <c r="O92" i="5"/>
  <c r="J417" i="5"/>
  <c r="P417" i="5"/>
  <c r="M417" i="5"/>
  <c r="I417" i="5"/>
  <c r="P146" i="5"/>
  <c r="O172" i="5"/>
  <c r="R391" i="5"/>
  <c r="R205" i="5"/>
  <c r="R210" i="5"/>
  <c r="S289" i="5"/>
  <c r="L289" i="5"/>
  <c r="L358" i="5"/>
  <c r="S358" i="5"/>
  <c r="S103" i="5"/>
  <c r="L103" i="5"/>
  <c r="G93" i="3"/>
  <c r="H93" i="3" s="1"/>
  <c r="O363" i="5"/>
  <c r="O367" i="5"/>
  <c r="O466" i="5"/>
  <c r="P138" i="5"/>
  <c r="J138" i="5"/>
  <c r="M138" i="5"/>
  <c r="I138" i="5"/>
  <c r="O288" i="5"/>
  <c r="H300" i="5"/>
  <c r="I299" i="4"/>
  <c r="M110" i="5"/>
  <c r="P110" i="5"/>
  <c r="J110" i="5"/>
  <c r="I110" i="5"/>
  <c r="S353" i="5"/>
  <c r="L353" i="5"/>
  <c r="H369" i="5"/>
  <c r="I368" i="4"/>
  <c r="I367" i="4" s="1"/>
  <c r="R250" i="5"/>
  <c r="P249" i="5"/>
  <c r="P247" i="5"/>
  <c r="M247" i="5"/>
  <c r="J247" i="5"/>
  <c r="I247" i="5"/>
  <c r="T414" i="5"/>
  <c r="S474" i="5"/>
  <c r="L474" i="5"/>
  <c r="S427" i="5"/>
  <c r="L427" i="5"/>
  <c r="J425" i="5"/>
  <c r="T175" i="5"/>
  <c r="S157" i="5"/>
  <c r="J156" i="5"/>
  <c r="L157" i="5"/>
  <c r="H338" i="5"/>
  <c r="I337" i="4"/>
  <c r="I24" i="15"/>
  <c r="H52" i="15"/>
  <c r="H355" i="4"/>
  <c r="H76" i="4"/>
  <c r="H448" i="4"/>
  <c r="H262" i="4"/>
  <c r="H169" i="4"/>
  <c r="H429" i="5"/>
  <c r="I428" i="4"/>
  <c r="L33" i="5"/>
  <c r="S33" i="5"/>
  <c r="P433" i="5"/>
  <c r="M433" i="5"/>
  <c r="J433" i="5"/>
  <c r="I433" i="5"/>
  <c r="H207" i="5"/>
  <c r="I206" i="4"/>
  <c r="L315" i="5"/>
  <c r="S315" i="5"/>
  <c r="M62" i="5"/>
  <c r="P62" i="5"/>
  <c r="J62" i="5"/>
  <c r="I62" i="5"/>
  <c r="L460" i="5"/>
  <c r="S460" i="5"/>
  <c r="R385" i="5"/>
  <c r="R159" i="5"/>
  <c r="I44" i="3"/>
  <c r="J44" i="3" s="1"/>
  <c r="O445" i="5"/>
  <c r="L34" i="5"/>
  <c r="S34" i="5"/>
  <c r="O297" i="5"/>
  <c r="R278" i="5"/>
  <c r="O204" i="5"/>
  <c r="L113" i="5"/>
  <c r="T113" i="5" s="1"/>
  <c r="S113" i="5"/>
  <c r="S19" i="5"/>
  <c r="L19" i="5"/>
  <c r="O352" i="5"/>
  <c r="O148" i="5"/>
  <c r="F80" i="3"/>
  <c r="L80" i="3" s="1"/>
  <c r="K80" i="3"/>
  <c r="S278" i="5"/>
  <c r="L278" i="5"/>
  <c r="R113" i="5"/>
  <c r="L396" i="5"/>
  <c r="S396" i="5"/>
  <c r="R352" i="5"/>
  <c r="S148" i="5"/>
  <c r="L148" i="5"/>
  <c r="E36" i="3"/>
  <c r="L134" i="5"/>
  <c r="S134" i="5"/>
  <c r="S126" i="5"/>
  <c r="L126" i="5"/>
  <c r="S188" i="5"/>
  <c r="L188" i="5"/>
  <c r="O241" i="5"/>
  <c r="S274" i="5"/>
  <c r="L274" i="5"/>
  <c r="O166" i="5"/>
  <c r="K114" i="3"/>
  <c r="F114" i="3"/>
  <c r="R167" i="5"/>
  <c r="O313" i="5"/>
  <c r="R381" i="5"/>
  <c r="O280" i="5"/>
  <c r="H444" i="5"/>
  <c r="I443" i="4"/>
  <c r="G84" i="3"/>
  <c r="H84" i="3" s="1"/>
  <c r="O332" i="5"/>
  <c r="O220" i="5"/>
  <c r="R373" i="5"/>
  <c r="L260" i="5"/>
  <c r="S260" i="5"/>
  <c r="R265" i="5"/>
  <c r="I59" i="4"/>
  <c r="I46" i="15"/>
  <c r="H416" i="5"/>
  <c r="I415" i="4"/>
  <c r="I414" i="4" s="1"/>
  <c r="R94" i="5"/>
  <c r="T240" i="5"/>
  <c r="C94" i="3"/>
  <c r="E93" i="2"/>
  <c r="I358" i="4"/>
  <c r="R118" i="5"/>
  <c r="I88" i="3"/>
  <c r="J88" i="3" s="1"/>
  <c r="R345" i="5"/>
  <c r="I350" i="4"/>
  <c r="H351" i="5"/>
  <c r="L220" i="5"/>
  <c r="S220" i="5"/>
  <c r="O260" i="5"/>
  <c r="M272" i="5"/>
  <c r="M266" i="5" s="1"/>
  <c r="O273" i="5"/>
  <c r="J355" i="5"/>
  <c r="P355" i="5"/>
  <c r="M355" i="5"/>
  <c r="I355" i="5"/>
  <c r="O181" i="5"/>
  <c r="T101" i="5"/>
  <c r="O118" i="5"/>
  <c r="S127" i="5"/>
  <c r="L127" i="5"/>
  <c r="S129" i="5"/>
  <c r="L129" i="5"/>
  <c r="T99" i="5"/>
  <c r="J146" i="5"/>
  <c r="T191" i="5"/>
  <c r="L408" i="5"/>
  <c r="S408" i="5"/>
  <c r="C69" i="3"/>
  <c r="E68" i="2"/>
  <c r="H323" i="5"/>
  <c r="I322" i="4"/>
  <c r="I321" i="4" s="1"/>
  <c r="T192" i="5"/>
  <c r="I179" i="5"/>
  <c r="I173" i="5" s="1"/>
  <c r="O446" i="5"/>
  <c r="T116" i="5"/>
  <c r="L92" i="5"/>
  <c r="S92" i="5"/>
  <c r="O106" i="5"/>
  <c r="E115" i="2"/>
  <c r="C116" i="3"/>
  <c r="I451" i="4"/>
  <c r="T306" i="5"/>
  <c r="L172" i="5"/>
  <c r="S172" i="5"/>
  <c r="S391" i="5"/>
  <c r="L391" i="5"/>
  <c r="S205" i="5"/>
  <c r="L205" i="5"/>
  <c r="R413" i="5"/>
  <c r="I102" i="3"/>
  <c r="J102" i="3" s="1"/>
  <c r="O289" i="5"/>
  <c r="S159" i="5"/>
  <c r="L159" i="5"/>
  <c r="E44" i="3"/>
  <c r="R367" i="5"/>
  <c r="L466" i="5"/>
  <c r="S466" i="5"/>
  <c r="G110" i="3"/>
  <c r="H110" i="3" s="1"/>
  <c r="O438" i="5"/>
  <c r="R288" i="5"/>
  <c r="I338" i="4"/>
  <c r="R353" i="5"/>
  <c r="H183" i="5"/>
  <c r="I182" i="4"/>
  <c r="I181" i="4" s="1"/>
  <c r="O460" i="5"/>
  <c r="J249" i="5"/>
  <c r="S250" i="5"/>
  <c r="L250" i="5"/>
  <c r="L334" i="5"/>
  <c r="S334" i="5"/>
  <c r="I115" i="3"/>
  <c r="J115" i="3" s="1"/>
  <c r="R456" i="5"/>
  <c r="O34" i="5"/>
  <c r="T347" i="5"/>
  <c r="O427" i="5"/>
  <c r="M425" i="5"/>
  <c r="O157" i="5"/>
  <c r="M156" i="5"/>
  <c r="H412" i="5"/>
  <c r="I411" i="4"/>
  <c r="I409" i="4" s="1"/>
  <c r="H245" i="5"/>
  <c r="I244" i="4"/>
  <c r="L71" i="3" l="1"/>
  <c r="O286" i="5"/>
  <c r="S467" i="5"/>
  <c r="L74" i="5"/>
  <c r="M179" i="5"/>
  <c r="M173" i="5" s="1"/>
  <c r="O173" i="5" s="1"/>
  <c r="E27" i="2"/>
  <c r="C28" i="3"/>
  <c r="H331" i="5"/>
  <c r="P331" i="5" s="1"/>
  <c r="P329" i="5" s="1"/>
  <c r="E22" i="3"/>
  <c r="S453" i="5"/>
  <c r="O128" i="5"/>
  <c r="T225" i="5"/>
  <c r="T214" i="5"/>
  <c r="L467" i="5"/>
  <c r="O467" i="5"/>
  <c r="E70" i="3"/>
  <c r="S267" i="5"/>
  <c r="R382" i="5"/>
  <c r="O453" i="5"/>
  <c r="T454" i="5"/>
  <c r="S128" i="5"/>
  <c r="L128" i="5"/>
  <c r="T178" i="5"/>
  <c r="S74" i="5"/>
  <c r="S180" i="5"/>
  <c r="J179" i="5"/>
  <c r="J173" i="5" s="1"/>
  <c r="L173" i="5" s="1"/>
  <c r="C55" i="3"/>
  <c r="T35" i="5"/>
  <c r="R180" i="5"/>
  <c r="T180" i="5" s="1"/>
  <c r="T84" i="5"/>
  <c r="R96" i="5"/>
  <c r="S112" i="5"/>
  <c r="I452" i="5"/>
  <c r="L452" i="5" s="1"/>
  <c r="R464" i="5"/>
  <c r="O177" i="5"/>
  <c r="T177" i="5" s="1"/>
  <c r="R453" i="5"/>
  <c r="O74" i="5"/>
  <c r="O252" i="5"/>
  <c r="O407" i="5"/>
  <c r="R371" i="5"/>
  <c r="K58" i="3"/>
  <c r="T254" i="5"/>
  <c r="G49" i="3"/>
  <c r="H49" i="3" s="1"/>
  <c r="P359" i="5"/>
  <c r="R359" i="5" s="1"/>
  <c r="R266" i="5"/>
  <c r="T361" i="5"/>
  <c r="L453" i="5"/>
  <c r="L382" i="5"/>
  <c r="L407" i="5"/>
  <c r="R360" i="5"/>
  <c r="T82" i="5"/>
  <c r="S464" i="5"/>
  <c r="L102" i="5"/>
  <c r="L252" i="5"/>
  <c r="S81" i="5"/>
  <c r="M80" i="5"/>
  <c r="S371" i="5"/>
  <c r="J402" i="5"/>
  <c r="E99" i="3" s="1"/>
  <c r="T450" i="5"/>
  <c r="R88" i="5"/>
  <c r="L112" i="5"/>
  <c r="M359" i="5"/>
  <c r="O359" i="5" s="1"/>
  <c r="R112" i="5"/>
  <c r="S382" i="5"/>
  <c r="L66" i="5"/>
  <c r="T66" i="5" s="1"/>
  <c r="T185" i="5"/>
  <c r="O97" i="5"/>
  <c r="O81" i="5"/>
  <c r="T98" i="5"/>
  <c r="S102" i="5"/>
  <c r="T122" i="5"/>
  <c r="R9" i="5"/>
  <c r="P8" i="5"/>
  <c r="I26" i="3"/>
  <c r="J26" i="3" s="1"/>
  <c r="S360" i="5"/>
  <c r="C77" i="3"/>
  <c r="L9" i="5"/>
  <c r="J8" i="5"/>
  <c r="S9" i="5"/>
  <c r="S88" i="5"/>
  <c r="O9" i="5"/>
  <c r="M8" i="5"/>
  <c r="P86" i="5"/>
  <c r="P80" i="5" s="1"/>
  <c r="L464" i="5"/>
  <c r="I51" i="4"/>
  <c r="I49" i="4" s="1"/>
  <c r="C17" i="3" s="1"/>
  <c r="E7" i="2"/>
  <c r="C8" i="3"/>
  <c r="L371" i="5"/>
  <c r="O102" i="5"/>
  <c r="R102" i="5"/>
  <c r="E98" i="2"/>
  <c r="O379" i="5"/>
  <c r="I237" i="4"/>
  <c r="I235" i="4" s="1"/>
  <c r="E60" i="2" s="1"/>
  <c r="R189" i="5"/>
  <c r="I309" i="5"/>
  <c r="O88" i="5"/>
  <c r="T78" i="5"/>
  <c r="R379" i="5"/>
  <c r="I144" i="4"/>
  <c r="I142" i="4" s="1"/>
  <c r="C39" i="3" s="1"/>
  <c r="I423" i="4"/>
  <c r="I421" i="4" s="1"/>
  <c r="C105" i="3" s="1"/>
  <c r="O472" i="5"/>
  <c r="T205" i="5"/>
  <c r="F71" i="18"/>
  <c r="R375" i="5"/>
  <c r="I123" i="5"/>
  <c r="O231" i="5"/>
  <c r="O403" i="5"/>
  <c r="G92" i="3"/>
  <c r="K92" i="3" s="1"/>
  <c r="J123" i="5"/>
  <c r="E33" i="3" s="1"/>
  <c r="F33" i="3" s="1"/>
  <c r="R403" i="5"/>
  <c r="I86" i="5"/>
  <c r="I80" i="5" s="1"/>
  <c r="I153" i="5"/>
  <c r="O155" i="5"/>
  <c r="S332" i="5"/>
  <c r="L88" i="5"/>
  <c r="K27" i="3"/>
  <c r="J27" i="3"/>
  <c r="L27" i="3" s="1"/>
  <c r="R332" i="5"/>
  <c r="T332" i="5" s="1"/>
  <c r="O360" i="5"/>
  <c r="T397" i="5"/>
  <c r="I402" i="5"/>
  <c r="I30" i="5"/>
  <c r="T109" i="5"/>
  <c r="R472" i="5"/>
  <c r="O100" i="5"/>
  <c r="R469" i="5"/>
  <c r="O189" i="5"/>
  <c r="R193" i="5"/>
  <c r="T334" i="5"/>
  <c r="T280" i="5"/>
  <c r="T451" i="5"/>
  <c r="S193" i="5"/>
  <c r="L193" i="5"/>
  <c r="R286" i="5"/>
  <c r="T33" i="5"/>
  <c r="O46" i="5"/>
  <c r="C108" i="3"/>
  <c r="O41" i="5"/>
  <c r="G14" i="3"/>
  <c r="H14" i="3" s="1"/>
  <c r="T19" i="5"/>
  <c r="R173" i="5"/>
  <c r="O193" i="5"/>
  <c r="I14" i="3"/>
  <c r="J14" i="3" s="1"/>
  <c r="R41" i="5"/>
  <c r="T460" i="5"/>
  <c r="R100" i="5"/>
  <c r="O311" i="5"/>
  <c r="T215" i="5"/>
  <c r="P30" i="5"/>
  <c r="E14" i="3"/>
  <c r="S41" i="5"/>
  <c r="L41" i="5"/>
  <c r="R46" i="5"/>
  <c r="T353" i="5"/>
  <c r="R311" i="5"/>
  <c r="J30" i="5"/>
  <c r="E11" i="3" s="1"/>
  <c r="T42" i="5"/>
  <c r="L472" i="5"/>
  <c r="S472" i="5"/>
  <c r="O283" i="5"/>
  <c r="R468" i="5"/>
  <c r="E26" i="3"/>
  <c r="F26" i="3" s="1"/>
  <c r="L81" i="5"/>
  <c r="S286" i="5"/>
  <c r="L286" i="5"/>
  <c r="H283" i="16"/>
  <c r="H286" i="16" s="1"/>
  <c r="I286" i="16" s="1"/>
  <c r="O217" i="5"/>
  <c r="L379" i="5"/>
  <c r="S379" i="5"/>
  <c r="L100" i="5"/>
  <c r="S100" i="5"/>
  <c r="T29" i="5"/>
  <c r="O190" i="5"/>
  <c r="G420" i="4"/>
  <c r="G421" i="5" s="1"/>
  <c r="S96" i="5"/>
  <c r="L96" i="5"/>
  <c r="G234" i="4"/>
  <c r="G235" i="5" s="1"/>
  <c r="T474" i="5"/>
  <c r="L282" i="5"/>
  <c r="S282" i="5"/>
  <c r="G141" i="4"/>
  <c r="G142" i="5" s="1"/>
  <c r="R404" i="5"/>
  <c r="T171" i="5"/>
  <c r="O375" i="5"/>
  <c r="R282" i="5"/>
  <c r="G48" i="4"/>
  <c r="G49" i="5" s="1"/>
  <c r="O448" i="5"/>
  <c r="O96" i="5"/>
  <c r="O282" i="5"/>
  <c r="S189" i="5"/>
  <c r="L189" i="5"/>
  <c r="H281" i="16"/>
  <c r="I15" i="16" s="1"/>
  <c r="L468" i="5"/>
  <c r="S468" i="5"/>
  <c r="L375" i="5"/>
  <c r="S375" i="5"/>
  <c r="R232" i="5"/>
  <c r="G327" i="4"/>
  <c r="G328" i="5" s="1"/>
  <c r="R448" i="5"/>
  <c r="O232" i="5"/>
  <c r="O324" i="5"/>
  <c r="G42" i="15"/>
  <c r="T436" i="5"/>
  <c r="T308" i="5"/>
  <c r="O469" i="5"/>
  <c r="T357" i="5"/>
  <c r="O310" i="5"/>
  <c r="E32" i="2"/>
  <c r="I216" i="5"/>
  <c r="T400" i="5"/>
  <c r="G330" i="7"/>
  <c r="T196" i="5"/>
  <c r="R324" i="5"/>
  <c r="O218" i="5"/>
  <c r="R125" i="5"/>
  <c r="O468" i="5"/>
  <c r="T267" i="5"/>
  <c r="R190" i="5"/>
  <c r="T315" i="5"/>
  <c r="T126" i="5"/>
  <c r="I348" i="7"/>
  <c r="H141" i="4" s="1"/>
  <c r="T264" i="5"/>
  <c r="T121" i="5"/>
  <c r="P309" i="5"/>
  <c r="I77" i="3" s="1"/>
  <c r="T385" i="5"/>
  <c r="R283" i="5"/>
  <c r="T284" i="5"/>
  <c r="T13" i="5"/>
  <c r="T259" i="5"/>
  <c r="T24" i="5"/>
  <c r="P216" i="5"/>
  <c r="R217" i="5"/>
  <c r="T211" i="5"/>
  <c r="R325" i="5"/>
  <c r="T195" i="5"/>
  <c r="L404" i="5"/>
  <c r="S404" i="5"/>
  <c r="L97" i="5"/>
  <c r="S97" i="5"/>
  <c r="O32" i="5"/>
  <c r="T470" i="5"/>
  <c r="T466" i="5"/>
  <c r="T408" i="5"/>
  <c r="T157" i="5"/>
  <c r="R45" i="5"/>
  <c r="O76" i="5"/>
  <c r="T405" i="5"/>
  <c r="O389" i="5"/>
  <c r="T304" i="5"/>
  <c r="T295" i="5"/>
  <c r="S190" i="5"/>
  <c r="L190" i="5"/>
  <c r="R32" i="5"/>
  <c r="S310" i="5"/>
  <c r="L310" i="5"/>
  <c r="O124" i="5"/>
  <c r="M123" i="5"/>
  <c r="R124" i="5"/>
  <c r="P123" i="5"/>
  <c r="L125" i="5"/>
  <c r="S125" i="5"/>
  <c r="T388" i="5"/>
  <c r="T202" i="5"/>
  <c r="T292" i="5"/>
  <c r="T187" i="5"/>
  <c r="O404" i="5"/>
  <c r="R97" i="5"/>
  <c r="R31" i="5"/>
  <c r="L32" i="5"/>
  <c r="S32" i="5"/>
  <c r="S218" i="5"/>
  <c r="L218" i="5"/>
  <c r="L469" i="5"/>
  <c r="S469" i="5"/>
  <c r="R341" i="5"/>
  <c r="T55" i="5"/>
  <c r="O325" i="5"/>
  <c r="R76" i="5"/>
  <c r="R17" i="5"/>
  <c r="O341" i="5"/>
  <c r="C11" i="3"/>
  <c r="L114" i="3"/>
  <c r="T134" i="5"/>
  <c r="T34" i="5"/>
  <c r="T446" i="5"/>
  <c r="O17" i="5"/>
  <c r="M30" i="5"/>
  <c r="L311" i="5"/>
  <c r="S311" i="5"/>
  <c r="L31" i="5"/>
  <c r="S31" i="5"/>
  <c r="M216" i="5"/>
  <c r="L217" i="5"/>
  <c r="S217" i="5"/>
  <c r="T278" i="5"/>
  <c r="L124" i="5"/>
  <c r="S124" i="5"/>
  <c r="O125" i="5"/>
  <c r="T159" i="5"/>
  <c r="T103" i="5"/>
  <c r="T312" i="5"/>
  <c r="P402" i="5"/>
  <c r="I334" i="4"/>
  <c r="C85" i="3" s="1"/>
  <c r="M402" i="5"/>
  <c r="G99" i="3" s="1"/>
  <c r="H99" i="3" s="1"/>
  <c r="I55" i="4"/>
  <c r="M309" i="5"/>
  <c r="R376" i="5"/>
  <c r="O31" i="5"/>
  <c r="J309" i="5"/>
  <c r="L283" i="5"/>
  <c r="S283" i="5"/>
  <c r="R218" i="5"/>
  <c r="R389" i="5"/>
  <c r="J216" i="5"/>
  <c r="E55" i="3" s="1"/>
  <c r="T401" i="5"/>
  <c r="T75" i="5"/>
  <c r="S376" i="5"/>
  <c r="L376" i="5"/>
  <c r="L403" i="5"/>
  <c r="S403" i="5"/>
  <c r="T281" i="5"/>
  <c r="T456" i="5"/>
  <c r="R155" i="5"/>
  <c r="O376" i="5"/>
  <c r="R310" i="5"/>
  <c r="E102" i="2"/>
  <c r="C103" i="3"/>
  <c r="P432" i="5"/>
  <c r="R433" i="5"/>
  <c r="K102" i="3"/>
  <c r="F102" i="3"/>
  <c r="L102" i="3" s="1"/>
  <c r="J151" i="5"/>
  <c r="M151" i="5"/>
  <c r="P151" i="5"/>
  <c r="I151" i="5"/>
  <c r="R144" i="5"/>
  <c r="T222" i="5"/>
  <c r="M416" i="5"/>
  <c r="P416" i="5"/>
  <c r="J416" i="5"/>
  <c r="I416" i="5"/>
  <c r="I415" i="5" s="1"/>
  <c r="J48" i="3"/>
  <c r="P276" i="5"/>
  <c r="M276" i="5"/>
  <c r="J276" i="5"/>
  <c r="I276" i="5"/>
  <c r="I275" i="5" s="1"/>
  <c r="R237" i="5"/>
  <c r="C67" i="3"/>
  <c r="E66" i="2"/>
  <c r="E88" i="2"/>
  <c r="C89" i="3"/>
  <c r="H170" i="5"/>
  <c r="I169" i="4"/>
  <c r="I163" i="4" s="1"/>
  <c r="I246" i="5"/>
  <c r="R434" i="5"/>
  <c r="I241" i="4"/>
  <c r="I60" i="5"/>
  <c r="T53" i="5"/>
  <c r="P145" i="5"/>
  <c r="P143" i="5" s="1"/>
  <c r="M145" i="5"/>
  <c r="J145" i="5"/>
  <c r="I145" i="5"/>
  <c r="I143" i="5" s="1"/>
  <c r="P57" i="5"/>
  <c r="J57" i="5"/>
  <c r="M57" i="5"/>
  <c r="I57" i="5"/>
  <c r="H115" i="5"/>
  <c r="I114" i="4"/>
  <c r="I104" i="4" s="1"/>
  <c r="S423" i="5"/>
  <c r="L423" i="5"/>
  <c r="T406" i="5"/>
  <c r="G87" i="3"/>
  <c r="H87" i="3" s="1"/>
  <c r="O342" i="5"/>
  <c r="S139" i="5"/>
  <c r="L139" i="5"/>
  <c r="T343" i="5"/>
  <c r="O330" i="5"/>
  <c r="I148" i="4"/>
  <c r="T313" i="5"/>
  <c r="R248" i="5"/>
  <c r="S169" i="5"/>
  <c r="L169" i="5"/>
  <c r="C101" i="3"/>
  <c r="E100" i="2"/>
  <c r="T172" i="5"/>
  <c r="M323" i="5"/>
  <c r="J323" i="5"/>
  <c r="P323" i="5"/>
  <c r="I323" i="5"/>
  <c r="I322" i="5" s="1"/>
  <c r="R355" i="5"/>
  <c r="E19" i="2"/>
  <c r="C20" i="3"/>
  <c r="P444" i="5"/>
  <c r="M444" i="5"/>
  <c r="J444" i="5"/>
  <c r="I444" i="5"/>
  <c r="K36" i="3"/>
  <c r="F36" i="3"/>
  <c r="L36" i="3" s="1"/>
  <c r="I427" i="4"/>
  <c r="I262" i="4"/>
  <c r="I256" i="4" s="1"/>
  <c r="H263" i="5"/>
  <c r="E43" i="3"/>
  <c r="L156" i="5"/>
  <c r="S156" i="5"/>
  <c r="S247" i="5"/>
  <c r="J246" i="5"/>
  <c r="L247" i="5"/>
  <c r="O417" i="5"/>
  <c r="S434" i="5"/>
  <c r="L434" i="5"/>
  <c r="J243" i="5"/>
  <c r="M243" i="5"/>
  <c r="P243" i="5"/>
  <c r="I243" i="5"/>
  <c r="E44" i="2"/>
  <c r="C45" i="3"/>
  <c r="M60" i="5"/>
  <c r="O61" i="5"/>
  <c r="J442" i="5"/>
  <c r="M442" i="5"/>
  <c r="P442" i="5"/>
  <c r="I442" i="5"/>
  <c r="I441" i="5" s="1"/>
  <c r="J238" i="5"/>
  <c r="J236" i="5" s="1"/>
  <c r="M238" i="5"/>
  <c r="P238" i="5"/>
  <c r="I238" i="5"/>
  <c r="I236" i="5" s="1"/>
  <c r="I72" i="3"/>
  <c r="J72" i="3" s="1"/>
  <c r="R272" i="5"/>
  <c r="H141" i="5"/>
  <c r="I140" i="4"/>
  <c r="E109" i="3"/>
  <c r="L435" i="5"/>
  <c r="S435" i="5"/>
  <c r="O423" i="5"/>
  <c r="P153" i="5"/>
  <c r="R154" i="5"/>
  <c r="C59" i="3"/>
  <c r="E58" i="2"/>
  <c r="E87" i="3"/>
  <c r="S342" i="5"/>
  <c r="L342" i="5"/>
  <c r="R330" i="5"/>
  <c r="P150" i="5"/>
  <c r="M150" i="5"/>
  <c r="J150" i="5"/>
  <c r="I150" i="5"/>
  <c r="F84" i="3"/>
  <c r="L84" i="3" s="1"/>
  <c r="K84" i="3"/>
  <c r="E56" i="2"/>
  <c r="C57" i="3"/>
  <c r="I339" i="5"/>
  <c r="O169" i="5"/>
  <c r="C51" i="3"/>
  <c r="E50" i="2"/>
  <c r="M331" i="5"/>
  <c r="I331" i="5"/>
  <c r="I329" i="5" s="1"/>
  <c r="P258" i="5"/>
  <c r="M258" i="5"/>
  <c r="J258" i="5"/>
  <c r="I258" i="5"/>
  <c r="M183" i="5"/>
  <c r="J183" i="5"/>
  <c r="P183" i="5"/>
  <c r="I183" i="5"/>
  <c r="I182" i="5" s="1"/>
  <c r="E40" i="3"/>
  <c r="S146" i="5"/>
  <c r="L146" i="5"/>
  <c r="T220" i="5"/>
  <c r="M431" i="5"/>
  <c r="J431" i="5"/>
  <c r="P431" i="5"/>
  <c r="I431" i="5"/>
  <c r="I27" i="15"/>
  <c r="H394" i="5"/>
  <c r="I393" i="4"/>
  <c r="I383" i="4" s="1"/>
  <c r="H26" i="3"/>
  <c r="I106" i="3"/>
  <c r="J106" i="3" s="1"/>
  <c r="R425" i="5"/>
  <c r="T391" i="5"/>
  <c r="O138" i="5"/>
  <c r="R203" i="5"/>
  <c r="L76" i="5"/>
  <c r="S76" i="5"/>
  <c r="E82" i="2"/>
  <c r="C83" i="3"/>
  <c r="K22" i="3"/>
  <c r="F22" i="3"/>
  <c r="L22" i="3" s="1"/>
  <c r="O248" i="5"/>
  <c r="J338" i="5"/>
  <c r="P338" i="5"/>
  <c r="M338" i="5"/>
  <c r="I338" i="5"/>
  <c r="L138" i="5"/>
  <c r="S138" i="5"/>
  <c r="I40" i="3"/>
  <c r="J40" i="3" s="1"/>
  <c r="R146" i="5"/>
  <c r="T94" i="5"/>
  <c r="E63" i="2"/>
  <c r="C64" i="3"/>
  <c r="J256" i="5"/>
  <c r="P256" i="5"/>
  <c r="M256" i="5"/>
  <c r="I256" i="5"/>
  <c r="I255" i="5" s="1"/>
  <c r="E28" i="3"/>
  <c r="J80" i="5"/>
  <c r="P114" i="5"/>
  <c r="M114" i="5"/>
  <c r="J114" i="5"/>
  <c r="I114" i="5"/>
  <c r="H234" i="5"/>
  <c r="I233" i="4"/>
  <c r="L330" i="5"/>
  <c r="S330" i="5"/>
  <c r="O237" i="5"/>
  <c r="L266" i="5"/>
  <c r="S266" i="5"/>
  <c r="I49" i="15"/>
  <c r="J412" i="5"/>
  <c r="M412" i="5"/>
  <c r="P412" i="5"/>
  <c r="I412" i="5"/>
  <c r="I410" i="5" s="1"/>
  <c r="T129" i="5"/>
  <c r="S355" i="5"/>
  <c r="L355" i="5"/>
  <c r="T274" i="5"/>
  <c r="T148" i="5"/>
  <c r="M429" i="5"/>
  <c r="P429" i="5"/>
  <c r="J429" i="5"/>
  <c r="I429" i="5"/>
  <c r="H449" i="5"/>
  <c r="I448" i="4"/>
  <c r="I442" i="4" s="1"/>
  <c r="O247" i="5"/>
  <c r="M246" i="5"/>
  <c r="S110" i="5"/>
  <c r="L110" i="5"/>
  <c r="R417" i="5"/>
  <c r="T73" i="5"/>
  <c r="E117" i="2"/>
  <c r="C118" i="3"/>
  <c r="R262" i="5"/>
  <c r="T288" i="5"/>
  <c r="T363" i="5"/>
  <c r="P163" i="5"/>
  <c r="M163" i="5"/>
  <c r="J163" i="5"/>
  <c r="I163" i="5"/>
  <c r="I162" i="5" s="1"/>
  <c r="T303" i="5"/>
  <c r="P60" i="5"/>
  <c r="R61" i="5"/>
  <c r="F18" i="3"/>
  <c r="L18" i="3" s="1"/>
  <c r="K18" i="3"/>
  <c r="O266" i="5"/>
  <c r="I47" i="4"/>
  <c r="H48" i="5"/>
  <c r="M230" i="5"/>
  <c r="J230" i="5"/>
  <c r="P230" i="5"/>
  <c r="I230" i="5"/>
  <c r="I229" i="5" s="1"/>
  <c r="J226" i="5"/>
  <c r="P226" i="5"/>
  <c r="M226" i="5"/>
  <c r="I226" i="5"/>
  <c r="I224" i="5" s="1"/>
  <c r="P339" i="5"/>
  <c r="R340" i="5"/>
  <c r="I36" i="15"/>
  <c r="M465" i="5"/>
  <c r="I465" i="5"/>
  <c r="I463" i="5" s="1"/>
  <c r="J465" i="5"/>
  <c r="P465" i="5"/>
  <c r="O262" i="5"/>
  <c r="S61" i="5"/>
  <c r="L61" i="5"/>
  <c r="J60" i="5"/>
  <c r="T25" i="5"/>
  <c r="H70" i="3"/>
  <c r="T117" i="5"/>
  <c r="L296" i="5"/>
  <c r="S296" i="5"/>
  <c r="T467" i="5"/>
  <c r="T199" i="5"/>
  <c r="E72" i="3"/>
  <c r="S272" i="5"/>
  <c r="L272" i="5"/>
  <c r="S154" i="5"/>
  <c r="J153" i="5"/>
  <c r="L154" i="5"/>
  <c r="T36" i="5"/>
  <c r="E36" i="2"/>
  <c r="C37" i="3"/>
  <c r="O340" i="5"/>
  <c r="M339" i="5"/>
  <c r="C86" i="3"/>
  <c r="E85" i="2"/>
  <c r="T127" i="5"/>
  <c r="G72" i="3"/>
  <c r="H72" i="3" s="1"/>
  <c r="O272" i="5"/>
  <c r="M207" i="5"/>
  <c r="J207" i="5"/>
  <c r="P207" i="5"/>
  <c r="I207" i="5"/>
  <c r="H356" i="5"/>
  <c r="I355" i="4"/>
  <c r="I349" i="4" s="1"/>
  <c r="E106" i="3"/>
  <c r="L425" i="5"/>
  <c r="S425" i="5"/>
  <c r="R249" i="5"/>
  <c r="I65" i="3"/>
  <c r="J65" i="3" s="1"/>
  <c r="O110" i="5"/>
  <c r="M59" i="5"/>
  <c r="J59" i="5"/>
  <c r="P59" i="5"/>
  <c r="I59" i="5"/>
  <c r="T459" i="5"/>
  <c r="L262" i="5"/>
  <c r="S262" i="5"/>
  <c r="R231" i="5"/>
  <c r="K93" i="3"/>
  <c r="F93" i="3"/>
  <c r="L93" i="3" s="1"/>
  <c r="T265" i="5"/>
  <c r="T181" i="5"/>
  <c r="R296" i="5"/>
  <c r="T438" i="5"/>
  <c r="I21" i="3"/>
  <c r="J21" i="3" s="1"/>
  <c r="R63" i="5"/>
  <c r="I19" i="15"/>
  <c r="I37" i="4"/>
  <c r="I30" i="15"/>
  <c r="T95" i="5"/>
  <c r="L51" i="5"/>
  <c r="S51" i="5"/>
  <c r="O418" i="5"/>
  <c r="T373" i="5"/>
  <c r="G109" i="3"/>
  <c r="H109" i="3" s="1"/>
  <c r="O435" i="5"/>
  <c r="I94" i="3"/>
  <c r="J94" i="3" s="1"/>
  <c r="R365" i="5"/>
  <c r="M137" i="5"/>
  <c r="P137" i="5"/>
  <c r="J137" i="5"/>
  <c r="I137" i="5"/>
  <c r="I136" i="5" s="1"/>
  <c r="C79" i="3"/>
  <c r="E78" i="2"/>
  <c r="I88" i="4"/>
  <c r="I8" i="15"/>
  <c r="S340" i="5"/>
  <c r="L340" i="5"/>
  <c r="J339" i="5"/>
  <c r="E41" i="2"/>
  <c r="C42" i="3"/>
  <c r="C74" i="3"/>
  <c r="E73" i="2"/>
  <c r="P462" i="5"/>
  <c r="M462" i="5"/>
  <c r="J462" i="5"/>
  <c r="I462" i="5"/>
  <c r="I461" i="5" s="1"/>
  <c r="M279" i="5"/>
  <c r="J279" i="5"/>
  <c r="P279" i="5"/>
  <c r="I279" i="5"/>
  <c r="I277" i="5" s="1"/>
  <c r="P336" i="5"/>
  <c r="M336" i="5"/>
  <c r="J336" i="5"/>
  <c r="I336" i="5"/>
  <c r="P393" i="5"/>
  <c r="M393" i="5"/>
  <c r="J393" i="5"/>
  <c r="I393" i="5"/>
  <c r="P372" i="5"/>
  <c r="M372" i="5"/>
  <c r="J372" i="5"/>
  <c r="I372" i="5"/>
  <c r="I370" i="5" s="1"/>
  <c r="L232" i="5"/>
  <c r="S232" i="5"/>
  <c r="G116" i="3"/>
  <c r="O458" i="5"/>
  <c r="M452" i="5"/>
  <c r="O452" i="5" s="1"/>
  <c r="H301" i="5"/>
  <c r="I300" i="4"/>
  <c r="I290" i="4" s="1"/>
  <c r="R139" i="5"/>
  <c r="F44" i="3"/>
  <c r="L44" i="3" s="1"/>
  <c r="K44" i="3"/>
  <c r="E24" i="2"/>
  <c r="C25" i="3"/>
  <c r="O434" i="5"/>
  <c r="T174" i="5"/>
  <c r="J70" i="3"/>
  <c r="M245" i="5"/>
  <c r="J245" i="5"/>
  <c r="P245" i="5"/>
  <c r="I245" i="5"/>
  <c r="O355" i="5"/>
  <c r="O62" i="5"/>
  <c r="R138" i="5"/>
  <c r="G65" i="3"/>
  <c r="H65" i="3" s="1"/>
  <c r="O249" i="5"/>
  <c r="C111" i="3"/>
  <c r="E110" i="2"/>
  <c r="E62" i="3"/>
  <c r="S239" i="5"/>
  <c r="L239" i="5"/>
  <c r="T239" i="5" s="1"/>
  <c r="H420" i="5"/>
  <c r="I419" i="4"/>
  <c r="H48" i="3"/>
  <c r="R423" i="5"/>
  <c r="T273" i="5"/>
  <c r="M153" i="5"/>
  <c r="O154" i="5"/>
  <c r="T352" i="5"/>
  <c r="T167" i="5"/>
  <c r="J58" i="5"/>
  <c r="P58" i="5"/>
  <c r="M58" i="5"/>
  <c r="I58" i="5"/>
  <c r="O179" i="5"/>
  <c r="G50" i="3"/>
  <c r="H50" i="3" s="1"/>
  <c r="G43" i="3"/>
  <c r="H43" i="3" s="1"/>
  <c r="O156" i="5"/>
  <c r="T250" i="5"/>
  <c r="C113" i="3"/>
  <c r="E112" i="2"/>
  <c r="H77" i="5"/>
  <c r="I76" i="4"/>
  <c r="P246" i="5"/>
  <c r="R247" i="5"/>
  <c r="R110" i="5"/>
  <c r="T358" i="5"/>
  <c r="L417" i="5"/>
  <c r="S417" i="5"/>
  <c r="E65" i="3"/>
  <c r="L249" i="5"/>
  <c r="S249" i="5"/>
  <c r="I432" i="5"/>
  <c r="T427" i="5"/>
  <c r="T289" i="5"/>
  <c r="O45" i="5"/>
  <c r="I116" i="3"/>
  <c r="J116" i="3" s="1"/>
  <c r="R458" i="5"/>
  <c r="P452" i="5"/>
  <c r="S231" i="5"/>
  <c r="L231" i="5"/>
  <c r="O296" i="5"/>
  <c r="J40" i="5"/>
  <c r="M40" i="5"/>
  <c r="P40" i="5"/>
  <c r="I40" i="5"/>
  <c r="I38" i="5" s="1"/>
  <c r="M21" i="5"/>
  <c r="P21" i="5"/>
  <c r="J21" i="5"/>
  <c r="I21" i="5"/>
  <c r="T241" i="5"/>
  <c r="O51" i="5"/>
  <c r="L359" i="5"/>
  <c r="R418" i="5"/>
  <c r="T106" i="5"/>
  <c r="T475" i="5"/>
  <c r="I109" i="3"/>
  <c r="J109" i="3" s="1"/>
  <c r="R435" i="5"/>
  <c r="T445" i="5"/>
  <c r="E94" i="3"/>
  <c r="E91" i="3" s="1"/>
  <c r="S365" i="5"/>
  <c r="L365" i="5"/>
  <c r="P319" i="5"/>
  <c r="M319" i="5"/>
  <c r="J319" i="5"/>
  <c r="I319" i="5"/>
  <c r="I317" i="5" s="1"/>
  <c r="P90" i="5"/>
  <c r="M90" i="5"/>
  <c r="J90" i="5"/>
  <c r="I90" i="5"/>
  <c r="I89" i="5" s="1"/>
  <c r="T367" i="5"/>
  <c r="P186" i="5"/>
  <c r="M186" i="5"/>
  <c r="J186" i="5"/>
  <c r="I186" i="5"/>
  <c r="I184" i="5" s="1"/>
  <c r="M152" i="5"/>
  <c r="P152" i="5"/>
  <c r="J152" i="5"/>
  <c r="I152" i="5"/>
  <c r="J244" i="5"/>
  <c r="P244" i="5"/>
  <c r="M244" i="5"/>
  <c r="I244" i="5"/>
  <c r="M44" i="5"/>
  <c r="J44" i="5"/>
  <c r="P44" i="5"/>
  <c r="I44" i="5"/>
  <c r="I43" i="5" s="1"/>
  <c r="J92" i="3"/>
  <c r="E95" i="2"/>
  <c r="C96" i="3"/>
  <c r="L63" i="5"/>
  <c r="S63" i="5"/>
  <c r="E21" i="3"/>
  <c r="T381" i="5"/>
  <c r="S325" i="5"/>
  <c r="L325" i="5"/>
  <c r="M351" i="5"/>
  <c r="P351" i="5"/>
  <c r="J351" i="5"/>
  <c r="I351" i="5"/>
  <c r="T87" i="5"/>
  <c r="J430" i="5"/>
  <c r="M430" i="5"/>
  <c r="P430" i="5"/>
  <c r="I430" i="5"/>
  <c r="I87" i="3"/>
  <c r="J87" i="3" s="1"/>
  <c r="R342" i="5"/>
  <c r="F70" i="3"/>
  <c r="K70" i="3"/>
  <c r="R62" i="5"/>
  <c r="O203" i="5"/>
  <c r="P349" i="5"/>
  <c r="M349" i="5"/>
  <c r="J349" i="5"/>
  <c r="I349" i="5"/>
  <c r="I348" i="5" s="1"/>
  <c r="E18" i="2"/>
  <c r="C19" i="3"/>
  <c r="H208" i="5"/>
  <c r="I207" i="4"/>
  <c r="I197" i="4" s="1"/>
  <c r="G21" i="3"/>
  <c r="H21" i="3" s="1"/>
  <c r="O63" i="5"/>
  <c r="O139" i="5"/>
  <c r="R179" i="5"/>
  <c r="I50" i="3"/>
  <c r="J50" i="3" s="1"/>
  <c r="S248" i="5"/>
  <c r="L248" i="5"/>
  <c r="R169" i="5"/>
  <c r="T92" i="5"/>
  <c r="E80" i="2"/>
  <c r="C81" i="3"/>
  <c r="G106" i="3"/>
  <c r="H106" i="3" s="1"/>
  <c r="O425" i="5"/>
  <c r="C91" i="3"/>
  <c r="E90" i="2"/>
  <c r="T260" i="5"/>
  <c r="T188" i="5"/>
  <c r="S433" i="5"/>
  <c r="L433" i="5"/>
  <c r="J432" i="5"/>
  <c r="C95" i="3"/>
  <c r="E94" i="2"/>
  <c r="P300" i="5"/>
  <c r="J300" i="5"/>
  <c r="M300" i="5"/>
  <c r="I300" i="5"/>
  <c r="T210" i="5"/>
  <c r="S458" i="5"/>
  <c r="E116" i="3"/>
  <c r="L458" i="5"/>
  <c r="M165" i="5"/>
  <c r="J165" i="5"/>
  <c r="P165" i="5"/>
  <c r="I165" i="5"/>
  <c r="T219" i="5"/>
  <c r="T118" i="5"/>
  <c r="I35" i="15"/>
  <c r="I90" i="4"/>
  <c r="T345" i="5"/>
  <c r="K110" i="3"/>
  <c r="F110" i="3"/>
  <c r="L110" i="3" s="1"/>
  <c r="I68" i="4"/>
  <c r="I13" i="15"/>
  <c r="L144" i="5"/>
  <c r="S144" i="5"/>
  <c r="R51" i="5"/>
  <c r="F92" i="3"/>
  <c r="S418" i="5"/>
  <c r="L418" i="5"/>
  <c r="O365" i="5"/>
  <c r="G94" i="3"/>
  <c r="H94" i="3" s="1"/>
  <c r="M337" i="5"/>
  <c r="J337" i="5"/>
  <c r="P337" i="5"/>
  <c r="I337" i="5"/>
  <c r="T298" i="5"/>
  <c r="E34" i="2"/>
  <c r="C35" i="3"/>
  <c r="T366" i="5"/>
  <c r="E51" i="2"/>
  <c r="C52" i="3"/>
  <c r="J52" i="5"/>
  <c r="P52" i="5"/>
  <c r="M52" i="5"/>
  <c r="M50" i="5" s="1"/>
  <c r="I52" i="5"/>
  <c r="I50" i="5" s="1"/>
  <c r="L46" i="5"/>
  <c r="S46" i="5"/>
  <c r="L203" i="5"/>
  <c r="S203" i="5"/>
  <c r="S448" i="5"/>
  <c r="L448" i="5"/>
  <c r="S341" i="5"/>
  <c r="L341" i="5"/>
  <c r="K115" i="3"/>
  <c r="F115" i="3"/>
  <c r="L115" i="3" s="1"/>
  <c r="L155" i="5"/>
  <c r="S155" i="5"/>
  <c r="L389" i="5"/>
  <c r="S389" i="5"/>
  <c r="L62" i="5"/>
  <c r="S62" i="5"/>
  <c r="K48" i="3"/>
  <c r="F48" i="3"/>
  <c r="P72" i="5"/>
  <c r="M72" i="5"/>
  <c r="J72" i="5"/>
  <c r="I72" i="5"/>
  <c r="H327" i="5"/>
  <c r="I326" i="4"/>
  <c r="C73" i="3"/>
  <c r="E72" i="2"/>
  <c r="S237" i="5"/>
  <c r="L237" i="5"/>
  <c r="J424" i="5"/>
  <c r="J422" i="5" s="1"/>
  <c r="P424" i="5"/>
  <c r="P422" i="5" s="1"/>
  <c r="M424" i="5"/>
  <c r="I424" i="5"/>
  <c r="I422" i="5" s="1"/>
  <c r="T396" i="5"/>
  <c r="M432" i="5"/>
  <c r="O433" i="5"/>
  <c r="P369" i="5"/>
  <c r="J369" i="5"/>
  <c r="M369" i="5"/>
  <c r="I369" i="5"/>
  <c r="I368" i="5" s="1"/>
  <c r="L17" i="5"/>
  <c r="S17" i="5"/>
  <c r="G28" i="3"/>
  <c r="H28" i="3" s="1"/>
  <c r="L45" i="5"/>
  <c r="S45" i="5"/>
  <c r="K66" i="3"/>
  <c r="F66" i="3"/>
  <c r="L66" i="3" s="1"/>
  <c r="T64" i="5"/>
  <c r="T413" i="5"/>
  <c r="T79" i="5"/>
  <c r="M93" i="5"/>
  <c r="P93" i="5"/>
  <c r="J93" i="5"/>
  <c r="I93" i="5"/>
  <c r="I91" i="5" s="1"/>
  <c r="F88" i="3"/>
  <c r="L88" i="3" s="1"/>
  <c r="K88" i="3"/>
  <c r="T166" i="5"/>
  <c r="H22" i="5"/>
  <c r="I21" i="4"/>
  <c r="F49" i="3"/>
  <c r="J70" i="5"/>
  <c r="M70" i="5"/>
  <c r="P70" i="5"/>
  <c r="I70" i="5"/>
  <c r="I69" i="5" s="1"/>
  <c r="O144" i="5"/>
  <c r="C117" i="3"/>
  <c r="E116" i="2"/>
  <c r="H285" i="16"/>
  <c r="T374" i="5"/>
  <c r="J133" i="5"/>
  <c r="P133" i="5"/>
  <c r="M133" i="5"/>
  <c r="I133" i="5"/>
  <c r="I131" i="5" s="1"/>
  <c r="I43" i="3"/>
  <c r="J43" i="3" s="1"/>
  <c r="R156" i="5"/>
  <c r="S324" i="5"/>
  <c r="L324" i="5"/>
  <c r="I42" i="4"/>
  <c r="I56" i="15"/>
  <c r="J331" i="5" l="1"/>
  <c r="J329" i="5" s="1"/>
  <c r="L329" i="5" s="1"/>
  <c r="T74" i="5"/>
  <c r="T407" i="5"/>
  <c r="T128" i="5"/>
  <c r="T453" i="5"/>
  <c r="I27" i="16"/>
  <c r="S179" i="5"/>
  <c r="E50" i="3"/>
  <c r="E47" i="3" s="1"/>
  <c r="I65" i="16"/>
  <c r="I217" i="16"/>
  <c r="L179" i="5"/>
  <c r="T179" i="5" s="1"/>
  <c r="R452" i="5"/>
  <c r="T452" i="5" s="1"/>
  <c r="O80" i="5"/>
  <c r="T382" i="5"/>
  <c r="T81" i="5"/>
  <c r="T464" i="5"/>
  <c r="C61" i="3"/>
  <c r="I28" i="3"/>
  <c r="J28" i="3" s="1"/>
  <c r="T252" i="5"/>
  <c r="T371" i="5"/>
  <c r="T360" i="5"/>
  <c r="T102" i="5"/>
  <c r="T112" i="5"/>
  <c r="L402" i="5"/>
  <c r="S86" i="5"/>
  <c r="S173" i="5"/>
  <c r="K49" i="3"/>
  <c r="L49" i="3"/>
  <c r="H92" i="3"/>
  <c r="L92" i="3" s="1"/>
  <c r="I116" i="16"/>
  <c r="T359" i="5"/>
  <c r="E16" i="2"/>
  <c r="L123" i="5"/>
  <c r="R402" i="5"/>
  <c r="T88" i="5"/>
  <c r="O30" i="5"/>
  <c r="S359" i="5"/>
  <c r="R30" i="5"/>
  <c r="O8" i="5"/>
  <c r="G8" i="3"/>
  <c r="H8" i="3" s="1"/>
  <c r="H420" i="4"/>
  <c r="H421" i="5" s="1"/>
  <c r="T9" i="5"/>
  <c r="H327" i="4"/>
  <c r="I327" i="4" s="1"/>
  <c r="I325" i="4" s="1"/>
  <c r="T403" i="5"/>
  <c r="I8" i="3"/>
  <c r="J8" i="3" s="1"/>
  <c r="R8" i="5"/>
  <c r="L8" i="5"/>
  <c r="E8" i="3"/>
  <c r="S8" i="5"/>
  <c r="H234" i="4"/>
  <c r="I234" i="4" s="1"/>
  <c r="I232" i="4" s="1"/>
  <c r="J77" i="3"/>
  <c r="E84" i="2"/>
  <c r="H42" i="15"/>
  <c r="L86" i="5"/>
  <c r="K26" i="3"/>
  <c r="O402" i="5"/>
  <c r="I11" i="3"/>
  <c r="J11" i="3" s="1"/>
  <c r="E38" i="2"/>
  <c r="T379" i="5"/>
  <c r="E104" i="2"/>
  <c r="I48" i="15"/>
  <c r="T472" i="5"/>
  <c r="T189" i="5"/>
  <c r="T282" i="5"/>
  <c r="T193" i="5"/>
  <c r="O152" i="5"/>
  <c r="T31" i="5"/>
  <c r="T100" i="5"/>
  <c r="R86" i="5"/>
  <c r="T32" i="5"/>
  <c r="R80" i="5"/>
  <c r="O86" i="5"/>
  <c r="I131" i="16"/>
  <c r="I92" i="16"/>
  <c r="F11" i="3"/>
  <c r="I10" i="16"/>
  <c r="T286" i="5"/>
  <c r="I194" i="16"/>
  <c r="I243" i="16"/>
  <c r="I37" i="16"/>
  <c r="I82" i="16"/>
  <c r="I255" i="16"/>
  <c r="I86" i="16"/>
  <c r="I85" i="16"/>
  <c r="I142" i="16"/>
  <c r="L216" i="5"/>
  <c r="T190" i="5"/>
  <c r="I191" i="16"/>
  <c r="I229" i="16"/>
  <c r="I13" i="16"/>
  <c r="T46" i="5"/>
  <c r="I66" i="16"/>
  <c r="I150" i="16"/>
  <c r="I247" i="16"/>
  <c r="T311" i="5"/>
  <c r="I39" i="16"/>
  <c r="I213" i="16"/>
  <c r="I48" i="16"/>
  <c r="I69" i="16"/>
  <c r="S30" i="5"/>
  <c r="T41" i="5"/>
  <c r="O238" i="5"/>
  <c r="I232" i="16"/>
  <c r="I30" i="16"/>
  <c r="I266" i="16"/>
  <c r="I196" i="16"/>
  <c r="I78" i="16"/>
  <c r="I91" i="16"/>
  <c r="I76" i="16"/>
  <c r="L30" i="5"/>
  <c r="I94" i="16"/>
  <c r="I7" i="16"/>
  <c r="I257" i="16"/>
  <c r="I89" i="16"/>
  <c r="I80" i="16"/>
  <c r="I97" i="16"/>
  <c r="I208" i="16"/>
  <c r="T448" i="5"/>
  <c r="I272" i="16"/>
  <c r="I74" i="16"/>
  <c r="I119" i="16"/>
  <c r="G25" i="3"/>
  <c r="H25" i="3" s="1"/>
  <c r="H48" i="4"/>
  <c r="H49" i="5" s="1"/>
  <c r="F14" i="3"/>
  <c r="L14" i="3" s="1"/>
  <c r="K14" i="3"/>
  <c r="S123" i="5"/>
  <c r="I121" i="16"/>
  <c r="I41" i="16"/>
  <c r="R238" i="5"/>
  <c r="I248" i="16"/>
  <c r="I118" i="16"/>
  <c r="I188" i="16"/>
  <c r="T458" i="5"/>
  <c r="I69" i="3"/>
  <c r="J69" i="3" s="1"/>
  <c r="T468" i="5"/>
  <c r="I187" i="16"/>
  <c r="I265" i="16"/>
  <c r="I260" i="16"/>
  <c r="I253" i="16"/>
  <c r="I51" i="16"/>
  <c r="I98" i="16"/>
  <c r="I45" i="16"/>
  <c r="I34" i="16"/>
  <c r="I49" i="16"/>
  <c r="I246" i="16"/>
  <c r="I238" i="16"/>
  <c r="I17" i="16"/>
  <c r="I44" i="16"/>
  <c r="I120" i="16"/>
  <c r="I16" i="16"/>
  <c r="I104" i="16"/>
  <c r="I71" i="16"/>
  <c r="I153" i="16"/>
  <c r="I75" i="16"/>
  <c r="I95" i="16"/>
  <c r="I62" i="16"/>
  <c r="I245" i="16"/>
  <c r="I203" i="16"/>
  <c r="I164" i="16"/>
  <c r="I270" i="16"/>
  <c r="I154" i="16"/>
  <c r="I55" i="16"/>
  <c r="I181" i="16"/>
  <c r="I283" i="16"/>
  <c r="T435" i="5"/>
  <c r="T96" i="5"/>
  <c r="I282" i="16"/>
  <c r="I57" i="16"/>
  <c r="I269" i="16"/>
  <c r="I144" i="16"/>
  <c r="I262" i="16"/>
  <c r="I152" i="16"/>
  <c r="I126" i="16"/>
  <c r="I70" i="16"/>
  <c r="I172" i="16"/>
  <c r="I219" i="16"/>
  <c r="I239" i="16"/>
  <c r="I12" i="16"/>
  <c r="I122" i="16"/>
  <c r="I114" i="16"/>
  <c r="I58" i="16"/>
  <c r="I59" i="16"/>
  <c r="I198" i="16"/>
  <c r="I25" i="16"/>
  <c r="I18" i="16"/>
  <c r="I143" i="16"/>
  <c r="I14" i="16"/>
  <c r="I67" i="16"/>
  <c r="I21" i="16"/>
  <c r="T272" i="5"/>
  <c r="R309" i="5"/>
  <c r="I178" i="16"/>
  <c r="I278" i="16"/>
  <c r="I137" i="16"/>
  <c r="I79" i="16"/>
  <c r="L26" i="3"/>
  <c r="I254" i="16"/>
  <c r="I40" i="16"/>
  <c r="I11" i="16"/>
  <c r="I32" i="16"/>
  <c r="I193" i="16"/>
  <c r="I225" i="16"/>
  <c r="I145" i="16"/>
  <c r="I90" i="16"/>
  <c r="I33" i="16"/>
  <c r="T139" i="5"/>
  <c r="I125" i="16"/>
  <c r="T283" i="5"/>
  <c r="I87" i="16"/>
  <c r="I183" i="16"/>
  <c r="I199" i="16"/>
  <c r="I93" i="16"/>
  <c r="I280" i="16"/>
  <c r="I168" i="16"/>
  <c r="I128" i="16"/>
  <c r="I149" i="16"/>
  <c r="I26" i="16"/>
  <c r="T62" i="5"/>
  <c r="I244" i="16"/>
  <c r="I240" i="16"/>
  <c r="I105" i="16"/>
  <c r="I124" i="16"/>
  <c r="I205" i="16"/>
  <c r="I146" i="16"/>
  <c r="I38" i="16"/>
  <c r="I101" i="16"/>
  <c r="I202" i="16"/>
  <c r="I226" i="16"/>
  <c r="I235" i="16"/>
  <c r="T469" i="5"/>
  <c r="I99" i="16"/>
  <c r="I189" i="16"/>
  <c r="I19" i="16"/>
  <c r="I53" i="16"/>
  <c r="I130" i="16"/>
  <c r="T324" i="5"/>
  <c r="I221" i="16"/>
  <c r="I207" i="16"/>
  <c r="I228" i="16"/>
  <c r="I252" i="16"/>
  <c r="I8" i="16"/>
  <c r="I60" i="16"/>
  <c r="I112" i="16"/>
  <c r="I212" i="16"/>
  <c r="I106" i="16"/>
  <c r="I54" i="16"/>
  <c r="I186" i="16"/>
  <c r="I156" i="16"/>
  <c r="I224" i="16"/>
  <c r="I204" i="16"/>
  <c r="I218" i="16"/>
  <c r="I163" i="16"/>
  <c r="I185" i="16"/>
  <c r="I159" i="16"/>
  <c r="I31" i="16"/>
  <c r="I211" i="16"/>
  <c r="I201" i="16"/>
  <c r="I50" i="16"/>
  <c r="I96" i="16"/>
  <c r="I275" i="16"/>
  <c r="I271" i="16"/>
  <c r="I56" i="16"/>
  <c r="I273" i="16"/>
  <c r="I209" i="16"/>
  <c r="I230" i="16"/>
  <c r="I103" i="16"/>
  <c r="I28" i="16"/>
  <c r="I192" i="16"/>
  <c r="I166" i="16"/>
  <c r="I9" i="16"/>
  <c r="I237" i="16"/>
  <c r="I190" i="16"/>
  <c r="I173" i="16"/>
  <c r="I133" i="16"/>
  <c r="I279" i="16"/>
  <c r="I123" i="16"/>
  <c r="I176" i="16"/>
  <c r="I61" i="16"/>
  <c r="I141" i="16"/>
  <c r="I22" i="16"/>
  <c r="I23" i="16"/>
  <c r="I274" i="16"/>
  <c r="I42" i="16"/>
  <c r="I233" i="16"/>
  <c r="I175" i="16"/>
  <c r="I52" i="16"/>
  <c r="I100" i="16"/>
  <c r="I179" i="16"/>
  <c r="I136" i="16"/>
  <c r="I110" i="16"/>
  <c r="I43" i="16"/>
  <c r="I88" i="16"/>
  <c r="I162" i="16"/>
  <c r="I197" i="16"/>
  <c r="I161" i="16"/>
  <c r="I206" i="16"/>
  <c r="I220" i="16"/>
  <c r="T266" i="5"/>
  <c r="I214" i="16"/>
  <c r="I46" i="16"/>
  <c r="T375" i="5"/>
  <c r="I113" i="16"/>
  <c r="I259" i="16"/>
  <c r="I35" i="16"/>
  <c r="I263" i="16"/>
  <c r="I180" i="16"/>
  <c r="I139" i="16"/>
  <c r="I73" i="16"/>
  <c r="I81" i="16"/>
  <c r="I160" i="16"/>
  <c r="I242" i="16"/>
  <c r="I256" i="16"/>
  <c r="I63" i="16"/>
  <c r="I111" i="16"/>
  <c r="I267" i="16"/>
  <c r="I127" i="16"/>
  <c r="I171" i="16"/>
  <c r="I210" i="16"/>
  <c r="I147" i="16"/>
  <c r="I268" i="16"/>
  <c r="I281" i="16"/>
  <c r="I250" i="16"/>
  <c r="I20" i="16"/>
  <c r="I132" i="16"/>
  <c r="I222" i="16"/>
  <c r="I151" i="16"/>
  <c r="I227" i="16"/>
  <c r="I83" i="16"/>
  <c r="I64" i="16"/>
  <c r="I223" i="16"/>
  <c r="I29" i="16"/>
  <c r="I68" i="16"/>
  <c r="I102" i="16"/>
  <c r="I138" i="16"/>
  <c r="I195" i="16"/>
  <c r="I251" i="16"/>
  <c r="I249" i="16"/>
  <c r="I177" i="16"/>
  <c r="I167" i="16"/>
  <c r="I135" i="16"/>
  <c r="I140" i="16"/>
  <c r="I182" i="16"/>
  <c r="I174" i="16"/>
  <c r="I184" i="16"/>
  <c r="I115" i="16"/>
  <c r="I84" i="16"/>
  <c r="I170" i="16"/>
  <c r="I158" i="16"/>
  <c r="I200" i="16"/>
  <c r="I36" i="16"/>
  <c r="R245" i="5"/>
  <c r="T232" i="5"/>
  <c r="I276" i="16"/>
  <c r="I258" i="16"/>
  <c r="I72" i="16"/>
  <c r="I129" i="16"/>
  <c r="I157" i="16"/>
  <c r="I107" i="16"/>
  <c r="I277" i="16"/>
  <c r="I264" i="16"/>
  <c r="I134" i="16"/>
  <c r="I108" i="16"/>
  <c r="I169" i="16"/>
  <c r="I109" i="16"/>
  <c r="I231" i="16"/>
  <c r="I216" i="16"/>
  <c r="I234" i="16"/>
  <c r="I236" i="16"/>
  <c r="I24" i="16"/>
  <c r="I261" i="16"/>
  <c r="I165" i="16"/>
  <c r="I155" i="16"/>
  <c r="I241" i="16"/>
  <c r="I77" i="16"/>
  <c r="I117" i="16"/>
  <c r="I215" i="16"/>
  <c r="I148" i="16"/>
  <c r="I47" i="16"/>
  <c r="I99" i="3"/>
  <c r="J99" i="3" s="1"/>
  <c r="R152" i="5"/>
  <c r="O245" i="5"/>
  <c r="S309" i="5"/>
  <c r="E77" i="3"/>
  <c r="L309" i="5"/>
  <c r="R216" i="5"/>
  <c r="I55" i="3"/>
  <c r="J55" i="3" s="1"/>
  <c r="T418" i="5"/>
  <c r="S402" i="5"/>
  <c r="T389" i="5"/>
  <c r="R431" i="5"/>
  <c r="T169" i="5"/>
  <c r="G91" i="3"/>
  <c r="H91" i="3" s="1"/>
  <c r="T17" i="5"/>
  <c r="T376" i="5"/>
  <c r="S216" i="5"/>
  <c r="T155" i="5"/>
  <c r="O431" i="5"/>
  <c r="T330" i="5"/>
  <c r="G11" i="3"/>
  <c r="H11" i="3" s="1"/>
  <c r="T217" i="5"/>
  <c r="T97" i="5"/>
  <c r="T310" i="5"/>
  <c r="I52" i="15"/>
  <c r="T325" i="5"/>
  <c r="O59" i="5"/>
  <c r="O207" i="5"/>
  <c r="T76" i="5"/>
  <c r="T124" i="5"/>
  <c r="T249" i="5"/>
  <c r="T173" i="5"/>
  <c r="G77" i="3"/>
  <c r="H77" i="3" s="1"/>
  <c r="O309" i="5"/>
  <c r="R52" i="5"/>
  <c r="O393" i="5"/>
  <c r="T433" i="5"/>
  <c r="R393" i="5"/>
  <c r="T51" i="5"/>
  <c r="G69" i="3"/>
  <c r="H69" i="3" s="1"/>
  <c r="I242" i="5"/>
  <c r="G55" i="3"/>
  <c r="H55" i="3" s="1"/>
  <c r="O216" i="5"/>
  <c r="T218" i="5"/>
  <c r="T125" i="5"/>
  <c r="O123" i="5"/>
  <c r="G33" i="3"/>
  <c r="T340" i="5"/>
  <c r="T341" i="5"/>
  <c r="I335" i="5"/>
  <c r="I56" i="5"/>
  <c r="I33" i="3"/>
  <c r="J33" i="3" s="1"/>
  <c r="R123" i="5"/>
  <c r="T404" i="5"/>
  <c r="E111" i="2"/>
  <c r="C112" i="3"/>
  <c r="C68" i="3"/>
  <c r="E67" i="2"/>
  <c r="E45" i="2"/>
  <c r="C46" i="3"/>
  <c r="C98" i="3"/>
  <c r="E97" i="2"/>
  <c r="S165" i="5"/>
  <c r="L165" i="5"/>
  <c r="S44" i="5"/>
  <c r="J43" i="5"/>
  <c r="L44" i="5"/>
  <c r="P89" i="5"/>
  <c r="R90" i="5"/>
  <c r="O137" i="5"/>
  <c r="M136" i="5"/>
  <c r="L70" i="5"/>
  <c r="J69" i="5"/>
  <c r="S70" i="5"/>
  <c r="M77" i="5"/>
  <c r="M71" i="5" s="1"/>
  <c r="P77" i="5"/>
  <c r="P71" i="5" s="1"/>
  <c r="J77" i="5"/>
  <c r="J71" i="5" s="1"/>
  <c r="I77" i="5"/>
  <c r="I71" i="5" s="1"/>
  <c r="E31" i="2"/>
  <c r="C32" i="3"/>
  <c r="E86" i="3"/>
  <c r="S339" i="5"/>
  <c r="L339" i="5"/>
  <c r="O465" i="5"/>
  <c r="M463" i="5"/>
  <c r="O114" i="5"/>
  <c r="O339" i="5"/>
  <c r="G86" i="3"/>
  <c r="H86" i="3" s="1"/>
  <c r="M449" i="5"/>
  <c r="J449" i="5"/>
  <c r="P449" i="5"/>
  <c r="P443" i="5" s="1"/>
  <c r="I449" i="5"/>
  <c r="I443" i="5" s="1"/>
  <c r="M236" i="5"/>
  <c r="R114" i="5"/>
  <c r="R258" i="5"/>
  <c r="F21" i="3"/>
  <c r="L21" i="3" s="1"/>
  <c r="K21" i="3"/>
  <c r="F65" i="3"/>
  <c r="L65" i="3" s="1"/>
  <c r="K65" i="3"/>
  <c r="I105" i="3"/>
  <c r="J105" i="3" s="1"/>
  <c r="R422" i="5"/>
  <c r="K87" i="3"/>
  <c r="F87" i="3"/>
  <c r="L87" i="3" s="1"/>
  <c r="L243" i="5"/>
  <c r="S243" i="5"/>
  <c r="J242" i="5"/>
  <c r="P170" i="5"/>
  <c r="P164" i="5" s="1"/>
  <c r="M170" i="5"/>
  <c r="J170" i="5"/>
  <c r="J164" i="5" s="1"/>
  <c r="I170" i="5"/>
  <c r="I164" i="5" s="1"/>
  <c r="I54" i="15"/>
  <c r="I11" i="4"/>
  <c r="R244" i="5"/>
  <c r="F72" i="3"/>
  <c r="L72" i="3" s="1"/>
  <c r="K72" i="3"/>
  <c r="H328" i="5"/>
  <c r="M69" i="5"/>
  <c r="O70" i="5"/>
  <c r="R300" i="5"/>
  <c r="P301" i="5"/>
  <c r="J301" i="5"/>
  <c r="M301" i="5"/>
  <c r="I301" i="5"/>
  <c r="I291" i="5" s="1"/>
  <c r="L207" i="5"/>
  <c r="S207" i="5"/>
  <c r="S93" i="5"/>
  <c r="L93" i="5"/>
  <c r="J91" i="5"/>
  <c r="S52" i="5"/>
  <c r="L52" i="5"/>
  <c r="O258" i="5"/>
  <c r="K116" i="3"/>
  <c r="F116" i="3"/>
  <c r="E113" i="3"/>
  <c r="P348" i="5"/>
  <c r="R349" i="5"/>
  <c r="T146" i="5"/>
  <c r="M263" i="5"/>
  <c r="M257" i="5" s="1"/>
  <c r="P263" i="5"/>
  <c r="P257" i="5" s="1"/>
  <c r="J263" i="5"/>
  <c r="J257" i="5" s="1"/>
  <c r="I263" i="5"/>
  <c r="I257" i="5" s="1"/>
  <c r="I113" i="3"/>
  <c r="J113" i="3" s="1"/>
  <c r="S60" i="5"/>
  <c r="E20" i="3"/>
  <c r="L60" i="5"/>
  <c r="L429" i="5"/>
  <c r="S429" i="5"/>
  <c r="J428" i="5"/>
  <c r="M141" i="5"/>
  <c r="P141" i="5"/>
  <c r="J141" i="5"/>
  <c r="I141" i="5"/>
  <c r="J22" i="5"/>
  <c r="J12" i="5" s="1"/>
  <c r="P22" i="5"/>
  <c r="M22" i="5"/>
  <c r="M12" i="5" s="1"/>
  <c r="I22" i="5"/>
  <c r="I12" i="5" s="1"/>
  <c r="M368" i="5"/>
  <c r="O369" i="5"/>
  <c r="F91" i="3"/>
  <c r="S430" i="5"/>
  <c r="L430" i="5"/>
  <c r="O412" i="5"/>
  <c r="M410" i="5"/>
  <c r="K40" i="3"/>
  <c r="F40" i="3"/>
  <c r="L40" i="3" s="1"/>
  <c r="L442" i="5"/>
  <c r="J441" i="5"/>
  <c r="S442" i="5"/>
  <c r="O133" i="5"/>
  <c r="M131" i="5"/>
  <c r="R186" i="5"/>
  <c r="P184" i="5"/>
  <c r="R58" i="5"/>
  <c r="G47" i="3"/>
  <c r="H47" i="3" s="1"/>
  <c r="F106" i="3"/>
  <c r="L106" i="3" s="1"/>
  <c r="K106" i="3"/>
  <c r="O230" i="5"/>
  <c r="M229" i="5"/>
  <c r="O163" i="5"/>
  <c r="M162" i="5"/>
  <c r="O338" i="5"/>
  <c r="J322" i="5"/>
  <c r="S323" i="5"/>
  <c r="L323" i="5"/>
  <c r="T423" i="5"/>
  <c r="R145" i="5"/>
  <c r="R424" i="5"/>
  <c r="O72" i="5"/>
  <c r="S337" i="5"/>
  <c r="L337" i="5"/>
  <c r="J208" i="5"/>
  <c r="J198" i="5" s="1"/>
  <c r="P208" i="5"/>
  <c r="M208" i="5"/>
  <c r="I208" i="5"/>
  <c r="I198" i="5" s="1"/>
  <c r="L351" i="5"/>
  <c r="S351" i="5"/>
  <c r="I91" i="3"/>
  <c r="J91" i="3" s="1"/>
  <c r="T231" i="5"/>
  <c r="L58" i="5"/>
  <c r="S58" i="5"/>
  <c r="S372" i="5"/>
  <c r="L372" i="5"/>
  <c r="J370" i="5"/>
  <c r="T262" i="5"/>
  <c r="P48" i="5"/>
  <c r="J48" i="5"/>
  <c r="M48" i="5"/>
  <c r="I48" i="5"/>
  <c r="P162" i="5"/>
  <c r="R163" i="5"/>
  <c r="T110" i="5"/>
  <c r="S452" i="5"/>
  <c r="M255" i="5"/>
  <c r="O256" i="5"/>
  <c r="R338" i="5"/>
  <c r="I70" i="4"/>
  <c r="R183" i="5"/>
  <c r="P182" i="5"/>
  <c r="R331" i="5"/>
  <c r="L150" i="5"/>
  <c r="J149" i="5"/>
  <c r="S150" i="5"/>
  <c r="G20" i="3"/>
  <c r="H20" i="3" s="1"/>
  <c r="O60" i="5"/>
  <c r="M322" i="5"/>
  <c r="O323" i="5"/>
  <c r="C41" i="3"/>
  <c r="E40" i="2"/>
  <c r="L422" i="5"/>
  <c r="E105" i="3"/>
  <c r="O151" i="5"/>
  <c r="L226" i="5"/>
  <c r="S226" i="5"/>
  <c r="J224" i="5"/>
  <c r="O243" i="5"/>
  <c r="M242" i="5"/>
  <c r="P420" i="5"/>
  <c r="M420" i="5"/>
  <c r="J420" i="5"/>
  <c r="I420" i="5"/>
  <c r="I428" i="5"/>
  <c r="R57" i="5"/>
  <c r="P56" i="5"/>
  <c r="O430" i="5"/>
  <c r="R319" i="5"/>
  <c r="P317" i="5"/>
  <c r="R412" i="5"/>
  <c r="P410" i="5"/>
  <c r="M441" i="5"/>
  <c r="O442" i="5"/>
  <c r="I39" i="3"/>
  <c r="J39" i="3" s="1"/>
  <c r="R143" i="5"/>
  <c r="T61" i="5"/>
  <c r="P229" i="5"/>
  <c r="R230" i="5"/>
  <c r="R429" i="5"/>
  <c r="P428" i="5"/>
  <c r="E83" i="3"/>
  <c r="T138" i="5"/>
  <c r="T434" i="5"/>
  <c r="E106" i="2"/>
  <c r="C107" i="3"/>
  <c r="I47" i="3"/>
  <c r="J47" i="3" s="1"/>
  <c r="J368" i="5"/>
  <c r="L369" i="5"/>
  <c r="S369" i="5"/>
  <c r="O186" i="5"/>
  <c r="M184" i="5"/>
  <c r="O50" i="5"/>
  <c r="G17" i="3"/>
  <c r="H17" i="3" s="1"/>
  <c r="C76" i="3"/>
  <c r="E75" i="2"/>
  <c r="F62" i="3"/>
  <c r="L62" i="3" s="1"/>
  <c r="K62" i="3"/>
  <c r="M335" i="5"/>
  <c r="O336" i="5"/>
  <c r="C13" i="3"/>
  <c r="E12" i="2"/>
  <c r="T425" i="5"/>
  <c r="S230" i="5"/>
  <c r="L230" i="5"/>
  <c r="J229" i="5"/>
  <c r="S163" i="5"/>
  <c r="L163" i="5"/>
  <c r="J162" i="5"/>
  <c r="O429" i="5"/>
  <c r="M428" i="5"/>
  <c r="S412" i="5"/>
  <c r="L412" i="5"/>
  <c r="J410" i="5"/>
  <c r="J394" i="5"/>
  <c r="P394" i="5"/>
  <c r="P384" i="5" s="1"/>
  <c r="M394" i="5"/>
  <c r="I394" i="5"/>
  <c r="I384" i="5" s="1"/>
  <c r="S331" i="5"/>
  <c r="L331" i="5"/>
  <c r="P322" i="5"/>
  <c r="R323" i="5"/>
  <c r="O145" i="5"/>
  <c r="R432" i="5"/>
  <c r="I108" i="3"/>
  <c r="J108" i="3" s="1"/>
  <c r="R133" i="5"/>
  <c r="P131" i="5"/>
  <c r="T45" i="5"/>
  <c r="R369" i="5"/>
  <c r="P368" i="5"/>
  <c r="O424" i="5"/>
  <c r="S72" i="5"/>
  <c r="L72" i="5"/>
  <c r="T203" i="5"/>
  <c r="R337" i="5"/>
  <c r="P50" i="5"/>
  <c r="F94" i="3"/>
  <c r="L94" i="3" s="1"/>
  <c r="K94" i="3"/>
  <c r="O40" i="5"/>
  <c r="M38" i="5"/>
  <c r="T417" i="5"/>
  <c r="P335" i="5"/>
  <c r="R336" i="5"/>
  <c r="I149" i="5"/>
  <c r="S133" i="5"/>
  <c r="L133" i="5"/>
  <c r="J131" i="5"/>
  <c r="L40" i="5"/>
  <c r="S40" i="5"/>
  <c r="J38" i="5"/>
  <c r="M143" i="5"/>
  <c r="O432" i="5"/>
  <c r="G108" i="3"/>
  <c r="H108" i="3" s="1"/>
  <c r="L424" i="5"/>
  <c r="S424" i="5"/>
  <c r="R72" i="5"/>
  <c r="O337" i="5"/>
  <c r="R351" i="5"/>
  <c r="O372" i="5"/>
  <c r="M370" i="5"/>
  <c r="R279" i="5"/>
  <c r="P277" i="5"/>
  <c r="P356" i="5"/>
  <c r="J356" i="5"/>
  <c r="J350" i="5" s="1"/>
  <c r="M356" i="5"/>
  <c r="M350" i="5" s="1"/>
  <c r="I356" i="5"/>
  <c r="I350" i="5" s="1"/>
  <c r="R339" i="5"/>
  <c r="I86" i="3"/>
  <c r="J86" i="3" s="1"/>
  <c r="I32" i="15"/>
  <c r="K50" i="3"/>
  <c r="F50" i="3"/>
  <c r="L50" i="3" s="1"/>
  <c r="P255" i="5"/>
  <c r="R256" i="5"/>
  <c r="L338" i="5"/>
  <c r="S338" i="5"/>
  <c r="S183" i="5"/>
  <c r="L183" i="5"/>
  <c r="J182" i="5"/>
  <c r="M149" i="5"/>
  <c r="O150" i="5"/>
  <c r="I42" i="3"/>
  <c r="J42" i="3" s="1"/>
  <c r="R153" i="5"/>
  <c r="T247" i="5"/>
  <c r="P236" i="5"/>
  <c r="S416" i="5"/>
  <c r="J415" i="5"/>
  <c r="L416" i="5"/>
  <c r="S151" i="5"/>
  <c r="L151" i="5"/>
  <c r="S393" i="5"/>
  <c r="L393" i="5"/>
  <c r="L258" i="5"/>
  <c r="S258" i="5"/>
  <c r="R329" i="5"/>
  <c r="I83" i="3"/>
  <c r="J83" i="3" s="1"/>
  <c r="R444" i="5"/>
  <c r="E61" i="3"/>
  <c r="L236" i="5"/>
  <c r="C23" i="3"/>
  <c r="E22" i="2"/>
  <c r="O165" i="5"/>
  <c r="M43" i="5"/>
  <c r="O44" i="5"/>
  <c r="L21" i="5"/>
  <c r="S21" i="5"/>
  <c r="O57" i="5"/>
  <c r="M56" i="5"/>
  <c r="R276" i="5"/>
  <c r="P275" i="5"/>
  <c r="H284" i="16"/>
  <c r="I284" i="16" s="1"/>
  <c r="I285" i="16"/>
  <c r="R93" i="5"/>
  <c r="P91" i="5"/>
  <c r="S319" i="5"/>
  <c r="L319" i="5"/>
  <c r="J317" i="5"/>
  <c r="R21" i="5"/>
  <c r="E53" i="2"/>
  <c r="C54" i="3"/>
  <c r="F43" i="3"/>
  <c r="L43" i="3" s="1"/>
  <c r="K43" i="3"/>
  <c r="O93" i="5"/>
  <c r="M91" i="5"/>
  <c r="F55" i="3"/>
  <c r="R430" i="5"/>
  <c r="O244" i="5"/>
  <c r="O319" i="5"/>
  <c r="M317" i="5"/>
  <c r="M461" i="5"/>
  <c r="O462" i="5"/>
  <c r="P441" i="5"/>
  <c r="R442" i="5"/>
  <c r="H116" i="3"/>
  <c r="G113" i="3"/>
  <c r="H113" i="3" s="1"/>
  <c r="R462" i="5"/>
  <c r="P461" i="5"/>
  <c r="P327" i="5"/>
  <c r="J327" i="5"/>
  <c r="M327" i="5"/>
  <c r="I327" i="5"/>
  <c r="T63" i="5"/>
  <c r="S244" i="5"/>
  <c r="L244" i="5"/>
  <c r="T365" i="5"/>
  <c r="S336" i="5"/>
  <c r="J335" i="5"/>
  <c r="L336" i="5"/>
  <c r="E28" i="2"/>
  <c r="C29" i="3"/>
  <c r="F28" i="3"/>
  <c r="L28" i="3" s="1"/>
  <c r="E25" i="3"/>
  <c r="S145" i="5"/>
  <c r="L145" i="5"/>
  <c r="R40" i="5"/>
  <c r="P38" i="5"/>
  <c r="O58" i="5"/>
  <c r="P234" i="5"/>
  <c r="J234" i="5"/>
  <c r="M234" i="5"/>
  <c r="I234" i="5"/>
  <c r="J255" i="5"/>
  <c r="S256" i="5"/>
  <c r="L256" i="5"/>
  <c r="M182" i="5"/>
  <c r="O183" i="5"/>
  <c r="R150" i="5"/>
  <c r="P149" i="5"/>
  <c r="M422" i="5"/>
  <c r="E64" i="3"/>
  <c r="S246" i="5"/>
  <c r="L246" i="5"/>
  <c r="S444" i="5"/>
  <c r="L444" i="5"/>
  <c r="P415" i="5"/>
  <c r="R416" i="5"/>
  <c r="L59" i="5"/>
  <c r="S59" i="5"/>
  <c r="O226" i="5"/>
  <c r="M224" i="5"/>
  <c r="L114" i="5"/>
  <c r="S114" i="5"/>
  <c r="H142" i="5"/>
  <c r="I141" i="4"/>
  <c r="I139" i="4" s="1"/>
  <c r="M275" i="5"/>
  <c r="O276" i="5"/>
  <c r="S349" i="5"/>
  <c r="J348" i="5"/>
  <c r="L349" i="5"/>
  <c r="G42" i="3"/>
  <c r="H42" i="3" s="1"/>
  <c r="O153" i="5"/>
  <c r="R226" i="5"/>
  <c r="P224" i="5"/>
  <c r="T342" i="5"/>
  <c r="S238" i="5"/>
  <c r="L238" i="5"/>
  <c r="P242" i="5"/>
  <c r="R243" i="5"/>
  <c r="T156" i="5"/>
  <c r="O349" i="5"/>
  <c r="M348" i="5"/>
  <c r="E89" i="2"/>
  <c r="C90" i="3"/>
  <c r="J461" i="5"/>
  <c r="L462" i="5"/>
  <c r="S462" i="5"/>
  <c r="J50" i="5"/>
  <c r="K109" i="3"/>
  <c r="F109" i="3"/>
  <c r="L109" i="3" s="1"/>
  <c r="J56" i="5"/>
  <c r="L57" i="5"/>
  <c r="S57" i="5"/>
  <c r="O21" i="5"/>
  <c r="I20" i="3"/>
  <c r="J20" i="3" s="1"/>
  <c r="R60" i="5"/>
  <c r="L80" i="5"/>
  <c r="S80" i="5"/>
  <c r="L432" i="5"/>
  <c r="S432" i="5"/>
  <c r="E108" i="3"/>
  <c r="F99" i="3"/>
  <c r="L186" i="5"/>
  <c r="S186" i="5"/>
  <c r="J184" i="5"/>
  <c r="O331" i="5"/>
  <c r="R151" i="5"/>
  <c r="E14" i="2"/>
  <c r="C15" i="3"/>
  <c r="L48" i="3"/>
  <c r="T144" i="5"/>
  <c r="E29" i="2"/>
  <c r="C30" i="3"/>
  <c r="O300" i="5"/>
  <c r="T248" i="5"/>
  <c r="E69" i="3"/>
  <c r="O351" i="5"/>
  <c r="L152" i="5"/>
  <c r="S152" i="5"/>
  <c r="S90" i="5"/>
  <c r="L90" i="5"/>
  <c r="J89" i="5"/>
  <c r="R372" i="5"/>
  <c r="P370" i="5"/>
  <c r="L279" i="5"/>
  <c r="S279" i="5"/>
  <c r="J277" i="5"/>
  <c r="J136" i="5"/>
  <c r="S137" i="5"/>
  <c r="L137" i="5"/>
  <c r="T154" i="5"/>
  <c r="R465" i="5"/>
  <c r="P463" i="5"/>
  <c r="O246" i="5"/>
  <c r="G64" i="3"/>
  <c r="H64" i="3" s="1"/>
  <c r="R70" i="5"/>
  <c r="P69" i="5"/>
  <c r="T237" i="5"/>
  <c r="F47" i="3"/>
  <c r="O52" i="5"/>
  <c r="J143" i="5"/>
  <c r="R165" i="5"/>
  <c r="L300" i="5"/>
  <c r="S300" i="5"/>
  <c r="L70" i="3"/>
  <c r="P43" i="5"/>
  <c r="R44" i="5"/>
  <c r="M89" i="5"/>
  <c r="O90" i="5"/>
  <c r="R246" i="5"/>
  <c r="I64" i="3"/>
  <c r="J64" i="3" s="1"/>
  <c r="L245" i="5"/>
  <c r="S245" i="5"/>
  <c r="O279" i="5"/>
  <c r="M277" i="5"/>
  <c r="P136" i="5"/>
  <c r="R137" i="5"/>
  <c r="R59" i="5"/>
  <c r="R207" i="5"/>
  <c r="L153" i="5"/>
  <c r="S153" i="5"/>
  <c r="E42" i="3"/>
  <c r="T296" i="5"/>
  <c r="S465" i="5"/>
  <c r="L465" i="5"/>
  <c r="J463" i="5"/>
  <c r="T355" i="5"/>
  <c r="L431" i="5"/>
  <c r="S431" i="5"/>
  <c r="O444" i="5"/>
  <c r="M329" i="5"/>
  <c r="P115" i="5"/>
  <c r="M115" i="5"/>
  <c r="M105" i="5" s="1"/>
  <c r="J115" i="5"/>
  <c r="J105" i="5" s="1"/>
  <c r="I115" i="5"/>
  <c r="I105" i="5" s="1"/>
  <c r="C63" i="3"/>
  <c r="E62" i="2"/>
  <c r="S276" i="5"/>
  <c r="L276" i="5"/>
  <c r="J275" i="5"/>
  <c r="O416" i="5"/>
  <c r="M415" i="5"/>
  <c r="K28" i="3" l="1"/>
  <c r="T402" i="5"/>
  <c r="I25" i="3"/>
  <c r="J25" i="3" s="1"/>
  <c r="T30" i="5"/>
  <c r="I420" i="4"/>
  <c r="I418" i="4" s="1"/>
  <c r="E103" i="2" s="1"/>
  <c r="T8" i="5"/>
  <c r="H235" i="5"/>
  <c r="P235" i="5" s="1"/>
  <c r="P233" i="5" s="1"/>
  <c r="T80" i="5"/>
  <c r="K8" i="3"/>
  <c r="F8" i="3"/>
  <c r="L8" i="3" s="1"/>
  <c r="K55" i="3"/>
  <c r="T86" i="5"/>
  <c r="L55" i="3"/>
  <c r="I48" i="4"/>
  <c r="I46" i="4" s="1"/>
  <c r="E15" i="2" s="1"/>
  <c r="T123" i="5"/>
  <c r="K99" i="3"/>
  <c r="T319" i="5"/>
  <c r="T216" i="5"/>
  <c r="L99" i="3"/>
  <c r="T238" i="5"/>
  <c r="T309" i="5"/>
  <c r="T300" i="5"/>
  <c r="T337" i="5"/>
  <c r="T258" i="5"/>
  <c r="T393" i="5"/>
  <c r="L116" i="3"/>
  <c r="L11" i="3"/>
  <c r="T152" i="5"/>
  <c r="T245" i="5"/>
  <c r="O208" i="5"/>
  <c r="T114" i="5"/>
  <c r="T243" i="5"/>
  <c r="T338" i="5"/>
  <c r="T40" i="5"/>
  <c r="R301" i="5"/>
  <c r="T59" i="5"/>
  <c r="T430" i="5"/>
  <c r="H33" i="3"/>
  <c r="L33" i="3" s="1"/>
  <c r="K33" i="3"/>
  <c r="O301" i="5"/>
  <c r="T323" i="5"/>
  <c r="T72" i="5"/>
  <c r="T93" i="5"/>
  <c r="K11" i="3"/>
  <c r="T226" i="5"/>
  <c r="T145" i="5"/>
  <c r="M291" i="5"/>
  <c r="G76" i="3" s="1"/>
  <c r="T153" i="5"/>
  <c r="T57" i="5"/>
  <c r="K77" i="3"/>
  <c r="F77" i="3"/>
  <c r="L77" i="3" s="1"/>
  <c r="T431" i="5"/>
  <c r="T432" i="5"/>
  <c r="O394" i="5"/>
  <c r="T412" i="5"/>
  <c r="M384" i="5"/>
  <c r="O384" i="5" s="1"/>
  <c r="K91" i="3"/>
  <c r="E32" i="3"/>
  <c r="L105" i="5"/>
  <c r="G68" i="3"/>
  <c r="H68" i="3" s="1"/>
  <c r="O257" i="5"/>
  <c r="E54" i="3"/>
  <c r="L198" i="5"/>
  <c r="G32" i="3"/>
  <c r="O105" i="5"/>
  <c r="E90" i="3"/>
  <c r="L350" i="5"/>
  <c r="I68" i="3"/>
  <c r="J68" i="3" s="1"/>
  <c r="R257" i="5"/>
  <c r="E37" i="2"/>
  <c r="C38" i="3"/>
  <c r="I129" i="4"/>
  <c r="I112" i="3"/>
  <c r="J112" i="3" s="1"/>
  <c r="R443" i="5"/>
  <c r="G90" i="3"/>
  <c r="H90" i="3" s="1"/>
  <c r="O350" i="5"/>
  <c r="R370" i="5"/>
  <c r="I96" i="3"/>
  <c r="J96" i="3" s="1"/>
  <c r="L224" i="5"/>
  <c r="E57" i="3"/>
  <c r="S224" i="5"/>
  <c r="E46" i="3"/>
  <c r="L164" i="5"/>
  <c r="K86" i="3"/>
  <c r="F86" i="3"/>
  <c r="L86" i="3" s="1"/>
  <c r="I46" i="3"/>
  <c r="J46" i="3" s="1"/>
  <c r="R164" i="5"/>
  <c r="E29" i="3"/>
  <c r="S89" i="5"/>
  <c r="L89" i="5"/>
  <c r="O234" i="5"/>
  <c r="T372" i="5"/>
  <c r="E39" i="3"/>
  <c r="S143" i="5"/>
  <c r="L143" i="5"/>
  <c r="L420" i="5"/>
  <c r="S420" i="5"/>
  <c r="E81" i="3"/>
  <c r="S322" i="5"/>
  <c r="L322" i="5"/>
  <c r="O141" i="5"/>
  <c r="R170" i="5"/>
  <c r="I95" i="3"/>
  <c r="J95" i="3" s="1"/>
  <c r="R368" i="5"/>
  <c r="O420" i="5"/>
  <c r="L441" i="5"/>
  <c r="E111" i="3"/>
  <c r="S441" i="5"/>
  <c r="O449" i="5"/>
  <c r="J142" i="5"/>
  <c r="P142" i="5"/>
  <c r="M142" i="5"/>
  <c r="I142" i="5"/>
  <c r="I140" i="5" s="1"/>
  <c r="I130" i="5" s="1"/>
  <c r="I104" i="5" s="1"/>
  <c r="G30" i="3"/>
  <c r="H30" i="3" s="1"/>
  <c r="O91" i="5"/>
  <c r="R115" i="5"/>
  <c r="I15" i="3"/>
  <c r="J15" i="3" s="1"/>
  <c r="R43" i="5"/>
  <c r="K47" i="3"/>
  <c r="T151" i="5"/>
  <c r="T163" i="5"/>
  <c r="T150" i="5"/>
  <c r="R162" i="5"/>
  <c r="I45" i="3"/>
  <c r="J45" i="3" s="1"/>
  <c r="T429" i="5"/>
  <c r="T186" i="5"/>
  <c r="S327" i="5"/>
  <c r="L327" i="5"/>
  <c r="G117" i="3"/>
  <c r="H117" i="3" s="1"/>
  <c r="O461" i="5"/>
  <c r="T21" i="5"/>
  <c r="G96" i="3"/>
  <c r="H96" i="3" s="1"/>
  <c r="O370" i="5"/>
  <c r="R71" i="5"/>
  <c r="I24" i="3"/>
  <c r="I98" i="3"/>
  <c r="R384" i="5"/>
  <c r="I35" i="3"/>
  <c r="R131" i="5"/>
  <c r="G45" i="3"/>
  <c r="H45" i="3" s="1"/>
  <c r="O162" i="5"/>
  <c r="T60" i="5"/>
  <c r="E9" i="2"/>
  <c r="C10" i="3"/>
  <c r="R77" i="5"/>
  <c r="E15" i="3"/>
  <c r="S43" i="5"/>
  <c r="L43" i="5"/>
  <c r="G61" i="3"/>
  <c r="H61" i="3" s="1"/>
  <c r="O236" i="5"/>
  <c r="I118" i="3"/>
  <c r="J118" i="3" s="1"/>
  <c r="R463" i="5"/>
  <c r="S141" i="5"/>
  <c r="L141" i="5"/>
  <c r="S170" i="5"/>
  <c r="L170" i="5"/>
  <c r="S234" i="5"/>
  <c r="L234" i="5"/>
  <c r="C60" i="3"/>
  <c r="E59" i="2"/>
  <c r="I222" i="4"/>
  <c r="O428" i="5"/>
  <c r="G107" i="3"/>
  <c r="H107" i="3" s="1"/>
  <c r="O184" i="5"/>
  <c r="G52" i="3"/>
  <c r="H52" i="3" s="1"/>
  <c r="I101" i="3"/>
  <c r="R410" i="5"/>
  <c r="L263" i="5"/>
  <c r="S263" i="5"/>
  <c r="E30" i="3"/>
  <c r="S91" i="5"/>
  <c r="L91" i="5"/>
  <c r="P291" i="5"/>
  <c r="O89" i="5"/>
  <c r="G29" i="3"/>
  <c r="H29" i="3" s="1"/>
  <c r="S56" i="5"/>
  <c r="L56" i="5"/>
  <c r="E19" i="3"/>
  <c r="G105" i="3"/>
  <c r="H105" i="3" s="1"/>
  <c r="O422" i="5"/>
  <c r="T422" i="5" s="1"/>
  <c r="T133" i="5"/>
  <c r="R420" i="5"/>
  <c r="I52" i="3"/>
  <c r="J52" i="3" s="1"/>
  <c r="R184" i="5"/>
  <c r="T137" i="5"/>
  <c r="I30" i="3"/>
  <c r="J30" i="3" s="1"/>
  <c r="R91" i="5"/>
  <c r="O329" i="5"/>
  <c r="T329" i="5" s="1"/>
  <c r="G83" i="3"/>
  <c r="H83" i="3" s="1"/>
  <c r="L47" i="3"/>
  <c r="L275" i="5"/>
  <c r="S275" i="5"/>
  <c r="E73" i="3"/>
  <c r="G10" i="3"/>
  <c r="O12" i="5"/>
  <c r="I103" i="3"/>
  <c r="J103" i="3" s="1"/>
  <c r="R415" i="5"/>
  <c r="R38" i="5"/>
  <c r="I13" i="3"/>
  <c r="R327" i="5"/>
  <c r="T416" i="5"/>
  <c r="E51" i="3"/>
  <c r="L182" i="5"/>
  <c r="S182" i="5"/>
  <c r="I17" i="3"/>
  <c r="J17" i="3" s="1"/>
  <c r="R50" i="5"/>
  <c r="E59" i="3"/>
  <c r="S229" i="5"/>
  <c r="L229" i="5"/>
  <c r="F83" i="3"/>
  <c r="S422" i="5"/>
  <c r="R182" i="5"/>
  <c r="I51" i="3"/>
  <c r="J51" i="3" s="1"/>
  <c r="O48" i="5"/>
  <c r="G24" i="3"/>
  <c r="O71" i="5"/>
  <c r="G101" i="3"/>
  <c r="O410" i="5"/>
  <c r="K20" i="3"/>
  <c r="F20" i="3"/>
  <c r="L20" i="3" s="1"/>
  <c r="O69" i="5"/>
  <c r="G23" i="3"/>
  <c r="H23" i="3" s="1"/>
  <c r="O77" i="5"/>
  <c r="P49" i="5"/>
  <c r="P47" i="5" s="1"/>
  <c r="M49" i="5"/>
  <c r="M47" i="5" s="1"/>
  <c r="J49" i="5"/>
  <c r="J47" i="5" s="1"/>
  <c r="I49" i="5"/>
  <c r="I47" i="5" s="1"/>
  <c r="I37" i="5" s="1"/>
  <c r="I11" i="5" s="1"/>
  <c r="T246" i="5"/>
  <c r="K108" i="3"/>
  <c r="F108" i="3"/>
  <c r="L108" i="3" s="1"/>
  <c r="G67" i="3"/>
  <c r="H67" i="3" s="1"/>
  <c r="O255" i="5"/>
  <c r="R208" i="5"/>
  <c r="P198" i="5"/>
  <c r="S301" i="5"/>
  <c r="L301" i="5"/>
  <c r="O136" i="5"/>
  <c r="G37" i="3"/>
  <c r="H37" i="3" s="1"/>
  <c r="F64" i="3"/>
  <c r="L64" i="3" s="1"/>
  <c r="K64" i="3"/>
  <c r="T244" i="5"/>
  <c r="E68" i="3"/>
  <c r="L257" i="5"/>
  <c r="S257" i="5"/>
  <c r="L356" i="5"/>
  <c r="S356" i="5"/>
  <c r="E24" i="3"/>
  <c r="S71" i="5"/>
  <c r="L71" i="5"/>
  <c r="L91" i="3"/>
  <c r="T90" i="5"/>
  <c r="F25" i="3"/>
  <c r="L25" i="3" s="1"/>
  <c r="L317" i="5"/>
  <c r="E79" i="3"/>
  <c r="S317" i="5"/>
  <c r="I81" i="3"/>
  <c r="J81" i="3" s="1"/>
  <c r="R322" i="5"/>
  <c r="S115" i="5"/>
  <c r="L115" i="5"/>
  <c r="G89" i="3"/>
  <c r="H89" i="3" s="1"/>
  <c r="O348" i="5"/>
  <c r="R234" i="5"/>
  <c r="I111" i="3"/>
  <c r="J111" i="3" s="1"/>
  <c r="R441" i="5"/>
  <c r="E35" i="3"/>
  <c r="L131" i="5"/>
  <c r="S131" i="5"/>
  <c r="R263" i="5"/>
  <c r="F61" i="3"/>
  <c r="G85" i="3"/>
  <c r="H85" i="3" s="1"/>
  <c r="O335" i="5"/>
  <c r="G95" i="3"/>
  <c r="H95" i="3" s="1"/>
  <c r="O368" i="5"/>
  <c r="E81" i="2"/>
  <c r="C82" i="3"/>
  <c r="I315" i="4"/>
  <c r="T44" i="5"/>
  <c r="E118" i="3"/>
  <c r="S463" i="5"/>
  <c r="L463" i="5"/>
  <c r="T276" i="5"/>
  <c r="M443" i="5"/>
  <c r="T465" i="5"/>
  <c r="R69" i="5"/>
  <c r="I23" i="3"/>
  <c r="J23" i="3" s="1"/>
  <c r="E74" i="3"/>
  <c r="S277" i="5"/>
  <c r="L277" i="5"/>
  <c r="K69" i="3"/>
  <c r="F69" i="3"/>
  <c r="L69" i="3" s="1"/>
  <c r="L50" i="5"/>
  <c r="E17" i="3"/>
  <c r="S50" i="5"/>
  <c r="T444" i="5"/>
  <c r="G51" i="3"/>
  <c r="H51" i="3" s="1"/>
  <c r="O182" i="5"/>
  <c r="T336" i="5"/>
  <c r="G15" i="3"/>
  <c r="H15" i="3" s="1"/>
  <c r="O43" i="5"/>
  <c r="E103" i="3"/>
  <c r="S415" i="5"/>
  <c r="L415" i="5"/>
  <c r="T183" i="5"/>
  <c r="T424" i="5"/>
  <c r="R394" i="5"/>
  <c r="T230" i="5"/>
  <c r="T369" i="5"/>
  <c r="S329" i="5"/>
  <c r="G111" i="3"/>
  <c r="H111" i="3" s="1"/>
  <c r="O441" i="5"/>
  <c r="R56" i="5"/>
  <c r="I19" i="3"/>
  <c r="J19" i="3" s="1"/>
  <c r="G63" i="3"/>
  <c r="H63" i="3" s="1"/>
  <c r="O242" i="5"/>
  <c r="L48" i="5"/>
  <c r="S48" i="5"/>
  <c r="G59" i="3"/>
  <c r="H59" i="3" s="1"/>
  <c r="O229" i="5"/>
  <c r="O22" i="5"/>
  <c r="G118" i="3"/>
  <c r="H118" i="3" s="1"/>
  <c r="O463" i="5"/>
  <c r="F42" i="3"/>
  <c r="L42" i="3" s="1"/>
  <c r="K42" i="3"/>
  <c r="L461" i="5"/>
  <c r="S461" i="5"/>
  <c r="E117" i="3"/>
  <c r="E67" i="3"/>
  <c r="S255" i="5"/>
  <c r="L255" i="5"/>
  <c r="L410" i="5"/>
  <c r="E101" i="3"/>
  <c r="S410" i="5"/>
  <c r="G81" i="3"/>
  <c r="H81" i="3" s="1"/>
  <c r="O322" i="5"/>
  <c r="M421" i="5"/>
  <c r="M419" i="5" s="1"/>
  <c r="M409" i="5" s="1"/>
  <c r="P421" i="5"/>
  <c r="P419" i="5" s="1"/>
  <c r="P409" i="5" s="1"/>
  <c r="J421" i="5"/>
  <c r="J419" i="5" s="1"/>
  <c r="J409" i="5" s="1"/>
  <c r="I421" i="5"/>
  <c r="I67" i="3"/>
  <c r="J67" i="3" s="1"/>
  <c r="R255" i="5"/>
  <c r="O38" i="5"/>
  <c r="G13" i="3"/>
  <c r="I59" i="3"/>
  <c r="J59" i="3" s="1"/>
  <c r="R229" i="5"/>
  <c r="L208" i="5"/>
  <c r="S208" i="5"/>
  <c r="R356" i="5"/>
  <c r="L449" i="5"/>
  <c r="S449" i="5"/>
  <c r="R224" i="5"/>
  <c r="I57" i="3"/>
  <c r="E10" i="3"/>
  <c r="L12" i="5"/>
  <c r="T331" i="5"/>
  <c r="S149" i="5"/>
  <c r="E41" i="3"/>
  <c r="L149" i="5"/>
  <c r="T442" i="5"/>
  <c r="O263" i="5"/>
  <c r="F105" i="3"/>
  <c r="S77" i="5"/>
  <c r="L77" i="5"/>
  <c r="G74" i="3"/>
  <c r="H74" i="3" s="1"/>
  <c r="O277" i="5"/>
  <c r="E37" i="3"/>
  <c r="L136" i="5"/>
  <c r="S136" i="5"/>
  <c r="J291" i="5"/>
  <c r="T349" i="5"/>
  <c r="O224" i="5"/>
  <c r="G57" i="3"/>
  <c r="T256" i="5"/>
  <c r="E85" i="3"/>
  <c r="S335" i="5"/>
  <c r="L335" i="5"/>
  <c r="I117" i="3"/>
  <c r="J117" i="3" s="1"/>
  <c r="R461" i="5"/>
  <c r="O317" i="5"/>
  <c r="G79" i="3"/>
  <c r="I73" i="3"/>
  <c r="J73" i="3" s="1"/>
  <c r="R275" i="5"/>
  <c r="P350" i="5"/>
  <c r="S350" i="5" s="1"/>
  <c r="R335" i="5"/>
  <c r="I85" i="3"/>
  <c r="J85" i="3" s="1"/>
  <c r="L394" i="5"/>
  <c r="S394" i="5"/>
  <c r="L368" i="5"/>
  <c r="S368" i="5"/>
  <c r="E95" i="3"/>
  <c r="E23" i="2"/>
  <c r="C24" i="3"/>
  <c r="R48" i="5"/>
  <c r="T351" i="5"/>
  <c r="R22" i="5"/>
  <c r="P12" i="5"/>
  <c r="S12" i="5" s="1"/>
  <c r="R348" i="5"/>
  <c r="I89" i="3"/>
  <c r="J89" i="3" s="1"/>
  <c r="T207" i="5"/>
  <c r="J328" i="5"/>
  <c r="J326" i="5" s="1"/>
  <c r="J316" i="5" s="1"/>
  <c r="P328" i="5"/>
  <c r="M328" i="5"/>
  <c r="I328" i="5"/>
  <c r="I326" i="5" s="1"/>
  <c r="I316" i="5" s="1"/>
  <c r="I290" i="5" s="1"/>
  <c r="P105" i="5"/>
  <c r="S69" i="5"/>
  <c r="L69" i="5"/>
  <c r="E23" i="3"/>
  <c r="T165" i="5"/>
  <c r="J384" i="5"/>
  <c r="G39" i="3"/>
  <c r="H39" i="3" s="1"/>
  <c r="O143" i="5"/>
  <c r="O356" i="5"/>
  <c r="E13" i="3"/>
  <c r="S38" i="5"/>
  <c r="L38" i="5"/>
  <c r="E96" i="3"/>
  <c r="L370" i="5"/>
  <c r="S370" i="5"/>
  <c r="G35" i="3"/>
  <c r="O131" i="5"/>
  <c r="G19" i="3"/>
  <c r="H19" i="3" s="1"/>
  <c r="O56" i="5"/>
  <c r="I419" i="5"/>
  <c r="I409" i="5" s="1"/>
  <c r="I383" i="5" s="1"/>
  <c r="R141" i="5"/>
  <c r="O170" i="5"/>
  <c r="R449" i="5"/>
  <c r="O275" i="5"/>
  <c r="G73" i="3"/>
  <c r="H73" i="3" s="1"/>
  <c r="S428" i="5"/>
  <c r="E107" i="3"/>
  <c r="L428" i="5"/>
  <c r="S242" i="5"/>
  <c r="L242" i="5"/>
  <c r="E63" i="3"/>
  <c r="O115" i="5"/>
  <c r="E52" i="3"/>
  <c r="S184" i="5"/>
  <c r="L184" i="5"/>
  <c r="R149" i="5"/>
  <c r="I41" i="3"/>
  <c r="J41" i="3" s="1"/>
  <c r="S236" i="5"/>
  <c r="I74" i="3"/>
  <c r="J74" i="3" s="1"/>
  <c r="R277" i="5"/>
  <c r="S162" i="5"/>
  <c r="E45" i="3"/>
  <c r="L162" i="5"/>
  <c r="I79" i="3"/>
  <c r="R317" i="5"/>
  <c r="T58" i="5"/>
  <c r="I29" i="3"/>
  <c r="J29" i="3" s="1"/>
  <c r="R89" i="5"/>
  <c r="G103" i="3"/>
  <c r="H103" i="3" s="1"/>
  <c r="O415" i="5"/>
  <c r="I37" i="3"/>
  <c r="J37" i="3" s="1"/>
  <c r="R136" i="5"/>
  <c r="O327" i="5"/>
  <c r="G41" i="3"/>
  <c r="H41" i="3" s="1"/>
  <c r="O149" i="5"/>
  <c r="T279" i="5"/>
  <c r="T462" i="5"/>
  <c r="R242" i="5"/>
  <c r="I63" i="3"/>
  <c r="J63" i="3" s="1"/>
  <c r="E89" i="3"/>
  <c r="S348" i="5"/>
  <c r="L348" i="5"/>
  <c r="J443" i="5"/>
  <c r="M164" i="5"/>
  <c r="R236" i="5"/>
  <c r="I61" i="3"/>
  <c r="J61" i="3" s="1"/>
  <c r="M198" i="5"/>
  <c r="R428" i="5"/>
  <c r="I107" i="3"/>
  <c r="J107" i="3" s="1"/>
  <c r="S22" i="5"/>
  <c r="L22" i="5"/>
  <c r="K113" i="3"/>
  <c r="F113" i="3"/>
  <c r="L113" i="3" s="1"/>
  <c r="T52" i="5"/>
  <c r="T339" i="5"/>
  <c r="T70" i="5"/>
  <c r="K25" i="3" l="1"/>
  <c r="I408" i="4"/>
  <c r="C100" i="3" s="1"/>
  <c r="M235" i="5"/>
  <c r="M233" i="5" s="1"/>
  <c r="M223" i="5" s="1"/>
  <c r="J235" i="5"/>
  <c r="J233" i="5" s="1"/>
  <c r="E60" i="3" s="1"/>
  <c r="I235" i="5"/>
  <c r="I233" i="5" s="1"/>
  <c r="I223" i="5" s="1"/>
  <c r="I197" i="5" s="1"/>
  <c r="I476" i="5" s="1"/>
  <c r="C104" i="3"/>
  <c r="I42" i="15"/>
  <c r="I75" i="15" s="1"/>
  <c r="I36" i="4"/>
  <c r="I10" i="4" s="1"/>
  <c r="C9" i="3" s="1"/>
  <c r="C16" i="3"/>
  <c r="T48" i="5"/>
  <c r="T77" i="5"/>
  <c r="T415" i="5"/>
  <c r="S198" i="5"/>
  <c r="O291" i="5"/>
  <c r="O409" i="5"/>
  <c r="T368" i="5"/>
  <c r="T143" i="5"/>
  <c r="T234" i="5"/>
  <c r="J24" i="3"/>
  <c r="O328" i="5"/>
  <c r="R328" i="5"/>
  <c r="T301" i="5"/>
  <c r="H24" i="3"/>
  <c r="T275" i="5"/>
  <c r="T236" i="5"/>
  <c r="T50" i="5"/>
  <c r="T170" i="5"/>
  <c r="G98" i="3"/>
  <c r="H98" i="3" s="1"/>
  <c r="T449" i="5"/>
  <c r="O421" i="5"/>
  <c r="T356" i="5"/>
  <c r="T69" i="5"/>
  <c r="T263" i="5"/>
  <c r="T229" i="5"/>
  <c r="R421" i="5"/>
  <c r="T428" i="5"/>
  <c r="T22" i="5"/>
  <c r="T38" i="5"/>
  <c r="R409" i="5"/>
  <c r="P383" i="5"/>
  <c r="R383" i="5" s="1"/>
  <c r="O47" i="5"/>
  <c r="G16" i="3"/>
  <c r="M37" i="5"/>
  <c r="I16" i="3"/>
  <c r="R47" i="5"/>
  <c r="P37" i="5"/>
  <c r="R37" i="5" s="1"/>
  <c r="F37" i="3"/>
  <c r="L37" i="3" s="1"/>
  <c r="K37" i="3"/>
  <c r="F107" i="3"/>
  <c r="L107" i="3" s="1"/>
  <c r="K107" i="3"/>
  <c r="E98" i="3"/>
  <c r="L384" i="5"/>
  <c r="T384" i="5" s="1"/>
  <c r="S384" i="5"/>
  <c r="J383" i="5"/>
  <c r="E16" i="3"/>
  <c r="E12" i="3" s="1"/>
  <c r="E9" i="3" s="1"/>
  <c r="S47" i="5"/>
  <c r="L47" i="5"/>
  <c r="O443" i="5"/>
  <c r="G112" i="3"/>
  <c r="H112" i="3" s="1"/>
  <c r="G104" i="3"/>
  <c r="O419" i="5"/>
  <c r="L419" i="5"/>
  <c r="E104" i="3"/>
  <c r="E100" i="3" s="1"/>
  <c r="S419" i="5"/>
  <c r="E99" i="2"/>
  <c r="F59" i="3"/>
  <c r="L59" i="3" s="1"/>
  <c r="K59" i="3"/>
  <c r="T56" i="5"/>
  <c r="T327" i="5"/>
  <c r="O142" i="5"/>
  <c r="T463" i="5"/>
  <c r="L61" i="3"/>
  <c r="I60" i="3"/>
  <c r="J60" i="3" s="1"/>
  <c r="L316" i="5"/>
  <c r="T394" i="5"/>
  <c r="T255" i="5"/>
  <c r="S142" i="5"/>
  <c r="L142" i="5"/>
  <c r="L443" i="5"/>
  <c r="S443" i="5"/>
  <c r="E112" i="3"/>
  <c r="F52" i="3"/>
  <c r="L52" i="3" s="1"/>
  <c r="K52" i="3"/>
  <c r="I32" i="3"/>
  <c r="K32" i="3" s="1"/>
  <c r="R105" i="5"/>
  <c r="T105" i="5" s="1"/>
  <c r="T335" i="5"/>
  <c r="K105" i="3"/>
  <c r="T141" i="5"/>
  <c r="K29" i="3"/>
  <c r="F29" i="3"/>
  <c r="L29" i="3" s="1"/>
  <c r="T348" i="5"/>
  <c r="M326" i="5"/>
  <c r="J79" i="3"/>
  <c r="L105" i="3"/>
  <c r="T208" i="5"/>
  <c r="K67" i="3"/>
  <c r="F67" i="3"/>
  <c r="L67" i="3" s="1"/>
  <c r="T277" i="5"/>
  <c r="I76" i="3"/>
  <c r="R291" i="5"/>
  <c r="J140" i="5"/>
  <c r="M140" i="5"/>
  <c r="F39" i="3"/>
  <c r="L39" i="3" s="1"/>
  <c r="K39" i="3"/>
  <c r="F90" i="3"/>
  <c r="S105" i="5"/>
  <c r="K17" i="3"/>
  <c r="F17" i="3"/>
  <c r="L17" i="3" s="1"/>
  <c r="J37" i="5"/>
  <c r="T420" i="5"/>
  <c r="J98" i="3"/>
  <c r="F118" i="3"/>
  <c r="L118" i="3" s="1"/>
  <c r="K118" i="3"/>
  <c r="T162" i="5"/>
  <c r="T370" i="5"/>
  <c r="I90" i="3"/>
  <c r="J90" i="3" s="1"/>
  <c r="R350" i="5"/>
  <c r="T350" i="5" s="1"/>
  <c r="K85" i="3"/>
  <c r="F85" i="3"/>
  <c r="L85" i="3" s="1"/>
  <c r="J57" i="3"/>
  <c r="S421" i="5"/>
  <c r="L421" i="5"/>
  <c r="K117" i="3"/>
  <c r="F117" i="3"/>
  <c r="L117" i="3" s="1"/>
  <c r="E77" i="2"/>
  <c r="C78" i="3"/>
  <c r="I289" i="4"/>
  <c r="T115" i="5"/>
  <c r="T182" i="5"/>
  <c r="H10" i="3"/>
  <c r="T91" i="5"/>
  <c r="C56" i="3"/>
  <c r="E55" i="2"/>
  <c r="I196" i="4"/>
  <c r="T43" i="5"/>
  <c r="K111" i="3"/>
  <c r="F111" i="3"/>
  <c r="L111" i="3" s="1"/>
  <c r="H57" i="3"/>
  <c r="S409" i="5"/>
  <c r="L409" i="5"/>
  <c r="F79" i="3"/>
  <c r="K79" i="3"/>
  <c r="I54" i="3"/>
  <c r="R198" i="5"/>
  <c r="S49" i="5"/>
  <c r="L49" i="5"/>
  <c r="J13" i="3"/>
  <c r="I104" i="3"/>
  <c r="R419" i="5"/>
  <c r="K19" i="3"/>
  <c r="F19" i="3"/>
  <c r="L19" i="3" s="1"/>
  <c r="F54" i="3"/>
  <c r="K23" i="3"/>
  <c r="F23" i="3"/>
  <c r="L23" i="3" s="1"/>
  <c r="T410" i="5"/>
  <c r="G54" i="3"/>
  <c r="O198" i="5"/>
  <c r="F96" i="3"/>
  <c r="L96" i="3" s="1"/>
  <c r="K96" i="3"/>
  <c r="P223" i="5"/>
  <c r="F74" i="3"/>
  <c r="L74" i="3" s="1"/>
  <c r="K74" i="3"/>
  <c r="T131" i="5"/>
  <c r="T71" i="5"/>
  <c r="F51" i="3"/>
  <c r="L51" i="3" s="1"/>
  <c r="K51" i="3"/>
  <c r="T441" i="5"/>
  <c r="T322" i="5"/>
  <c r="E33" i="2"/>
  <c r="C34" i="3"/>
  <c r="I103" i="4"/>
  <c r="O164" i="5"/>
  <c r="T164" i="5" s="1"/>
  <c r="G46" i="3"/>
  <c r="H46" i="3" s="1"/>
  <c r="I10" i="3"/>
  <c r="K10" i="3" s="1"/>
  <c r="R12" i="5"/>
  <c r="T12" i="5" s="1"/>
  <c r="H101" i="3"/>
  <c r="J35" i="3"/>
  <c r="T184" i="5"/>
  <c r="L326" i="5"/>
  <c r="E82" i="3"/>
  <c r="R142" i="5"/>
  <c r="T89" i="5"/>
  <c r="S164" i="5"/>
  <c r="K61" i="3"/>
  <c r="H35" i="3"/>
  <c r="K89" i="3"/>
  <c r="F89" i="3"/>
  <c r="L89" i="3" s="1"/>
  <c r="F63" i="3"/>
  <c r="L63" i="3" s="1"/>
  <c r="K63" i="3"/>
  <c r="T242" i="5"/>
  <c r="P140" i="5"/>
  <c r="S328" i="5"/>
  <c r="L328" i="5"/>
  <c r="T149" i="5"/>
  <c r="T461" i="5"/>
  <c r="H76" i="3"/>
  <c r="L83" i="3"/>
  <c r="K30" i="3"/>
  <c r="F30" i="3"/>
  <c r="L30" i="3" s="1"/>
  <c r="K15" i="3"/>
  <c r="F15" i="3"/>
  <c r="L15" i="3" s="1"/>
  <c r="K57" i="3"/>
  <c r="F57" i="3"/>
  <c r="H32" i="3"/>
  <c r="F32" i="3"/>
  <c r="H79" i="3"/>
  <c r="K13" i="3"/>
  <c r="F13" i="3"/>
  <c r="J101" i="3"/>
  <c r="K101" i="3"/>
  <c r="F101" i="3"/>
  <c r="T317" i="5"/>
  <c r="T257" i="5"/>
  <c r="O49" i="5"/>
  <c r="K68" i="3"/>
  <c r="F68" i="3"/>
  <c r="L68" i="3" s="1"/>
  <c r="R49" i="5"/>
  <c r="E76" i="3"/>
  <c r="S291" i="5"/>
  <c r="J290" i="5"/>
  <c r="L291" i="5"/>
  <c r="F10" i="3"/>
  <c r="F46" i="3"/>
  <c r="K103" i="3"/>
  <c r="F103" i="3"/>
  <c r="L103" i="3" s="1"/>
  <c r="K45" i="3"/>
  <c r="F45" i="3"/>
  <c r="L45" i="3" s="1"/>
  <c r="K95" i="3"/>
  <c r="F95" i="3"/>
  <c r="L95" i="3" s="1"/>
  <c r="T136" i="5"/>
  <c r="F41" i="3"/>
  <c r="L41" i="3" s="1"/>
  <c r="K41" i="3"/>
  <c r="H13" i="3"/>
  <c r="F35" i="3"/>
  <c r="K35" i="3"/>
  <c r="K24" i="3"/>
  <c r="F24" i="3"/>
  <c r="K83" i="3"/>
  <c r="P326" i="5"/>
  <c r="F73" i="3"/>
  <c r="L73" i="3" s="1"/>
  <c r="K73" i="3"/>
  <c r="M383" i="5"/>
  <c r="O383" i="5" s="1"/>
  <c r="K81" i="3"/>
  <c r="F81" i="3"/>
  <c r="L81" i="3" s="1"/>
  <c r="T224" i="5"/>
  <c r="J223" i="5" l="1"/>
  <c r="S223" i="5" s="1"/>
  <c r="U223" i="5" s="1"/>
  <c r="O223" i="5"/>
  <c r="G60" i="3"/>
  <c r="H60" i="3" s="1"/>
  <c r="R233" i="5"/>
  <c r="I382" i="4"/>
  <c r="E96" i="2" s="1"/>
  <c r="E8" i="2"/>
  <c r="H16" i="3"/>
  <c r="S235" i="5"/>
  <c r="U235" i="5" s="1"/>
  <c r="E11" i="2"/>
  <c r="C12" i="3"/>
  <c r="R223" i="5"/>
  <c r="J104" i="3"/>
  <c r="R235" i="5"/>
  <c r="O233" i="5"/>
  <c r="L235" i="5"/>
  <c r="H104" i="3"/>
  <c r="S233" i="5"/>
  <c r="U233" i="5" s="1"/>
  <c r="L233" i="5"/>
  <c r="O235" i="5"/>
  <c r="U388" i="5"/>
  <c r="I479" i="5"/>
  <c r="J16" i="3"/>
  <c r="T198" i="5"/>
  <c r="L24" i="3"/>
  <c r="G12" i="3"/>
  <c r="T328" i="5"/>
  <c r="I56" i="3"/>
  <c r="J56" i="3" s="1"/>
  <c r="U339" i="5"/>
  <c r="U264" i="5"/>
  <c r="U229" i="5"/>
  <c r="U25" i="5"/>
  <c r="U333" i="5"/>
  <c r="U149" i="5"/>
  <c r="U204" i="5"/>
  <c r="U360" i="5"/>
  <c r="U242" i="5"/>
  <c r="U394" i="5"/>
  <c r="U236" i="5"/>
  <c r="U444" i="5"/>
  <c r="U417" i="5"/>
  <c r="U408" i="5"/>
  <c r="U374" i="5"/>
  <c r="U250" i="5"/>
  <c r="U168" i="5"/>
  <c r="U357" i="5"/>
  <c r="U81" i="5"/>
  <c r="U435" i="5"/>
  <c r="U347" i="5"/>
  <c r="U438" i="5"/>
  <c r="U289" i="5"/>
  <c r="U291" i="5"/>
  <c r="U66" i="5"/>
  <c r="U255" i="5"/>
  <c r="U231" i="5"/>
  <c r="U392" i="5"/>
  <c r="U261" i="5"/>
  <c r="U198" i="5"/>
  <c r="U412" i="5"/>
  <c r="U154" i="5"/>
  <c r="U363" i="5"/>
  <c r="U413" i="5"/>
  <c r="U451" i="5"/>
  <c r="U101" i="5"/>
  <c r="U132" i="5"/>
  <c r="U78" i="5"/>
  <c r="U387" i="5"/>
  <c r="U470" i="5"/>
  <c r="U450" i="5"/>
  <c r="U454" i="5"/>
  <c r="U378" i="5"/>
  <c r="U23" i="5"/>
  <c r="U376" i="5"/>
  <c r="U447" i="5"/>
  <c r="U403" i="5"/>
  <c r="U124" i="5"/>
  <c r="U399" i="5"/>
  <c r="U20" i="5"/>
  <c r="U88" i="5"/>
  <c r="U210" i="5"/>
  <c r="U106" i="5"/>
  <c r="U111" i="5"/>
  <c r="U199" i="5"/>
  <c r="U436" i="5"/>
  <c r="U265" i="5"/>
  <c r="U381" i="5"/>
  <c r="U13" i="5"/>
  <c r="U146" i="5"/>
  <c r="U325" i="5"/>
  <c r="U359" i="5"/>
  <c r="U248" i="5"/>
  <c r="U110" i="5"/>
  <c r="U57" i="5"/>
  <c r="U226" i="5"/>
  <c r="U393" i="5"/>
  <c r="U137" i="5"/>
  <c r="U44" i="5"/>
  <c r="U449" i="5"/>
  <c r="U410" i="5"/>
  <c r="U182" i="5"/>
  <c r="U43" i="5"/>
  <c r="U420" i="5"/>
  <c r="U329" i="5"/>
  <c r="U401" i="5"/>
  <c r="U63" i="5"/>
  <c r="U170" i="5"/>
  <c r="U234" i="5"/>
  <c r="U41" i="5"/>
  <c r="U67" i="5"/>
  <c r="U9" i="5"/>
  <c r="U213" i="5"/>
  <c r="U320" i="5"/>
  <c r="U189" i="5"/>
  <c r="U464" i="5"/>
  <c r="U181" i="5"/>
  <c r="U427" i="5"/>
  <c r="U123" i="5"/>
  <c r="U259" i="5"/>
  <c r="U112" i="5"/>
  <c r="U138" i="5"/>
  <c r="U93" i="5"/>
  <c r="U372" i="5"/>
  <c r="U80" i="5"/>
  <c r="U12" i="5"/>
  <c r="U15" i="5"/>
  <c r="U228" i="5"/>
  <c r="U227" i="5"/>
  <c r="U32" i="5"/>
  <c r="U201" i="5"/>
  <c r="U404" i="5"/>
  <c r="U240" i="5"/>
  <c r="U407" i="5"/>
  <c r="U354" i="5"/>
  <c r="U439" i="5"/>
  <c r="U362" i="5"/>
  <c r="U473" i="5"/>
  <c r="U18" i="5"/>
  <c r="U211" i="5"/>
  <c r="U8" i="5"/>
  <c r="U278" i="5"/>
  <c r="U55" i="5"/>
  <c r="U304" i="5"/>
  <c r="U332" i="5"/>
  <c r="U366" i="5"/>
  <c r="U64" i="5"/>
  <c r="U405" i="5"/>
  <c r="U61" i="5"/>
  <c r="U365" i="5"/>
  <c r="U355" i="5"/>
  <c r="U433" i="5"/>
  <c r="U17" i="5"/>
  <c r="U258" i="5"/>
  <c r="U279" i="5"/>
  <c r="U336" i="5"/>
  <c r="U429" i="5"/>
  <c r="U207" i="5"/>
  <c r="U356" i="5"/>
  <c r="U428" i="5"/>
  <c r="U461" i="5"/>
  <c r="U71" i="5"/>
  <c r="U48" i="5"/>
  <c r="U415" i="5"/>
  <c r="U296" i="5"/>
  <c r="U348" i="5"/>
  <c r="U267" i="5"/>
  <c r="U472" i="5"/>
  <c r="U177" i="5"/>
  <c r="U19" i="5"/>
  <c r="U342" i="5"/>
  <c r="U152" i="5"/>
  <c r="U398" i="5"/>
  <c r="U215" i="5"/>
  <c r="U308" i="5"/>
  <c r="U14" i="5"/>
  <c r="U75" i="5"/>
  <c r="U314" i="5"/>
  <c r="U457" i="5"/>
  <c r="U455" i="5"/>
  <c r="U100" i="5"/>
  <c r="U27" i="5"/>
  <c r="U214" i="5"/>
  <c r="U28" i="5"/>
  <c r="U371" i="5"/>
  <c r="U73" i="5"/>
  <c r="U166" i="5"/>
  <c r="U102" i="5"/>
  <c r="U334" i="5"/>
  <c r="U298" i="5"/>
  <c r="U36" i="5"/>
  <c r="U288" i="5"/>
  <c r="U92" i="5"/>
  <c r="U382" i="5"/>
  <c r="U86" i="5"/>
  <c r="U247" i="5"/>
  <c r="U237" i="5"/>
  <c r="U262" i="5"/>
  <c r="U425" i="5"/>
  <c r="U256" i="5"/>
  <c r="U238" i="5"/>
  <c r="U165" i="5"/>
  <c r="U153" i="5"/>
  <c r="U245" i="5"/>
  <c r="U275" i="5"/>
  <c r="U292" i="5"/>
  <c r="U108" i="5"/>
  <c r="U395" i="5"/>
  <c r="U453" i="5"/>
  <c r="U460" i="5"/>
  <c r="U167" i="5"/>
  <c r="U232" i="5"/>
  <c r="U186" i="5"/>
  <c r="U107" i="5"/>
  <c r="U109" i="5"/>
  <c r="U400" i="5"/>
  <c r="U344" i="5"/>
  <c r="U380" i="5"/>
  <c r="U375" i="5"/>
  <c r="U178" i="5"/>
  <c r="U135" i="5"/>
  <c r="U209" i="5"/>
  <c r="U128" i="5"/>
  <c r="U68" i="5"/>
  <c r="U194" i="5"/>
  <c r="U390" i="5"/>
  <c r="U74" i="5"/>
  <c r="U353" i="5"/>
  <c r="U219" i="5"/>
  <c r="U103" i="5"/>
  <c r="U352" i="5"/>
  <c r="U391" i="5"/>
  <c r="U95" i="5"/>
  <c r="U129" i="5"/>
  <c r="U459" i="5"/>
  <c r="U272" i="5"/>
  <c r="U448" i="5"/>
  <c r="U139" i="5"/>
  <c r="U173" i="5"/>
  <c r="U418" i="5"/>
  <c r="U21" i="5"/>
  <c r="U331" i="5"/>
  <c r="U462" i="5"/>
  <c r="U452" i="5"/>
  <c r="U246" i="5"/>
  <c r="U56" i="5"/>
  <c r="U350" i="5"/>
  <c r="U442" i="5"/>
  <c r="U202" i="5"/>
  <c r="U385" i="5"/>
  <c r="U225" i="5"/>
  <c r="U271" i="5"/>
  <c r="U284" i="5"/>
  <c r="U270" i="5"/>
  <c r="U171" i="5"/>
  <c r="U218" i="5"/>
  <c r="U83" i="5"/>
  <c r="U54" i="5"/>
  <c r="U147" i="5"/>
  <c r="U122" i="5"/>
  <c r="U190" i="5"/>
  <c r="U96" i="5"/>
  <c r="U34" i="5"/>
  <c r="U220" i="5"/>
  <c r="U159" i="5"/>
  <c r="U299" i="5"/>
  <c r="U87" i="5"/>
  <c r="U222" i="5"/>
  <c r="U406" i="5"/>
  <c r="U467" i="5"/>
  <c r="U466" i="5"/>
  <c r="U280" i="5"/>
  <c r="U341" i="5"/>
  <c r="U46" i="5"/>
  <c r="U434" i="5"/>
  <c r="U144" i="5"/>
  <c r="U330" i="5"/>
  <c r="U133" i="5"/>
  <c r="U243" i="5"/>
  <c r="U230" i="5"/>
  <c r="U90" i="5"/>
  <c r="U59" i="5"/>
  <c r="U50" i="5"/>
  <c r="U69" i="5"/>
  <c r="U441" i="5"/>
  <c r="U162" i="5"/>
  <c r="U463" i="5"/>
  <c r="U16" i="5"/>
  <c r="U94" i="5"/>
  <c r="U303" i="5"/>
  <c r="U241" i="5"/>
  <c r="U281" i="5"/>
  <c r="U179" i="5"/>
  <c r="U150" i="5"/>
  <c r="U40" i="5"/>
  <c r="U60" i="5"/>
  <c r="U77" i="5"/>
  <c r="U335" i="5"/>
  <c r="U161" i="5"/>
  <c r="U302" i="5"/>
  <c r="U311" i="5"/>
  <c r="U134" i="5"/>
  <c r="U24" i="5"/>
  <c r="U53" i="5"/>
  <c r="U195" i="5"/>
  <c r="U76" i="5"/>
  <c r="U62" i="5"/>
  <c r="U163" i="5"/>
  <c r="U465" i="5"/>
  <c r="U141" i="5"/>
  <c r="U368" i="5"/>
  <c r="U184" i="5"/>
  <c r="U158" i="5"/>
  <c r="U253" i="5"/>
  <c r="U293" i="5"/>
  <c r="U85" i="5"/>
  <c r="U121" i="5"/>
  <c r="U82" i="5"/>
  <c r="U39" i="5"/>
  <c r="U269" i="5"/>
  <c r="U346" i="5"/>
  <c r="U221" i="5"/>
  <c r="U268" i="5"/>
  <c r="U469" i="5"/>
  <c r="U31" i="5"/>
  <c r="U99" i="5"/>
  <c r="U187" i="5"/>
  <c r="U343" i="5"/>
  <c r="U309" i="5"/>
  <c r="U475" i="5"/>
  <c r="U180" i="5"/>
  <c r="U126" i="5"/>
  <c r="U172" i="5"/>
  <c r="U206" i="5"/>
  <c r="U174" i="5"/>
  <c r="U397" i="5"/>
  <c r="U458" i="5"/>
  <c r="U324" i="5"/>
  <c r="U402" i="5"/>
  <c r="U51" i="5"/>
  <c r="U169" i="5"/>
  <c r="U58" i="5"/>
  <c r="U300" i="5"/>
  <c r="U431" i="5"/>
  <c r="U337" i="5"/>
  <c r="U430" i="5"/>
  <c r="U370" i="5"/>
  <c r="U115" i="5"/>
  <c r="U263" i="5"/>
  <c r="U26" i="5"/>
  <c r="U42" i="5"/>
  <c r="U307" i="5"/>
  <c r="U84" i="5"/>
  <c r="U411" i="5"/>
  <c r="U120" i="5"/>
  <c r="U191" i="5"/>
  <c r="U125" i="5"/>
  <c r="U217" i="5"/>
  <c r="U10" i="5"/>
  <c r="U254" i="5"/>
  <c r="U367" i="5"/>
  <c r="U127" i="5"/>
  <c r="U273" i="5"/>
  <c r="U315" i="5"/>
  <c r="U33" i="5"/>
  <c r="U216" i="5"/>
  <c r="U340" i="5"/>
  <c r="U151" i="5"/>
  <c r="U70" i="5"/>
  <c r="U145" i="5"/>
  <c r="U119" i="5"/>
  <c r="U426" i="5"/>
  <c r="U321" i="5"/>
  <c r="U285" i="5"/>
  <c r="U379" i="5"/>
  <c r="U283" i="5"/>
  <c r="U471" i="5"/>
  <c r="U297" i="5"/>
  <c r="U345" i="5"/>
  <c r="U474" i="5"/>
  <c r="U113" i="5"/>
  <c r="U274" i="5"/>
  <c r="U45" i="5"/>
  <c r="U244" i="5"/>
  <c r="U323" i="5"/>
  <c r="U369" i="5"/>
  <c r="U317" i="5"/>
  <c r="U277" i="5"/>
  <c r="U422" i="5"/>
  <c r="U287" i="5"/>
  <c r="U423" i="5"/>
  <c r="U208" i="5"/>
  <c r="U327" i="5"/>
  <c r="U322" i="5"/>
  <c r="U282" i="5"/>
  <c r="U193" i="5"/>
  <c r="U440" i="5"/>
  <c r="U143" i="5"/>
  <c r="U89" i="5"/>
  <c r="U260" i="5"/>
  <c r="U306" i="5"/>
  <c r="U251" i="5"/>
  <c r="U30" i="5"/>
  <c r="U301" i="5"/>
  <c r="U295" i="5"/>
  <c r="U338" i="5"/>
  <c r="U156" i="5"/>
  <c r="U148" i="5"/>
  <c r="U97" i="5"/>
  <c r="U175" i="5"/>
  <c r="U294" i="5"/>
  <c r="U157" i="5"/>
  <c r="U276" i="5"/>
  <c r="U373" i="5"/>
  <c r="U318" i="5"/>
  <c r="U114" i="5"/>
  <c r="U358" i="5"/>
  <c r="U305" i="5"/>
  <c r="U188" i="5"/>
  <c r="U183" i="5"/>
  <c r="U196" i="5"/>
  <c r="U396" i="5"/>
  <c r="U468" i="5"/>
  <c r="U38" i="5"/>
  <c r="U22" i="5"/>
  <c r="U424" i="5"/>
  <c r="U456" i="5"/>
  <c r="U105" i="5"/>
  <c r="U384" i="5"/>
  <c r="U319" i="5"/>
  <c r="U72" i="5"/>
  <c r="U203" i="5"/>
  <c r="U312" i="5"/>
  <c r="U79" i="5"/>
  <c r="U192" i="5"/>
  <c r="U377" i="5"/>
  <c r="U176" i="5"/>
  <c r="U257" i="5"/>
  <c r="U389" i="5"/>
  <c r="U205" i="5"/>
  <c r="U364" i="5"/>
  <c r="U249" i="5"/>
  <c r="U52" i="5"/>
  <c r="U349" i="5"/>
  <c r="U351" i="5"/>
  <c r="U239" i="5"/>
  <c r="U446" i="5"/>
  <c r="U252" i="5"/>
  <c r="U35" i="5"/>
  <c r="U116" i="5"/>
  <c r="U361" i="5"/>
  <c r="U286" i="5"/>
  <c r="U313" i="5"/>
  <c r="U445" i="5"/>
  <c r="U310" i="5"/>
  <c r="U212" i="5"/>
  <c r="U91" i="5"/>
  <c r="U266" i="5"/>
  <c r="U65" i="5"/>
  <c r="U416" i="5"/>
  <c r="U131" i="5"/>
  <c r="U136" i="5"/>
  <c r="U224" i="5"/>
  <c r="U432" i="5"/>
  <c r="U155" i="5"/>
  <c r="U118" i="5"/>
  <c r="U185" i="5"/>
  <c r="U117" i="5"/>
  <c r="U414" i="5"/>
  <c r="U160" i="5"/>
  <c r="U437" i="5"/>
  <c r="U328" i="5"/>
  <c r="U164" i="5"/>
  <c r="U49" i="5"/>
  <c r="U421" i="5"/>
  <c r="S326" i="5"/>
  <c r="U326" i="5" s="1"/>
  <c r="T47" i="5"/>
  <c r="U409" i="5"/>
  <c r="U47" i="5"/>
  <c r="U419" i="5"/>
  <c r="U142" i="5"/>
  <c r="U443" i="5"/>
  <c r="K46" i="3"/>
  <c r="I100" i="3"/>
  <c r="J100" i="3" s="1"/>
  <c r="K54" i="3"/>
  <c r="L46" i="3"/>
  <c r="T291" i="5"/>
  <c r="G100" i="3"/>
  <c r="H100" i="3" s="1"/>
  <c r="U386" i="5"/>
  <c r="U200" i="5"/>
  <c r="U29" i="5"/>
  <c r="U98" i="5"/>
  <c r="L13" i="3"/>
  <c r="T409" i="5"/>
  <c r="T421" i="5"/>
  <c r="L57" i="3"/>
  <c r="F82" i="3"/>
  <c r="L35" i="3"/>
  <c r="K104" i="3"/>
  <c r="F104" i="3"/>
  <c r="F16" i="3"/>
  <c r="K16" i="3"/>
  <c r="P11" i="5"/>
  <c r="H54" i="3"/>
  <c r="E78" i="3"/>
  <c r="E75" i="3" s="1"/>
  <c r="E52" i="2"/>
  <c r="C53" i="3"/>
  <c r="J76" i="3"/>
  <c r="O326" i="5"/>
  <c r="G82" i="3"/>
  <c r="M316" i="5"/>
  <c r="T419" i="5"/>
  <c r="O37" i="5"/>
  <c r="M11" i="5"/>
  <c r="I38" i="3"/>
  <c r="R140" i="5"/>
  <c r="P130" i="5"/>
  <c r="T49" i="5"/>
  <c r="K112" i="3"/>
  <c r="F112" i="3"/>
  <c r="L112" i="3" s="1"/>
  <c r="C75" i="3"/>
  <c r="E74" i="2"/>
  <c r="F100" i="3"/>
  <c r="T142" i="5"/>
  <c r="F76" i="3"/>
  <c r="K76" i="3"/>
  <c r="M197" i="5"/>
  <c r="O197" i="5" s="1"/>
  <c r="L79" i="3"/>
  <c r="L383" i="5"/>
  <c r="T383" i="5" s="1"/>
  <c r="S383" i="5"/>
  <c r="U383" i="5" s="1"/>
  <c r="F60" i="3"/>
  <c r="L60" i="3" s="1"/>
  <c r="K60" i="3"/>
  <c r="S37" i="5"/>
  <c r="U37" i="5" s="1"/>
  <c r="L37" i="5"/>
  <c r="J11" i="5"/>
  <c r="J10" i="3"/>
  <c r="L10" i="3" s="1"/>
  <c r="L223" i="5"/>
  <c r="L101" i="3"/>
  <c r="P197" i="5"/>
  <c r="R197" i="5" s="1"/>
  <c r="E38" i="3"/>
  <c r="S140" i="5"/>
  <c r="U140" i="5" s="1"/>
  <c r="L140" i="5"/>
  <c r="J130" i="5"/>
  <c r="E56" i="3"/>
  <c r="I12" i="3"/>
  <c r="K90" i="3"/>
  <c r="G38" i="3"/>
  <c r="O140" i="5"/>
  <c r="M130" i="5"/>
  <c r="F9" i="3"/>
  <c r="F12" i="3"/>
  <c r="T443" i="5"/>
  <c r="J54" i="3"/>
  <c r="L290" i="5"/>
  <c r="E30" i="2"/>
  <c r="C31" i="3"/>
  <c r="I82" i="3"/>
  <c r="R326" i="5"/>
  <c r="P316" i="5"/>
  <c r="L90" i="3"/>
  <c r="J32" i="3"/>
  <c r="L32" i="3" s="1"/>
  <c r="F98" i="3"/>
  <c r="L98" i="3" s="1"/>
  <c r="E97" i="3"/>
  <c r="K98" i="3"/>
  <c r="J197" i="5" l="1"/>
  <c r="G56" i="3"/>
  <c r="H56" i="3" s="1"/>
  <c r="C97" i="3"/>
  <c r="I475" i="4"/>
  <c r="H12" i="3"/>
  <c r="T223" i="5"/>
  <c r="J12" i="3"/>
  <c r="T235" i="5"/>
  <c r="T233" i="5"/>
  <c r="L16" i="3"/>
  <c r="L104" i="3"/>
  <c r="T326" i="5"/>
  <c r="I53" i="3"/>
  <c r="J53" i="3" s="1"/>
  <c r="G9" i="3"/>
  <c r="H9" i="3" s="1"/>
  <c r="T37" i="5"/>
  <c r="K100" i="3"/>
  <c r="I97" i="3"/>
  <c r="J97" i="3" s="1"/>
  <c r="G53" i="3"/>
  <c r="H53" i="3" s="1"/>
  <c r="G97" i="3"/>
  <c r="H97" i="3" s="1"/>
  <c r="I9" i="3"/>
  <c r="J9" i="3" s="1"/>
  <c r="T140" i="5"/>
  <c r="L76" i="3"/>
  <c r="L54" i="3"/>
  <c r="O316" i="5"/>
  <c r="M290" i="5"/>
  <c r="S316" i="5"/>
  <c r="U316" i="5" s="1"/>
  <c r="K38" i="3"/>
  <c r="F38" i="3"/>
  <c r="E34" i="3"/>
  <c r="L100" i="3"/>
  <c r="F97" i="3"/>
  <c r="J38" i="3"/>
  <c r="I34" i="3"/>
  <c r="F56" i="3"/>
  <c r="L56" i="3" s="1"/>
  <c r="K56" i="3"/>
  <c r="E53" i="3"/>
  <c r="R316" i="5"/>
  <c r="P290" i="5"/>
  <c r="R290" i="5" s="1"/>
  <c r="O11" i="5"/>
  <c r="F75" i="3"/>
  <c r="L130" i="5"/>
  <c r="S130" i="5"/>
  <c r="U130" i="5" s="1"/>
  <c r="J104" i="5"/>
  <c r="J476" i="5" s="1"/>
  <c r="L479" i="5" s="1"/>
  <c r="R11" i="5"/>
  <c r="E118" i="2"/>
  <c r="F74" i="2" s="1"/>
  <c r="C119" i="3"/>
  <c r="D97" i="3" s="1"/>
  <c r="O130" i="5"/>
  <c r="M104" i="5"/>
  <c r="O104" i="5" s="1"/>
  <c r="S11" i="5"/>
  <c r="L11" i="5"/>
  <c r="J82" i="3"/>
  <c r="I78" i="3"/>
  <c r="H82" i="3"/>
  <c r="G78" i="3"/>
  <c r="K82" i="3"/>
  <c r="R130" i="5"/>
  <c r="P104" i="5"/>
  <c r="R104" i="5" s="1"/>
  <c r="H38" i="3"/>
  <c r="G34" i="3"/>
  <c r="F78" i="3"/>
  <c r="K12" i="3"/>
  <c r="L197" i="5"/>
  <c r="T197" i="5" s="1"/>
  <c r="S197" i="5"/>
  <c r="U197" i="5" s="1"/>
  <c r="L12" i="3" l="1"/>
  <c r="L82" i="3"/>
  <c r="K78" i="3"/>
  <c r="M78" i="3" s="1"/>
  <c r="K9" i="3"/>
  <c r="M9" i="3" s="1"/>
  <c r="T130" i="5"/>
  <c r="M112" i="3"/>
  <c r="D53" i="3"/>
  <c r="M12" i="3"/>
  <c r="K97" i="3"/>
  <c r="M97" i="3" s="1"/>
  <c r="M56" i="3"/>
  <c r="F52" i="2"/>
  <c r="F96" i="2"/>
  <c r="P476" i="5"/>
  <c r="M90" i="3"/>
  <c r="T11" i="5"/>
  <c r="L9" i="3"/>
  <c r="L38" i="3"/>
  <c r="M82" i="3"/>
  <c r="M38" i="3"/>
  <c r="J477" i="5"/>
  <c r="L476" i="5"/>
  <c r="K53" i="3"/>
  <c r="M53" i="3" s="1"/>
  <c r="F53" i="3"/>
  <c r="L53" i="3" s="1"/>
  <c r="H78" i="3"/>
  <c r="G75" i="3"/>
  <c r="J78" i="3"/>
  <c r="I75" i="3"/>
  <c r="J75" i="3" s="1"/>
  <c r="M476" i="5"/>
  <c r="T316" i="5"/>
  <c r="U11" i="5"/>
  <c r="M16" i="3"/>
  <c r="H34" i="3"/>
  <c r="G31" i="3"/>
  <c r="M60" i="3"/>
  <c r="L97" i="3"/>
  <c r="S104" i="5"/>
  <c r="U104" i="5" s="1"/>
  <c r="L104" i="5"/>
  <c r="T104" i="5" s="1"/>
  <c r="D58" i="3"/>
  <c r="D71" i="3"/>
  <c r="D70" i="3"/>
  <c r="D110" i="3"/>
  <c r="D114" i="3"/>
  <c r="D66" i="3"/>
  <c r="D36" i="3"/>
  <c r="D26" i="3"/>
  <c r="D102" i="3"/>
  <c r="D93" i="3"/>
  <c r="D27" i="3"/>
  <c r="D80" i="3"/>
  <c r="D92" i="3"/>
  <c r="D48" i="3"/>
  <c r="D14" i="3"/>
  <c r="D49" i="3"/>
  <c r="D115" i="3"/>
  <c r="D18" i="3"/>
  <c r="D84" i="3"/>
  <c r="D33" i="3"/>
  <c r="D44" i="3"/>
  <c r="D99" i="3"/>
  <c r="M71" i="3"/>
  <c r="D8" i="3"/>
  <c r="D55" i="3"/>
  <c r="D43" i="3"/>
  <c r="D22" i="3"/>
  <c r="D87" i="3"/>
  <c r="D62" i="3"/>
  <c r="D106" i="3"/>
  <c r="D77" i="3"/>
  <c r="D72" i="3"/>
  <c r="M58" i="3"/>
  <c r="D88" i="3"/>
  <c r="D50" i="3"/>
  <c r="M14" i="3"/>
  <c r="D65" i="3"/>
  <c r="D47" i="3"/>
  <c r="D40" i="3"/>
  <c r="M27" i="3"/>
  <c r="D109" i="3"/>
  <c r="M80" i="3"/>
  <c r="D94" i="3"/>
  <c r="M114" i="3"/>
  <c r="D69" i="3"/>
  <c r="D28" i="3"/>
  <c r="D108" i="3"/>
  <c r="D116" i="3"/>
  <c r="D21" i="3"/>
  <c r="D11" i="3"/>
  <c r="D101" i="3"/>
  <c r="M44" i="3"/>
  <c r="D96" i="3"/>
  <c r="M110" i="3"/>
  <c r="M48" i="3"/>
  <c r="M49" i="3"/>
  <c r="M115" i="3"/>
  <c r="D95" i="3"/>
  <c r="D117" i="3"/>
  <c r="D89" i="3"/>
  <c r="D118" i="3"/>
  <c r="D37" i="3"/>
  <c r="D39" i="3"/>
  <c r="M84" i="3"/>
  <c r="D111" i="3"/>
  <c r="D73" i="3"/>
  <c r="D67" i="3"/>
  <c r="D86" i="3"/>
  <c r="D45" i="3"/>
  <c r="M70" i="3"/>
  <c r="D52" i="3"/>
  <c r="D91" i="3"/>
  <c r="M102" i="3"/>
  <c r="M22" i="3"/>
  <c r="M8" i="3"/>
  <c r="M92" i="3"/>
  <c r="D35" i="3"/>
  <c r="D57" i="3"/>
  <c r="D64" i="3"/>
  <c r="M26" i="3"/>
  <c r="M36" i="3"/>
  <c r="D19" i="3"/>
  <c r="M33" i="3"/>
  <c r="D61" i="3"/>
  <c r="D25" i="3"/>
  <c r="D17" i="3"/>
  <c r="D59" i="3"/>
  <c r="M88" i="3"/>
  <c r="M18" i="3"/>
  <c r="D113" i="3"/>
  <c r="D105" i="3"/>
  <c r="M77" i="3"/>
  <c r="D74" i="3"/>
  <c r="D81" i="3"/>
  <c r="D79" i="3"/>
  <c r="D83" i="3"/>
  <c r="M66" i="3"/>
  <c r="D103" i="3"/>
  <c r="D51" i="3"/>
  <c r="D42" i="3"/>
  <c r="D20" i="3"/>
  <c r="M93" i="3"/>
  <c r="D85" i="3"/>
  <c r="D13" i="3"/>
  <c r="M50" i="3"/>
  <c r="M72" i="3"/>
  <c r="M87" i="3"/>
  <c r="M106" i="3"/>
  <c r="M94" i="3"/>
  <c r="D98" i="3"/>
  <c r="D15" i="3"/>
  <c r="D76" i="3"/>
  <c r="D107" i="3"/>
  <c r="D23" i="3"/>
  <c r="M55" i="3"/>
  <c r="M91" i="3"/>
  <c r="M43" i="3"/>
  <c r="D63" i="3"/>
  <c r="M62" i="3"/>
  <c r="M99" i="3"/>
  <c r="D41" i="3"/>
  <c r="D54" i="3"/>
  <c r="M21" i="3"/>
  <c r="D32" i="3"/>
  <c r="M11" i="3"/>
  <c r="M116" i="3"/>
  <c r="D68" i="3"/>
  <c r="M28" i="3"/>
  <c r="D46" i="3"/>
  <c r="D90" i="3"/>
  <c r="M65" i="3"/>
  <c r="D29" i="3"/>
  <c r="M109" i="3"/>
  <c r="D30" i="3"/>
  <c r="D112" i="3"/>
  <c r="M40" i="3"/>
  <c r="D82" i="3"/>
  <c r="M42" i="3"/>
  <c r="M113" i="3"/>
  <c r="M108" i="3"/>
  <c r="D60" i="3"/>
  <c r="M25" i="3"/>
  <c r="M86" i="3"/>
  <c r="M69" i="3"/>
  <c r="D10" i="3"/>
  <c r="D24" i="3"/>
  <c r="M64" i="3"/>
  <c r="D38" i="3"/>
  <c r="M47" i="3"/>
  <c r="M20" i="3"/>
  <c r="D104" i="3"/>
  <c r="D16" i="3"/>
  <c r="M54" i="3"/>
  <c r="M105" i="3"/>
  <c r="M101" i="3"/>
  <c r="M39" i="3"/>
  <c r="M67" i="3"/>
  <c r="M29" i="3"/>
  <c r="M37" i="3"/>
  <c r="D12" i="3"/>
  <c r="M61" i="3"/>
  <c r="D100" i="3"/>
  <c r="M23" i="3"/>
  <c r="M83" i="3"/>
  <c r="M96" i="3"/>
  <c r="M79" i="3"/>
  <c r="M32" i="3"/>
  <c r="M117" i="3"/>
  <c r="M24" i="3"/>
  <c r="M68" i="3"/>
  <c r="D78" i="3"/>
  <c r="M19" i="3"/>
  <c r="M89" i="3"/>
  <c r="D56" i="3"/>
  <c r="M63" i="3"/>
  <c r="M10" i="3"/>
  <c r="M81" i="3"/>
  <c r="M111" i="3"/>
  <c r="M46" i="3"/>
  <c r="M103" i="3"/>
  <c r="D9" i="3"/>
  <c r="M45" i="3"/>
  <c r="M74" i="3"/>
  <c r="M107" i="3"/>
  <c r="M118" i="3"/>
  <c r="M35" i="3"/>
  <c r="M30" i="3"/>
  <c r="M73" i="3"/>
  <c r="M59" i="3"/>
  <c r="M13" i="3"/>
  <c r="M57" i="3"/>
  <c r="M51" i="3"/>
  <c r="M41" i="3"/>
  <c r="M95" i="3"/>
  <c r="M17" i="3"/>
  <c r="M15" i="3"/>
  <c r="M85" i="3"/>
  <c r="M52" i="3"/>
  <c r="D34" i="3"/>
  <c r="J34" i="3"/>
  <c r="I31" i="3"/>
  <c r="O290" i="5"/>
  <c r="T290" i="5" s="1"/>
  <c r="S290" i="5"/>
  <c r="U290" i="5" s="1"/>
  <c r="M76" i="3"/>
  <c r="D75" i="3"/>
  <c r="D31" i="3"/>
  <c r="F12" i="1"/>
  <c r="D12" i="1" s="1"/>
  <c r="F70" i="2"/>
  <c r="F57" i="2"/>
  <c r="F91" i="2"/>
  <c r="F48" i="2"/>
  <c r="F113" i="2"/>
  <c r="F25" i="2"/>
  <c r="F69" i="2"/>
  <c r="F13" i="2"/>
  <c r="F109" i="2"/>
  <c r="F114" i="2"/>
  <c r="F47" i="2"/>
  <c r="F65" i="2"/>
  <c r="F35" i="2"/>
  <c r="F101" i="2"/>
  <c r="F79" i="2"/>
  <c r="F92" i="2"/>
  <c r="F26" i="2"/>
  <c r="F54" i="2"/>
  <c r="F21" i="2"/>
  <c r="F42" i="2"/>
  <c r="F49" i="2"/>
  <c r="F108" i="2"/>
  <c r="F43" i="2"/>
  <c r="F105" i="2"/>
  <c r="F46" i="2"/>
  <c r="F32" i="2"/>
  <c r="F87" i="2"/>
  <c r="F83" i="2"/>
  <c r="F64" i="2"/>
  <c r="F76" i="2"/>
  <c r="F86" i="2"/>
  <c r="F98" i="2"/>
  <c r="F39" i="2"/>
  <c r="F71" i="2"/>
  <c r="F7" i="2"/>
  <c r="F17" i="2"/>
  <c r="F61" i="2"/>
  <c r="F20" i="2"/>
  <c r="F10" i="2"/>
  <c r="F93" i="2"/>
  <c r="F115" i="2"/>
  <c r="F68" i="2"/>
  <c r="F107" i="2"/>
  <c r="F27" i="2"/>
  <c r="F56" i="2"/>
  <c r="F85" i="2"/>
  <c r="F82" i="2"/>
  <c r="F44" i="2"/>
  <c r="F116" i="2"/>
  <c r="F104" i="2"/>
  <c r="F18" i="2"/>
  <c r="F72" i="2"/>
  <c r="F16" i="2"/>
  <c r="F51" i="2"/>
  <c r="F102" i="2"/>
  <c r="F84" i="2"/>
  <c r="F112" i="2"/>
  <c r="F38" i="2"/>
  <c r="F117" i="2"/>
  <c r="F58" i="2"/>
  <c r="F90" i="2"/>
  <c r="F41" i="2"/>
  <c r="F24" i="2"/>
  <c r="F110" i="2"/>
  <c r="F63" i="2"/>
  <c r="F73" i="2"/>
  <c r="F80" i="2"/>
  <c r="F60" i="2"/>
  <c r="F78" i="2"/>
  <c r="F100" i="2"/>
  <c r="F95" i="2"/>
  <c r="F50" i="2"/>
  <c r="F36" i="2"/>
  <c r="F19" i="2"/>
  <c r="F34" i="2"/>
  <c r="F66" i="2"/>
  <c r="F94" i="2"/>
  <c r="F88" i="2"/>
  <c r="F29" i="2"/>
  <c r="F28" i="2"/>
  <c r="F45" i="2"/>
  <c r="F14" i="2"/>
  <c r="F89" i="2"/>
  <c r="F53" i="2"/>
  <c r="F12" i="2"/>
  <c r="F97" i="2"/>
  <c r="F67" i="2"/>
  <c r="F31" i="2"/>
  <c r="F40" i="2"/>
  <c r="F106" i="2"/>
  <c r="F75" i="2"/>
  <c r="F22" i="2"/>
  <c r="F62" i="2"/>
  <c r="F111" i="2"/>
  <c r="F9" i="2"/>
  <c r="F103" i="2"/>
  <c r="F15" i="2"/>
  <c r="F37" i="2"/>
  <c r="F81" i="2"/>
  <c r="F59" i="2"/>
  <c r="F23" i="2"/>
  <c r="F33" i="2"/>
  <c r="F11" i="2"/>
  <c r="F99" i="2"/>
  <c r="F55" i="2"/>
  <c r="F77" i="2"/>
  <c r="F8" i="2"/>
  <c r="M104" i="3"/>
  <c r="M98" i="3"/>
  <c r="M100" i="3"/>
  <c r="F30" i="2"/>
  <c r="K34" i="3"/>
  <c r="M34" i="3" s="1"/>
  <c r="F34" i="3"/>
  <c r="E31" i="3"/>
  <c r="R476" i="5" l="1"/>
  <c r="R479" i="5"/>
  <c r="O476" i="5"/>
  <c r="O479" i="5"/>
  <c r="L34" i="3"/>
  <c r="L78" i="3"/>
  <c r="D119" i="3"/>
  <c r="F31" i="3"/>
  <c r="K31" i="3"/>
  <c r="E119" i="3"/>
  <c r="H75" i="3"/>
  <c r="L75" i="3" s="1"/>
  <c r="K75" i="3"/>
  <c r="M75" i="3" s="1"/>
  <c r="H31" i="3"/>
  <c r="G119" i="3"/>
  <c r="J31" i="3"/>
  <c r="I119" i="3"/>
  <c r="F118" i="2"/>
  <c r="S476" i="5"/>
  <c r="U476" i="5"/>
  <c r="M477" i="5"/>
  <c r="L477" i="5"/>
  <c r="T476" i="5" l="1"/>
  <c r="F119" i="3"/>
  <c r="E120" i="3"/>
  <c r="F120" i="3" s="1"/>
  <c r="L31" i="3"/>
  <c r="J119" i="3"/>
  <c r="H119" i="3"/>
  <c r="O477" i="5"/>
  <c r="P477" i="5"/>
  <c r="R477" i="5" s="1"/>
  <c r="M31" i="3"/>
  <c r="M119" i="3" s="1"/>
  <c r="K119" i="3"/>
  <c r="G120" i="3" l="1"/>
  <c r="H120" i="3" s="1"/>
  <c r="L119" i="3"/>
  <c r="I120" i="3" l="1"/>
  <c r="J120" i="3" s="1"/>
</calcChain>
</file>

<file path=xl/sharedStrings.xml><?xml version="1.0" encoding="utf-8"?>
<sst xmlns="http://schemas.openxmlformats.org/spreadsheetml/2006/main" count="9605" uniqueCount="1798">
  <si>
    <t>MUNICÍPIO DE LAGOA DO PIAUI - PI</t>
  </si>
  <si>
    <t>IMPLANTAÇÃO DE 5 (CINCO) SISTEMAS SIMPLIFICADOS DE ABASTECIMENTO DE ÁGUA ZONA RURAL DO MUNICÍPIO DE LAGOA DO PIAUÍ-PI</t>
  </si>
  <si>
    <t>DADOS DA OBRA</t>
  </si>
  <si>
    <t>DATA BASE:</t>
  </si>
  <si>
    <t xml:space="preserve">SINAPI PI 06/2025, SEINFRA CE 28, ORSE SE 05/2025, </t>
  </si>
  <si>
    <t>SEM DESONERAÇÃO</t>
  </si>
  <si>
    <t>BDI Serviços (%):</t>
  </si>
  <si>
    <t>COEFICIENTES</t>
  </si>
  <si>
    <t>PRODUTIVIDADE</t>
  </si>
  <si>
    <t xml:space="preserve"> de 1 a 10</t>
  </si>
  <si>
    <t>LEIS SOCIAIS (%):</t>
  </si>
  <si>
    <t>DESC. INSUMOS</t>
  </si>
  <si>
    <t xml:space="preserve"> de 0 a 1</t>
  </si>
  <si>
    <t>RECURSO (R$)</t>
  </si>
  <si>
    <t>DIFERENÇA (R$)</t>
  </si>
  <si>
    <t>TOTAL (R$)</t>
  </si>
  <si>
    <t>OBSERVAÇÕES</t>
  </si>
  <si>
    <r>
      <t xml:space="preserve">OBS-1: Conforme metodologia de cálculo da Caixa Econômica Federal, foi utilizado arredondamento normal para duas casa decimais em todos os cálculos, exceto para o cálculo do valor total de cada item das composições de custos, no qual foi utilizado arredondamento truncado até a segunda casa decimal. Visto que a metodologia de cálculo das tabelas SEINFRA e ORSE utilizam arredondamentos diferentes, suas composições foram compatibilizadas com o mesmo arredondamento utilizado pela tabela SINAPI, assim, é expressamente recomendável que os preços calculados sejam revisados na planilha de composições, quando esta for gerada. 
OBS-2: Todas as composições de preços da tabela ORSE foram compatibilizadas nos seguintes quesitos:
1 - O ORSE divulga dois formatos de composições para cada serviço, sendo uma analítica e uma no formtato de lista de materiais, calculando a partir desta última o preço final de cada serviço. Visto que a tabela SINAPI, da Caixa Econômica Federal divulga as composições de serviços na forma analítica, apenas, optou-se pela utilização das composições da tabela ORSE também na forma analítica, mesmo que o cálculo do custo dos serviços sejam diferentes das tabelas publicadas;
2 - O ORSE divulga apenas os preços para o estado de Sergipe e SEM DESONERAÇÃO da folha, assim, todas as composições foram compatibilizadas nos preços de serviços e insumos com origem na tabela SINAPI, conforme a opção do estado e desoneração da folha, selecionados pelo usuários nos dados da Obra;
Ressaltamos que os preços das tabelas, de serviços e insumos, publicadas pelo ORSE não serão alterados, sendo alterados apenas os preços de serviços e insumos dentro de suas composições, dos itens com origem na tabela SINAPI, permanecendo inalterados os itens, de insumo ou composição, com origem na tabela ORSE. Esta metodologia foi adotada ao entender que os custos, numa mesma planilha orçamentária, não devem apresentar divergências numa mesma classe de serviços ou insumos. Assim, para o bom entendimento do profissional orçamentista, é expressamente recomendável que os preços calculados sejam revisados na planilha de composições, quando esta for gerada.
OBS-3: As composições dos preços com origem na tabela SICRO serão apresentadas conforme a metodologia de cálculo da mesma, com números e arredondamentos com 4 casas decimais e/ou 2 casas decimais, conforme cada caso, seguindo apresentadas exatamente como são publicadas pelo DNIT;
OBS-4: Para a tabela SICRO foram calculados os preços dos serviços COM DESONERAÇÃO, apesar de não publicados pelo DNIT, seguindo a mesma metodologia de suas publicações;
</t>
    </r>
    <r>
      <rPr>
        <sz val="11"/>
        <color indexed="10"/>
        <rFont val="Calibri"/>
        <family val="2"/>
      </rPr>
      <t>OBS-5: As tabelas de leis sociais, SINAPI e SICRO, deverão ser revisadas pelo usuário e adaptadas em cada caso. Sugerimos alterar o campo de LEIS SOCIAIS da aba DADOS quando utilizados apenas serviços da tabela SICRO.</t>
    </r>
  </si>
  <si>
    <t>PLANILHA RESUMO</t>
  </si>
  <si>
    <t>BDI (%):</t>
  </si>
  <si>
    <t>ITEM</t>
  </si>
  <si>
    <t>DESCRIÇÃO</t>
  </si>
  <si>
    <t>TOTAL (%)</t>
  </si>
  <si>
    <t>2.1</t>
  </si>
  <si>
    <t>2.2</t>
  </si>
  <si>
    <t>2.3</t>
  </si>
  <si>
    <t>2.3.1</t>
  </si>
  <si>
    <t>2.3.2</t>
  </si>
  <si>
    <t>2.3.3</t>
  </si>
  <si>
    <t>2.3.4</t>
  </si>
  <si>
    <t>2.3.5</t>
  </si>
  <si>
    <t>2.3.6</t>
  </si>
  <si>
    <t>2.3.7</t>
  </si>
  <si>
    <t>2.3.8</t>
  </si>
  <si>
    <t>2.3.9</t>
  </si>
  <si>
    <t>2.3.10</t>
  </si>
  <si>
    <t>2.3.11</t>
  </si>
  <si>
    <t>2.4</t>
  </si>
  <si>
    <t>2.5</t>
  </si>
  <si>
    <t>2.5.1</t>
  </si>
  <si>
    <t>2.5.2</t>
  </si>
  <si>
    <t>2.5.3</t>
  </si>
  <si>
    <t>2.6</t>
  </si>
  <si>
    <t>2.7</t>
  </si>
  <si>
    <t>3.1</t>
  </si>
  <si>
    <t>3.2</t>
  </si>
  <si>
    <t>3.3</t>
  </si>
  <si>
    <t>3.3.1</t>
  </si>
  <si>
    <t>3.3.2</t>
  </si>
  <si>
    <t>3.3.3</t>
  </si>
  <si>
    <t>3.3.4</t>
  </si>
  <si>
    <t>3.3.5</t>
  </si>
  <si>
    <t>3.3.6</t>
  </si>
  <si>
    <t>3.3.7</t>
  </si>
  <si>
    <t>3.3.8</t>
  </si>
  <si>
    <t>3.3.9</t>
  </si>
  <si>
    <t>3.3.10</t>
  </si>
  <si>
    <t>3.3.11</t>
  </si>
  <si>
    <t>3.4</t>
  </si>
  <si>
    <t>3.5</t>
  </si>
  <si>
    <t>3.5.1</t>
  </si>
  <si>
    <t>3.5.2</t>
  </si>
  <si>
    <t>3.5.3</t>
  </si>
  <si>
    <t>3.6</t>
  </si>
  <si>
    <t>3.7</t>
  </si>
  <si>
    <t>4.1</t>
  </si>
  <si>
    <t>4.2</t>
  </si>
  <si>
    <t>4.3</t>
  </si>
  <si>
    <t>4.3.1</t>
  </si>
  <si>
    <t>4.3.2</t>
  </si>
  <si>
    <t>4.3.3</t>
  </si>
  <si>
    <t>4.3.4</t>
  </si>
  <si>
    <t>4.3.5</t>
  </si>
  <si>
    <t>4.3.6</t>
  </si>
  <si>
    <t>4.3.7</t>
  </si>
  <si>
    <t>4.3.8</t>
  </si>
  <si>
    <t>4.3.9</t>
  </si>
  <si>
    <t>4.3.10</t>
  </si>
  <si>
    <t>4.3.11</t>
  </si>
  <si>
    <t>4.4</t>
  </si>
  <si>
    <t>4.5</t>
  </si>
  <si>
    <t>4.5.1</t>
  </si>
  <si>
    <t>4.5.2</t>
  </si>
  <si>
    <t>4.5.3</t>
  </si>
  <si>
    <t>4.6</t>
  </si>
  <si>
    <t>4.7</t>
  </si>
  <si>
    <t>5.1</t>
  </si>
  <si>
    <t>5.2</t>
  </si>
  <si>
    <t>5.3</t>
  </si>
  <si>
    <t>5.3.1</t>
  </si>
  <si>
    <t>5.3.2</t>
  </si>
  <si>
    <t>5.3.3</t>
  </si>
  <si>
    <t>5.3.4</t>
  </si>
  <si>
    <t>5.3.5</t>
  </si>
  <si>
    <t>5.3.6</t>
  </si>
  <si>
    <t>5.3.7</t>
  </si>
  <si>
    <t>5.3.8</t>
  </si>
  <si>
    <t>5.3.9</t>
  </si>
  <si>
    <t>5.3.10</t>
  </si>
  <si>
    <t>5.3.11</t>
  </si>
  <si>
    <t>5.4</t>
  </si>
  <si>
    <t>5.5</t>
  </si>
  <si>
    <t>5.5.1</t>
  </si>
  <si>
    <t>5.5.2</t>
  </si>
  <si>
    <t>5.5.3</t>
  </si>
  <si>
    <t>5.6</t>
  </si>
  <si>
    <t>5.7</t>
  </si>
  <si>
    <t>6.1</t>
  </si>
  <si>
    <t>6.2</t>
  </si>
  <si>
    <t>6.3</t>
  </si>
  <si>
    <t>6.3.1</t>
  </si>
  <si>
    <t>6.3.2</t>
  </si>
  <si>
    <t>6.3.3</t>
  </si>
  <si>
    <t>6.3.4</t>
  </si>
  <si>
    <t>6.3.5</t>
  </si>
  <si>
    <t>6.3.6</t>
  </si>
  <si>
    <t>6.3.7</t>
  </si>
  <si>
    <t>6.3.8</t>
  </si>
  <si>
    <t>6.3.9</t>
  </si>
  <si>
    <t>6.3.10</t>
  </si>
  <si>
    <t>6.3.11</t>
  </si>
  <si>
    <t>6.4</t>
  </si>
  <si>
    <t>6.5</t>
  </si>
  <si>
    <t>6.5.1</t>
  </si>
  <si>
    <t>6.5.2</t>
  </si>
  <si>
    <t>6.5.3</t>
  </si>
  <si>
    <t>6.6</t>
  </si>
  <si>
    <t>6.7</t>
  </si>
  <si>
    <t>TOTAL</t>
  </si>
  <si>
    <t>CRONOGRAMA FÍSICO-FINANCEIRO</t>
  </si>
  <si>
    <t>30 DIAS</t>
  </si>
  <si>
    <t>60 DIAS</t>
  </si>
  <si>
    <t>90 DIAS</t>
  </si>
  <si>
    <t>META</t>
  </si>
  <si>
    <t>GERAL</t>
  </si>
  <si>
    <t>TOTAL GERAL</t>
  </si>
  <si>
    <t>TOTAL ACUMULADO</t>
  </si>
  <si>
    <t>PLANILHA ORÇAMENTÁRIA</t>
  </si>
  <si>
    <t>CÓDIGO</t>
  </si>
  <si>
    <t>FONTE</t>
  </si>
  <si>
    <t>UNID.</t>
  </si>
  <si>
    <t>QUANT.</t>
  </si>
  <si>
    <t>P. UNIT. S/BDI</t>
  </si>
  <si>
    <t>P. UNIT. C/BDI</t>
  </si>
  <si>
    <t>1.1</t>
  </si>
  <si>
    <t>1.2</t>
  </si>
  <si>
    <t>2.1.1</t>
  </si>
  <si>
    <t>2.1.2</t>
  </si>
  <si>
    <t>2.1.3</t>
  </si>
  <si>
    <t>2.1.4</t>
  </si>
  <si>
    <t>2.1.5</t>
  </si>
  <si>
    <t>2.1.6</t>
  </si>
  <si>
    <t>2.1.7</t>
  </si>
  <si>
    <t>2.1.8</t>
  </si>
  <si>
    <t>2.1.9</t>
  </si>
  <si>
    <t>2.1.10</t>
  </si>
  <si>
    <t>2.1.11</t>
  </si>
  <si>
    <t>2.1.12</t>
  </si>
  <si>
    <t>2.1.13</t>
  </si>
  <si>
    <t>2.1.14</t>
  </si>
  <si>
    <t>2.1.15</t>
  </si>
  <si>
    <t>2.1.16</t>
  </si>
  <si>
    <t>2.1.17</t>
  </si>
  <si>
    <t>2.2.1</t>
  </si>
  <si>
    <t>2.2.2</t>
  </si>
  <si>
    <t>2.2.3</t>
  </si>
  <si>
    <t>2.2.4</t>
  </si>
  <si>
    <t>2.2.5</t>
  </si>
  <si>
    <t>2.2.6</t>
  </si>
  <si>
    <t>2.3.1.1</t>
  </si>
  <si>
    <t>2.3.1.2</t>
  </si>
  <si>
    <t>2.3.2.1</t>
  </si>
  <si>
    <t>2.3.3.1</t>
  </si>
  <si>
    <t>2.3.3.2</t>
  </si>
  <si>
    <t>2.3.3.3</t>
  </si>
  <si>
    <t>2.3.4.1</t>
  </si>
  <si>
    <t>2.3.4.2</t>
  </si>
  <si>
    <t>2.3.5.1</t>
  </si>
  <si>
    <t>2.3.5.2</t>
  </si>
  <si>
    <t>2.3.6.1</t>
  </si>
  <si>
    <t>2.3.6.2</t>
  </si>
  <si>
    <t>2.3.7.1</t>
  </si>
  <si>
    <t>2.3.7.2</t>
  </si>
  <si>
    <t>2.3.7.3</t>
  </si>
  <si>
    <t>2.3.8.1</t>
  </si>
  <si>
    <t>2.3.8.2</t>
  </si>
  <si>
    <t>2.3.9.1</t>
  </si>
  <si>
    <t>2.3.9.2</t>
  </si>
  <si>
    <t>2.3.10.1</t>
  </si>
  <si>
    <t>2.3.10.2</t>
  </si>
  <si>
    <t>2.3.11.1</t>
  </si>
  <si>
    <t>2.4.1</t>
  </si>
  <si>
    <t>2.4.2</t>
  </si>
  <si>
    <t>2.4.3</t>
  </si>
  <si>
    <t>2.4.4</t>
  </si>
  <si>
    <t>2.4.5</t>
  </si>
  <si>
    <t>2.4.6</t>
  </si>
  <si>
    <t>2.4.7</t>
  </si>
  <si>
    <t>2.4.8</t>
  </si>
  <si>
    <t>2.5.1.1</t>
  </si>
  <si>
    <t>2.5.1.2</t>
  </si>
  <si>
    <t>2.5.2.1</t>
  </si>
  <si>
    <t>2.5.3.1</t>
  </si>
  <si>
    <t>2.5.3.2</t>
  </si>
  <si>
    <t>2.6.1</t>
  </si>
  <si>
    <t>2.7.1</t>
  </si>
  <si>
    <t>2.7.2</t>
  </si>
  <si>
    <t>2.7.3</t>
  </si>
  <si>
    <t>2.7.4</t>
  </si>
  <si>
    <t>2.7.5</t>
  </si>
  <si>
    <t>2.7.6</t>
  </si>
  <si>
    <t>2.7.7</t>
  </si>
  <si>
    <t>2.7.8</t>
  </si>
  <si>
    <t>2.7.9</t>
  </si>
  <si>
    <t>2.7.10</t>
  </si>
  <si>
    <t>2.7.11</t>
  </si>
  <si>
    <t>2.7.12</t>
  </si>
  <si>
    <t>3.1.1</t>
  </si>
  <si>
    <t>3.1.2</t>
  </si>
  <si>
    <t>3.1.3</t>
  </si>
  <si>
    <t>3.1.4</t>
  </si>
  <si>
    <t>3.1.5</t>
  </si>
  <si>
    <t>3.1.6</t>
  </si>
  <si>
    <t>3.1.7</t>
  </si>
  <si>
    <t>3.1.8</t>
  </si>
  <si>
    <t>3.1.9</t>
  </si>
  <si>
    <t>3.1.10</t>
  </si>
  <si>
    <t>3.1.11</t>
  </si>
  <si>
    <t>3.1.12</t>
  </si>
  <si>
    <t>3.1.13</t>
  </si>
  <si>
    <t>3.1.14</t>
  </si>
  <si>
    <t>3.1.15</t>
  </si>
  <si>
    <t>3.1.16</t>
  </si>
  <si>
    <t>3.1.17</t>
  </si>
  <si>
    <t>3.2.1</t>
  </si>
  <si>
    <t>3.2.2</t>
  </si>
  <si>
    <t>3.2.3</t>
  </si>
  <si>
    <t>3.2.4</t>
  </si>
  <si>
    <t>3.2.5</t>
  </si>
  <si>
    <t>3.2.6</t>
  </si>
  <si>
    <t>3.3.1.1</t>
  </si>
  <si>
    <t>3.3.1.2</t>
  </si>
  <si>
    <t>3.3.2.1</t>
  </si>
  <si>
    <t>3.3.3.1</t>
  </si>
  <si>
    <t>3.3.3.2</t>
  </si>
  <si>
    <t>3.3.3.3</t>
  </si>
  <si>
    <t>3.3.4.1</t>
  </si>
  <si>
    <t>3.3.4.2</t>
  </si>
  <si>
    <t>3.3.5.1</t>
  </si>
  <si>
    <t>3.3.5.2</t>
  </si>
  <si>
    <t>3.3.6.1</t>
  </si>
  <si>
    <t>3.3.6.2</t>
  </si>
  <si>
    <t>3.3.7.1</t>
  </si>
  <si>
    <t>3.3.7.2</t>
  </si>
  <si>
    <t>3.3.7.3</t>
  </si>
  <si>
    <t>3.3.8.1</t>
  </si>
  <si>
    <t>3.3.8.2</t>
  </si>
  <si>
    <t>3.3.9.1</t>
  </si>
  <si>
    <t>3.3.9.2</t>
  </si>
  <si>
    <t>3.3.10.1</t>
  </si>
  <si>
    <t>3.3.10.2</t>
  </si>
  <si>
    <t>3.3.11.1</t>
  </si>
  <si>
    <t>3.4.1</t>
  </si>
  <si>
    <t>3.4.2</t>
  </si>
  <si>
    <t>3.4.3</t>
  </si>
  <si>
    <t>3.4.4</t>
  </si>
  <si>
    <t>3.4.5</t>
  </si>
  <si>
    <t>3.4.6</t>
  </si>
  <si>
    <t>3.4.7</t>
  </si>
  <si>
    <t>3.4.8</t>
  </si>
  <si>
    <t>3.5.1.1</t>
  </si>
  <si>
    <t>3.5.1.2</t>
  </si>
  <si>
    <t>3.5.2.1</t>
  </si>
  <si>
    <t>3.5.3.1</t>
  </si>
  <si>
    <t>3.5.3.2</t>
  </si>
  <si>
    <t>3.6.1</t>
  </si>
  <si>
    <t>3.7.1</t>
  </si>
  <si>
    <t>3.7.2</t>
  </si>
  <si>
    <t>3.7.3</t>
  </si>
  <si>
    <t>3.7.4</t>
  </si>
  <si>
    <t>3.7.5</t>
  </si>
  <si>
    <t>3.7.6</t>
  </si>
  <si>
    <t>3.7.7</t>
  </si>
  <si>
    <t>3.7.8</t>
  </si>
  <si>
    <t>3.7.9</t>
  </si>
  <si>
    <t>3.7.10</t>
  </si>
  <si>
    <t>3.7.11</t>
  </si>
  <si>
    <t>3.7.12</t>
  </si>
  <si>
    <t>4.1.1</t>
  </si>
  <si>
    <t>4.1.2</t>
  </si>
  <si>
    <t>4.1.3</t>
  </si>
  <si>
    <t>4.1.4</t>
  </si>
  <si>
    <t>4.1.5</t>
  </si>
  <si>
    <t>4.1.6</t>
  </si>
  <si>
    <t>4.1.7</t>
  </si>
  <si>
    <t>4.1.8</t>
  </si>
  <si>
    <t>4.1.9</t>
  </si>
  <si>
    <t>4.1.10</t>
  </si>
  <si>
    <t>4.1.11</t>
  </si>
  <si>
    <t>4.1.12</t>
  </si>
  <si>
    <t>4.1.13</t>
  </si>
  <si>
    <t>4.1.14</t>
  </si>
  <si>
    <t>4.1.15</t>
  </si>
  <si>
    <t>4.1.16</t>
  </si>
  <si>
    <t>4.1.17</t>
  </si>
  <si>
    <t>4.2.1</t>
  </si>
  <si>
    <t>4.2.2</t>
  </si>
  <si>
    <t>4.2.3</t>
  </si>
  <si>
    <t>4.2.4</t>
  </si>
  <si>
    <t>4.2.5</t>
  </si>
  <si>
    <t>4.2.6</t>
  </si>
  <si>
    <t>4.3.1.1</t>
  </si>
  <si>
    <t>4.3.1.2</t>
  </si>
  <si>
    <t>4.3.2.1</t>
  </si>
  <si>
    <t>4.3.3.1</t>
  </si>
  <si>
    <t>4.3.3.2</t>
  </si>
  <si>
    <t>4.3.3.3</t>
  </si>
  <si>
    <t>4.3.4.1</t>
  </si>
  <si>
    <t>4.3.4.2</t>
  </si>
  <si>
    <t>4.3.5.1</t>
  </si>
  <si>
    <t>4.3.5.2</t>
  </si>
  <si>
    <t>4.3.6.1</t>
  </si>
  <si>
    <t>4.3.6.2</t>
  </si>
  <si>
    <t>4.3.7.1</t>
  </si>
  <si>
    <t>4.3.7.2</t>
  </si>
  <si>
    <t>4.3.7.3</t>
  </si>
  <si>
    <t>4.3.8.1</t>
  </si>
  <si>
    <t>4.3.8.2</t>
  </si>
  <si>
    <t>4.3.9.1</t>
  </si>
  <si>
    <t>4.3.9.2</t>
  </si>
  <si>
    <t>4.3.10.1</t>
  </si>
  <si>
    <t>4.3.10.2</t>
  </si>
  <si>
    <t>4.3.11.1</t>
  </si>
  <si>
    <t>4.4.1</t>
  </si>
  <si>
    <t>4.4.2</t>
  </si>
  <si>
    <t>4.4.3</t>
  </si>
  <si>
    <t>4.4.4</t>
  </si>
  <si>
    <t>4.4.5</t>
  </si>
  <si>
    <t>4.4.6</t>
  </si>
  <si>
    <t>4.4.7</t>
  </si>
  <si>
    <t>4.4.8</t>
  </si>
  <si>
    <t>4.5.1.1</t>
  </si>
  <si>
    <t>4.5.1.2</t>
  </si>
  <si>
    <t>4.5.2.1</t>
  </si>
  <si>
    <t>4.5.3.1</t>
  </si>
  <si>
    <t>4.5.3.2</t>
  </si>
  <si>
    <t>4.6.1</t>
  </si>
  <si>
    <t>4.7.1</t>
  </si>
  <si>
    <t>4.7.2</t>
  </si>
  <si>
    <t>4.7.3</t>
  </si>
  <si>
    <t>4.7.4</t>
  </si>
  <si>
    <t>4.7.5</t>
  </si>
  <si>
    <t>4.7.6</t>
  </si>
  <si>
    <t>4.7.7</t>
  </si>
  <si>
    <t>4.7.8</t>
  </si>
  <si>
    <t>4.7.9</t>
  </si>
  <si>
    <t>4.7.10</t>
  </si>
  <si>
    <t>4.7.11</t>
  </si>
  <si>
    <t>4.7.12</t>
  </si>
  <si>
    <t>5.1.1</t>
  </si>
  <si>
    <t>5.1.2</t>
  </si>
  <si>
    <t>5.1.3</t>
  </si>
  <si>
    <t>5.1.4</t>
  </si>
  <si>
    <t>5.1.5</t>
  </si>
  <si>
    <t>5.1.6</t>
  </si>
  <si>
    <t>5.1.7</t>
  </si>
  <si>
    <t>5.1.8</t>
  </si>
  <si>
    <t>5.1.9</t>
  </si>
  <si>
    <t>5.1.10</t>
  </si>
  <si>
    <t>5.1.11</t>
  </si>
  <si>
    <t>5.1.12</t>
  </si>
  <si>
    <t>5.1.13</t>
  </si>
  <si>
    <t>5.1.14</t>
  </si>
  <si>
    <t>5.1.15</t>
  </si>
  <si>
    <t>5.1.16</t>
  </si>
  <si>
    <t>5.1.17</t>
  </si>
  <si>
    <t>5.2.1</t>
  </si>
  <si>
    <t>5.2.2</t>
  </si>
  <si>
    <t>5.2.3</t>
  </si>
  <si>
    <t>5.2.4</t>
  </si>
  <si>
    <t>5.2.5</t>
  </si>
  <si>
    <t>5.2.6</t>
  </si>
  <si>
    <t>5.3.1.1</t>
  </si>
  <si>
    <t>5.3.1.2</t>
  </si>
  <si>
    <t>5.3.2.1</t>
  </si>
  <si>
    <t>5.3.3.1</t>
  </si>
  <si>
    <t>5.3.3.2</t>
  </si>
  <si>
    <t>5.3.3.3</t>
  </si>
  <si>
    <t>5.3.4.1</t>
  </si>
  <si>
    <t>5.3.4.2</t>
  </si>
  <si>
    <t>5.3.5.1</t>
  </si>
  <si>
    <t>5.3.5.2</t>
  </si>
  <si>
    <t>5.3.6.1</t>
  </si>
  <si>
    <t>5.3.6.2</t>
  </si>
  <si>
    <t>5.3.7.1</t>
  </si>
  <si>
    <t>5.3.7.2</t>
  </si>
  <si>
    <t>5.3.7.3</t>
  </si>
  <si>
    <t>5.3.8.1</t>
  </si>
  <si>
    <t>5.3.8.2</t>
  </si>
  <si>
    <t>5.3.9.1</t>
  </si>
  <si>
    <t>5.3.9.2</t>
  </si>
  <si>
    <t>5.3.10.1</t>
  </si>
  <si>
    <t>5.3.10.2</t>
  </si>
  <si>
    <t>5.3.11.1</t>
  </si>
  <si>
    <t>5.4.1</t>
  </si>
  <si>
    <t>5.4.2</t>
  </si>
  <si>
    <t>5.4.3</t>
  </si>
  <si>
    <t>5.4.4</t>
  </si>
  <si>
    <t>5.4.5</t>
  </si>
  <si>
    <t>5.4.6</t>
  </si>
  <si>
    <t>5.4.7</t>
  </si>
  <si>
    <t>5.4.8</t>
  </si>
  <si>
    <t>5.5.1.1</t>
  </si>
  <si>
    <t>5.5.1.2</t>
  </si>
  <si>
    <t>5.5.2.1</t>
  </si>
  <si>
    <t>5.5.3.1</t>
  </si>
  <si>
    <t>5.5.3.2</t>
  </si>
  <si>
    <t>5.6.1</t>
  </si>
  <si>
    <t>5.7.1</t>
  </si>
  <si>
    <t>5.7.2</t>
  </si>
  <si>
    <t>5.7.3</t>
  </si>
  <si>
    <t>5.7.4</t>
  </si>
  <si>
    <t>5.7.5</t>
  </si>
  <si>
    <t>5.7.6</t>
  </si>
  <si>
    <t>5.7.7</t>
  </si>
  <si>
    <t>5.7.8</t>
  </si>
  <si>
    <t>5.7.9</t>
  </si>
  <si>
    <t>5.7.10</t>
  </si>
  <si>
    <t>5.7.11</t>
  </si>
  <si>
    <t>5.7.12</t>
  </si>
  <si>
    <t>6.1.1</t>
  </si>
  <si>
    <t>6.1.2</t>
  </si>
  <si>
    <t>6.1.3</t>
  </si>
  <si>
    <t>6.1.4</t>
  </si>
  <si>
    <t>6.1.5</t>
  </si>
  <si>
    <t>6.1.6</t>
  </si>
  <si>
    <t>6.1.7</t>
  </si>
  <si>
    <t>6.1.8</t>
  </si>
  <si>
    <t>6.1.9</t>
  </si>
  <si>
    <t>6.1.10</t>
  </si>
  <si>
    <t>6.1.11</t>
  </si>
  <si>
    <t>6.1.12</t>
  </si>
  <si>
    <t>6.1.13</t>
  </si>
  <si>
    <t>6.1.14</t>
  </si>
  <si>
    <t>6.1.15</t>
  </si>
  <si>
    <t>6.1.16</t>
  </si>
  <si>
    <t>6.1.17</t>
  </si>
  <si>
    <t>6.2.1</t>
  </si>
  <si>
    <t>6.2.2</t>
  </si>
  <si>
    <t>6.2.3</t>
  </si>
  <si>
    <t>6.2.4</t>
  </si>
  <si>
    <t>6.2.5</t>
  </si>
  <si>
    <t>6.2.6</t>
  </si>
  <si>
    <t>6.3.1.1</t>
  </si>
  <si>
    <t>6.3.1.2</t>
  </si>
  <si>
    <t>6.3.2.1</t>
  </si>
  <si>
    <t>6.3.3.1</t>
  </si>
  <si>
    <t>6.3.3.2</t>
  </si>
  <si>
    <t>6.3.3.3</t>
  </si>
  <si>
    <t>6.3.4.1</t>
  </si>
  <si>
    <t>6.3.4.2</t>
  </si>
  <si>
    <t>6.3.5.1</t>
  </si>
  <si>
    <t>6.3.5.2</t>
  </si>
  <si>
    <t>6.3.6.1</t>
  </si>
  <si>
    <t>6.3.6.2</t>
  </si>
  <si>
    <t>6.3.7.1</t>
  </si>
  <si>
    <t>6.3.7.2</t>
  </si>
  <si>
    <t>6.3.7.3</t>
  </si>
  <si>
    <t>6.3.8.1</t>
  </si>
  <si>
    <t>6.3.8.2</t>
  </si>
  <si>
    <t>6.3.9.1</t>
  </si>
  <si>
    <t>6.3.9.2</t>
  </si>
  <si>
    <t>6.3.10.1</t>
  </si>
  <si>
    <t>6.3.10.2</t>
  </si>
  <si>
    <t>6.3.11.1</t>
  </si>
  <si>
    <t>6.4.1</t>
  </si>
  <si>
    <t>6.4.2</t>
  </si>
  <si>
    <t>6.4.3</t>
  </si>
  <si>
    <t>6.4.4</t>
  </si>
  <si>
    <t>6.4.5</t>
  </si>
  <si>
    <t>6.4.6</t>
  </si>
  <si>
    <t>6.4.7</t>
  </si>
  <si>
    <t>6.4.8</t>
  </si>
  <si>
    <t>6.5.1.1</t>
  </si>
  <si>
    <t>6.5.1.2</t>
  </si>
  <si>
    <t>6.5.2.1</t>
  </si>
  <si>
    <t>6.5.3.1</t>
  </si>
  <si>
    <t>6.5.3.2</t>
  </si>
  <si>
    <t>6.6.1</t>
  </si>
  <si>
    <t>6.7.1</t>
  </si>
  <si>
    <t>6.7.2</t>
  </si>
  <si>
    <t>6.7.3</t>
  </si>
  <si>
    <t>6.7.4</t>
  </si>
  <si>
    <t>6.7.5</t>
  </si>
  <si>
    <t>6.7.6</t>
  </si>
  <si>
    <t>6.7.7</t>
  </si>
  <si>
    <t>6.7.8</t>
  </si>
  <si>
    <t>6.7.9</t>
  </si>
  <si>
    <t>6.7.10</t>
  </si>
  <si>
    <t>6.7.11</t>
  </si>
  <si>
    <t>6.7.12</t>
  </si>
  <si>
    <t>CRONOGRAMA DA OBRA</t>
  </si>
  <si>
    <t>%</t>
  </si>
  <si>
    <t>TOTAL GERAL (R$)</t>
  </si>
  <si>
    <t>TOTAL ACUMULADO (R$)</t>
  </si>
  <si>
    <t>MEMÓRIA DE CÁLCULO</t>
  </si>
  <si>
    <t>COEF.</t>
  </si>
  <si>
    <t>COMP. (m)</t>
  </si>
  <si>
    <t>LARG. (m)</t>
  </si>
  <si>
    <t>ALT. (m)</t>
  </si>
  <si>
    <t>ÁREA (m2)</t>
  </si>
  <si>
    <t>VOL. (m3)</t>
  </si>
  <si>
    <t>PARCIAL</t>
  </si>
  <si>
    <t>SERVIÇOS PRELIMINARES</t>
  </si>
  <si>
    <t>COMPOS25</t>
  </si>
  <si>
    <t>1.1.1</t>
  </si>
  <si>
    <t/>
  </si>
  <si>
    <t>COMP14</t>
  </si>
  <si>
    <t>1.2.1</t>
  </si>
  <si>
    <t>COMUNIDADE SANTA MARIA</t>
  </si>
  <si>
    <t>PERFURAÇÃO DE POÇO TUBULAR</t>
  </si>
  <si>
    <t>COMPOS3</t>
  </si>
  <si>
    <t>2.1.1.1</t>
  </si>
  <si>
    <t>COMPOS4</t>
  </si>
  <si>
    <t>2.1.2.1</t>
  </si>
  <si>
    <t>TERESINA - SANTA MARIA (PERFURATRIZ)</t>
  </si>
  <si>
    <t>2.1.3.1</t>
  </si>
  <si>
    <t>TERESINA - SANTA MARIA (COMPRESSOR E REVESTIMENTO)</t>
  </si>
  <si>
    <t>COMPOS5</t>
  </si>
  <si>
    <t>2.1.4.1</t>
  </si>
  <si>
    <t>COMPOS6</t>
  </si>
  <si>
    <t>2.1.5.1</t>
  </si>
  <si>
    <t>VER PERFIL LITOLÓGICO</t>
  </si>
  <si>
    <t>COMPOS7</t>
  </si>
  <si>
    <t>2.1.6.1</t>
  </si>
  <si>
    <t>COMPOS8</t>
  </si>
  <si>
    <t>2.1.7.1</t>
  </si>
  <si>
    <t>COMPOS9</t>
  </si>
  <si>
    <t>2.1.8.1</t>
  </si>
  <si>
    <t>COMPOS10</t>
  </si>
  <si>
    <t>2.1.9.1</t>
  </si>
  <si>
    <t>COMPOS11</t>
  </si>
  <si>
    <t>2.1.10.1</t>
  </si>
  <si>
    <t>COMPOS12</t>
  </si>
  <si>
    <t>2.1.11.1</t>
  </si>
  <si>
    <t>COMPOS13</t>
  </si>
  <si>
    <t>2.1.12.1</t>
  </si>
  <si>
    <t>COMPOS14</t>
  </si>
  <si>
    <t>2.1.13.1</t>
  </si>
  <si>
    <t>COMPOS15</t>
  </si>
  <si>
    <t>2.1.14.1</t>
  </si>
  <si>
    <t>COMPOS16</t>
  </si>
  <si>
    <t>2.1.15.1</t>
  </si>
  <si>
    <t>COMPOS1</t>
  </si>
  <si>
    <t>2.1.16.1</t>
  </si>
  <si>
    <t>COMPOS2</t>
  </si>
  <si>
    <t>2.1.17.1</t>
  </si>
  <si>
    <t>AQUISIÇÃO E INSTALAÇÃO DE EQUIPAMENTOS DE BOMBEAMENTO, RECALQUE/BARRILETE E CONEXÕES PARA INTERLIGAÇÃO COM RESERVATÓRIO</t>
  </si>
  <si>
    <t>COMPOS17</t>
  </si>
  <si>
    <t>2.2.1.1</t>
  </si>
  <si>
    <t>COMPOS29</t>
  </si>
  <si>
    <t>2.2.2.1</t>
  </si>
  <si>
    <t>COMPOS19</t>
  </si>
  <si>
    <t>2.2.3.1</t>
  </si>
  <si>
    <t>COMPOS24</t>
  </si>
  <si>
    <t>2.2.4.1</t>
  </si>
  <si>
    <t>COMPOS21</t>
  </si>
  <si>
    <t>2.2.5.1</t>
  </si>
  <si>
    <t>COMPOS26</t>
  </si>
  <si>
    <t>2.2.6.1</t>
  </si>
  <si>
    <t>CONSTRUÇÃO DA CASA DE COMANDO</t>
  </si>
  <si>
    <t>2.3.1.1.1</t>
  </si>
  <si>
    <t>2.3.1.2.1</t>
  </si>
  <si>
    <t>MOVIMENTO DE TERRA</t>
  </si>
  <si>
    <t>2.3.2.1.1</t>
  </si>
  <si>
    <t>2.3.2.1.2</t>
  </si>
  <si>
    <t>INFRAESTRUTURA</t>
  </si>
  <si>
    <t>2.3.3.1.1</t>
  </si>
  <si>
    <t>2.3.3.1.2</t>
  </si>
  <si>
    <t>2.3.3.2.1</t>
  </si>
  <si>
    <t>2.3.3.2.2</t>
  </si>
  <si>
    <t>2.3.3.3.1</t>
  </si>
  <si>
    <t>2.3.3.3.2</t>
  </si>
  <si>
    <t>SUPERESTRUTURA</t>
  </si>
  <si>
    <t>COMPCOM01</t>
  </si>
  <si>
    <t>2.3.4.1.1</t>
  </si>
  <si>
    <t>2.3.4.1.2</t>
  </si>
  <si>
    <t>COMPCOM02</t>
  </si>
  <si>
    <t>2.3.4.2.1</t>
  </si>
  <si>
    <t>PILAR</t>
  </si>
  <si>
    <t>2.3.4.2.2</t>
  </si>
  <si>
    <t>VEDAÇÃO VERTICAL</t>
  </si>
  <si>
    <t>2.3.5.1.1</t>
  </si>
  <si>
    <t>2.3.5.1.2</t>
  </si>
  <si>
    <t>2.3.5.1.3</t>
  </si>
  <si>
    <t>2.3.5.1.4</t>
  </si>
  <si>
    <t>2.3.5.1.5</t>
  </si>
  <si>
    <t>2.3.5.2.1</t>
  </si>
  <si>
    <t>COBERTURA</t>
  </si>
  <si>
    <t>COMPCOM03</t>
  </si>
  <si>
    <t>2.3.6.1.1</t>
  </si>
  <si>
    <t>COMPCOM04</t>
  </si>
  <si>
    <t>2.3.6.2.1</t>
  </si>
  <si>
    <t>PISO</t>
  </si>
  <si>
    <t>2.3.7.1.1</t>
  </si>
  <si>
    <t>2.3.7.2.1</t>
  </si>
  <si>
    <t>2.3.7.3.1</t>
  </si>
  <si>
    <t>2.3.7.3.2</t>
  </si>
  <si>
    <t>REVESTIMENTO</t>
  </si>
  <si>
    <t>2.3.8.1.1</t>
  </si>
  <si>
    <t>2 x ÁREA DA ALVENARIA</t>
  </si>
  <si>
    <t>2.3.8.2.1</t>
  </si>
  <si>
    <t>ESQUADRIAS</t>
  </si>
  <si>
    <t>2.3.9.1.1</t>
  </si>
  <si>
    <t>C3659</t>
  </si>
  <si>
    <t>2.3.9.2.1</t>
  </si>
  <si>
    <t>PINTURA</t>
  </si>
  <si>
    <t>COMP205</t>
  </si>
  <si>
    <t>2.3.10.1.1</t>
  </si>
  <si>
    <t>2.3.10.2.1</t>
  </si>
  <si>
    <t>2 x ÁREA DA PORTA</t>
  </si>
  <si>
    <t>CERCAMENTO</t>
  </si>
  <si>
    <t>2.3.11.1.1</t>
  </si>
  <si>
    <t>2.3.11.1.2</t>
  </si>
  <si>
    <t>DESCONTO DE PORTÃO</t>
  </si>
  <si>
    <t>INSTALAÇÕES ELÉTRICAS</t>
  </si>
  <si>
    <t>COMPINST05</t>
  </si>
  <si>
    <t>2.4.1.1</t>
  </si>
  <si>
    <t>2.4.2.1</t>
  </si>
  <si>
    <t>2.4.3.1</t>
  </si>
  <si>
    <t>09041/ORSE</t>
  </si>
  <si>
    <t>2.4.4.1</t>
  </si>
  <si>
    <t>2.4.5.1</t>
  </si>
  <si>
    <t>COMPINST02</t>
  </si>
  <si>
    <t>2.4.6.1</t>
  </si>
  <si>
    <t>2.4.7.1</t>
  </si>
  <si>
    <t>COMPINST04</t>
  </si>
  <si>
    <t>2.4.8.1</t>
  </si>
  <si>
    <t>ADUÇÃO</t>
  </si>
  <si>
    <t>2.5.1.1.1</t>
  </si>
  <si>
    <t>COMPOS28</t>
  </si>
  <si>
    <t>2.5.1.2.1</t>
  </si>
  <si>
    <t>C3403</t>
  </si>
  <si>
    <t>2.5.2.1.1</t>
  </si>
  <si>
    <t>INSTALAÇÕES HIDRÁULICAS</t>
  </si>
  <si>
    <t>COMPOS27</t>
  </si>
  <si>
    <t>2.5.3.1.1</t>
  </si>
  <si>
    <t>2.5.3.2.1</t>
  </si>
  <si>
    <t>RESERVAÇÃO</t>
  </si>
  <si>
    <t>COMPOS32</t>
  </si>
  <si>
    <t>2.6.1.1</t>
  </si>
  <si>
    <t>DISTRIBUIÇÃO (CHAFARIZ)</t>
  </si>
  <si>
    <t>2.7.1.1</t>
  </si>
  <si>
    <t>06457/ORSE</t>
  </si>
  <si>
    <t>2.7.2.1</t>
  </si>
  <si>
    <t>BLOCO DE ANCORAGEM</t>
  </si>
  <si>
    <t>2.7.3.1</t>
  </si>
  <si>
    <t>2.7.4.1</t>
  </si>
  <si>
    <t>COMPCH08</t>
  </si>
  <si>
    <t>2.7.5.1</t>
  </si>
  <si>
    <t>COMPCH01</t>
  </si>
  <si>
    <t>2.7.6.1</t>
  </si>
  <si>
    <t>COMPCH02</t>
  </si>
  <si>
    <t>2.7.7.1</t>
  </si>
  <si>
    <t>COMPCH03</t>
  </si>
  <si>
    <t>2.7.8.1</t>
  </si>
  <si>
    <t>COMPCH04</t>
  </si>
  <si>
    <t>2.7.9.1</t>
  </si>
  <si>
    <t>COMPCH05</t>
  </si>
  <si>
    <t>2.7.10.1</t>
  </si>
  <si>
    <t>2.7.11.1</t>
  </si>
  <si>
    <t>COMPCH07</t>
  </si>
  <si>
    <t>2.7.12.1</t>
  </si>
  <si>
    <t>COMUNIDADE JACAÚNA</t>
  </si>
  <si>
    <t>3.1.1.1</t>
  </si>
  <si>
    <t>3.1.2.1</t>
  </si>
  <si>
    <t>DISTÂNCIA ENTRE LOCALIDADES (PERFURATRIZ)</t>
  </si>
  <si>
    <t>3.1.3.1</t>
  </si>
  <si>
    <t>DISTÂNCIA ENTRE LOCALIDADES (COMPRESSOR E REVESTIMENTO)</t>
  </si>
  <si>
    <t>3.1.4.1</t>
  </si>
  <si>
    <t>3.1.5.1</t>
  </si>
  <si>
    <t>3.1.6.1</t>
  </si>
  <si>
    <t>3.1.7.1</t>
  </si>
  <si>
    <t>3.1.8.1</t>
  </si>
  <si>
    <t>3.1.9.1</t>
  </si>
  <si>
    <t>3.1.10.1</t>
  </si>
  <si>
    <t>3.1.11.1</t>
  </si>
  <si>
    <t>3.1.12.1</t>
  </si>
  <si>
    <t>3.1.13.1</t>
  </si>
  <si>
    <t>3.1.14.1</t>
  </si>
  <si>
    <t>3.1.15.1</t>
  </si>
  <si>
    <t>3.1.16.1</t>
  </si>
  <si>
    <t>3.1.17.1</t>
  </si>
  <si>
    <t>3.2.1.1</t>
  </si>
  <si>
    <t>3.2.2.1</t>
  </si>
  <si>
    <t>3.2.3.1</t>
  </si>
  <si>
    <t>3.2.4.1</t>
  </si>
  <si>
    <t>3.2.5.1</t>
  </si>
  <si>
    <t>3.2.6.1</t>
  </si>
  <si>
    <t>3.3.1.1.1</t>
  </si>
  <si>
    <t>3.3.1.2.1</t>
  </si>
  <si>
    <t>3.3.2.1.1</t>
  </si>
  <si>
    <t>3.3.2.1.2</t>
  </si>
  <si>
    <t>3.3.3.1.1</t>
  </si>
  <si>
    <t>3.3.3.1.2</t>
  </si>
  <si>
    <t>3.3.3.2.1</t>
  </si>
  <si>
    <t>3.3.3.2.2</t>
  </si>
  <si>
    <t>3.3.3.3.1</t>
  </si>
  <si>
    <t>3.3.3.3.2</t>
  </si>
  <si>
    <t>3.3.4.1.1</t>
  </si>
  <si>
    <t>3.3.4.1.2</t>
  </si>
  <si>
    <t>3.3.4.2.1</t>
  </si>
  <si>
    <t>3.3.4.2.2</t>
  </si>
  <si>
    <t>3.3.5.1.1</t>
  </si>
  <si>
    <t>3.3.5.1.2</t>
  </si>
  <si>
    <t>3.3.5.1.3</t>
  </si>
  <si>
    <t>3.3.5.1.4</t>
  </si>
  <si>
    <t>3.3.5.1.5</t>
  </si>
  <si>
    <t>3.3.5.2.1</t>
  </si>
  <si>
    <t>3.3.6.1.1</t>
  </si>
  <si>
    <t>3.3.6.2.1</t>
  </si>
  <si>
    <t>3.3.7.1.1</t>
  </si>
  <si>
    <t>3.3.7.2.1</t>
  </si>
  <si>
    <t>3.3.7.3.1</t>
  </si>
  <si>
    <t>3.3.7.3.2</t>
  </si>
  <si>
    <t>3.3.8.1.1</t>
  </si>
  <si>
    <t>3.3.8.2.1</t>
  </si>
  <si>
    <t>3.3.9.1.1</t>
  </si>
  <si>
    <t>3.3.9.2.1</t>
  </si>
  <si>
    <t>3.3.10.1.1</t>
  </si>
  <si>
    <t>3.3.10.2.1</t>
  </si>
  <si>
    <t>3.3.11.1.1</t>
  </si>
  <si>
    <t>3.3.11.1.2</t>
  </si>
  <si>
    <t>3.4.1.1</t>
  </si>
  <si>
    <t>3.4.2.1</t>
  </si>
  <si>
    <t>3.4.3.1</t>
  </si>
  <si>
    <t>3.4.4.1</t>
  </si>
  <si>
    <t>3.4.5.1</t>
  </si>
  <si>
    <t>3.4.6.1</t>
  </si>
  <si>
    <t>3.4.7.1</t>
  </si>
  <si>
    <t>3.4.8.1</t>
  </si>
  <si>
    <t>3.5.1.1.1</t>
  </si>
  <si>
    <t>3.5.1.2.1</t>
  </si>
  <si>
    <t>3.5.2.1.1</t>
  </si>
  <si>
    <t>3.5.3.1.1</t>
  </si>
  <si>
    <t>3.5.3.2.1</t>
  </si>
  <si>
    <t>3.6.1.1</t>
  </si>
  <si>
    <t>3.7.1.1</t>
  </si>
  <si>
    <t>3.7.2.1</t>
  </si>
  <si>
    <t>3.7.3.1</t>
  </si>
  <si>
    <t>3.7.4.1</t>
  </si>
  <si>
    <t>3.7.5.1</t>
  </si>
  <si>
    <t>3.7.6.1</t>
  </si>
  <si>
    <t>3.7.7.1</t>
  </si>
  <si>
    <t>3.7.8.1</t>
  </si>
  <si>
    <t>3.7.9.1</t>
  </si>
  <si>
    <t>3.7.10.1</t>
  </si>
  <si>
    <t>3.7.11.1</t>
  </si>
  <si>
    <t>3.7.12.1</t>
  </si>
  <si>
    <t>COMUNIDADE LAGOA DOURADA</t>
  </si>
  <si>
    <t>4.1.1.1</t>
  </si>
  <si>
    <t>4.1.2.1</t>
  </si>
  <si>
    <t>4.1.3.1</t>
  </si>
  <si>
    <t>4.1.4.1</t>
  </si>
  <si>
    <t>4.1.5.1</t>
  </si>
  <si>
    <t>4.1.6.1</t>
  </si>
  <si>
    <t>4.1.7.1</t>
  </si>
  <si>
    <t>4.1.8.1</t>
  </si>
  <si>
    <t>4.1.9.1</t>
  </si>
  <si>
    <t>4.1.10.1</t>
  </si>
  <si>
    <t>4.1.11.1</t>
  </si>
  <si>
    <t>4.1.12.1</t>
  </si>
  <si>
    <t>4.1.13.1</t>
  </si>
  <si>
    <t>4.1.14.1</t>
  </si>
  <si>
    <t>4.1.15.1</t>
  </si>
  <si>
    <t>4.1.16.1</t>
  </si>
  <si>
    <t>4.1.17.1</t>
  </si>
  <si>
    <t>4.2.1.1</t>
  </si>
  <si>
    <t>4.2.2.1</t>
  </si>
  <si>
    <t>4.2.3.1</t>
  </si>
  <si>
    <t>4.2.4.1</t>
  </si>
  <si>
    <t>4.2.5.1</t>
  </si>
  <si>
    <t>4.2.6.1</t>
  </si>
  <si>
    <t>4.3.1.1.1</t>
  </si>
  <si>
    <t>4.3.1.2.1</t>
  </si>
  <si>
    <t>4.3.2.1.1</t>
  </si>
  <si>
    <t>4.3.2.1.2</t>
  </si>
  <si>
    <t>4.3.3.1.1</t>
  </si>
  <si>
    <t>4.3.3.1.2</t>
  </si>
  <si>
    <t>4.3.3.2.1</t>
  </si>
  <si>
    <t>4.3.3.2.2</t>
  </si>
  <si>
    <t>4.3.3.3.1</t>
  </si>
  <si>
    <t>4.3.3.3.2</t>
  </si>
  <si>
    <t>4.3.4.1.1</t>
  </si>
  <si>
    <t>4.3.4.1.2</t>
  </si>
  <si>
    <t>4.3.4.2.1</t>
  </si>
  <si>
    <t>4.3.4.2.2</t>
  </si>
  <si>
    <t>4.3.5.1.1</t>
  </si>
  <si>
    <t>4.3.5.1.2</t>
  </si>
  <si>
    <t>4.3.5.1.3</t>
  </si>
  <si>
    <t>4.3.5.1.4</t>
  </si>
  <si>
    <t>4.3.5.1.5</t>
  </si>
  <si>
    <t>4.3.5.2.1</t>
  </si>
  <si>
    <t>4.3.6.1.1</t>
  </si>
  <si>
    <t>4.3.6.2.1</t>
  </si>
  <si>
    <t>4.3.7.1.1</t>
  </si>
  <si>
    <t>4.3.7.2.1</t>
  </si>
  <si>
    <t>4.3.7.3.1</t>
  </si>
  <si>
    <t>4.3.7.3.2</t>
  </si>
  <si>
    <t>4.3.8.1.1</t>
  </si>
  <si>
    <t>4.3.8.2.1</t>
  </si>
  <si>
    <t>4.3.9.1.1</t>
  </si>
  <si>
    <t>4.3.9.2.1</t>
  </si>
  <si>
    <t>4.3.10.1.1</t>
  </si>
  <si>
    <t>4.3.10.2.1</t>
  </si>
  <si>
    <t>4.3.11.1.1</t>
  </si>
  <si>
    <t>4.3.11.1.2</t>
  </si>
  <si>
    <t>4.4.1.1</t>
  </si>
  <si>
    <t>4.4.2.1</t>
  </si>
  <si>
    <t>4.4.3.1</t>
  </si>
  <si>
    <t>4.4.4.1</t>
  </si>
  <si>
    <t>4.4.5.1</t>
  </si>
  <si>
    <t>4.4.6.1</t>
  </si>
  <si>
    <t>4.4.7.1</t>
  </si>
  <si>
    <t>4.4.8.1</t>
  </si>
  <si>
    <t>4.5.1.1.1</t>
  </si>
  <si>
    <t>4.5.1.2.1</t>
  </si>
  <si>
    <t>4.5.2.1.1</t>
  </si>
  <si>
    <t>4.5.3.1.1</t>
  </si>
  <si>
    <t>4.5.3.2.1</t>
  </si>
  <si>
    <t>4.6.1.1</t>
  </si>
  <si>
    <t>4.7.1.1</t>
  </si>
  <si>
    <t>4.7.2.1</t>
  </si>
  <si>
    <t>4.7.3.1</t>
  </si>
  <si>
    <t>4.7.4.1</t>
  </si>
  <si>
    <t>4.7.5.1</t>
  </si>
  <si>
    <t>4.7.6.1</t>
  </si>
  <si>
    <t>4.7.7.1</t>
  </si>
  <si>
    <t>4.7.8.1</t>
  </si>
  <si>
    <t>4.7.9.1</t>
  </si>
  <si>
    <t>4.7.10.1</t>
  </si>
  <si>
    <t>4.7.11.1</t>
  </si>
  <si>
    <t>4.7.12.1</t>
  </si>
  <si>
    <t>COMUNIDADE SERRA</t>
  </si>
  <si>
    <t>5.1.1.1</t>
  </si>
  <si>
    <t>5.1.2.1</t>
  </si>
  <si>
    <t>5.1.3.1</t>
  </si>
  <si>
    <t>5.1.4.1</t>
  </si>
  <si>
    <t>5.1.5.1</t>
  </si>
  <si>
    <t>5.1.6.1</t>
  </si>
  <si>
    <t>5.1.7.1</t>
  </si>
  <si>
    <t>5.1.8.1</t>
  </si>
  <si>
    <t>5.1.9.1</t>
  </si>
  <si>
    <t>5.1.10.1</t>
  </si>
  <si>
    <t>5.1.11.1</t>
  </si>
  <si>
    <t>5.1.12.1</t>
  </si>
  <si>
    <t>5.1.13.1</t>
  </si>
  <si>
    <t>5.1.14.1</t>
  </si>
  <si>
    <t>5.1.15.1</t>
  </si>
  <si>
    <t>5.1.16.1</t>
  </si>
  <si>
    <t>5.1.17.1</t>
  </si>
  <si>
    <t>5.2.1.1</t>
  </si>
  <si>
    <t>5.2.2.1</t>
  </si>
  <si>
    <t>5.2.3.1</t>
  </si>
  <si>
    <t>5.2.4.1</t>
  </si>
  <si>
    <t>5.2.5.1</t>
  </si>
  <si>
    <t>5.2.6.1</t>
  </si>
  <si>
    <t>5.3.1.1.1</t>
  </si>
  <si>
    <t>5.3.1.2.1</t>
  </si>
  <si>
    <t>5.3.2.1.1</t>
  </si>
  <si>
    <t>5.3.2.1.2</t>
  </si>
  <si>
    <t>5.3.3.1.1</t>
  </si>
  <si>
    <t>5.3.3.1.2</t>
  </si>
  <si>
    <t>5.3.3.2.1</t>
  </si>
  <si>
    <t>5.3.3.2.2</t>
  </si>
  <si>
    <t>5.3.3.3.1</t>
  </si>
  <si>
    <t>5.3.3.3.2</t>
  </si>
  <si>
    <t>5.3.4.1.1</t>
  </si>
  <si>
    <t>5.3.4.1.2</t>
  </si>
  <si>
    <t>5.3.4.2.1</t>
  </si>
  <si>
    <t>5.3.4.2.2</t>
  </si>
  <si>
    <t>5.3.5.1.1</t>
  </si>
  <si>
    <t>5.3.5.1.2</t>
  </si>
  <si>
    <t>5.3.5.1.3</t>
  </si>
  <si>
    <t>5.3.5.1.4</t>
  </si>
  <si>
    <t>5.3.5.1.5</t>
  </si>
  <si>
    <t>5.3.5.2.1</t>
  </si>
  <si>
    <t>5.3.6.1.1</t>
  </si>
  <si>
    <t>5.3.6.2.1</t>
  </si>
  <si>
    <t>5.3.7.1.1</t>
  </si>
  <si>
    <t>5.3.7.2.1</t>
  </si>
  <si>
    <t>5.3.7.3.1</t>
  </si>
  <si>
    <t>5.3.7.3.2</t>
  </si>
  <si>
    <t>5.3.8.1.1</t>
  </si>
  <si>
    <t>5.3.8.2.1</t>
  </si>
  <si>
    <t>5.3.9.1.1</t>
  </si>
  <si>
    <t>5.3.9.2.1</t>
  </si>
  <si>
    <t>5.3.10.1.1</t>
  </si>
  <si>
    <t>5.3.10.2.1</t>
  </si>
  <si>
    <t>5.3.11.1.1</t>
  </si>
  <si>
    <t>5.3.11.1.2</t>
  </si>
  <si>
    <t>5.4.1.1</t>
  </si>
  <si>
    <t>5.4.2.1</t>
  </si>
  <si>
    <t>5.4.3.1</t>
  </si>
  <si>
    <t>5.4.4.1</t>
  </si>
  <si>
    <t>5.4.5.1</t>
  </si>
  <si>
    <t>5.4.6.1</t>
  </si>
  <si>
    <t>5.4.7.1</t>
  </si>
  <si>
    <t>5.4.8.1</t>
  </si>
  <si>
    <t>5.5.1.1.1</t>
  </si>
  <si>
    <t>5.5.1.2.1</t>
  </si>
  <si>
    <t>5.5.2.1.1</t>
  </si>
  <si>
    <t>5.5.3.1.1</t>
  </si>
  <si>
    <t>5.5.3.2.1</t>
  </si>
  <si>
    <t>5.6.1.1</t>
  </si>
  <si>
    <t>5.7.1.1</t>
  </si>
  <si>
    <t>5.7.2.1</t>
  </si>
  <si>
    <t>5.7.3.1</t>
  </si>
  <si>
    <t>5.7.4.1</t>
  </si>
  <si>
    <t>5.7.5.1</t>
  </si>
  <si>
    <t>5.7.6.1</t>
  </si>
  <si>
    <t>5.7.7.1</t>
  </si>
  <si>
    <t>5.7.8.1</t>
  </si>
  <si>
    <t>5.7.9.1</t>
  </si>
  <si>
    <t>5.7.10.1</t>
  </si>
  <si>
    <t>5.7.11.1</t>
  </si>
  <si>
    <t>5.7.12.1</t>
  </si>
  <si>
    <t>COMUNIDADE VÁRZEA</t>
  </si>
  <si>
    <t>6.1.1.1</t>
  </si>
  <si>
    <t>6.1.2.1</t>
  </si>
  <si>
    <t>DISTÂNCIA ENTRE LOCALIDADES + DISTÂNCIA COMUNIDADE VÁRZE - TERESINA (PERFURATRIZ)</t>
  </si>
  <si>
    <t>6.1.3.1</t>
  </si>
  <si>
    <t>DISTÂNCIA ENTRE LOCALIDADES + DISTÂNCIA COMUNIDADE VÁRZE - TERESINA (COMPRESSOR E REVESTIMENTO)</t>
  </si>
  <si>
    <t>6.1.4.1</t>
  </si>
  <si>
    <t>6.1.5.1</t>
  </si>
  <si>
    <t>6.1.6.1</t>
  </si>
  <si>
    <t>6.1.7.1</t>
  </si>
  <si>
    <t>6.1.8.1</t>
  </si>
  <si>
    <t>6.1.9.1</t>
  </si>
  <si>
    <t>6.1.10.1</t>
  </si>
  <si>
    <t>6.1.11.1</t>
  </si>
  <si>
    <t>6.1.12.1</t>
  </si>
  <si>
    <t>6.1.13.1</t>
  </si>
  <si>
    <t>6.1.14.1</t>
  </si>
  <si>
    <t>6.1.15.1</t>
  </si>
  <si>
    <t>6.1.16.1</t>
  </si>
  <si>
    <t>6.1.17.1</t>
  </si>
  <si>
    <t>6.2.1.1</t>
  </si>
  <si>
    <t>6.2.2.1</t>
  </si>
  <si>
    <t>6.2.3.1</t>
  </si>
  <si>
    <t>6.2.4.1</t>
  </si>
  <si>
    <t>6.2.5.1</t>
  </si>
  <si>
    <t>6.2.6.1</t>
  </si>
  <si>
    <t>6.3.1.1.1</t>
  </si>
  <si>
    <t>6.3.1.2.1</t>
  </si>
  <si>
    <t>6.3.2.1.1</t>
  </si>
  <si>
    <t>6.3.2.1.2</t>
  </si>
  <si>
    <t>6.3.3.1.1</t>
  </si>
  <si>
    <t>6.3.3.1.2</t>
  </si>
  <si>
    <t>6.3.3.2.1</t>
  </si>
  <si>
    <t>6.3.3.2.2</t>
  </si>
  <si>
    <t>6.3.3.3.1</t>
  </si>
  <si>
    <t>6.3.3.3.2</t>
  </si>
  <si>
    <t>6.3.4.1.1</t>
  </si>
  <si>
    <t>6.3.4.1.2</t>
  </si>
  <si>
    <t>6.3.4.2.1</t>
  </si>
  <si>
    <t>6.3.4.2.2</t>
  </si>
  <si>
    <t>6.3.5.1.1</t>
  </si>
  <si>
    <t>6.3.5.1.2</t>
  </si>
  <si>
    <t>6.3.5.1.3</t>
  </si>
  <si>
    <t>6.3.5.1.4</t>
  </si>
  <si>
    <t>6.3.5.1.5</t>
  </si>
  <si>
    <t>6.3.5.2.1</t>
  </si>
  <si>
    <t>6.3.6.1.1</t>
  </si>
  <si>
    <t>6.3.6.2.1</t>
  </si>
  <si>
    <t>6.3.7.1.1</t>
  </si>
  <si>
    <t>6.3.7.2.1</t>
  </si>
  <si>
    <t>6.3.7.3.1</t>
  </si>
  <si>
    <t>6.3.7.3.2</t>
  </si>
  <si>
    <t>6.3.8.1.1</t>
  </si>
  <si>
    <t>6.3.8.2.1</t>
  </si>
  <si>
    <t>6.3.9.1.1</t>
  </si>
  <si>
    <t>6.3.9.2.1</t>
  </si>
  <si>
    <t>6.3.10.1.1</t>
  </si>
  <si>
    <t>6.3.10.2.1</t>
  </si>
  <si>
    <t>6.3.11.1.1</t>
  </si>
  <si>
    <t>6.3.11.1.2</t>
  </si>
  <si>
    <t>6.4.1.1</t>
  </si>
  <si>
    <t>6.4.2.1</t>
  </si>
  <si>
    <t>6.4.3.1</t>
  </si>
  <si>
    <t>6.4.4.1</t>
  </si>
  <si>
    <t>6.4.5.1</t>
  </si>
  <si>
    <t>6.4.6.1</t>
  </si>
  <si>
    <t>6.4.7.1</t>
  </si>
  <si>
    <t>6.4.8.1</t>
  </si>
  <si>
    <t>6.5.1.1.1</t>
  </si>
  <si>
    <t>6.5.1.2.1</t>
  </si>
  <si>
    <t>6.5.2.1.1</t>
  </si>
  <si>
    <t>6.5.3.1.1</t>
  </si>
  <si>
    <t>6.5.3.2.1</t>
  </si>
  <si>
    <t>6.6.1.1</t>
  </si>
  <si>
    <t>6.7.1.1</t>
  </si>
  <si>
    <t>6.7.2.1</t>
  </si>
  <si>
    <t>6.7.3.1</t>
  </si>
  <si>
    <t>6.7.4.1</t>
  </si>
  <si>
    <t>6.7.5.1</t>
  </si>
  <si>
    <t>6.7.6.1</t>
  </si>
  <si>
    <t>6.7.7.1</t>
  </si>
  <si>
    <t>6.7.8.1</t>
  </si>
  <si>
    <t>6.7.9.1</t>
  </si>
  <si>
    <t>6.7.10.1</t>
  </si>
  <si>
    <t>6.7.11.1</t>
  </si>
  <si>
    <t>6.7.12.1</t>
  </si>
  <si>
    <t>PLANILHA DE COMPOSIÇÕES UNITÁRIAS</t>
  </si>
  <si>
    <t>ORÇAMENTO</t>
  </si>
  <si>
    <t>CRONOGRAMA</t>
  </si>
  <si>
    <t>QUANTIDADE</t>
  </si>
  <si>
    <t>TOTAL (CHI)</t>
  </si>
  <si>
    <t>CLASSE/TIPO</t>
  </si>
  <si>
    <t>P. UNIT. (R$)</t>
  </si>
  <si>
    <t>SERP</t>
  </si>
  <si>
    <t>COMPOSIÇÃO DO USUÁRIO</t>
  </si>
  <si>
    <t>COMPOSICAO</t>
  </si>
  <si>
    <t>COTACAO</t>
  </si>
  <si>
    <t>CAESB</t>
  </si>
  <si>
    <t>INSUMO</t>
  </si>
  <si>
    <t>02789/ORSE</t>
  </si>
  <si>
    <t>I0537</t>
  </si>
  <si>
    <t>I1691</t>
  </si>
  <si>
    <t>I1725</t>
  </si>
  <si>
    <t>I1100</t>
  </si>
  <si>
    <t>INSTHR</t>
  </si>
  <si>
    <t>CAESB2</t>
  </si>
  <si>
    <t>13957/ORSE</t>
  </si>
  <si>
    <t>CAESB3</t>
  </si>
  <si>
    <t>CAES4</t>
  </si>
  <si>
    <t>CAESB5</t>
  </si>
  <si>
    <t>CAESB6</t>
  </si>
  <si>
    <t>CAESB7</t>
  </si>
  <si>
    <t>CAESB8</t>
  </si>
  <si>
    <t>CAESB9</t>
  </si>
  <si>
    <t>EMBASA1</t>
  </si>
  <si>
    <t>CAESB10</t>
  </si>
  <si>
    <t>06312/ORSE</t>
  </si>
  <si>
    <t>CAESB1</t>
  </si>
  <si>
    <t>05128/ORSE</t>
  </si>
  <si>
    <t>COTA01</t>
  </si>
  <si>
    <t>COTA11</t>
  </si>
  <si>
    <t>04840/ORSE</t>
  </si>
  <si>
    <t>01431/ORSE</t>
  </si>
  <si>
    <t>COTA10</t>
  </si>
  <si>
    <t>07065/ORSE</t>
  </si>
  <si>
    <t>SUPRV</t>
  </si>
  <si>
    <t>LOCA</t>
  </si>
  <si>
    <t>ESCAVL</t>
  </si>
  <si>
    <t>LAST</t>
  </si>
  <si>
    <t>DISS</t>
  </si>
  <si>
    <t>ALVEV</t>
  </si>
  <si>
    <t>ALVED</t>
  </si>
  <si>
    <t>PISOS</t>
  </si>
  <si>
    <t>PASS</t>
  </si>
  <si>
    <t>CHAP</t>
  </si>
  <si>
    <t>MASSI</t>
  </si>
  <si>
    <t>ESQUP</t>
  </si>
  <si>
    <t>I1530</t>
  </si>
  <si>
    <t>I2391</t>
  </si>
  <si>
    <t>I2543</t>
  </si>
  <si>
    <t>I0108</t>
  </si>
  <si>
    <t>I0805</t>
  </si>
  <si>
    <t>I6727</t>
  </si>
  <si>
    <t>I2496</t>
  </si>
  <si>
    <t>PINTSM</t>
  </si>
  <si>
    <t>CERC</t>
  </si>
  <si>
    <t>INSTR</t>
  </si>
  <si>
    <t>INSTQ</t>
  </si>
  <si>
    <t>09225/ORSE</t>
  </si>
  <si>
    <t>10549/ORSE</t>
  </si>
  <si>
    <t>10552/ORSE</t>
  </si>
  <si>
    <t>INSTEM</t>
  </si>
  <si>
    <t>ILUM</t>
  </si>
  <si>
    <t>MOVT</t>
  </si>
  <si>
    <t>C0838</t>
  </si>
  <si>
    <t>C1400</t>
  </si>
  <si>
    <t>ASTU</t>
  </si>
  <si>
    <t>VALV</t>
  </si>
  <si>
    <t>COTA12</t>
  </si>
  <si>
    <t>COMPOS33</t>
  </si>
  <si>
    <t>00116/ORSE</t>
  </si>
  <si>
    <t>00126/ORSE</t>
  </si>
  <si>
    <t>00140/ORSE</t>
  </si>
  <si>
    <t>LOUC</t>
  </si>
  <si>
    <t>INSTGI</t>
  </si>
  <si>
    <t>PLANILHA DE COMPOSIÇÕES UNITÁRIAS AUXILIARES - NÍVEL 1</t>
  </si>
  <si>
    <t>LIVR</t>
  </si>
  <si>
    <t>ARGA</t>
  </si>
  <si>
    <t>PRODC</t>
  </si>
  <si>
    <t>RADI</t>
  </si>
  <si>
    <t>05022/ORSE</t>
  </si>
  <si>
    <t>CUSTH</t>
  </si>
  <si>
    <t>FORMCA</t>
  </si>
  <si>
    <t>ARMAC</t>
  </si>
  <si>
    <t>CONCCA</t>
  </si>
  <si>
    <t>FUND</t>
  </si>
  <si>
    <t>SPDA</t>
  </si>
  <si>
    <t>00158/ORSE</t>
  </si>
  <si>
    <t>00941/ORSE</t>
  </si>
  <si>
    <t>01651/ORSE</t>
  </si>
  <si>
    <t>02378/ORSE</t>
  </si>
  <si>
    <t>04728/ORSE</t>
  </si>
  <si>
    <t>04729/ORSE</t>
  </si>
  <si>
    <t>10362/ORSE</t>
  </si>
  <si>
    <t>10492/ORSE</t>
  </si>
  <si>
    <t>10517/ORSE</t>
  </si>
  <si>
    <t>10596/ORSE</t>
  </si>
  <si>
    <t>10599/ORSE</t>
  </si>
  <si>
    <t>10761/ORSE</t>
  </si>
  <si>
    <t>10788/ORSE</t>
  </si>
  <si>
    <t>10579/ORSE</t>
  </si>
  <si>
    <t>11240/ORSE</t>
  </si>
  <si>
    <t>11241/ORSE</t>
  </si>
  <si>
    <t>11242/ORSE</t>
  </si>
  <si>
    <t>RASG</t>
  </si>
  <si>
    <t>I0682</t>
  </si>
  <si>
    <t>I0109</t>
  </si>
  <si>
    <t>I1605</t>
  </si>
  <si>
    <t>I0041</t>
  </si>
  <si>
    <t>I0498</t>
  </si>
  <si>
    <t>I0965</t>
  </si>
  <si>
    <t>I1728</t>
  </si>
  <si>
    <t>I1846</t>
  </si>
  <si>
    <t>I1916</t>
  </si>
  <si>
    <t>CAIXA</t>
  </si>
  <si>
    <t>PINTE</t>
  </si>
  <si>
    <t>00630/ORSE</t>
  </si>
  <si>
    <t>01569/ORSE</t>
  </si>
  <si>
    <t>10551/ORSE</t>
  </si>
  <si>
    <t>00125/ORSE</t>
  </si>
  <si>
    <t>07692/ORSE</t>
  </si>
  <si>
    <t>00081/ORSE</t>
  </si>
  <si>
    <t>10555/ORSE</t>
  </si>
  <si>
    <t>PLANILHA DE COMPOSIÇÕES UNITÁRIAS AUXILIARES - NÍVEL 2</t>
  </si>
  <si>
    <t>DEPR</t>
  </si>
  <si>
    <t>10577/ORSE</t>
  </si>
  <si>
    <t>10578/ORSE</t>
  </si>
  <si>
    <t>11244/ORSE</t>
  </si>
  <si>
    <t>11248/ORSE</t>
  </si>
  <si>
    <t>11249/ORSE</t>
  </si>
  <si>
    <t>10550/ORSE</t>
  </si>
  <si>
    <t>10585/ORSE</t>
  </si>
  <si>
    <t>10586/ORSE</t>
  </si>
  <si>
    <t>PLANILHA DE COMPOSIÇÕES UNITÁRIAS AUXILIARES - NÍVEL 3</t>
  </si>
  <si>
    <t>04174/ORSE</t>
  </si>
  <si>
    <t>04722/ORSE</t>
  </si>
  <si>
    <t>10282/ORSE</t>
  </si>
  <si>
    <t>10789/ORSE</t>
  </si>
  <si>
    <t>10790/ORSE</t>
  </si>
  <si>
    <t>11243/ORSE</t>
  </si>
  <si>
    <t>11245/ORSE</t>
  </si>
  <si>
    <t>11246/ORSE</t>
  </si>
  <si>
    <t>11247/ORSE</t>
  </si>
  <si>
    <t>11264/ORSE</t>
  </si>
  <si>
    <t>11265/ORSE</t>
  </si>
  <si>
    <t>PLANILHA DE COMPOSIÇÕES UNITÁRIAS AUXILIARES - NÍVEL 4</t>
  </si>
  <si>
    <t>PLANILHA DE COMPOSIÇÕES UNITÁRIAS AUXILIARES - NÍVEL 5</t>
  </si>
  <si>
    <t>COMPOSIÇÃO DA TAXA DE BDI PARA SERVIÇOS</t>
  </si>
  <si>
    <t>Limites Acórdão nº 2622/2013-TCU</t>
  </si>
  <si>
    <t>AC</t>
  </si>
  <si>
    <t>ADMINISTRAÇÃO CENTRAL</t>
  </si>
  <si>
    <t>de 3,43 a 6,71%</t>
  </si>
  <si>
    <t>SG</t>
  </si>
  <si>
    <t>SEGURO E GARANTIA</t>
  </si>
  <si>
    <t>de 0,28 a 0,75%</t>
  </si>
  <si>
    <t>R</t>
  </si>
  <si>
    <t>RISCOS</t>
  </si>
  <si>
    <t>de 1,00 a 1,74%</t>
  </si>
  <si>
    <t>DF</t>
  </si>
  <si>
    <t>DESPESA FINANCEIRA</t>
  </si>
  <si>
    <t>de 0,94 a 1,17%</t>
  </si>
  <si>
    <t>L</t>
  </si>
  <si>
    <t>LUCRO</t>
  </si>
  <si>
    <t>de 6,74 a 9,40%</t>
  </si>
  <si>
    <t>T</t>
  </si>
  <si>
    <t>TRIBUTOS E IMPOSTOS</t>
  </si>
  <si>
    <t>PIS</t>
  </si>
  <si>
    <t>PROGRAMA DE INTEGRAÇÃO SOCIAL</t>
  </si>
  <si>
    <t>COFINS</t>
  </si>
  <si>
    <t>CONSTRIBUIÇÃO SOCIAL PARA FINANCIAMENTO DA SEGURIDADE SOCIAL</t>
  </si>
  <si>
    <t>ISS</t>
  </si>
  <si>
    <t>ISS COBRADO NO MUNICÍPIO CONFORME O TIPO DA OBRA</t>
  </si>
  <si>
    <t>sugerido</t>
  </si>
  <si>
    <t>PARTICIPAÇÃO DO CUSTO DE MÃO OBRA (SERVIÇOS) EM RELAÇÃO AO CUSTO TOTAL DA OBRA</t>
  </si>
  <si>
    <t>CPRB</t>
  </si>
  <si>
    <t>CONTRIBUIÇÃO PREVIDENCIÁRIA SOBRE A RECEITA BRUTA</t>
  </si>
  <si>
    <t>BDI</t>
  </si>
  <si>
    <t>TAXA DE BENEFÍCIOS E DESPESAS INDIRETAS</t>
  </si>
  <si>
    <t>de 20,76 a 26,44% (sem CPRB)</t>
  </si>
  <si>
    <t>BDI = { [ ( 1 + AC + SG + R ) x ( 1 + DF ) x ( 1 + L ) ] / [ 1 - ( PIS + COFINS + ISS + CPRB ) ] } - 1</t>
  </si>
  <si>
    <t>OBS-1: Cálculo em conformidade com o acórdão nº 2622/2013-TCU e Lei nº 13.161 de 31 de agosto de 2015. 
OBS-2: Os percentuais de Impostos a serem adotados devem ser indicados pelo Tomador, conforme legislação vigente. Deverão ser definidos, conforme Código Tributário do município, o valor do ISS, que será um percentual entre 2% e 5%, e a alíquota aplicada sobre o mesmo, representando o percentual de mão de obra em relação ao valor total da obra. 
OBS-3: Para análise de orçamentos considerando a desoneração sobre a folha de pagamento, prevista na lei nº 14.973, de 16 de setembro de 2024, deverá ser adotada na contribuição previenciária sobre a receita bruta, uma alíquota de 3,6% em orçamentos COM Desoneraçao e de 0% em orçamentos SEM Desoneração. 
 OBS-4: Para o tipo de obra “Construção de redes de abastecimento de água, coleta de esgoto e construções correlatas”, enquadram-se: a construção de sistemas para o abastecimento de água tratada; reservatórios de distribuição, estações elevatórias de bombeamento, linhas principais de adução de longa e média distância e redes de distribuição de água; a construção de redes de coleta de esgoto, inclusive de interceptores; a construção de estações de tratamento de esgoto (ETE); a construção de estações de bombeamento de esgoto; a construção de galerias pluviais; a manutenção de redes de abastecimento de água tratada; a manutenção de redes de coleta e de sistemas de tratamento de esgoto, conforme classificação 4222-7/01 do CNAE.</t>
  </si>
  <si>
    <t>PLANILHA DE LEIS SOCIAIS - SINAPI</t>
  </si>
  <si>
    <t>COM DESONERAÇÃO</t>
  </si>
  <si>
    <t>HORISTA</t>
  </si>
  <si>
    <t>MENSALISTA</t>
  </si>
  <si>
    <t>GRUPO A</t>
  </si>
  <si>
    <t>A1</t>
  </si>
  <si>
    <t>INSS</t>
  </si>
  <si>
    <t>A2</t>
  </si>
  <si>
    <t>SESI</t>
  </si>
  <si>
    <t>A3</t>
  </si>
  <si>
    <t>SENAI</t>
  </si>
  <si>
    <t>A4</t>
  </si>
  <si>
    <t>INCRA</t>
  </si>
  <si>
    <t>A5</t>
  </si>
  <si>
    <t>SEBRAE</t>
  </si>
  <si>
    <t>A6</t>
  </si>
  <si>
    <t>SALÁRIO EDUCAÇÃO</t>
  </si>
  <si>
    <t>A7</t>
  </si>
  <si>
    <t>SEGURO CONTRA ACIDENTES DE TRABALHO</t>
  </si>
  <si>
    <t>A8</t>
  </si>
  <si>
    <t>FGTS</t>
  </si>
  <si>
    <t>A9</t>
  </si>
  <si>
    <t>SECONCI</t>
  </si>
  <si>
    <t>A</t>
  </si>
  <si>
    <t>GRUPO B</t>
  </si>
  <si>
    <t>B1</t>
  </si>
  <si>
    <t>REPOUSO SEMANAL REMUNERADO</t>
  </si>
  <si>
    <t>Não incide</t>
  </si>
  <si>
    <t>B2</t>
  </si>
  <si>
    <t>FERIADOS</t>
  </si>
  <si>
    <t>B3</t>
  </si>
  <si>
    <t>AUXÍLIO - ENFERMIDADE</t>
  </si>
  <si>
    <t>B4</t>
  </si>
  <si>
    <t>13º SALÁRIO</t>
  </si>
  <si>
    <t>B5</t>
  </si>
  <si>
    <t>LICENÇA PATERNIDADE</t>
  </si>
  <si>
    <t>B6</t>
  </si>
  <si>
    <t>FALTAS JUSTIFICADAS</t>
  </si>
  <si>
    <t>B7</t>
  </si>
  <si>
    <t>DIAS DE CHUVAS</t>
  </si>
  <si>
    <t>B8</t>
  </si>
  <si>
    <t>AUXÍLIO ACIDENTE DE TRABALHO</t>
  </si>
  <si>
    <t>B9</t>
  </si>
  <si>
    <t>FÉRIAS GOZADAS</t>
  </si>
  <si>
    <t>B10</t>
  </si>
  <si>
    <t>SALÁRIO MATERNIDADE</t>
  </si>
  <si>
    <t>B</t>
  </si>
  <si>
    <t>GRUPO C</t>
  </si>
  <si>
    <t>C1</t>
  </si>
  <si>
    <t>AVISO PRÉVIO INDENIZADO</t>
  </si>
  <si>
    <t>C2</t>
  </si>
  <si>
    <t>AVISO PRÉVIO TRABALHADO</t>
  </si>
  <si>
    <t>C3</t>
  </si>
  <si>
    <t>FÉRIAS INDENIZADAS</t>
  </si>
  <si>
    <t>C4</t>
  </si>
  <si>
    <t>DEPÓSITO RESCISÃO SEM JUSTA CAUSA</t>
  </si>
  <si>
    <t>C5</t>
  </si>
  <si>
    <t>INDENIZAÇÃO ADICIONAL</t>
  </si>
  <si>
    <t>C</t>
  </si>
  <si>
    <t>GRUPO D</t>
  </si>
  <si>
    <t>D1</t>
  </si>
  <si>
    <t>REINCIDÊNCIA DE GRUPO A SOBRE GRUPO B</t>
  </si>
  <si>
    <t>D2</t>
  </si>
  <si>
    <t>REINCIDÊNCIA DE GRUPO A SOBRE AVISO PRÉVIO TRABALHADO E REINCIDÊNCIA DO FGTS SOBRE AVISO PRÉVIO INDENIZADO</t>
  </si>
  <si>
    <t>D</t>
  </si>
  <si>
    <t>GRUPO A + B + C + D</t>
  </si>
  <si>
    <t>FONTE: http://www.caixa.gov.br/site/paginas/downloads.aspx</t>
  </si>
  <si>
    <t>CURVA ABC DE SERVIÇOS</t>
  </si>
  <si>
    <t>ORDEM</t>
  </si>
  <si>
    <t>CURVA ABC DE INSUMOS</t>
  </si>
  <si>
    <t>PREÇO (R$)</t>
  </si>
  <si>
    <t>TOTAL SEM BDI</t>
  </si>
  <si>
    <t>TOTAL DE MATERIAIS</t>
  </si>
  <si>
    <t>TOTAL DE SERVIÇOS/MÃO DE OBRA</t>
  </si>
  <si>
    <t>TOTAL COM BDI</t>
  </si>
  <si>
    <t>TOTAL DE MATERIAIS COM BDI</t>
  </si>
  <si>
    <t>TOTAL DE SERVIÇOS/MÃO DE OBRA COM BDI</t>
  </si>
  <si>
    <t>COMPRA DE MATERIAIS</t>
  </si>
  <si>
    <t>ETAPA</t>
  </si>
  <si>
    <t>ABRAÇADEIRA EM FERRO GALVANIZADO DN 150MM</t>
  </si>
  <si>
    <t>UN</t>
  </si>
  <si>
    <t>ACO CA-50, 10,0 MM, VERGALHAO</t>
  </si>
  <si>
    <t>KG</t>
  </si>
  <si>
    <t>ACO CA-50, 12,5 MM OU 16,0 MM, VERGALHAO</t>
  </si>
  <si>
    <t>ACO CA-50, 20,0 MM OU 25,0 MM, VERGALHAO</t>
  </si>
  <si>
    <t>ACO CA-50, 6,3 MM, VERGALHAO</t>
  </si>
  <si>
    <t>ACO CA-50, 8,0 MM, VERGALHAO</t>
  </si>
  <si>
    <t>ACO CA-60, 4,2 MM, OU 5,0 MM, OU 6,0 MM, OU 7,0 MM, VERGALHAO</t>
  </si>
  <si>
    <t>ADAPTADOR PVC SOLDAVEL CURTO COM BOLSA E ROSCA, 32 MM X 1", PARA AGUA FRIA</t>
  </si>
  <si>
    <t>ADAPTADOR PVC SOLDAVEL CURTO COM BOLSA E ROSCA, 40 MM X 1 1/2", PARA AGUA FRIA</t>
  </si>
  <si>
    <t>ADAPTADOR PVC, ROSCAVEL, COM FLANGES E ANEL DE VEDACAO, 1 1/2", PARA CAIXA D'AGUA</t>
  </si>
  <si>
    <t>ADESIVO PLASTICO PARA PVC, FRASCO COM *850* GR</t>
  </si>
  <si>
    <t>ALICATE COM ISOLAMENTO</t>
  </si>
  <si>
    <t>ALICATE VOLT-AMPERIMETRO</t>
  </si>
  <si>
    <t>ALMOÇO (PARTICIPAÇÃO DO EMPREGADOR)</t>
  </si>
  <si>
    <t>ANEL BORRACHA, PARA TUBO/CONEXAO PVC PBA, DN 50 MM, PARA REDE AGUA</t>
  </si>
  <si>
    <t>ANÁLISE FÍSICO-QUÍMICA DE ÁGUA</t>
  </si>
  <si>
    <t>ARAME FARPADO GALVANIZADO, 14 BWG (2,11 MM), CLASSE 250</t>
  </si>
  <si>
    <t>M</t>
  </si>
  <si>
    <t>ARAME GALVANIZADO 12 BWG, D = 2,76 MM (0,048 KG/M) OU 14 BWG, D = 2,11 MM (0,026 KG/M)</t>
  </si>
  <si>
    <t>ARAME RECOZIDO 16 BWG, D = 1,65 MM (0,016 KG/M) OU 18 BWG, D = 1,25 MM (0,01 KG/M)</t>
  </si>
  <si>
    <t>ARCO DE SERRA</t>
  </si>
  <si>
    <t>AREIA GROSSA</t>
  </si>
  <si>
    <t>M3</t>
  </si>
  <si>
    <t>AREIA GROSSA - POSTO JAZIDA/FORNECEDOR (RETIRADO NA JAZIDA, SEM TRANSPORTE)</t>
  </si>
  <si>
    <t>AREIA MEDIA</t>
  </si>
  <si>
    <t>AREIA MEDIA - POSTO JAZIDA/FORNECEDOR (RETIRADO NA JAZIDA, SEM TRANSPORTE)</t>
  </si>
  <si>
    <t>ARMACAO VERTICAL COM HASTE E CONTRA-PINO, EM CHAPA DE ACO GALVANIZADO 3/16", COM 1 ESTRIBO, SEM ISOLADOR</t>
  </si>
  <si>
    <t>ARRUELA LISA, REDONDA, DE LATAO POLIDO, DIAMETRO NOMINAL 5/8", DIAMETRO EXTERNO = 34 MM, DIAMETRO DO FURO = 17 MM, ESPESSURA = *2,5* MM</t>
  </si>
  <si>
    <t>AÇO CA-50 6,3 A 12,5 MM</t>
  </si>
  <si>
    <t>BASE PARA RESERVATÓRIO EM CONCRETO PRÉ-MOLDADO COM H=7,00 M, COM 03 PILARES E 01 LAJE</t>
  </si>
  <si>
    <t>BETONEIRA CAPACIDADE NOMINAL 400 L, CAPACIDADE DE MISTURA 280 L, MOTOR ELETRICO TRIFASICO 220/380 V POTENCIA 2 CV, SEM CARREGADOR</t>
  </si>
  <si>
    <t>BETONEIRA, CAPACIDADE NOMINAL 600 L, CAPACIDADE DE MISTURA 360L, MOTOR ELETRICO TRIFASICO 220/380V, POTENCIA 4CV, EXCLUSO CARREGADOR</t>
  </si>
  <si>
    <t>BLOCO CERAMICO / TIJOLO VAZADO PARA ALVENARIA DE VEDACAO, 6 FUROS NA HORIZONTAL DE 9 X 14 X 19 CM (L X A X C)</t>
  </si>
  <si>
    <t>BLOCO CERAMICO / TIJOLO VAZADO PARA ALVENARIA DE VEDACAO, 8 FUROS NA HORIZONTAL DE 9 X 19 X 19 CM (L X A X C)</t>
  </si>
  <si>
    <t>BOMBA 3CV MONOFÁSICA 220V</t>
  </si>
  <si>
    <t>BOTA DE SEGURANCA COM BIQUEIRA DE ACO E COLARINHO ACOLCHOADO</t>
  </si>
  <si>
    <t>PAR</t>
  </si>
  <si>
    <t>BUCHA DE REDUCAO DE FERRO GALVANIZADO, COM ROSCA BSP, DE 1 1/2" X 1"</t>
  </si>
  <si>
    <t>BUCHA DE REDUCAO DE FERRO GALVANIZADO, COM ROSCA BSP, DE 2" X 1 1/2"</t>
  </si>
  <si>
    <t>CABO DE COBRE NU 50 MM2 MEIO-DURO</t>
  </si>
  <si>
    <t>CABO DE COBRE, FLEXIVEL, CLASSE 4 OU 5, ISOLACAO EM PVC/A, ANTICHAMA BWF-B, 1 CONDUTOR, 450/750 V, SECAO NOMINAL 2,5 MM2</t>
  </si>
  <si>
    <t>CABO DE COBRE, FLEXIVEL, CLASSE 4 OU 5, ISOLACAO EM PVC/A, ANTICHAMA BWF-B, COBERTURA PVC-ST1, ANTICHAMA BWF-B, 1 CONDUTOR, 0,6/1 KV, SECAO NOMINAL 10 MM2</t>
  </si>
  <si>
    <t>CABO FLEXIVEL PVC 750 V, 3 CONDUTORES DE 6,0 MM2</t>
  </si>
  <si>
    <t>CAIBRO NAO APARELHADO *5 X 6* CM, EM MACARANDUBA/MASSARANDUBA, ANGELIM OU EQUIVALENTE DA REGIAO - BRUTA</t>
  </si>
  <si>
    <t>CAIBRO NAO APARELHADO *6 X 6* CM, EM MACARANDUBA/MASSARANDUBA, ANGELIM OU EQUIVALENTE DA REGIAO - BRUTA</t>
  </si>
  <si>
    <t>CAIXA D'AGUA / RESERVATORIO EM POLIESTER REFORCADO COM FIBRA DE VIDRO, 10000 LITROS, COM TAMPA</t>
  </si>
  <si>
    <t>CAIXA DE INSPECAO PARA ATERRAMENTO E PARA RAIOS, EM POLIPROPILENO, DIAMETRO = 300 MM X ALTURA = 400 MM (INCLUIDA TAMPA SEM ESCOTILHA)</t>
  </si>
  <si>
    <t>CAIXA DE PASSAGEM, EM PVC, DE 4" X 2", PARA ELETRODUTO FLEXIVEL CORRUGADO</t>
  </si>
  <si>
    <t>CAIXA PARA MEDIDOR MONOFASICO, EM POLICARBONATO / TERMOPLASTICO, PARA ALOJAR 1 DISJUNTOR (PADRAO DA CONCESSIONARIA LOCAL)</t>
  </si>
  <si>
    <t>CAL HIDRATADA CH-I PARA ARGAMASSAS</t>
  </si>
  <si>
    <t>CAPA PARA CHUVA EM PVC COM FORRO DE POLIESTER, COM CAPUZ (AMARELA OU AZUL)</t>
  </si>
  <si>
    <t>CAPACETE DE SEGURANCA ABA FRONTAL COM SUSPENSAO DE POLIETILENO, SEM JUGULAR (CLASSE B)</t>
  </si>
  <si>
    <t>CARRINHO DE MAO, EM ACO, COM CAPACIDADE DE *45 A 65* L / *100* KG, PNEU COM CAMARA</t>
  </si>
  <si>
    <t>CESTA BÁSICA</t>
  </si>
  <si>
    <t>CHAPA DE AÇO GALVANIZADA ESP. 0.3MM</t>
  </si>
  <si>
    <t>M2</t>
  </si>
  <si>
    <t>CHAPA/PAINEL DE MADEIRA COMPENSADA PLASTIFICADA (MADEIRITE PLASTIFICADO) PARA FORMA DE CONCRETO, DE 2200 X 1100 MM, E = *17* MM</t>
  </si>
  <si>
    <t>CHAPA/PAINEL DE MADEIRA COMPENSADA RESINADA (MADEIRITE RESINADO ROSA) PARA FORMA DE CONCRETO, DE 2200 X 1100 MM, E = 17 MM</t>
  </si>
  <si>
    <t>CHAVE DE FENDA CHATA 30 CM</t>
  </si>
  <si>
    <t>CHAVE INGLESA 12"</t>
  </si>
  <si>
    <t>CIMENTO PORTLAND</t>
  </si>
  <si>
    <t>CIMENTO PORTLAND COMPOSTO CP II-32</t>
  </si>
  <si>
    <t>COLAR DE TOMADA FOFO PARA PVC 40MM X 32MM</t>
  </si>
  <si>
    <t>UND</t>
  </si>
  <si>
    <t>COLHER DE PEDREIRO</t>
  </si>
  <si>
    <t>COMPENSADO RESINADO 12MM - MADEIRIT OU SIMILAR</t>
  </si>
  <si>
    <t>CONCRETO USINADO BOMBEAVEL, CLASSE DE RESISTENCIA C25, BRITA 0 E 1, SLUMP = 100 +/- 20 MM, COM BOMBEAMENTO (DISPONIBILIZACAO DE BOMBA), SEM O LANCAMENTO (NBR 8953)</t>
  </si>
  <si>
    <t>CRUZETA DE FERRO GALVANIZADO, COM ROSCA BSP, DE 1"</t>
  </si>
  <si>
    <t>CURVA 180 GRAUS, DE PVC RIGIDO ROSCAVEL, DE 1", PARA ELETRODUTO</t>
  </si>
  <si>
    <t>CURVA 90 GRAUS DE FERRO GALVANIZADO, COM ROSCA BSP FEMEA, DE 1 1/2"</t>
  </si>
  <si>
    <t>CURVA 90 GRAUS DE FERRO GALVANIZADO, COM ROSCA BSP FEMEA, DE 1"</t>
  </si>
  <si>
    <t>CURVA 90 GRAUS, LONGA, DE PVC RIGIDO ROSCAVEL, DE 1", PARA ELETRODUTO</t>
  </si>
  <si>
    <t>CURVA DE PVC 90 GRAUS, SOLDAVEL, 32 MM, COR MARROM, PARA AGUA FRIA PREDIAL</t>
  </si>
  <si>
    <t>DESEMPENADEIRA DE AÇO LISA, CABO MADEIRA, REF:143, ATLAS OU SIMILAR</t>
  </si>
  <si>
    <t>DESEMPOLADEIRA DE MADEIRA 12X22</t>
  </si>
  <si>
    <t>DESMOLDANTE PARA FORMAS</t>
  </si>
  <si>
    <t>DESMOLDANTE PROTETOR PARA FORMAS DE MADEIRA, DE BASE OLEOSA EMULSIONADA EM AGUA</t>
  </si>
  <si>
    <t>DILUENTE AGUARRAS</t>
  </si>
  <si>
    <t>DISJUNTOR TERMOMAGNETICO PARA TRILHO DIN (IEC), MONOPOLAR, 40 - 50 A</t>
  </si>
  <si>
    <t>DISJUNTOR TERMOMAGNETICO PARA TRILHO DIN (IEC), MONOPOLAR, 6 - 32 A</t>
  </si>
  <si>
    <t>DISPOSITIVO DE PROTEÇÃO CONTRA SURTO DE TENSÃO DPS 60KA - 275V (PARA-RAIO)</t>
  </si>
  <si>
    <t>ELEMENTO VAZADO DE CONCRETO, QUADRICULADO, 16 FUROS *50 X 50 X 7* CM</t>
  </si>
  <si>
    <t>ELETRODUTO DE PVC RIGIDO ROSCAVEL DE 1", SEM LUVA</t>
  </si>
  <si>
    <t>ELETRODUTO PVC FLEXIVEL CORRUGADO, COR AMARELA, DE 20 MM</t>
  </si>
  <si>
    <t>ENERGIA ELETRICA ATE 2000 KWH INDUSTRIAL, SEM DEMANDA</t>
  </si>
  <si>
    <t>KWH</t>
  </si>
  <si>
    <t>EQUIPAMENTOS PARA PERFURAÇÃO PELO "SISTEMA ROTOPNEUMÁTICO", COMPOSTO POR MÁQUINA ROTOPNEUMÁTICO, DIESEL</t>
  </si>
  <si>
    <t>HPROD</t>
  </si>
  <si>
    <t>EQUIPAMENTOS PARA PERFURAÇÃO PELO ''SISTEMA ROTOPNEUMÁTICO'', COMPOSTO POR MÁQUINA ROTOPNEUMÁTICO, DIESEL</t>
  </si>
  <si>
    <t>EQUIPAMENTOS PARA PERFURAÇÃO PELO ''SISTEMA ROTOPNEUMÁTICO'', COMPOSTO POR MÁQUINA ROTOPNEUMÁTICO, DIESEL.</t>
  </si>
  <si>
    <t>ESCALA MÉTRICA DE BAMBÚ</t>
  </si>
  <si>
    <t>ESMALTE SINTETICO</t>
  </si>
  <si>
    <t>ESPACADOR / DISTANCIADOR CIRCULAR COM ENTRADA LATERAL, EM PLASTICO, PARA VERGALHAO *4,2 A 12,5* MM, COBRIMENTO 20 MM</t>
  </si>
  <si>
    <t>ESPACADOR / DISTANCIADOR TIPO GARRA DUPLA, EM PLASTICO, COBRIMENTO *20* MM, PARA FERRAGENS DE LAJES E FUNDO DE VIGAS</t>
  </si>
  <si>
    <t>ESPELHO / PLACA DE 3 POSTOS 4" X 2", PARA INSTALACAO DE TOMADAS E INTERRUPTORES</t>
  </si>
  <si>
    <t>EXAMES ADMISSIONAIS/DEMISSIONAIS (CHECKUP)</t>
  </si>
  <si>
    <t>CJ</t>
  </si>
  <si>
    <t>FARDAMENTO COM MANGAS CURTA</t>
  </si>
  <si>
    <t>FITA ISOLANTE ADESIVA ANTICHAMA, USO ATE 750 V, EM ROLO DE 19 MM X 5 M</t>
  </si>
  <si>
    <t>FITA METALICA PERFURADA, L = *18* MM, ROLO DE 30 M, CARGA RECOMENDADA = *30* KGF</t>
  </si>
  <si>
    <t>FITA VEDA ROSCA, EM PTFE, ROLO DE 18 MM X 10 M (L X C)</t>
  </si>
  <si>
    <t>FITA VEDA ROSCA, EM PTFE, ROLO DE 18 MM X 50 M (L X C)</t>
  </si>
  <si>
    <t>FORMÃO GRANDE</t>
  </si>
  <si>
    <t>FUNDO ANTICORROSIVO PARA METAIS FERROSOS (ZARCAO)</t>
  </si>
  <si>
    <t>FURADEIRA E PARAFUSADEIRA ELETRICA BOSCH OU SIMILAR PROFISSIONAL</t>
  </si>
  <si>
    <t>GRAMPO METALICO TIPO OLHAL PARA HASTE DE ATERRAMENTO DE 3/4", CONDUTOR DE *10* A 50 MM2</t>
  </si>
  <si>
    <t>GUINDASTE HIDRAULICO AUTOPROPELIDO, COM LANCA TELESCOPICA 40 M, CAPACIDADE MAXIMA 60 T, POTENCIA 260 KW, TRACAO 6 X 6</t>
  </si>
  <si>
    <t>HASTE DE ATERRAMENTO EM ACO COM 3,00 M DE COMPRIMENTO E DN = 3/4", REVESTIDA COM BAIXA CAMADA DE COBRE, SEM CONECTOR</t>
  </si>
  <si>
    <t>HIPOCLORADOR OU DOSADOR DE SOLUÇÕES, COM REGULADOR P/ 6,12 OU 24 L/H</t>
  </si>
  <si>
    <t>HIPOCLORITO DE SÓDIO</t>
  </si>
  <si>
    <t>INTERRUPTOR SIMPLES 10A, 250V (APENAS MODULO)</t>
  </si>
  <si>
    <t>ISOLADOR DE PORCELANA, TIPO ROLDANA, DIMENSOES DE *72* X *72* MM, PARA USO EM BAIXA TENSAO</t>
  </si>
  <si>
    <t>JOELHO PVC, SOLDAVEL, 90 GRAUS, 32 MM, COR MARROM, PARA AGUA FRIA PREDIAL</t>
  </si>
  <si>
    <t>JUNTA PLASTICA DE DILATACAO PARA PISOS, COR CINZA, 17 X 3 MM (ALTURA X ESPESSURA)</t>
  </si>
  <si>
    <t>LAMPADA LED 10 W BIVOLT BRANCA, FORMATO TRADICIONAL (BASE E27)</t>
  </si>
  <si>
    <t>LAMPADA LED 6 W BIVOLT BRANCA, FORMATO TRADICIONAL (BASE E27)</t>
  </si>
  <si>
    <t>LIXA D'AGUA EM FOLHA, COR PRETA, GRAO 100</t>
  </si>
  <si>
    <t>LOCACAO DE APRUMADOR METALICO DE PILAR, COM ALTURA E ANGULO REGULAVEIS, EXTENSAO DE *1,50* A *2,80* M</t>
  </si>
  <si>
    <t>UNXMES</t>
  </si>
  <si>
    <t>LOCACAO DE VIGA SANDUICHE METALICA VAZADA PARA TRAVAMENTO DE PILARES, ALTURA DE *8* CM, LARGURA DE *6* CM E EXTENSAO DE 2 M</t>
  </si>
  <si>
    <t>LUMINARIA ARANDELA TIPO MEIA-LUA COM VIDRO FOSCO *30 X 15* CM, PARA 1 LAMPADA, BASE E27, POTENCIA MAXIMA 40/60 W (NAO INCLUI LAMPADA)</t>
  </si>
  <si>
    <t>LUVA DE FERRO GALVANIZADO, COM ROSCA BSP, DE 1 1/2"</t>
  </si>
  <si>
    <t>LUVA DE FERRO GALVANIZADO, COM ROSCA BSP, DE 1"</t>
  </si>
  <si>
    <t>LUVA DE REDUCAO DE FERRO GALVANIZADO, COM ROSCA BSP, DE 1" X 3/4"</t>
  </si>
  <si>
    <t>LUVA EM PVC RIGIDO ROSCAVEL, DE 1", PARA ELETRODUTO</t>
  </si>
  <si>
    <t>LUVA PVC RIGIDO ROSCAVEL D=1 "</t>
  </si>
  <si>
    <t>LUVA RASPA DE COURO, CANO CURTO (PUNHO *7* CM)</t>
  </si>
  <si>
    <t>MADEIRA MISTA SERRADA (BARROTE) 6 X 6CM - 0,0036 M3/M (ANGELIM, LOURO)</t>
  </si>
  <si>
    <t>MANOMETRO COM CAIXA EM ACO PINTADO, ESCALA *10* KGF/CM2 (*10* BAR), DIAMETRO NOMINAL DE 100 MM, CONEXAO DE 1/2"</t>
  </si>
  <si>
    <t>MARRETA 1 KG COM CABO</t>
  </si>
  <si>
    <t>MARRETA DE 1/2 KG COM CABO</t>
  </si>
  <si>
    <t>MARTELO COM UNHA</t>
  </si>
  <si>
    <t>MARTELO DE BORRACHA COM CABO</t>
  </si>
  <si>
    <t>MARTELO SEM UNHA</t>
  </si>
  <si>
    <t>MOURAO CONCRETO CURVO, SECAO "T", H = 2,80 M + CURVA COM 0,45 M, COM FUROS PARA FIOS</t>
  </si>
  <si>
    <t>NIPLE DE FERRO GALVANIZADO, COM ROSCA BSP, DE 1 1/2"</t>
  </si>
  <si>
    <t>NÍVEL DE BOLHA DE MADEIRA</t>
  </si>
  <si>
    <t>PAINEL DE COMANDO MONOFÁSICO</t>
  </si>
  <si>
    <t>PARAFUSO DE FERRO POLIDO, SEXTAVADO, COM ROSCA PARCIAL, DIAMETRO 5/8", COMPRIMENTO 6", COM PORCA E ARRUELA DE PRESSAO MEDIA</t>
  </si>
  <si>
    <t>PEDRA BRITADA N. 1 (9,5 A 19 MM) POSTO PEDREIRA/FORNECEDOR, SEM FRETE</t>
  </si>
  <si>
    <t>PEDRA BRITADA N. 2 (19 A 38 MM) POSTO PEDREIRA/FORNECEDOR, SEM FRETE</t>
  </si>
  <si>
    <t>PEDRA DE MAO OU PEDRA RACHAO PARA ARRIMO/FUNDACAO (POSTO PEDREIRA/FORNECEDOR, SEM FRETE)</t>
  </si>
  <si>
    <t>PEDRISCO</t>
  </si>
  <si>
    <t>PINO DE ACO COM FURO, HASTE = 27 MM (ACAO DIRETA)</t>
  </si>
  <si>
    <t>CENTO</t>
  </si>
  <si>
    <t>PLUG OU BUJAO DE FERRO GALVANIZADO, DE 1 1/2"</t>
  </si>
  <si>
    <t>PONTALETE *7,5 X 7,5* CM EM PINUS, MISTA OU EQUIVALENTE DA REGIAO - BRUTA</t>
  </si>
  <si>
    <t>PONTALETE / BARROTE DE 3"X3"</t>
  </si>
  <si>
    <t>PORCA ZINCADA, SEXTAVADA, DIAMETRO 1/4"</t>
  </si>
  <si>
    <t>PORTA DE ABRIR / GIRO, EM GRADIL FERRO, COM BARRA CHATA 3 CM X 1/4", COM REQUADRO E GUARNICAO - COMPLETO - ACABAMENTO NATURAL</t>
  </si>
  <si>
    <t>PORTÃO EM METALON E BARRA CHATA DE FERRO C/FECHADURA E DOBRADIÇAS, INCLUS. PINTURA ESMALTE SINTÉTICO (=1M2)</t>
  </si>
  <si>
    <t>PREGO 15X15 (1.1/4" X 13) (APROXIMADAMENTE 672UN/KG)</t>
  </si>
  <si>
    <t>PREGO 18X27 (2.1/2" X 10) (APROXIMADAMENTE 198UN/KG)</t>
  </si>
  <si>
    <t>PREGO DE ACO POLIDO COM CABECA 15 X 15 (1 1/4 X 13)</t>
  </si>
  <si>
    <t>PREGO DE ACO POLIDO COM CABECA 17 X 21 (2 X 11)</t>
  </si>
  <si>
    <t>PREGO DE ACO POLIDO COM CABECA 17 X 27 (2 1/2 X 11)</t>
  </si>
  <si>
    <t>PREGO DE ACO POLIDO COM CABECA 19 X 36 (3 1/4 X 9)</t>
  </si>
  <si>
    <t>PREGO DE ACO POLIDO COM CABECA 22 X 48 (4 1/4 X 5)</t>
  </si>
  <si>
    <t>PREGO DE ACO POLIDO COM CABECA DUPLA 17 X 27 (2 1/2 X 11)</t>
  </si>
  <si>
    <t>PROTETOR AURICULAR</t>
  </si>
  <si>
    <t>PROTETOR SOLAR FPS 30 COM 120ML</t>
  </si>
  <si>
    <t>PRUMO DE FACE</t>
  </si>
  <si>
    <t>PÁ QUADRADA</t>
  </si>
  <si>
    <t>QUADRO DE DISTRIBUICAO, SEM BARRAMENTO, EM PVC, DE EMBUTIR, PARA 3 DISJUNTORES NEMA OU 4 DISJUNTORES DIN</t>
  </si>
  <si>
    <t>REFEIÇÃO - CAFÉ DA MANHÃ ( CAFÉ COM LEITE E DOIS PÃES COM MANTEIGA)</t>
  </si>
  <si>
    <t>REGISTRO DE ESFERA, PVC, COM VOLANTE, VS, SOLDAVEL, DN 32 MM, COM CORPO DIVIDIDO</t>
  </si>
  <si>
    <t>REGISTRO GAVETA BRUTO EM LATAO FORJADO, BITOLA 1 1/2"</t>
  </si>
  <si>
    <t>REGUA DE ALUMÍNIO C/ 2,00M (PARA PEDREIRO)</t>
  </si>
  <si>
    <t>RIPA NAO APARELHADA, *1,5 X 5* CM, EM MACARANDUBA/MASSARANDUBA, ANGELIM OU EQUIVALENTE DA REGIAO - BRUTA</t>
  </si>
  <si>
    <t>SARRAFO *2,5 X 10* CM EM PINUS, MISTA OU EQUIVALENTE DA REGIAO - BRUTA</t>
  </si>
  <si>
    <t>SARRAFO *2,5 X 7,5* CM EM PINUS, MISTA OU EQUIVALENTE DA REGIAO - BRUTA</t>
  </si>
  <si>
    <t>SARRAFO DE 1"X4"</t>
  </si>
  <si>
    <t>SARRAFO NAO APARELHADO *2,5 X 7* CM, EM MACARANDUBA/MASSARANDUBA, ANGELIM, PEROBA-ROSA OU EQUIVALENTE DA REGIAO - BRUTA</t>
  </si>
  <si>
    <t>SEGURO DE VIDA E ACIDENTE EM GRUPO</t>
  </si>
  <si>
    <t>SERRA CIRCULAR DE BANCADA COM MOTOR ELETRICO, POTENCIA DE *1600* W, PARA DISCO DE DIAMETRO DE 10" (250 MM)</t>
  </si>
  <si>
    <t>SERRA CIRCULAR ELETRICA PORTATIL</t>
  </si>
  <si>
    <t>SERRA MÁRMORE</t>
  </si>
  <si>
    <t>SERROTE 40CM</t>
  </si>
  <si>
    <t>SOLUCAO PREPARADORA / LIMPADORA PARA PVC, FRASCO COM 1000 CM3</t>
  </si>
  <si>
    <t>SOQUETE DE BAQUELITE BASE E27, PARA LAMPADAS</t>
  </si>
  <si>
    <t>SUPERCAL</t>
  </si>
  <si>
    <t>SUPORTE DE FIXACAO PARA ESPELHO / PLACA 4" X 2", PARA 3 MODULOS, PARA INSTALACAO DE TOMADAS E INTERRUPTORES (SOMENTE SUPORTE)</t>
  </si>
  <si>
    <t>TABUA *2,5 X 23* CM EM PINUS, MISTA OU EQUIVALENTE DA REGIAO - BRUTA</t>
  </si>
  <si>
    <t>TABUA DE 1" DE 3A. - L = 30cm</t>
  </si>
  <si>
    <t>TABUA NAO APARELHADA *2,5 X 20* CM, EM MACARANDUBA/MASSARANDUBA, ANGELIM OU EQUIVALENTE DA REGIAO - BRUTA</t>
  </si>
  <si>
    <t>TABUA NAO APARELHADA *2,5 X 30* CM, EM MACARANDUBA/MASSARANDUBA, ANGELIM OU EQUIVALENTE DA REGIAO - BRUTA</t>
  </si>
  <si>
    <t>TALHADEIRA CHATA 10"</t>
  </si>
  <si>
    <t>TAMPA DE POÇO GALVANIZADA EM 6"</t>
  </si>
  <si>
    <t>TE DE FERRO GALVANIZADO, DE 1 1/2"</t>
  </si>
  <si>
    <t>TE DE FERRO GALVANIZADO, DE 1"</t>
  </si>
  <si>
    <t>TE SOLDAVEL, PVC, 90 GRAUS, 32 MM, PARA AGUA FRIA PREDIAL (NBR 5648)</t>
  </si>
  <si>
    <t>TELA DE ACO SOLDADA GALVANIZADA/ZINCADA PARA ALVENARIA, FIO D = *1,20 A 1,70* MM, MALHA 15 X 15 MM, (C X L) *50 X 12* CM</t>
  </si>
  <si>
    <t>TELA DE ACO SOLDADA GALVANIZADA/ZINCADA PARA ALVENARIA, FIO D = *1,20 A 1,70* MM, MALHA 15 X 15 MM, (C X L) *50 X 7,5* CM</t>
  </si>
  <si>
    <t>TELA DE ACO SOLDADA NERVURADA, CA-60, Q-196, (3,11 KG/M2), DIAMETRO DO FIO = 5,0 MM, LARGURA = 2,45 M, ESPACAMENTO DA MALHA = 10 X 10 CM</t>
  </si>
  <si>
    <t>TELHA DE BARRO / CERAMICA, NAO ESMALTADA, TIPO COLONIAL, CANAL, PLAN, PAULISTA, COMPRIMENTO DE *44 A 50* CM, RENDIMENTO DE COBERTURA DE *26* TELHAS/M2</t>
  </si>
  <si>
    <t>MIL</t>
  </si>
  <si>
    <t>TERMINAL A COMPRESSAO EM COBRE ESTANHADO PARA CABO 16 MM2, 1 FURO E 1 COMPRESSAO, PARA PARAFUSO DE FIXACAO M6</t>
  </si>
  <si>
    <t>TERMINAL A COMPRESSAO EM COBRE ESTANHADO PARA CABO 2,5 MM2, 1 FURO E 1 COMPRESSAO, PARA PARAFUSO DE FIXACAO M5</t>
  </si>
  <si>
    <t>TERMINAL A COMPRESSAO EM COBRE ESTANHADO PARA CABO 4 MM2, 1 FURO E 1 COMPRESSAO, PARA PARAFUSO DE FIXACAO M5</t>
  </si>
  <si>
    <t>TINTA A OLEO BRILHANTE, PARA MADEIRAS E METAIS</t>
  </si>
  <si>
    <t>TINTA ESMALTE SINTETICO PREMIUM ACETINADO</t>
  </si>
  <si>
    <t>TINTA LATEX ACRILICA PREMIUM, COR BRANCO FOSCO</t>
  </si>
  <si>
    <t>TOMADA 2P+T 10A, 250V (APENAS MODULO)</t>
  </si>
  <si>
    <t>TORNEIRA DE MESA/BANCADA, PARA LAVATORIO, FIXA, METALICA CROMADA, PADRAO POPULAR, 1/2" OU 3/4"</t>
  </si>
  <si>
    <t>TORQUESA</t>
  </si>
  <si>
    <t>TRANSPORTES DE MÁQUINAS E EQUIPAMENTOS POR CAMINHÃO MUNCK</t>
  </si>
  <si>
    <t>KM</t>
  </si>
  <si>
    <t>TUBO ACO GALVANIZADO COM COSTURA, CLASSE LEVE, DN 25 MM (1"), E = 2,65 MM, *2,11* KG/M (NBR 5580)</t>
  </si>
  <si>
    <t>TUBO ACO GALVANIZADO COM COSTURA, CLASSE LEVE, DN 40 MM (1 1/2"), E = 3,00 MM, *3,48* KG/M (NBR 5580)</t>
  </si>
  <si>
    <t>TUBO PVC DE REVESTIMENTO GEOMECANICO NERVURADO STANDARD, DN = 154 MM, COMPRIMENTO = 2 M</t>
  </si>
  <si>
    <t>TUBO PVC PBA JEI, CLASSE 12, DN 50 MM, PARA REDE DE AGUA (NBR 5647)</t>
  </si>
  <si>
    <t>TUBO PVC, ROSCAVEL, 1 1/2", AGUA FRIA PREDIAL</t>
  </si>
  <si>
    <t>TUBO PVC, SOLDAVEL, DE 32 MM, AGUA FRIA (NBR-5648)</t>
  </si>
  <si>
    <t>UNIAO DE FERRO GALVANIZADO, COM ASSENTO CONICO DE BRONZE, DE 1 1/2"</t>
  </si>
  <si>
    <t>VALE TRANSPORTE</t>
  </si>
  <si>
    <t>VALVULA DE RETENCAO HORIZONTAL, DE BRONZE (PN-25), 1 1/2", 400 PSI, TAMPA DE PORCA DE UNIAO, EXTREMIDADES COM ROSCA</t>
  </si>
  <si>
    <t>VERGALHAO ZINCADO ROSCA TOTAL, 1/4" (6,3 MM)</t>
  </si>
  <si>
    <t>VIBRADOR DE IMERSAO, DIAMETRO DA PONTEIRA DE *45* MM, COM MOTOR ELETRICO TRIFASICO DE 2 HP (2 CV)</t>
  </si>
  <si>
    <t>VIGA NAO APARELHADA *6 X 12* CM, EM MACARANDUBA/MASSARANDUBA, ANGELIM OU EQUIVALENTE DA REGIAO - BRUTA</t>
  </si>
  <si>
    <t>ÓCULOS BRANCO PROTEÇÃO</t>
  </si>
  <si>
    <t>PR</t>
  </si>
  <si>
    <t>CONTRATAÇÃO DE SERVIÇOS E EMPREITADAS</t>
  </si>
  <si>
    <t>*Etapa conforme aba anterior, COMPRAS.</t>
  </si>
  <si>
    <t>AJUDANTE DE ARMADOR (HORISTA)</t>
  </si>
  <si>
    <t>H</t>
  </si>
  <si>
    <t>AJUDANTE DE CARPINTEIRO</t>
  </si>
  <si>
    <t>AJUDANTE DE ELETRICISTA (HORISTA)</t>
  </si>
  <si>
    <t>ALIMENTACAO - HORISTA (COLETADO CAIXA - ENCARGOS COMPLEMENTARES)</t>
  </si>
  <si>
    <t>ALMOXARIFE (HORISTA)</t>
  </si>
  <si>
    <t>ARMADOR (HORISTA)</t>
  </si>
  <si>
    <t>ASSENTADOR DE MANILHAS (HORISTA)</t>
  </si>
  <si>
    <t>AUXILIAR DE ENCANADOR OU BOMBEIRO HIDRAULICO (HORISTA)</t>
  </si>
  <si>
    <t>AUXILIAR DE MECANICO (HORISTA)</t>
  </si>
  <si>
    <t>AUXILIAR DE PEDREIRO (HORISTA)</t>
  </si>
  <si>
    <t>AUXILIAR TECNICO / ASSISTENTE DE ENGENHARIA (HORISTA)</t>
  </si>
  <si>
    <t>BETONEIRA ELÉTRICA 580L (CHP)</t>
  </si>
  <si>
    <t>CARPINTEIRO</t>
  </si>
  <si>
    <t>CARPINTEIRO AUXILIAR (HORISTA)</t>
  </si>
  <si>
    <t>CARPINTEIRO DE FORMAS PARA CONCRETO (HORISTA)</t>
  </si>
  <si>
    <t>ELETRICISTA (HORISTA)</t>
  </si>
  <si>
    <t>ENCANADOR OU BOMBEIRO HIDRAULICO (HORISTA)</t>
  </si>
  <si>
    <t>ENCARREGADO GERAL DE OBRAS (HORISTA)</t>
  </si>
  <si>
    <t>ENGENHEIRO CIVIL DE OBRA JUNIOR (HORISTA)</t>
  </si>
  <si>
    <t>ENGENHEIRO CIVIL DE OBRA SENIOR (HORISTA)</t>
  </si>
  <si>
    <t>EPI - FAMILIA ALMOXARIFE - HORISTA (ENCARGOS COMPLEMENTARES - COLETADO CAIXA)</t>
  </si>
  <si>
    <t>EPI - FAMILIA CARPINTEIRO DE FORMAS - HORISTA (ENCARGOS COMPLEMENTARES - COLETADO CAIXA)</t>
  </si>
  <si>
    <t>EPI - FAMILIA ELETRICISTA - HORISTA (ENCARGOS COMPLEMENTARES - COLETADO CAIXA)</t>
  </si>
  <si>
    <t>EPI - FAMILIA ENCANADOR - HORISTA (ENCARGOS COMPLEMENTARES - COLETADO CAIXA)</t>
  </si>
  <si>
    <t>EPI - FAMILIA ENCARREGADO GERAL - HORISTA (ENCARGOS COMPLEMENTARES - COLETADO CAIXA)</t>
  </si>
  <si>
    <t>EPI - FAMILIA ENGENHEIRO CIVIL - HORISTA (ENCARGOS COMPLEMENTARES - COLETADO CAIXA)</t>
  </si>
  <si>
    <t>EPI - FAMILIA OPERADOR ESCAVADEIRA - HORISTA (ENCARGOS COMPLEMENTARES - COLETADO CAIXA)</t>
  </si>
  <si>
    <t>EPI - FAMILIA PEDREIRO - HORISTA (ENCARGOS COMPLEMENTARES - COLETADO CAIXA)</t>
  </si>
  <si>
    <t>EPI - FAMILIA PINTOR - HORISTA (ENCARGOS COMPLEMENTARES - COLETADO CAIXA)</t>
  </si>
  <si>
    <t>EPI - FAMILIA SERVENTE - HORISTA (ENCARGOS COMPLEMENTARES - COLETADO CAIXA)</t>
  </si>
  <si>
    <t>EXAMES - HORISTA (COLETADO CAIXA - ENCARGOS COMPLEMENTARES)</t>
  </si>
  <si>
    <t>FERRAMENTAS - FAMILIA ALMOXARIFE - HORISTA (ENCARGOS COMPLEMENTARES - COLETADO CAIXA)</t>
  </si>
  <si>
    <t>FERRAMENTAS - FAMILIA CARPINTEIRO DE FORMAS - HORISTA (ENCARGOS COMPLEMENTARES - COLETADO CAIXA)</t>
  </si>
  <si>
    <t>FERRAMENTAS - FAMILIA ELETRICISTA - HORISTA (ENCARGOS COMPLEMENTARES - COLETADO CAIXA)</t>
  </si>
  <si>
    <t>FERRAMENTAS - FAMILIA ENCANADOR - HORISTA (ENCARGOS COMPLEMENTARES - COLETADO CAIXA)</t>
  </si>
  <si>
    <t>FERRAMENTAS - FAMILIA ENCARREGADO GERAL - HORISTA (ENCARGOS COMPLEMENTARES - COLETADO CAIXA)</t>
  </si>
  <si>
    <t>FERRAMENTAS - FAMILIA ENGENHEIRO CIVIL - HORISTA (ENCARGOS COMPLEMENTARES - COLETADO CAIXA)</t>
  </si>
  <si>
    <t>FERRAMENTAS - FAMILIA OPERADOR ESCAVADEIRA - HORISTA (ENCARGOS COMPLEMENTARES - COLETADO CAIXA)</t>
  </si>
  <si>
    <t>FERRAMENTAS - FAMILIA PEDREIRO - HORISTA (ENCARGOS COMPLEMENTARES - COLETADO CAIXA)</t>
  </si>
  <si>
    <t>FERRAMENTAS - FAMILIA PINTOR - HORISTA (ENCARGOS COMPLEMENTARES - COLETADO CAIXA)</t>
  </si>
  <si>
    <t>FERRAMENTAS - FAMILIA SERVENTE - HORISTA (ENCARGOS COMPLEMENTARES - COLETADO CAIXA)</t>
  </si>
  <si>
    <t>GEÓLOGO SÊNIOR</t>
  </si>
  <si>
    <t>GEÓLOGO SÊNIOR COM ENCARGOS COMPLEMENTARES</t>
  </si>
  <si>
    <t>GEÓLOGO SÊNIOR ENCARGOS COMPLEMENTARES</t>
  </si>
  <si>
    <t>INSTALADOR DE TUBULACOES - TUBOS/EQUIPAMENTOS (HORISTA)</t>
  </si>
  <si>
    <t>LOCACAO DE BARRA DE ANCORAGEM DE 0,80 A 1,20 M DE EXTENSAO, COM ROSCA DE 5/8", INCLUINDO PORCA E FLANGE</t>
  </si>
  <si>
    <t>MES</t>
  </si>
  <si>
    <t>LOCACAO DE BOMBA SUBMERSIVEL PARA DRENAGEM E ESGOTAMENTO, MOTOR ELETRICO TRIFASICO, POTENCIA DE 2 CV, DIAMETRO DE RECALQUE DE 2", FAIXA DE OPERACAO Q=35 M3/H (+ OU - 3 M3/H) E AMT=2 M, Q=13 M3/H (+ OU - 3 M3/H) E AMT = 17 M (+ OU - 3 M)</t>
  </si>
  <si>
    <t>LOCACAO DE GRUPO GERADOR *80 A 125* KVA, MOTOR DIESEL, REBOCAVEL, ACIONAMENTO MANUAL</t>
  </si>
  <si>
    <t>MEDIDOR DE VAZÃO</t>
  </si>
  <si>
    <t>MONTADOR</t>
  </si>
  <si>
    <t>OPERADOR DE BETONEIRA ESTACIONARIA / MISTURADOR (HORISTA)</t>
  </si>
  <si>
    <t>OPERADOR DE GUINDASTE (HORISTA)</t>
  </si>
  <si>
    <t>OPERADOR DE MAQUINAS E TRATORES DIVERSOS - TERRAPLANAGEM (HORISTA)</t>
  </si>
  <si>
    <t>PEDREIRO</t>
  </si>
  <si>
    <t>PEDREIRO (HORISTA)</t>
  </si>
  <si>
    <t>PINTOR (HORISTA)</t>
  </si>
  <si>
    <t>SEGURO - HORISTA (COLETADO CAIXA - ENCARGOS COMPLEMENTARES)</t>
  </si>
  <si>
    <t>SERVENTE</t>
  </si>
  <si>
    <t>SERVENTE DE OBRAS (HORISTA)</t>
  </si>
  <si>
    <t>TELHADOR / TELHADISTA (HORISTA)</t>
  </si>
  <si>
    <t>TRANSPORTE - HORISTA (COLETADO CAIXA - ENCARGOS COMPLEMENTARES)</t>
  </si>
  <si>
    <t>VEÍCULO LEVE - PICK UP (97KW)</t>
  </si>
  <si>
    <t>LISTA DE SERVIÇOS</t>
  </si>
  <si>
    <t>PREÇO</t>
  </si>
  <si>
    <t>PREÇO CD</t>
  </si>
  <si>
    <t>PREÇO SD</t>
  </si>
  <si>
    <t>PRÓPRIA</t>
  </si>
  <si>
    <t>(COMPOSIÇÃO REPRESENTATIVA) EXECUÇÃO DE ESTRUTURAS DE CONCRETO ARMADO, PARA EDIFICAÇÃO INSTITUCIONAL TÉRREA, FCK = 25 MPA</t>
  </si>
  <si>
    <t>M³</t>
  </si>
  <si>
    <t>ADAPTADOR CURTO COM BOLSA E ROSCA PARA REGISTRO, PVC, SOLDÁVEL, DN 40MM X 1.1/2, INSTALADO EM PRUMADA DE ÁGUA - FORNECIMENTO E INSTALAÇÃO</t>
  </si>
  <si>
    <t>ADMINISTRAÇÃO LOCAL DA OBRA</t>
  </si>
  <si>
    <t>MÊS</t>
  </si>
  <si>
    <t>SINAPI</t>
  </si>
  <si>
    <t>AJUDANTE DE ARMADOR COM ENCARGOS COMPLEMENTARES</t>
  </si>
  <si>
    <t>AJUDANTE DE CARPINTEIRO COM ENCARGOS COMPLEMENTARES</t>
  </si>
  <si>
    <t>AJUDANTE DE PEDREIRO COM ENCARGOS COMPLEMENTARES</t>
  </si>
  <si>
    <t>ALMOXARIFE COM ENCARGOS COMPLEMENTARES</t>
  </si>
  <si>
    <t>ALVENARIA DE VEDAÇÃO COM ELEMENTO VAZADO DE CONCRETO (COBOGÓ) DE 7X50X50CM E ARGAMASSA DE ASSENTAMENTO COM PREPARO EM BETONEIRA. AF_05/2020</t>
  </si>
  <si>
    <t>ALVENARIA DE VEDAÇÃO DE BLOCOS CERÂMICOS FURADOS NA HORIZONTAL DE 14X9X19 CM (ESPESSURA 14 CM, BLOCO DEITADO) E ARGAMASSA DE ASSENTAMENTO COM PREPARO MANUAL. AF_12/2021</t>
  </si>
  <si>
    <t>ALVENARIA DE VEDAÇÃO DE BLOCOS CERÂMICOS FURADOS NA HORIZONTAL DE 9X19X19 CM (ESPESSURA 9 CM) E ARGAMASSA DE ASSENTAMENTO COM PREPARO MANUAL. AF_12/2021</t>
  </si>
  <si>
    <t>ANÁLISE FÍSICO-QUÍMICA DA ÁGUA</t>
  </si>
  <si>
    <t>ORSE</t>
  </si>
  <si>
    <t>AQUISIÇÃO E ASSENTAMENTO DE TUBO RÍGIDO PVC, CLASSE 12, DN 50 MM, INCLUSO CONEXÕES</t>
  </si>
  <si>
    <t>AQUISIÇÃO E INSTALAÇÃO DE DOSADOR DE CLORO</t>
  </si>
  <si>
    <t>ARGAMASSA TRAÇO 1:0,5:4,5 (EM VOLUME DE CIMENTO, CAL E AREIA MÉDIA ÚMIDA) PARA ASSENTAMENTO DE ALVENARIA, PREPARO MANUAL. AF_08/2019</t>
  </si>
  <si>
    <t>ARGAMASSA TRAÇO 1:1:6 (EM VOLUME DE CIMENTO, CAL E AREIA MÉDIA ÚMIDA) PARA EMBOÇO/MASSA ÚNICA/ASSENTAMENTO DE ALVENARIA DE VEDAÇÃO, PREPARO MANUAL. AF_08/2019</t>
  </si>
  <si>
    <t>ARGAMASSA TRAÇO 1:2:8 (EM VOLUME DE CIMENTO, CAL E AREIA MÉDIA ÚMIDA) PARA EMBOÇO/MASSA ÚNICA/ASSENTAMENTO DE ALVENARIA DE VEDAÇÃO, PREPARO MANUAL. AF_08/2019</t>
  </si>
  <si>
    <t>ARGAMASSA TRAÇO 1:3 (EM VOLUME DE CIMENTO E AREIA GROSSA ÚMIDA) PARA CHAPISCO CONVENCIONAL, PREPARO MANUAL. AF_08/2019</t>
  </si>
  <si>
    <t>ARGAMASSA TRAÇO 1:3 (EM VOLUME DE CIMENTO E AREIA MÉDIA ÚMIDA) PARA CONTRAPISO, PREPARO MECÂNICO COM BETONEIRA 400 L. AF_08/2019</t>
  </si>
  <si>
    <t>ARGAMASSA TRAÇO 1:3 (EM VOLUME DE CIMENTO E AREIA MÉDIA ÚMIDA), PREPARO MANUAL. AF_08/2019</t>
  </si>
  <si>
    <t>ARGAMASSA TRAÇO 1:3 (EM VOLUME DE CIMENTO E AREIA MÉDIA ÚMIDA), PREPARO MECÂNICO COM BETONEIRA 400 L. AF_08/2019</t>
  </si>
  <si>
    <t>ARGAMASSA TRAÇO 1:3 (EM VOLUME DE CIMENTO E AREIA MÉDIA ÚMIDA), PREPARO MECÂNICO COM BETONEIRA 600 L. AF_08/2019</t>
  </si>
  <si>
    <t>ARMADOR COM ENCARGOS COMPLEMENTARES</t>
  </si>
  <si>
    <t>ARMAÇÃO DE BLOCO UTILIZANDO AÇO CA-50 DE 10 MM - MONTAGEM. AF_01/2024</t>
  </si>
  <si>
    <t>ARMAÇÃO DE BLOCO UTILIZANDO AÇO CA-50 DE 6,3 MM - MONTAGEM. AF_01/2024</t>
  </si>
  <si>
    <t>ARMAÇÃO DE BLOCO UTILIZANDO AÇO CA-50 DE 8 MM - MONTAGEM. AF_01/2024</t>
  </si>
  <si>
    <t>ARMAÇÃO DE BLOCO UTILIZANDO AÇO CA-60 DE 5 MM - MONTAGEM. AF_01/2024</t>
  </si>
  <si>
    <t>ARMAÇÃO DE BLOCO, SAPATA ISOLADA, VIGA BALDRAME E SAPATA CORRIDA UTILIZANDO AÇO CA-50 DE 12,5 MM - MONTAGEM. AF_01/2024</t>
  </si>
  <si>
    <t>ARMAÇÃO DE PILAR OU VIGA DE ESTRUTURA CONVENCIONAL DE CONCRETO ARMADO UTILIZANDO AÇO CA-50 DE 10,0 MM - MONTAGEM. AF_06/2022</t>
  </si>
  <si>
    <t>ARMAÇÃO DE PILAR OU VIGA DE ESTRUTURA CONVENCIONAL DE CONCRETO ARMADO UTILIZANDO AÇO CA-50 DE 12,5 MM - MONTAGEM. AF_06/2022</t>
  </si>
  <si>
    <t>ARMAÇÃO DE PILAR OU VIGA DE ESTRUTURA CONVENCIONAL DE CONCRETO ARMADO UTILIZANDO AÇO CA-50 DE 16,0 MM - MONTAGEM. AF_06/2022</t>
  </si>
  <si>
    <t>ARMAÇÃO DE PILAR OU VIGA DE ESTRUTURA CONVENCIONAL DE CONCRETO ARMADO UTILIZANDO AÇO CA-50 DE 20,0 MM - MONTAGEM. AF_06/2022</t>
  </si>
  <si>
    <t>ARMAÇÃO DE PILAR OU VIGA DE ESTRUTURA CONVENCIONAL DE CONCRETO ARMADO UTILIZANDO AÇO CA-50 DE 6,3 MM - MONTAGEM. AF_06/2022</t>
  </si>
  <si>
    <t>ARMAÇÃO DE PILAR OU VIGA DE ESTRUTURA CONVENCIONAL DE CONCRETO ARMADO UTILIZANDO AÇO CA-50 DE 8,0 MM - MONTAGEM. AF_06/2022</t>
  </si>
  <si>
    <t>ARMAÇÃO DE PILAR OU VIGA DE ESTRUTURA CONVENCIONAL DE CONCRETO ARMADO UTILIZANDO AÇO CA-60 DE 5,0 MM - MONTAGEM. AF_06/2022</t>
  </si>
  <si>
    <t>ASSENTADOR DE TUBOS COM ENCARGOS COMPLEMENTARES</t>
  </si>
  <si>
    <t>AUXILIAR DE ELETRICISTA COM ENCARGOS COMPLEMENTARES</t>
  </si>
  <si>
    <t>AUXILIAR DE ENCANADOR OU BOMBEIRO HIDRÁULICO COM ENCARGOS COMPLEMENTARES</t>
  </si>
  <si>
    <t>AUXILIAR DE MECÂNICO COM ENCARGOS COMPLEMENTARES</t>
  </si>
  <si>
    <t>AUXILIAR TÉCNICO DE ENGENHARIA COM ENCARGOS COMPLEMENTARES</t>
  </si>
  <si>
    <t>AÇO CA - 50 Ø 6,3 A 12,5MM, INCLUSIVE CORTE, DOBRAGEM, MONTAGEM E COLOCACAO DE FERRAGENS NAS FORMAS, PARA SUPERESTRUTURAS E FUNDAÇÕES - R1</t>
  </si>
  <si>
    <t>BARRILETE (CURVAS E CONEXÕES)</t>
  </si>
  <si>
    <t>BETONEIRA CAPACIDADE NOMINAL DE 400 L, CAPACIDADE DE MISTURA 280 L, MOTOR ELÉTRICO TRIFÁSICO POTÊNCIA DE 2 CV, SEM CARREGADOR - CHI DIURNO. AF_05/2023</t>
  </si>
  <si>
    <t>CHI</t>
  </si>
  <si>
    <t>BETONEIRA CAPACIDADE NOMINAL DE 400 L, CAPACIDADE DE MISTURA 280 L, MOTOR ELÉTRICO TRIFÁSICO POTÊNCIA DE 2 CV, SEM CARREGADOR - CHP DIURNO. AF_05/2023</t>
  </si>
  <si>
    <t>CHP</t>
  </si>
  <si>
    <t>BETONEIRA CAPACIDADE NOMINAL DE 400 L, CAPACIDADE DE MISTURA 280 L, MOTOR ELÉTRICO TRIFÁSICO POTÊNCIA DE 2 CV, SEM CARREGADOR - DEPRECIAÇÃO. AF_05/2023</t>
  </si>
  <si>
    <t>BETONEIRA CAPACIDADE NOMINAL DE 400 L, CAPACIDADE DE MISTURA 280 L, MOTOR ELÉTRICO TRIFÁSICO POTÊNCIA DE 2 CV, SEM CARREGADOR - JUROS. AF_05/2023</t>
  </si>
  <si>
    <t>BETONEIRA CAPACIDADE NOMINAL DE 400 L, CAPACIDADE DE MISTURA 280 L, MOTOR ELÉTRICO TRIFÁSICO POTÊNCIA DE 2 CV, SEM CARREGADOR - MANUTENÇÃO. AF_05/2023</t>
  </si>
  <si>
    <t>BETONEIRA CAPACIDADE NOMINAL DE 400 L, CAPACIDADE DE MISTURA 280 L, MOTOR ELÉTRICO TRIFÁSICO POTÊNCIA DE 2 CV, SEM CARREGADOR - MATERIAIS NA OPERAÇÃO. AF_05/2023</t>
  </si>
  <si>
    <t>BETONEIRA CAPACIDADE NOMINAL DE 600 L, CAPACIDADE DE MISTURA 360 L, MOTOR ELÉTRICO TRIFÁSICO POTÊNCIA DE 4 CV, SEM CARREGADOR - CHI DIURNO. AF_05/2023</t>
  </si>
  <si>
    <t>BETONEIRA CAPACIDADE NOMINAL DE 600 L, CAPACIDADE DE MISTURA 360 L, MOTOR ELÉTRICO TRIFÁSICO POTÊNCIA DE 4 CV, SEM CARREGADOR - CHP DIURNO. AF_05/2023</t>
  </si>
  <si>
    <t>BETONEIRA CAPACIDADE NOMINAL DE 600 L, CAPACIDADE DE MISTURA 360 L, MOTOR ELÉTRICO TRIFÁSICO POTÊNCIA DE 4 CV, SEM CARREGADOR - DEPRECIAÇÃO. AF_05/2023</t>
  </si>
  <si>
    <t>BETONEIRA CAPACIDADE NOMINAL DE 600 L, CAPACIDADE DE MISTURA 360 L, MOTOR ELÉTRICO TRIFÁSICO POTÊNCIA DE 4 CV, SEM CARREGADOR - JUROS. AF_05/2023</t>
  </si>
  <si>
    <t>BETONEIRA CAPACIDADE NOMINAL DE 600 L, CAPACIDADE DE MISTURA 360 L, MOTOR ELÉTRICO TRIFÁSICO POTÊNCIA DE 4 CV, SEM CARREGADOR - MANUTENÇÃO. AF_05/2023</t>
  </si>
  <si>
    <t>BETONEIRA CAPACIDADE NOMINAL DE 600 L, CAPACIDADE DE MISTURA 360 L, MOTOR ELÉTRICO TRIFÁSICO POTÊNCIA DE 4 CV, SEM CARREGADOR - MATERIAIS NA OPERAÇÃO. AF_05/2023</t>
  </si>
  <si>
    <t>SEINFRA</t>
  </si>
  <si>
    <t>BLOCO DE ANCORAGEM EM CONCRETO SIMPLES FCK=10MPa</t>
  </si>
  <si>
    <t>BUCHA DE REDUCAO DE FERRO GALVANIZADO, COM ROSCA BSP, DE 1 1/2" X 1"- FORNECIMENTO E INSTALAÇÃO</t>
  </si>
  <si>
    <t>CABO DE COBRE FLEXÍVEL ISOLADO, 10 MM², ANTI-CHAMA 0,6/1,0 KV, PARA CIRCUITOS TERMINAIS - FORNECIMENTO E INSTALAÇÃO. AF_03/2023</t>
  </si>
  <si>
    <t>CABO DE COBRE FLEXÍVEL ISOLADO, 2,5 MM², ANTI-CHAMA 450/750 V, PARA CIRCUITOS TERMINAIS - FORNECIMENTO E INSTALAÇÃO. AF_03/2023</t>
  </si>
  <si>
    <t>CAIAÇÃO EM TRES DEMÃOS EM PAREDES (REF: C0589-SEINFRA 28)</t>
  </si>
  <si>
    <t>CAIXA D´ÁGUA EM POLIÉSTER REFORÇADO COM FIBRA DE VIDRO, 10000 LITROS - FORNECIMENTO E INSTALAÇÃO. AF_06/2021</t>
  </si>
  <si>
    <t>CAIXA RETANGULAR 4" X 2" MÉDIA (1,30 M DO PISO), PVC, INSTALADA EM PAREDE - FORNECIMENTO E INSTALAÇÃO. AF_03/2023</t>
  </si>
  <si>
    <t>CARPINTEIRO DE FORMAS COM ENCARGOS COMPLEMENTARES</t>
  </si>
  <si>
    <t>CERCA COM MOURÕES DE CONCRETO, SEÇÃO "T" PONTA INCLINADA, 10X10 CM, ESPAÇAMENTO DE 2,5 M, CRAVADOS 0,5 M, COM 11 FIOS DE ARAME FARPADO Nº 14 - FORNECIMENTO E INSTALAÇÃO. AF_05/2020</t>
  </si>
  <si>
    <t>CHAPISCO APLICADO EM ALVENARIA (COM PRESENÇA DE VÃOS) E ESTRUTURAS DE CONCRETO DE FACHADA, COM COLHER DE PEDREIRO. ARGAMASSA TRAÇO 1:3 COM PREPARO MANUAL. AF_10/2022</t>
  </si>
  <si>
    <t>CHUMBAMENTO LINEAR EM ALVENARIA PARA RAMAIS/DISTRIBUIÇÃO DE INSTALAÇÕES HIDRÁULICAS COM DIÂMETROS MENORES OU IGUAIS A 40 MM. AF_09/2023</t>
  </si>
  <si>
    <t>CIMENTAÇÃO SANITÁRIA</t>
  </si>
  <si>
    <t>CINTA DE AMARRAÇÃO DE ALVENARIA MOLDADA IN LOCO EM CONCRETO</t>
  </si>
  <si>
    <t>CONCRETAGEM DE PILARES, FCK = 25 MPA, COM USO DE BOMBA - LANÇAMENTO, ADENSAMENTO E ACABAMENTO. AF_02/2022_PS</t>
  </si>
  <si>
    <t>CONCRETO ARMADO FCK=15MPA FABRICADO NA OBRA, ADENSADO E LANÇADO, PARA USO GERAL, COM FORMAS PLANAS EM COMPENSADO RESINADO 12MM (05 USOS)</t>
  </si>
  <si>
    <t>CONCRETO FCK = 20MPA, TRAÇO 1:2,7:3 (EM MASSA SECA DE CIMENTO/ AREIA MÉDIA/ BRITA 1) - PREPARO MECÂNICO COM BETONEIRA 400 L. AF_05/2021</t>
  </si>
  <si>
    <t>CONCRETO FCK = 20MPA, TRAÇO 1:2,7:3 (EM MASSA SECA DE CIMENTO/ AREIA MÉDIA/ BRITA 1) - PREPARO MECÂNICO COM BETONEIRA 600 L. AF_05/2021</t>
  </si>
  <si>
    <t>CONCRETO MAGRO PARA LASTRO, TRAÇO 1:4,5:4,5 (EM MASSA SECA DE CIMENTO/ AREIA MÉDIA/ BRITA 1) - PREPARO MANUAL. AF_05/2021</t>
  </si>
  <si>
    <t>CONCRETO MAGRO PARA LASTRO, TRAÇO 1:4,5:4,5 (EM MASSA SECA DE CIMENTO/ AREIA MÉDIA/ BRITA 1) - PREPARO MECÂNICO COM BETONEIRA 400 L. AF_05/2021</t>
  </si>
  <si>
    <t>CONCRETO MAGRO PARA LASTRO, TRAÇO 1:4,5:4,5 (EM MASSA SECA DE CIMENTO/ AREIA MÉDIA/ BRITA 1) - PREPARO MECÂNICO COM BETONEIRA 600 L. AF_05/2021</t>
  </si>
  <si>
    <t>CONCRETO P/VIBR., FCK 10 MPa COM AGREGADO ADQUIRIDO</t>
  </si>
  <si>
    <t>CONCRETO SIMPLES FABRICADO NA OBRA, FCK=15 MPA, LANÇADO E ADENSADO</t>
  </si>
  <si>
    <t>CONCRETO SIMPLES FCK= 15 MPA (B1/B2), FABRICADO NA OBRA, SEM LANÇAMENTO E ADENSAMENTO</t>
  </si>
  <si>
    <t>CONECTOR GRAMPO METÁLICO TIPO OLHAL, PARA SPDA, PARA HASTE DE ATERRAMENTO DE 3/4" E CABOS DE 10 A 50 MM2 - FORNECIMENTO E INSTALAÇÃO. AF_08/2023</t>
  </si>
  <si>
    <t>CORDOALHA DE COBRE NU 50 MM², ENTERRADA - FORNECIMENTO E INSTALAÇÃO. AF_08/2023</t>
  </si>
  <si>
    <t>CORTE E DOBRA DE AÇO CA-50, DIÂMETRO DE 10,0 MM. AF_06/2022</t>
  </si>
  <si>
    <t>CORTE E DOBRA DE AÇO CA-50, DIÂMETRO DE 12,5 MM. AF_06/2022</t>
  </si>
  <si>
    <t>CORTE E DOBRA DE AÇO CA-50, DIÂMETRO DE 16,0 MM. AF_06/2022</t>
  </si>
  <si>
    <t>CORTE E DOBRA DE AÇO CA-50, DIÂMETRO DE 20,0 MM. AF_06/2022</t>
  </si>
  <si>
    <t>CORTE E DOBRA DE AÇO CA-50, DIÂMETRO DE 6,3 MM. AF_06/2022</t>
  </si>
  <si>
    <t>CORTE E DOBRA DE AÇO CA-50, DIÂMETRO DE 8,0 MM. AF_06/2022</t>
  </si>
  <si>
    <t>CORTE E DOBRA DE AÇO CA-60, DIÂMETRO DE 5,0 MM. AF_06/2022</t>
  </si>
  <si>
    <t>CURSO DE CAPACITAÇÃO PARA AJUDANTE DE ARMADOR (ENCARGOS COMPLEMENTARES) - HORISTA</t>
  </si>
  <si>
    <t>CURSO DE CAPACITAÇÃO PARA AJUDANTE DE CARPINTEIRO (ENCARGOS COMPLEMENTARES) - HORISTA</t>
  </si>
  <si>
    <t>CURSO DE CAPACITAÇÃO PARA AJUDANTE DE PEDREIRO (ENCARGOS COMPLEMENTARES) - HORISTA</t>
  </si>
  <si>
    <t>CURSO DE CAPACITAÇÃO PARA ALMOXARIFE (ENCARGOS COMPLEMENTARES) - HORISTA</t>
  </si>
  <si>
    <t>CURSO DE CAPACITAÇÃO PARA ARMADOR (ENCARGOS COMPLEMENTARES) - HORISTA</t>
  </si>
  <si>
    <t>CURSO DE CAPACITAÇÃO PARA ASSENTADOR DE TUBOS (ENCARGOS COMPLEMENTARES) - HORISTA</t>
  </si>
  <si>
    <t>CURSO DE CAPACITAÇÃO PARA AUXILIAR DE ELETRICISTA (ENCARGOS COMPLEMENTARES) - HORISTA</t>
  </si>
  <si>
    <t>CURSO DE CAPACITAÇÃO PARA AUXILIAR DE ENCANADOR OU BOMBEIRO HIDRÁULICO (ENCARGOS COMPLEMENTARES) - HORISTA</t>
  </si>
  <si>
    <t>CURSO DE CAPACITAÇÃO PARA AUXILIAR DE MECÂNICO (ENCARGOS COMPLEMENTARES) - HORISTA</t>
  </si>
  <si>
    <t>CURSO DE CAPACITAÇÃO PARA AUXILIAR TÉCNICO DE ENGENHARIA (ENCARGOS COMPLEMENTARES) - HORISTA</t>
  </si>
  <si>
    <t>CURSO DE CAPACITAÇÃO PARA CARPINTEIRO DE FÔRMAS (ENCARGOS COMPLEMENTARES) - HORISTA</t>
  </si>
  <si>
    <t>CURSO DE CAPACITAÇÃO PARA ELETRICISTA (ENCARGOS COMPLEMENTARES) - HORISTA</t>
  </si>
  <si>
    <t>CURSO DE CAPACITAÇÃO PARA ENCANADOR OU BOMBEIRO HIDRÁULICO (ENCARGOS COMPLEMENTARES) - HORISTA</t>
  </si>
  <si>
    <t>CURSO DE CAPACITAÇÃO PARA ENCARREGADO GERAL (ENCARGOS COMPLEMENTARES) - HORISTA</t>
  </si>
  <si>
    <t>CURSO DE CAPACITAÇÃO PARA ENGENHEIRO CIVIL DE OBRA JÚNIOR (ENCARGOS COMPLEMENTARES) - HORISTA</t>
  </si>
  <si>
    <t>CURSO DE CAPACITAÇÃO PARA ENGENHEIRO CIVIL DE OBRA SÊNIOR (ENCARGOS COMPLEMENTARES) - HORISTA</t>
  </si>
  <si>
    <t>CURSO DE CAPACITAÇÃO PARA MONTADOR DE TUBO AÇO/EQUIPAMENTOS (ENCARGOS COMPLEMENTARES) - HORISTA</t>
  </si>
  <si>
    <t>CURSO DE CAPACITAÇÃO PARA OPERADOR DE BETONEIRA ESTACIONÁRIA/MISTURADOR (ENCARGOS COMPLEMENTARES) - HORISTA</t>
  </si>
  <si>
    <t>CURSO DE CAPACITAÇÃO PARA OPERADOR DE GUINDASTE (ENCARGOS COMPLEMENTARES) - HORISTA</t>
  </si>
  <si>
    <t>CURSO DE CAPACITAÇÃO PARA OPERADOR DE MÁQUINAS E EQUIPAMENTOS (ENCARGOS COMPLEMENTARES) - HORISTA</t>
  </si>
  <si>
    <t>CURSO DE CAPACITAÇÃO PARA PEDREIRO (ENCARGOS COMPLEMENTARES) - HORISTA</t>
  </si>
  <si>
    <t>CURSO DE CAPACITAÇÃO PARA PINTOR (ENCARGOS COMPLEMENTARES) - HORISTA</t>
  </si>
  <si>
    <t>CURSO DE CAPACITAÇÃO PARA SERVENTE (ENCARGOS COMPLEMENTARES) - HORISTA</t>
  </si>
  <si>
    <t>CURSO DE CAPACITAÇÃO PARA TELHADISTA (ENCARGOS COMPLEMENTARES) - HORISTA</t>
  </si>
  <si>
    <t>CURVA 180 GRAUS PARA ELETRODUTO, PVC, ROSCÁVEL, DN 32 MM (1"), PARA CIRCUITOS TERMINAIS, INSTALADA EM PAREDE - FORNECIMENTO E INSTALAÇÃO. AF_03/2023</t>
  </si>
  <si>
    <t>CURVA 90 GRAUS DE FERRO GALVANIZADO, COM ROSCA BSP FEMEA, DE 1"- FORNECIMENTO E INSTALAÇÃO</t>
  </si>
  <si>
    <t>CURVA 90 GRAUS PARA ELETRODUTO, PVC, ROSCÁVEL, DN 32 MM (1"), PARA CIRCUITOS TERMINAIS, INSTALADA EM PAREDE - FORNECIMENTO E INSTALAÇÃO. AF_03/2023</t>
  </si>
  <si>
    <t>DESENVOLVIMENTO COM BOMBA SUBMERSA</t>
  </si>
  <si>
    <t>DESINFECÇÃO</t>
  </si>
  <si>
    <t>DISJUNTOR MONOPOLAR TIPO DIN, CORRENTE NOMINAL DE 10A - FORNECIMENTO E INSTALAÇÃO. AF_10/2020</t>
  </si>
  <si>
    <t>DISJUNTOR MONOPOLAR TIPO DIN, CORRENTE NOMINAL DE 25A - FORNECIMENTO E INSTALAÇÃO. AF_10/2020</t>
  </si>
  <si>
    <t>DISJUNTOR MONOPOLAR TIPO DIN, CORRENTE NOMINAL DE 50A - FORNECIMENTO E INSTALAÇÃO. AF_10/2020</t>
  </si>
  <si>
    <t>DISPOSITIVO DE PROTEÇÃO CONTRA SURTO DE TENSÃO DPS 60KA - 275V</t>
  </si>
  <si>
    <t>ELETRICISTA COM ENCARGOS COMPLEMENTARES</t>
  </si>
  <si>
    <t>ELETRODUTO FLEXÍVEL CORRUGADO, PVC, DN 20 MM (1/2"), PARA CIRCUITOS TERMINAIS, INSTALADO EM PAREDE - FORNECIMENTO E INSTALAÇÃO. AF_03/2023</t>
  </si>
  <si>
    <t>ELETRODUTO RÍGIDO ROSCÁVEL, PVC, DN 32 MM (1"), PARA CIRCUITOS TERMINAIS, INSTALADO EM PAREDE - FORNECIMENTO E INSTALAÇÃO. AF_03/2023</t>
  </si>
  <si>
    <t>ENCANADOR OU BOMBEIRO HIDRÁULICO COM ENCARGOS COMPLEMENTARES</t>
  </si>
  <si>
    <t>ENCARGOS COMPLEMENTARES - ARMADOR</t>
  </si>
  <si>
    <t>ENCARGOS COMPLEMENTARES - CARPINTEIRO</t>
  </si>
  <si>
    <t>ENCARGOS COMPLEMENTARES - ELETRICISTA</t>
  </si>
  <si>
    <t>ENCARGOS COMPLEMENTARES - PEDREIRO</t>
  </si>
  <si>
    <t>ENCARGOS COMPLEMENTARES - SERVENTE</t>
  </si>
  <si>
    <t>ENCARREGADO GERAL COM ENCARGOS COMPLEMENTARES</t>
  </si>
  <si>
    <t>ENGENHEIRO CIVIL DE OBRA JUNIOR COM ENCARGOS COMPLEMENTARES</t>
  </si>
  <si>
    <t>ENGENHEIRO CIVIL DE OBRA SENIOR COM ENCARGOS COMPLEMENTARES</t>
  </si>
  <si>
    <t>ENTRADA DE ENERGIA ELÉTRICA, AÉREA, MONOFÁSICA, COM CAIXA DE EMBUTIR, CABO DE 10 MM2 E DISJUNTOR DIN 50A (NÃO INCLUSO O POSTE DE CONCRETO). AF_07/2020_PS (REF: 101493-SINAPI-06/2025)</t>
  </si>
  <si>
    <t>ESCAVAÇÃO MANUAL DE VALA. AF_09/2024</t>
  </si>
  <si>
    <t>EXECUÇÃO DE PASSEIO (CALÇADA) OU PISO DE CONCRETO COM CONCRETO MOLDADO IN LOCO, FEITO EM OBRA, ACABAMENTO CONVENCIONAL, ESPESSURA 8 CM, ARMADO. AF_08/2022</t>
  </si>
  <si>
    <t>FABRICAÇÃO DE ESCORAS DE VIGA DO TIPO GARFO, EM MADEIRA. AF_09/2020</t>
  </si>
  <si>
    <t>FABRICAÇÃO DE FÔRMA PARA PILARES E ESTRUTURAS SIMILARES, EM CHAPA DE MADEIRA COMPENSADA RESINADA, E = 17 MM. AF_09/2020</t>
  </si>
  <si>
    <t>FABRICAÇÃO DE FÔRMA PARA VIGAS, COM MADEIRA SERRADA, E = 25 MM. AF_09/2020</t>
  </si>
  <si>
    <t>FABRICAÇÃO DE FÔRMA PARA VIGAS, EM CHAPA DE MADEIRA COMPENSADA RESINADA, E = 17 MM. AF_09/2020</t>
  </si>
  <si>
    <t>FABRICAÇÃO, MONTAGEM E DESMONTAGEM DE FORMA PARA RADIER, PISO DE CONCRETO OU LAJE SOBRE SOLO, EM MADEIRA SERRADA, 4 UTILIZAÇÕES. AF_09/2021</t>
  </si>
  <si>
    <t>FORMA DE TÁBUAS DE 1" DE 3A. P/FUNDAÇÕES UTIL. 5 X</t>
  </si>
  <si>
    <t>FORMA PLANA PARA ESTRUTURAS, EM COMPENSADO RESINADO DE 12MM, 05 USOS, INCLUSIVE ESCORAMENTO - REVISADA 07..2015</t>
  </si>
  <si>
    <t>FORNECIMENTO E INSTALAÇÃO DE BOMBA SUBMERSA DE 3CV, MONOFÁSICA, 220 V, LEÃO OU SIMILAR</t>
  </si>
  <si>
    <t>FORNECIMENTO E INSTALAÇÃO DE CABO CHATO SUBMERSO DE 3 X 6 MM²</t>
  </si>
  <si>
    <t>FORNECIMENTO E INSTALAÇÃO DE PAINEL DE COMANDO ELÉTRICO PARA BOMBA 3CV, MONOFÁSICO</t>
  </si>
  <si>
    <t>FORNECIMENTO E INSTALAÇÃO DE REVESTIMENTO GEOMECÂNICO STANDART DN-154-S</t>
  </si>
  <si>
    <t>FORNECIMENTO E INSTALAÇÃO DE TAMPA PARA POÇO</t>
  </si>
  <si>
    <t>FORNECIMENTO E INSTALAÇÃO DE TUBO EDUTOR DE PVC DE 1.1/2'' COM LUVA</t>
  </si>
  <si>
    <t>GUINDASTE HIDRÁULICO AUTOPROPELIDO, COM LANÇA TELESCÓPICA 40 M, CAPACIDADE MÁXIMA 60 T, POTÊNCIA 260 KW - CHI DIURNO. AF_03/2016</t>
  </si>
  <si>
    <t>GUINDASTE HIDRÁULICO AUTOPROPELIDO, COM LANÇA TELESCÓPICA 40 M, CAPACIDADE MÁXIMA 60 T, POTÊNCIA 260 KW - CHP DIURNO. AF_03/2016</t>
  </si>
  <si>
    <t>GUINDASTE HIDRÁULICO AUTOPROPELIDO, COM LANÇA TELESCÓPICA 40 M, CAPACIDADE MÁXIMA 60 T, POTÊNCIA 260 KW - DEPRECIAÇÃO. AF_03/2016</t>
  </si>
  <si>
    <t>GUINDASTE HIDRÁULICO AUTOPROPELIDO, COM LANÇA TELESCÓPICA 40 M, CAPACIDADE MÁXIMA 60 T, POTÊNCIA 260 KW - IMPOSTOS E SEGUROS. AF_03/2016</t>
  </si>
  <si>
    <t>GUINDASTE HIDRÁULICO AUTOPROPELIDO, COM LANÇA TELESCÓPICA 40 M, CAPACIDADE MÁXIMA 60 T, POTÊNCIA 260 KW - JUROS. AF_03/2016</t>
  </si>
  <si>
    <t>GUINDASTE HIDRÁULICO AUTOPROPELIDO, COM LANÇA TELESCÓPICA 40 M, CAPACIDADE MÁXIMA 60 T, POTÊNCIA 260 KW - MANUTENÇÃO. AF_03/2016</t>
  </si>
  <si>
    <t>GUINDASTE HIDRÁULICO AUTOPROPELIDO, COM LANÇA TELESCÓPICA 40 M, CAPACIDADE MÁXIMA 60 T, POTÊNCIA 260 KW - MATERIAIS NA OPERAÇÃO. AF_03/2016</t>
  </si>
  <si>
    <t>HASTE DE ATERRAMENTO, DIÂMETRO 3/4", COM 3 METROS - FORNECIMENTO E INSTALAÇÃO. AF_08/2023</t>
  </si>
  <si>
    <t>INTERRUPTOR SIMPLES (1 MÓDULO) COM 1 TOMADA DE EMBUTIR 2P+T 10 A, INCLUINDO SUPORTE E PLACA - FORNECIMENTO E INSTALAÇÃO. AF_03/2023</t>
  </si>
  <si>
    <t>INTERRUPTOR SIMPLES (1 MÓDULO) COM 1 TOMADA DE EMBUTIR 2P+T 10 A, SEM SUPORTE E SEM PLACA - FORNECIMENTO E INSTALAÇÃO. AF_03/2023</t>
  </si>
  <si>
    <t>LAJE DE PROTEÇÃO EM CONCRETO (1,0 M X 1,0 M X 0,15 M)</t>
  </si>
  <si>
    <t>LANÇAMENTO DE CONCRETO SIMPLES FABRICADO NA OBRA, INCLUSIVE ADENSAMENTO E ACABAMENTO EM PEÇAS DA SUPERESTRUTURA</t>
  </si>
  <si>
    <t>LASTRO DE CONCRETO MAGRO, APLICADO EM BLOCOS DE COROAMENTO OU SAPATAS, ESPESSURA DE 3 CM. AF_01/2024</t>
  </si>
  <si>
    <t>LIMPEZA MANUAL DE VEGETAÇÃO EM TERRENO COM ENXADA. AF_03/2024</t>
  </si>
  <si>
    <t>LOCAÇÃO CONVENCIONAL DE OBRA, UTILIZANDO GABARITO DE TÁBUAS CORRIDAS PONTALETADAS A CADA 2,00M - 2 UTILIZAÇÕES. AF_03/2024</t>
  </si>
  <si>
    <t>LOCAÇÃO DO POÇO COM ESTUDO GEOLÓGICO/HIDROGEOLÓGICO/GEOFÍSICO</t>
  </si>
  <si>
    <t>LUMINÁRIA ARANDELA TIPO MEIA-LUA COM VIDRO FOSCO *30 X 15* CM, PARA 1 LÂMPADA (SINAPI ADAPTADO 97605)</t>
  </si>
  <si>
    <t>LUVA DE FERRO GALVANIZADO, COM ROSCA BSP, DE 1"- FORNECIMENTO E INSTALAÇÃO</t>
  </si>
  <si>
    <t>LUVA DE REDUÇÃO, EM FERRO GALVANIZADO, 1" X 3/4", CONEXÃO ROSQUEADA, INSTALADO EM REDE DE ALIMENTAÇÃO PARA HIDRANTE - FORNECIMENTO E INSTALAÇÃO. AF_10/2020</t>
  </si>
  <si>
    <t>LUVA PARA ELETRODUTO, PVC, ROSCÁVEL, DN 32 MM (1"), PARA CIRCUITOS TERMINAIS, INSTALADA EM PAREDE - FORNECIMENTO E INSTALAÇÃO. AF_03/2023</t>
  </si>
  <si>
    <t>LÂMPADA COMPACTA DE LED 10 W, BASE E27 - FORNECIMENTO E INSTALAÇÃO. AF_09/2024</t>
  </si>
  <si>
    <t>MASSA ÚNICA, EM ARGAMASSA TRAÇO 1:2:8, PREPARO MANUAL, APLICADA MANUALMENTE EM PAREDES INTERNAS DE AMBIENTES COM ÁREA ENTRE 5M² E 10M², E = 17,5MM, COM TALISCAS. AF_03/2024</t>
  </si>
  <si>
    <t>MONTADOR (TUBO AÇO/EQUIPAMENTOS) COM ENCARGOS COMPLEMENTARES</t>
  </si>
  <si>
    <t>MONTAGEM E DESMONTAGEM DE FÔRMA DE PILARES RETANGULARES E ESTRUTURAS SIMILARES, PÉ-DIREITO SIMPLES, EM CHAPA DE MADEIRA COMPENSADA RESINADA, 2 UTILIZAÇÕES. AF_09/2020</t>
  </si>
  <si>
    <t>MONTAGEM E DESMONTAGEM DE FÔRMA DE VIGA, ESCORAMENTO COM GARFO DE MADEIRA, PÉ-DIREITO SIMPLES, EM CHAPA DE MADEIRA RESINADA, 2 UTILIZAÇÕES. AF_09/2020</t>
  </si>
  <si>
    <t>OPERADOR DE BETONEIRA ESTACIONÁRIA/MISTURADOR COM ENCARGOS COMPLEMENTARES</t>
  </si>
  <si>
    <t>OPERADOR DE GUINDASTE COM ENCARGOS COMPLEMENTARES</t>
  </si>
  <si>
    <t>OPERADOR DE MÁQUINAS E EQUIPAMENTOS COM ENCARGOS COMPLEMENTARES</t>
  </si>
  <si>
    <t>PEDRA ARGAMASSADA COM CIMENTO E AREIA 1:3, 40% DE ARGAMASSA EM VOLUME - AREIA E PEDRA DE MÃO COMERCIAIS - FORNECIMENTO E ASSENTAMENTO. AF_08/2022</t>
  </si>
  <si>
    <t>PEDREIRO COM ENCARGOS COMPLEMENTARES</t>
  </si>
  <si>
    <t>PERFILAGEM ÓTICA</t>
  </si>
  <si>
    <t>PERFURAÇÃO EM 10'' (SEDIMENTO)</t>
  </si>
  <si>
    <t>PERFURAÇÃO EM 6'' (ROCHA CRISTALINA)</t>
  </si>
  <si>
    <t>PERFURAÇÃO EM 6'' (SEDIMENTO)</t>
  </si>
  <si>
    <t>PERFURAÇÃO EM 8'' (ROCHA CRISTALINA)</t>
  </si>
  <si>
    <t>PINTOR COM ENCARGOS COMPLEMENTARES</t>
  </si>
  <si>
    <t>PINTURA COM TINTA ALQUÍDICA DE ACABAMENTO (ESMALTE SINTÉTICO ACETINADO) APLICADA A ROLO OU PINCEL SOBRE SUPERFÍCIES METÁLICAS (EXCETO PERFIL) EXECUTADO EM OBRA (02 DEMÃOS). AF_01/2020</t>
  </si>
  <si>
    <t>PINTURA LOGOTIPO DA SECRETARIA EM RESERVATÓRIO DE FIBRA DE VIDRO</t>
  </si>
  <si>
    <t>PISO CIMENTADO, TRAÇO 1:3 (CIMENTO E AREIA), ACABAMENTO LISO, ESPESSURA 4,0 CM, PREPARO MECÂNICO DA ARGAMASSA. AF_09/2020</t>
  </si>
  <si>
    <t>PLACAS PADRÃO DE OBRA</t>
  </si>
  <si>
    <t>PONTO DE ILUMINAÇÃO E TOMADA, RESIDENCIAL, INCLUINDO INTERRUPTOR SIMPLES E TOMADA 10A/250V, CAIXA ELÉTRICA, ELETRODUTO, CABO, RASGO, QUEBRA E CHUMBAMENTO (EXCLUINDO LUMINÁRIA E LÂMPADA)</t>
  </si>
  <si>
    <t>PORTA DE FERRO, DE ABRIR, TIPO GRADE COM CHAPA, COM GUARNIÇÕES. AF_12/2019</t>
  </si>
  <si>
    <t>PORTÃO DE METALON E BARRA CHATA DE FERRO C/FECHADURA E DOBRADIÇA, INCLUS. PINTURA ESMALTE SINTÉTICO</t>
  </si>
  <si>
    <t>QUADRO DE DISTRIBUIÇÃO DE ENERGIA EM PVC, DE EMBUTIR, SEM BARRAMENTO, PARA 3 DISJUNTORES - FORNECIMENTO E INSTALAÇÃO. AF_10/2020</t>
  </si>
  <si>
    <t>QUEBRA EM ALVENARIA PARA INSTALAÇÃO DE CAIXA DE TOMADA (4X4 OU 4X2). AF_09/2023</t>
  </si>
  <si>
    <t>RASGO LINEAR MANUAL EM ALVENARIA, PARA ELETRODUTOS, DIÂMETROS MENORES OU IGUAIS A 40 MM. AF_09/2023</t>
  </si>
  <si>
    <t>REATERRO DE VALA COM COMPACTAÇÃO MANUAL</t>
  </si>
  <si>
    <t>REGISTRO DE GAVETA BRUTO, LATÃO, ROSCÁVEL, 1 1/2" - FORNECIMENTO E INSTALAÇÃO. AF_08/2021</t>
  </si>
  <si>
    <t>RELATÓRIO TÉCNICO</t>
  </si>
  <si>
    <t>SERRA CIRCULAR DE BANCADA COM MOTOR ELÉTRICO POTÊNCIA DE 5HP, COM COIFA PARA DISCO 10" - CHI DIURNO. AF_08/2015</t>
  </si>
  <si>
    <t>SERRA CIRCULAR DE BANCADA COM MOTOR ELÉTRICO POTÊNCIA DE 5HP, COM COIFA PARA DISCO 10" - CHP DIURNO. AF_08/2015</t>
  </si>
  <si>
    <t>SERRA CIRCULAR DE BANCADA COM MOTOR ELÉTRICO POTÊNCIA DE 5HP, COM COIFA PARA DISCO 10" - DEPRECIAÇÃO. AF_08/2015</t>
  </si>
  <si>
    <t>SERRA CIRCULAR DE BANCADA COM MOTOR ELÉTRICO POTÊNCIA DE 5HP, COM COIFA PARA DISCO 10" - JUROS. AF_08/2015</t>
  </si>
  <si>
    <t>SERRA CIRCULAR DE BANCADA COM MOTOR ELÉTRICO POTÊNCIA DE 5HP, COM COIFA PARA DISCO 10" - MANUTENÇÃO. AF_08/2015</t>
  </si>
  <si>
    <t>SERRA CIRCULAR DE BANCADA COM MOTOR ELÉTRICO POTÊNCIA DE 5HP, COM COIFA PARA DISCO 10" - MATERIAIS NA OPERAÇÃO. AF_08/2015</t>
  </si>
  <si>
    <t>SERVENTE COM ENCARGOS COMPLEMENTARES</t>
  </si>
  <si>
    <t>SUPORTE PARAFUSADO COM PLACA DE ENCAIXE 4" X 2" MÉDIO (1,30 M DO PISO) PARA PONTO ELÉTRICO - FORNECIMENTO E INSTALAÇÃO. AF_03/2023</t>
  </si>
  <si>
    <t>TELHADISTA COM ENCARGOS COMPLEMENTARES</t>
  </si>
  <si>
    <t>TELHAMENTO COM TELHA CERÂMICA CAPA-CANAL, TIPO COLONIAL, COM ATÉ 2 ÁGUAS, INCLUSO TRANSPORTE VERTICAL</t>
  </si>
  <si>
    <t>M²</t>
  </si>
  <si>
    <t>TESTE VAZÃO COM BOMBA SUBMERSA</t>
  </si>
  <si>
    <t>TORNEIRA CROMADA DE MESA, 1/2" OU 3/4", PARA LAVATÓRIO, PADRÃO POPULAR - FORNECIMENTO E INSTALAÇÃO. AF_01/2020</t>
  </si>
  <si>
    <t>TRAMA DE MADEIRA COMPOSTA POR RIPAS, CAIBROS E TERÇAS PARA TELHADOS DE ATÉ 2 ÁGUAS PARA TELHA CERÂMICA CAPA-CANAL, INCLUSO TRANSPORTE VERTICAL</t>
  </si>
  <si>
    <t>TRANSPORTE DE MÁQUINAS E EQUIPAMENTOS</t>
  </si>
  <si>
    <t>TUBO DE AÇO GALVANIZADO COM COSTURA 1" (25MM), INCLUSIVE CONEXOES - FORNECIMENTO E INSTALAÇÃO</t>
  </si>
  <si>
    <t>TÊ, EM FERRO GALVANIZADO, 1", CONEXÃO ROSQUEADA, INSTALADO EM PRUMADAS - FORNECIMENTO E INSTALAÇÃO.</t>
  </si>
  <si>
    <t>VIBRADOR DE IMERSÃO, DIÂMETRO DE PONTEIRA 45MM, MOTOR ELÉTRICO TRIFÁSICO POTÊNCIA DE 2 CV - CHI DIURNO. AF_06/2015</t>
  </si>
  <si>
    <t>VIBRADOR DE IMERSÃO, DIÂMETRO DE PONTEIRA 45MM, MOTOR ELÉTRICO TRIFÁSICO POTÊNCIA DE 2 CV - CHP DIURNO. AF_06/2015</t>
  </si>
  <si>
    <t>VIBRADOR DE IMERSÃO, DIÂMETRO DE PONTEIRA 45MM, MOTOR ELÉTRICO TRIFÁSICO POTÊNCIA DE 2 CV - DEPRECIAÇÃO. AF_06/2015</t>
  </si>
  <si>
    <t>VIBRADOR DE IMERSÃO, DIÂMETRO DE PONTEIRA 45MM, MOTOR ELÉTRICO TRIFÁSICO POTÊNCIA DE 2 CV - JUROS. AF_06/2015</t>
  </si>
  <si>
    <t>VIBRADOR DE IMERSÃO, DIÂMETRO DE PONTEIRA 45MM, MOTOR ELÉTRICO TRIFÁSICO POTÊNCIA DE 2 CV - MANUTENÇÃO. AF_06/2015</t>
  </si>
  <si>
    <t>VIBRADOR DE IMERSÃO, DIÂMETRO DE PONTEIRA 45MM, MOTOR ELÉTRICO TRIFÁSICO POTÊNCIA DE 2 CV - MATERIAIS NA OPERAÇÃO. AF_06/2015</t>
  </si>
  <si>
    <t>LISTA DE INSUMOS</t>
  </si>
  <si>
    <t>RESERVATÓRIO ELEVADO C/ CAIXA D'AGUA EM FIBRA DE VIDRO DE 10.000 LITROS APOIADO EM ESTRUTURA PRÉ-MOLDADA EM CONCRETO, COMPOSTA DE CAPITEL P/APOIO DA CAIXA E PILAR C/ALTURA ÚTIL = 7,00M, INCLUSO FRETE E MONTAGEM NO LOCAL, EXCETO INST. HIDRÁULICA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</si>
</sst>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000"/>
    <numFmt numFmtId="165" formatCode="0.000%"/>
    <numFmt numFmtId="166" formatCode="0.0%"/>
  </numFmts>
  <fonts count="23" x14ac:knownFonts="1">
    <font>
      <sz val="11"/>
      <color theme="1"/>
      <name val="Aptos Narrow"/>
      <family val="2"/>
      <scheme val="minor"/>
    </font>
    <font>
      <sz val="11"/>
      <color theme="1"/>
      <name val="Aptos Narrow"/>
      <family val="2"/>
      <scheme val="minor"/>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9C5700"/>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b/>
      <sz val="11"/>
      <color theme="1"/>
      <name val="Aptos Narrow"/>
      <family val="2"/>
      <scheme val="minor"/>
    </font>
    <font>
      <sz val="11"/>
      <color theme="0"/>
      <name val="Aptos Narrow"/>
      <family val="2"/>
      <scheme val="minor"/>
    </font>
    <font>
      <sz val="11"/>
      <color indexed="8"/>
      <name val="Calibri"/>
      <family val="2"/>
    </font>
    <font>
      <sz val="11"/>
      <color indexed="10"/>
      <name val="Calibri"/>
      <family val="2"/>
    </font>
    <font>
      <b/>
      <sz val="11"/>
      <color indexed="8"/>
      <name val="Calibri"/>
      <family val="2"/>
    </font>
    <font>
      <b/>
      <sz val="11"/>
      <color indexed="9"/>
      <name val="Calibri"/>
      <family val="2"/>
    </font>
    <font>
      <sz val="11"/>
      <name val="Calibri"/>
      <family val="2"/>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213FE8"/>
        <bgColor indexed="64"/>
      </patternFill>
    </fill>
    <fill>
      <patternFill patternType="solid">
        <fgColor rgb="FFC8C6C6"/>
        <bgColor indexed="64"/>
      </patternFill>
    </fill>
    <fill>
      <patternFill patternType="solid">
        <fgColor rgb="FFECECEC"/>
        <bgColor indexed="64"/>
      </patternFill>
    </fill>
  </fills>
  <borders count="2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
      <left style="thin">
        <color auto="1"/>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top style="thin">
        <color auto="1"/>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top/>
      <bottom style="thin">
        <color auto="1"/>
      </bottom>
      <diagonal/>
    </border>
    <border>
      <left/>
      <right style="thin">
        <color auto="1"/>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s>
  <cellStyleXfs count="43">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cellStyleXfs>
  <cellXfs count="96">
    <xf numFmtId="0" fontId="0" fillId="0" borderId="0" xfId="0"/>
    <xf numFmtId="0" fontId="20" fillId="0" borderId="0" xfId="0" applyFont="1" applyAlignment="1">
      <alignment horizontal="center" vertical="center"/>
    </xf>
    <xf numFmtId="0" fontId="18" fillId="0" borderId="0" xfId="0" applyFont="1" applyAlignment="1">
      <alignment horizontal="left" vertical="center"/>
    </xf>
    <xf numFmtId="0" fontId="18" fillId="0" borderId="0" xfId="0" applyFont="1" applyAlignment="1">
      <alignment horizontal="center" vertical="center"/>
    </xf>
    <xf numFmtId="0" fontId="21" fillId="33" borderId="10" xfId="0" applyFont="1" applyFill="1" applyBorder="1" applyAlignment="1">
      <alignment horizontal="center" vertical="center"/>
    </xf>
    <xf numFmtId="4" fontId="0" fillId="0" borderId="10" xfId="0" applyNumberFormat="1" applyBorder="1" applyAlignment="1">
      <alignment horizontal="center" vertical="center"/>
    </xf>
    <xf numFmtId="0" fontId="19" fillId="0" borderId="0" xfId="0" applyFont="1" applyAlignment="1">
      <alignment horizontal="left" vertical="center"/>
    </xf>
    <xf numFmtId="0" fontId="20" fillId="0" borderId="0" xfId="0" applyFont="1" applyAlignment="1">
      <alignment horizontal="left" vertical="center"/>
    </xf>
    <xf numFmtId="4" fontId="20" fillId="0" borderId="0" xfId="0" applyNumberFormat="1" applyFont="1" applyAlignment="1">
      <alignment horizontal="center" vertical="center"/>
    </xf>
    <xf numFmtId="0" fontId="20" fillId="34" borderId="10" xfId="0" applyFont="1" applyFill="1" applyBorder="1" applyAlignment="1">
      <alignment horizontal="center" vertical="center"/>
    </xf>
    <xf numFmtId="4" fontId="20" fillId="34" borderId="10" xfId="0" applyNumberFormat="1" applyFont="1" applyFill="1" applyBorder="1" applyAlignment="1">
      <alignment horizontal="center" vertical="center"/>
    </xf>
    <xf numFmtId="10" fontId="20" fillId="34" borderId="10" xfId="0" applyNumberFormat="1" applyFont="1" applyFill="1" applyBorder="1" applyAlignment="1">
      <alignment horizontal="center" vertical="center"/>
    </xf>
    <xf numFmtId="0" fontId="20" fillId="35" borderId="10" xfId="0" applyFont="1" applyFill="1" applyBorder="1" applyAlignment="1">
      <alignment horizontal="center" vertical="center"/>
    </xf>
    <xf numFmtId="4" fontId="20" fillId="35" borderId="10" xfId="0" applyNumberFormat="1" applyFont="1" applyFill="1" applyBorder="1" applyAlignment="1">
      <alignment horizontal="center" vertical="center"/>
    </xf>
    <xf numFmtId="10" fontId="20" fillId="35" borderId="10" xfId="0" applyNumberFormat="1" applyFont="1" applyFill="1" applyBorder="1" applyAlignment="1">
      <alignment horizontal="center" vertical="center"/>
    </xf>
    <xf numFmtId="0" fontId="20" fillId="0" borderId="10" xfId="0" applyFont="1" applyBorder="1" applyAlignment="1">
      <alignment horizontal="center" vertical="center"/>
    </xf>
    <xf numFmtId="4" fontId="20" fillId="0" borderId="10" xfId="0" applyNumberFormat="1" applyFont="1" applyBorder="1" applyAlignment="1">
      <alignment horizontal="center" vertical="center"/>
    </xf>
    <xf numFmtId="10" fontId="20" fillId="0" borderId="10" xfId="0" applyNumberFormat="1" applyFont="1" applyBorder="1" applyAlignment="1">
      <alignment horizontal="center" vertical="center"/>
    </xf>
    <xf numFmtId="4" fontId="21" fillId="33" borderId="10" xfId="0" applyNumberFormat="1" applyFont="1" applyFill="1" applyBorder="1" applyAlignment="1">
      <alignment horizontal="center" vertical="center"/>
    </xf>
    <xf numFmtId="10" fontId="21" fillId="33" borderId="10" xfId="0" applyNumberFormat="1" applyFont="1" applyFill="1" applyBorder="1" applyAlignment="1">
      <alignment horizontal="center" vertical="center"/>
    </xf>
    <xf numFmtId="0" fontId="20" fillId="34" borderId="10" xfId="0" applyFont="1" applyFill="1" applyBorder="1" applyAlignment="1">
      <alignment horizontal="justify" vertical="center" wrapText="1"/>
    </xf>
    <xf numFmtId="0" fontId="20" fillId="35" borderId="10" xfId="0" applyFont="1" applyFill="1" applyBorder="1" applyAlignment="1">
      <alignment horizontal="justify" vertical="center" wrapText="1"/>
    </xf>
    <xf numFmtId="0" fontId="20" fillId="0" borderId="10" xfId="0" applyFont="1" applyBorder="1" applyAlignment="1">
      <alignment horizontal="justify" vertical="center" wrapText="1"/>
    </xf>
    <xf numFmtId="0" fontId="0" fillId="0" borderId="10" xfId="0" applyBorder="1" applyAlignment="1">
      <alignment horizontal="center" vertical="center"/>
    </xf>
    <xf numFmtId="0" fontId="0" fillId="0" borderId="10" xfId="0" applyBorder="1" applyAlignment="1">
      <alignment horizontal="justify" vertical="center" wrapText="1"/>
    </xf>
    <xf numFmtId="10" fontId="0" fillId="0" borderId="10" xfId="0" applyNumberFormat="1" applyBorder="1" applyAlignment="1">
      <alignment horizontal="center" vertical="center"/>
    </xf>
    <xf numFmtId="164" fontId="0" fillId="0" borderId="10" xfId="0" applyNumberFormat="1" applyBorder="1" applyAlignment="1">
      <alignment horizontal="center" vertical="center"/>
    </xf>
    <xf numFmtId="0" fontId="20" fillId="0" borderId="0" xfId="0" applyFont="1" applyAlignment="1">
      <alignment horizontal="right" vertical="center"/>
    </xf>
    <xf numFmtId="0" fontId="19" fillId="0" borderId="0" xfId="0" applyFont="1" applyAlignment="1">
      <alignment horizontal="center" vertical="center"/>
    </xf>
    <xf numFmtId="165" fontId="0" fillId="0" borderId="10" xfId="0" applyNumberFormat="1" applyBorder="1" applyAlignment="1">
      <alignment horizontal="center" vertical="center"/>
    </xf>
    <xf numFmtId="0" fontId="0" fillId="0" borderId="10" xfId="0" applyBorder="1" applyAlignment="1">
      <alignment horizontal="center" vertical="center" wrapText="1"/>
    </xf>
    <xf numFmtId="4" fontId="0" fillId="0" borderId="0" xfId="0" applyNumberFormat="1"/>
    <xf numFmtId="10" fontId="0" fillId="0" borderId="0" xfId="1" applyNumberFormat="1" applyFont="1"/>
    <xf numFmtId="0" fontId="20" fillId="0" borderId="0" xfId="0" applyFont="1" applyAlignment="1">
      <alignment horizontal="center" vertical="center"/>
    </xf>
    <xf numFmtId="0" fontId="21" fillId="33" borderId="12" xfId="0" applyFont="1" applyFill="1" applyBorder="1" applyAlignment="1">
      <alignment horizontal="center" vertical="center"/>
    </xf>
    <xf numFmtId="0" fontId="21" fillId="33" borderId="13" xfId="0" applyFont="1" applyFill="1" applyBorder="1" applyAlignment="1">
      <alignment horizontal="center" vertical="center"/>
    </xf>
    <xf numFmtId="0" fontId="21" fillId="33" borderId="14" xfId="0" applyFont="1" applyFill="1" applyBorder="1" applyAlignment="1">
      <alignment horizontal="center" vertical="center"/>
    </xf>
    <xf numFmtId="0" fontId="22" fillId="0" borderId="16" xfId="0" applyFont="1" applyBorder="1" applyAlignment="1">
      <alignment horizontal="justify" vertical="top" wrapText="1"/>
    </xf>
    <xf numFmtId="0" fontId="22" fillId="0" borderId="15" xfId="0" applyFont="1" applyBorder="1" applyAlignment="1">
      <alignment horizontal="justify" vertical="top" wrapText="1"/>
    </xf>
    <xf numFmtId="0" fontId="22" fillId="0" borderId="17" xfId="0" applyFont="1" applyBorder="1" applyAlignment="1">
      <alignment horizontal="justify" vertical="top" wrapText="1"/>
    </xf>
    <xf numFmtId="0" fontId="22" fillId="0" borderId="11" xfId="0" applyFont="1" applyBorder="1" applyAlignment="1">
      <alignment horizontal="justify" vertical="top" wrapText="1"/>
    </xf>
    <xf numFmtId="0" fontId="22" fillId="0" borderId="0" xfId="0" applyFont="1" applyAlignment="1">
      <alignment horizontal="justify" vertical="top" wrapText="1"/>
    </xf>
    <xf numFmtId="0" fontId="22" fillId="0" borderId="21" xfId="0" applyFont="1" applyBorder="1" applyAlignment="1">
      <alignment horizontal="justify" vertical="top" wrapText="1"/>
    </xf>
    <xf numFmtId="0" fontId="22" fillId="0" borderId="18" xfId="0" applyFont="1" applyBorder="1" applyAlignment="1">
      <alignment horizontal="justify" vertical="top" wrapText="1"/>
    </xf>
    <xf numFmtId="0" fontId="22" fillId="0" borderId="20" xfId="0" applyFont="1" applyBorder="1" applyAlignment="1">
      <alignment horizontal="justify" vertical="top" wrapText="1"/>
    </xf>
    <xf numFmtId="0" fontId="22" fillId="0" borderId="19" xfId="0" applyFont="1" applyBorder="1" applyAlignment="1">
      <alignment horizontal="justify" vertical="top" wrapText="1"/>
    </xf>
    <xf numFmtId="0" fontId="20" fillId="35" borderId="12" xfId="0" applyFont="1" applyFill="1" applyBorder="1" applyAlignment="1">
      <alignment horizontal="left" vertical="center"/>
    </xf>
    <xf numFmtId="0" fontId="20" fillId="35" borderId="14" xfId="0" applyFont="1" applyFill="1" applyBorder="1" applyAlignment="1">
      <alignment horizontal="left" vertical="center"/>
    </xf>
    <xf numFmtId="0" fontId="20" fillId="35" borderId="13" xfId="0" applyFont="1" applyFill="1" applyBorder="1" applyAlignment="1">
      <alignment horizontal="left" vertical="center"/>
    </xf>
    <xf numFmtId="0" fontId="20" fillId="0" borderId="12" xfId="0" applyFont="1" applyBorder="1" applyAlignment="1">
      <alignment horizontal="left" vertical="center"/>
    </xf>
    <xf numFmtId="0" fontId="20" fillId="0" borderId="14" xfId="0" applyFont="1" applyBorder="1" applyAlignment="1">
      <alignment horizontal="left" vertical="center"/>
    </xf>
    <xf numFmtId="0" fontId="20" fillId="0" borderId="13" xfId="0" applyFont="1" applyBorder="1" applyAlignment="1">
      <alignment horizontal="left" vertical="center"/>
    </xf>
    <xf numFmtId="0" fontId="20" fillId="34" borderId="12" xfId="0" applyFont="1" applyFill="1" applyBorder="1" applyAlignment="1">
      <alignment horizontal="left" vertical="center"/>
    </xf>
    <xf numFmtId="0" fontId="20" fillId="34" borderId="14" xfId="0" applyFont="1" applyFill="1" applyBorder="1" applyAlignment="1">
      <alignment horizontal="left" vertical="center"/>
    </xf>
    <xf numFmtId="0" fontId="20" fillId="34" borderId="13" xfId="0" applyFont="1" applyFill="1" applyBorder="1" applyAlignment="1">
      <alignment horizontal="left" vertical="center"/>
    </xf>
    <xf numFmtId="0" fontId="21" fillId="33" borderId="22" xfId="0" applyFont="1" applyFill="1" applyBorder="1" applyAlignment="1">
      <alignment horizontal="center" vertical="center"/>
    </xf>
    <xf numFmtId="0" fontId="21" fillId="33" borderId="23" xfId="0" applyFont="1" applyFill="1" applyBorder="1" applyAlignment="1">
      <alignment horizontal="center" vertical="center"/>
    </xf>
    <xf numFmtId="4" fontId="21" fillId="33" borderId="22" xfId="0" applyNumberFormat="1" applyFont="1" applyFill="1" applyBorder="1" applyAlignment="1">
      <alignment horizontal="center" vertical="center"/>
    </xf>
    <xf numFmtId="4" fontId="21" fillId="33" borderId="23" xfId="0" applyNumberFormat="1" applyFont="1" applyFill="1" applyBorder="1" applyAlignment="1">
      <alignment horizontal="center" vertical="center"/>
    </xf>
    <xf numFmtId="10" fontId="21" fillId="33" borderId="22" xfId="0" applyNumberFormat="1" applyFont="1" applyFill="1" applyBorder="1" applyAlignment="1">
      <alignment horizontal="center" vertical="center"/>
    </xf>
    <xf numFmtId="10" fontId="21" fillId="33" borderId="23" xfId="0" applyNumberFormat="1" applyFont="1" applyFill="1" applyBorder="1" applyAlignment="1">
      <alignment horizontal="center" vertical="center"/>
    </xf>
    <xf numFmtId="0" fontId="21" fillId="33" borderId="16" xfId="0" applyFont="1" applyFill="1" applyBorder="1" applyAlignment="1">
      <alignment horizontal="center" vertical="center"/>
    </xf>
    <xf numFmtId="0" fontId="21" fillId="33" borderId="17" xfId="0" applyFont="1" applyFill="1" applyBorder="1" applyAlignment="1">
      <alignment horizontal="center" vertical="center"/>
    </xf>
    <xf numFmtId="0" fontId="21" fillId="33" borderId="18" xfId="0" applyFont="1" applyFill="1" applyBorder="1" applyAlignment="1">
      <alignment horizontal="center" vertical="center"/>
    </xf>
    <xf numFmtId="0" fontId="21" fillId="33" borderId="19" xfId="0" applyFont="1" applyFill="1" applyBorder="1" applyAlignment="1">
      <alignment horizontal="center" vertical="center"/>
    </xf>
    <xf numFmtId="0" fontId="0" fillId="0" borderId="12" xfId="0" applyBorder="1" applyAlignment="1">
      <alignment horizontal="justify" vertical="center" wrapText="1"/>
    </xf>
    <xf numFmtId="0" fontId="0" fillId="0" borderId="14" xfId="0" applyBorder="1" applyAlignment="1">
      <alignment horizontal="justify" vertical="center" wrapText="1"/>
    </xf>
    <xf numFmtId="0" fontId="0" fillId="0" borderId="13" xfId="0" applyBorder="1" applyAlignment="1">
      <alignment horizontal="justify" vertical="center" wrapText="1"/>
    </xf>
    <xf numFmtId="0" fontId="0" fillId="0" borderId="12" xfId="0" applyBorder="1" applyAlignment="1">
      <alignment horizontal="left" vertical="center"/>
    </xf>
    <xf numFmtId="0" fontId="0" fillId="0" borderId="14" xfId="0" applyBorder="1" applyAlignment="1">
      <alignment horizontal="left" vertical="center"/>
    </xf>
    <xf numFmtId="0" fontId="0" fillId="0" borderId="13" xfId="0" applyBorder="1" applyAlignment="1">
      <alignment horizontal="left" vertical="center"/>
    </xf>
    <xf numFmtId="4" fontId="0" fillId="0" borderId="12" xfId="0" applyNumberFormat="1" applyBorder="1" applyAlignment="1">
      <alignment horizontal="center" vertical="center"/>
    </xf>
    <xf numFmtId="4" fontId="0" fillId="0" borderId="13" xfId="0" applyNumberFormat="1" applyBorder="1" applyAlignment="1">
      <alignment horizontal="center" vertical="center"/>
    </xf>
    <xf numFmtId="4" fontId="20" fillId="0" borderId="12" xfId="0" applyNumberFormat="1" applyFont="1" applyBorder="1" applyAlignment="1">
      <alignment horizontal="center" vertical="center"/>
    </xf>
    <xf numFmtId="4" fontId="20" fillId="0" borderId="13" xfId="0" applyNumberFormat="1" applyFont="1" applyBorder="1" applyAlignment="1">
      <alignment horizontal="center" vertical="center"/>
    </xf>
    <xf numFmtId="0" fontId="18" fillId="0" borderId="0" xfId="0" applyFont="1" applyAlignment="1">
      <alignment horizontal="center" vertical="center"/>
    </xf>
    <xf numFmtId="0" fontId="18" fillId="0" borderId="16" xfId="0" applyFont="1" applyBorder="1" applyAlignment="1">
      <alignment horizontal="justify" vertical="top" wrapText="1"/>
    </xf>
    <xf numFmtId="0" fontId="18" fillId="0" borderId="15" xfId="0" applyFont="1" applyBorder="1" applyAlignment="1">
      <alignment horizontal="justify" vertical="top" wrapText="1"/>
    </xf>
    <xf numFmtId="0" fontId="18" fillId="0" borderId="17" xfId="0" applyFont="1" applyBorder="1" applyAlignment="1">
      <alignment horizontal="justify" vertical="top" wrapText="1"/>
    </xf>
    <xf numFmtId="0" fontId="18" fillId="0" borderId="11" xfId="0" applyFont="1" applyBorder="1" applyAlignment="1">
      <alignment horizontal="justify" vertical="top" wrapText="1"/>
    </xf>
    <xf numFmtId="0" fontId="18" fillId="0" borderId="0" xfId="0" applyFont="1" applyAlignment="1">
      <alignment horizontal="justify" vertical="top" wrapText="1"/>
    </xf>
    <xf numFmtId="0" fontId="18" fillId="0" borderId="21" xfId="0" applyFont="1" applyBorder="1" applyAlignment="1">
      <alignment horizontal="justify" vertical="top" wrapText="1"/>
    </xf>
    <xf numFmtId="0" fontId="18" fillId="0" borderId="18" xfId="0" applyFont="1" applyBorder="1" applyAlignment="1">
      <alignment horizontal="justify" vertical="top" wrapText="1"/>
    </xf>
    <xf numFmtId="0" fontId="18" fillId="0" borderId="20" xfId="0" applyFont="1" applyBorder="1" applyAlignment="1">
      <alignment horizontal="justify" vertical="top" wrapText="1"/>
    </xf>
    <xf numFmtId="0" fontId="18" fillId="0" borderId="19" xfId="0" applyFont="1" applyBorder="1" applyAlignment="1">
      <alignment horizontal="justify" vertical="top" wrapText="1"/>
    </xf>
    <xf numFmtId="0" fontId="0" fillId="0" borderId="22" xfId="0" applyBorder="1" applyAlignment="1">
      <alignment horizontal="center" vertical="center"/>
    </xf>
    <xf numFmtId="0" fontId="0" fillId="0" borderId="24" xfId="0" applyBorder="1" applyAlignment="1">
      <alignment horizontal="center" vertical="center"/>
    </xf>
    <xf numFmtId="0" fontId="0" fillId="0" borderId="23" xfId="0" applyBorder="1" applyAlignment="1">
      <alignment horizontal="center" vertical="center"/>
    </xf>
    <xf numFmtId="0" fontId="0" fillId="0" borderId="12" xfId="0" applyBorder="1" applyAlignment="1">
      <alignment horizontal="center" vertical="center"/>
    </xf>
    <xf numFmtId="0" fontId="0" fillId="0" borderId="14" xfId="0" applyBorder="1" applyAlignment="1">
      <alignment horizontal="center" vertical="center"/>
    </xf>
    <xf numFmtId="0" fontId="0" fillId="0" borderId="13" xfId="0" applyBorder="1" applyAlignment="1">
      <alignment horizontal="center" vertical="center"/>
    </xf>
    <xf numFmtId="0" fontId="20" fillId="0" borderId="12" xfId="0" applyFont="1" applyBorder="1" applyAlignment="1">
      <alignment horizontal="center" vertical="center"/>
    </xf>
    <xf numFmtId="0" fontId="20" fillId="0" borderId="14" xfId="0" applyFont="1" applyBorder="1" applyAlignment="1">
      <alignment horizontal="center" vertical="center"/>
    </xf>
    <xf numFmtId="0" fontId="20" fillId="0" borderId="13" xfId="0" applyFont="1" applyBorder="1" applyAlignment="1">
      <alignment horizontal="center" vertical="center"/>
    </xf>
    <xf numFmtId="166" fontId="0" fillId="0" borderId="0" xfId="1" applyNumberFormat="1" applyFont="1"/>
    <xf numFmtId="4" fontId="20" fillId="0" borderId="10" xfId="0" quotePrefix="1" applyNumberFormat="1" applyFont="1" applyBorder="1" applyAlignment="1">
      <alignment horizontal="center" vertical="center"/>
    </xf>
  </cellXfs>
  <cellStyles count="43">
    <cellStyle name="20% - Ênfase1" xfId="20" builtinId="30" customBuiltin="1"/>
    <cellStyle name="20% - Ênfase2" xfId="24" builtinId="34" customBuiltin="1"/>
    <cellStyle name="20% - Ênfase3" xfId="28" builtinId="38" customBuiltin="1"/>
    <cellStyle name="20% - Ênfase4" xfId="32" builtinId="42" customBuiltin="1"/>
    <cellStyle name="20% - Ênfase5" xfId="36" builtinId="46" customBuiltin="1"/>
    <cellStyle name="20% - Ênfase6" xfId="40" builtinId="50" customBuiltin="1"/>
    <cellStyle name="40% - Ênfase1" xfId="21" builtinId="31" customBuiltin="1"/>
    <cellStyle name="40% - Ênfase2" xfId="25" builtinId="35" customBuiltin="1"/>
    <cellStyle name="40% - Ênfase3" xfId="29" builtinId="39" customBuiltin="1"/>
    <cellStyle name="40% - Ênfase4" xfId="33" builtinId="43" customBuiltin="1"/>
    <cellStyle name="40% - Ênfase5" xfId="37" builtinId="47" customBuiltin="1"/>
    <cellStyle name="40% - Ênfase6" xfId="41" builtinId="51" customBuiltin="1"/>
    <cellStyle name="60% - Ênfase1" xfId="22" builtinId="32" customBuiltin="1"/>
    <cellStyle name="60% - Ênfase2" xfId="26" builtinId="36" customBuiltin="1"/>
    <cellStyle name="60% - Ênfase3" xfId="30" builtinId="40" customBuiltin="1"/>
    <cellStyle name="60% - Ênfase4" xfId="34" builtinId="44" customBuiltin="1"/>
    <cellStyle name="60% - Ênfase5" xfId="38" builtinId="48" customBuiltin="1"/>
    <cellStyle name="60% - Ênfase6" xfId="42" builtinId="52" customBuiltin="1"/>
    <cellStyle name="Bom" xfId="7" builtinId="26" customBuiltin="1"/>
    <cellStyle name="Cálculo" xfId="12" builtinId="22" customBuiltin="1"/>
    <cellStyle name="Célula de Verificação" xfId="14" builtinId="23" customBuiltin="1"/>
    <cellStyle name="Célula Vinculada" xfId="13" builtinId="24" customBuiltin="1"/>
    <cellStyle name="Ênfase1" xfId="19" builtinId="29" customBuiltin="1"/>
    <cellStyle name="Ênfase2" xfId="23" builtinId="33" customBuiltin="1"/>
    <cellStyle name="Ênfase3" xfId="27" builtinId="37" customBuiltin="1"/>
    <cellStyle name="Ênfase4" xfId="31" builtinId="41" customBuiltin="1"/>
    <cellStyle name="Ênfase5" xfId="35" builtinId="45" customBuiltin="1"/>
    <cellStyle name="Ênfase6" xfId="39" builtinId="49" customBuiltin="1"/>
    <cellStyle name="Entrada" xfId="10" builtinId="20" customBuiltin="1"/>
    <cellStyle name="Neutro" xfId="9" builtinId="28" customBuiltin="1"/>
    <cellStyle name="Normal" xfId="0" builtinId="0"/>
    <cellStyle name="Nota" xfId="16" builtinId="10" customBuiltin="1"/>
    <cellStyle name="Porcentagem" xfId="1" builtinId="5"/>
    <cellStyle name="Ruim" xfId="8" builtinId="27" customBuiltin="1"/>
    <cellStyle name="Saída" xfId="11" builtinId="21" customBuiltin="1"/>
    <cellStyle name="Texto de Aviso" xfId="15" builtinId="11" customBuiltin="1"/>
    <cellStyle name="Texto Explicativo" xfId="17" builtinId="53" customBuiltin="1"/>
    <cellStyle name="Título" xfId="2" builtinId="15" customBuiltin="1"/>
    <cellStyle name="Título 1" xfId="3" builtinId="16" customBuiltin="1"/>
    <cellStyle name="Título 2" xfId="4" builtinId="17" customBuiltin="1"/>
    <cellStyle name="Título 3" xfId="5" builtinId="18" customBuiltin="1"/>
    <cellStyle name="Título 4" xfId="6" builtinId="19" customBuiltin="1"/>
    <cellStyle name="Total" xfId="18" builtinId="25"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o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67200C-67F5-4982-AE36-5D8293BA7060}">
  <sheetPr>
    <tabColor indexed="10"/>
    <pageSetUpPr fitToPage="1"/>
  </sheetPr>
  <dimension ref="A1:G47"/>
  <sheetViews>
    <sheetView showGridLines="0" workbookViewId="0">
      <selection activeCell="E5" sqref="E5"/>
    </sheetView>
  </sheetViews>
  <sheetFormatPr defaultRowHeight="15" customHeight="1" x14ac:dyDescent="0.3"/>
  <cols>
    <col min="1" max="6" width="20.33203125" bestFit="1" customWidth="1"/>
  </cols>
  <sheetData>
    <row r="1" spans="1:7" ht="15" customHeight="1" x14ac:dyDescent="0.3">
      <c r="A1" s="33" t="s">
        <v>0</v>
      </c>
      <c r="B1" s="33"/>
      <c r="C1" s="33"/>
      <c r="D1" s="33"/>
      <c r="E1" s="33"/>
      <c r="F1" s="33"/>
    </row>
    <row r="2" spans="1:7" ht="15" customHeight="1" x14ac:dyDescent="0.3">
      <c r="A2" s="33" t="s">
        <v>1</v>
      </c>
      <c r="B2" s="33"/>
      <c r="C2" s="33"/>
      <c r="D2" s="33"/>
      <c r="E2" s="33"/>
      <c r="F2" s="33"/>
    </row>
    <row r="3" spans="1:7" ht="15" customHeight="1" x14ac:dyDescent="0.3">
      <c r="A3" s="33" t="s">
        <v>2</v>
      </c>
      <c r="B3" s="33"/>
      <c r="C3" s="33"/>
      <c r="D3" s="33"/>
      <c r="E3" s="33"/>
      <c r="F3" s="33"/>
    </row>
    <row r="5" spans="1:7" ht="15" customHeight="1" x14ac:dyDescent="0.3">
      <c r="A5" s="1" t="s">
        <v>3</v>
      </c>
      <c r="B5" s="2" t="s">
        <v>4</v>
      </c>
      <c r="C5" s="3"/>
      <c r="D5" s="3"/>
      <c r="E5" s="3" t="s">
        <v>5</v>
      </c>
    </row>
    <row r="7" spans="1:7" ht="15" customHeight="1" x14ac:dyDescent="0.3">
      <c r="A7" s="4" t="s">
        <v>6</v>
      </c>
      <c r="B7" s="5">
        <f>BDI!$F$19*100</f>
        <v>24.84</v>
      </c>
      <c r="C7" s="3"/>
      <c r="D7" s="3"/>
      <c r="E7" s="34" t="s">
        <v>7</v>
      </c>
      <c r="F7" s="35"/>
    </row>
    <row r="8" spans="1:7" ht="15" customHeight="1" x14ac:dyDescent="0.3">
      <c r="A8" s="3"/>
      <c r="B8" s="3"/>
      <c r="C8" s="3"/>
      <c r="D8" s="3"/>
      <c r="E8" s="4" t="s">
        <v>8</v>
      </c>
      <c r="F8" s="5">
        <v>1</v>
      </c>
      <c r="G8" s="6" t="s">
        <v>9</v>
      </c>
    </row>
    <row r="9" spans="1:7" ht="15" customHeight="1" x14ac:dyDescent="0.3">
      <c r="A9" s="4" t="s">
        <v>10</v>
      </c>
      <c r="B9" s="5">
        <f>IF(FOLHA="COM DESONERAÇÃO",LSINAPI!$C$43*100,LSINAPI!$E$43*100)</f>
        <v>113.33</v>
      </c>
      <c r="C9" s="3"/>
      <c r="D9" s="3"/>
      <c r="E9" s="4" t="s">
        <v>11</v>
      </c>
      <c r="F9" s="5">
        <v>1</v>
      </c>
      <c r="G9" s="6" t="s">
        <v>12</v>
      </c>
    </row>
    <row r="12" spans="1:7" ht="15" customHeight="1" x14ac:dyDescent="0.3">
      <c r="A12" s="4" t="s">
        <v>13</v>
      </c>
      <c r="B12" s="5">
        <v>1000000</v>
      </c>
      <c r="C12" s="4" t="s">
        <v>14</v>
      </c>
      <c r="D12" s="5">
        <f>F12-B12</f>
        <v>-272180.80999999994</v>
      </c>
      <c r="E12" s="4" t="s">
        <v>15</v>
      </c>
      <c r="F12" s="5">
        <f>VLOOKUP("TOTAL",RESUMO!$A:$E,5,FALSE)</f>
        <v>727819.19000000006</v>
      </c>
    </row>
    <row r="14" spans="1:7" ht="15" customHeight="1" x14ac:dyDescent="0.3">
      <c r="A14" s="34" t="s">
        <v>16</v>
      </c>
      <c r="B14" s="36"/>
      <c r="C14" s="36"/>
      <c r="D14" s="36"/>
      <c r="E14" s="36"/>
      <c r="F14" s="35"/>
    </row>
    <row r="15" spans="1:7" ht="15" customHeight="1" x14ac:dyDescent="0.3">
      <c r="A15" s="37" t="s">
        <v>17</v>
      </c>
      <c r="B15" s="38"/>
      <c r="C15" s="38"/>
      <c r="D15" s="38"/>
      <c r="E15" s="38"/>
      <c r="F15" s="39"/>
    </row>
    <row r="16" spans="1:7" ht="15" customHeight="1" x14ac:dyDescent="0.3">
      <c r="A16" s="40"/>
      <c r="B16" s="41"/>
      <c r="C16" s="41"/>
      <c r="D16" s="41"/>
      <c r="E16" s="41"/>
      <c r="F16" s="42"/>
    </row>
    <row r="17" spans="1:6" ht="15" customHeight="1" x14ac:dyDescent="0.3">
      <c r="A17" s="40"/>
      <c r="B17" s="41"/>
      <c r="C17" s="41"/>
      <c r="D17" s="41"/>
      <c r="E17" s="41"/>
      <c r="F17" s="42"/>
    </row>
    <row r="18" spans="1:6" ht="15" customHeight="1" x14ac:dyDescent="0.3">
      <c r="A18" s="40"/>
      <c r="B18" s="41"/>
      <c r="C18" s="41"/>
      <c r="D18" s="41"/>
      <c r="E18" s="41"/>
      <c r="F18" s="42"/>
    </row>
    <row r="19" spans="1:6" ht="15" customHeight="1" x14ac:dyDescent="0.3">
      <c r="A19" s="40"/>
      <c r="B19" s="41"/>
      <c r="C19" s="41"/>
      <c r="D19" s="41"/>
      <c r="E19" s="41"/>
      <c r="F19" s="42"/>
    </row>
    <row r="20" spans="1:6" ht="15" customHeight="1" x14ac:dyDescent="0.3">
      <c r="A20" s="40"/>
      <c r="B20" s="41"/>
      <c r="C20" s="41"/>
      <c r="D20" s="41"/>
      <c r="E20" s="41"/>
      <c r="F20" s="42"/>
    </row>
    <row r="21" spans="1:6" ht="15" customHeight="1" x14ac:dyDescent="0.3">
      <c r="A21" s="40"/>
      <c r="B21" s="41"/>
      <c r="C21" s="41"/>
      <c r="D21" s="41"/>
      <c r="E21" s="41"/>
      <c r="F21" s="42"/>
    </row>
    <row r="22" spans="1:6" ht="15" customHeight="1" x14ac:dyDescent="0.3">
      <c r="A22" s="40"/>
      <c r="B22" s="41"/>
      <c r="C22" s="41"/>
      <c r="D22" s="41"/>
      <c r="E22" s="41"/>
      <c r="F22" s="42"/>
    </row>
    <row r="23" spans="1:6" ht="15" customHeight="1" x14ac:dyDescent="0.3">
      <c r="A23" s="40"/>
      <c r="B23" s="41"/>
      <c r="C23" s="41"/>
      <c r="D23" s="41"/>
      <c r="E23" s="41"/>
      <c r="F23" s="42"/>
    </row>
    <row r="24" spans="1:6" ht="15" customHeight="1" x14ac:dyDescent="0.3">
      <c r="A24" s="40"/>
      <c r="B24" s="41"/>
      <c r="C24" s="41"/>
      <c r="D24" s="41"/>
      <c r="E24" s="41"/>
      <c r="F24" s="42"/>
    </row>
    <row r="25" spans="1:6" ht="15" customHeight="1" x14ac:dyDescent="0.3">
      <c r="A25" s="40"/>
      <c r="B25" s="41"/>
      <c r="C25" s="41"/>
      <c r="D25" s="41"/>
      <c r="E25" s="41"/>
      <c r="F25" s="42"/>
    </row>
    <row r="26" spans="1:6" ht="15" customHeight="1" x14ac:dyDescent="0.3">
      <c r="A26" s="40"/>
      <c r="B26" s="41"/>
      <c r="C26" s="41"/>
      <c r="D26" s="41"/>
      <c r="E26" s="41"/>
      <c r="F26" s="42"/>
    </row>
    <row r="27" spans="1:6" ht="15" customHeight="1" x14ac:dyDescent="0.3">
      <c r="A27" s="40"/>
      <c r="B27" s="41"/>
      <c r="C27" s="41"/>
      <c r="D27" s="41"/>
      <c r="E27" s="41"/>
      <c r="F27" s="42"/>
    </row>
    <row r="28" spans="1:6" ht="15" customHeight="1" x14ac:dyDescent="0.3">
      <c r="A28" s="40"/>
      <c r="B28" s="41"/>
      <c r="C28" s="41"/>
      <c r="D28" s="41"/>
      <c r="E28" s="41"/>
      <c r="F28" s="42"/>
    </row>
    <row r="29" spans="1:6" ht="15" customHeight="1" x14ac:dyDescent="0.3">
      <c r="A29" s="40"/>
      <c r="B29" s="41"/>
      <c r="C29" s="41"/>
      <c r="D29" s="41"/>
      <c r="E29" s="41"/>
      <c r="F29" s="42"/>
    </row>
    <row r="30" spans="1:6" ht="15" customHeight="1" x14ac:dyDescent="0.3">
      <c r="A30" s="40"/>
      <c r="B30" s="41"/>
      <c r="C30" s="41"/>
      <c r="D30" s="41"/>
      <c r="E30" s="41"/>
      <c r="F30" s="42"/>
    </row>
    <row r="31" spans="1:6" ht="15" customHeight="1" x14ac:dyDescent="0.3">
      <c r="A31" s="40"/>
      <c r="B31" s="41"/>
      <c r="C31" s="41"/>
      <c r="D31" s="41"/>
      <c r="E31" s="41"/>
      <c r="F31" s="42"/>
    </row>
    <row r="32" spans="1:6" ht="15" customHeight="1" x14ac:dyDescent="0.3">
      <c r="A32" s="40"/>
      <c r="B32" s="41"/>
      <c r="C32" s="41"/>
      <c r="D32" s="41"/>
      <c r="E32" s="41"/>
      <c r="F32" s="42"/>
    </row>
    <row r="33" spans="1:6" ht="15" customHeight="1" x14ac:dyDescent="0.3">
      <c r="A33" s="40"/>
      <c r="B33" s="41"/>
      <c r="C33" s="41"/>
      <c r="D33" s="41"/>
      <c r="E33" s="41"/>
      <c r="F33" s="42"/>
    </row>
    <row r="34" spans="1:6" ht="15" customHeight="1" x14ac:dyDescent="0.3">
      <c r="A34" s="40"/>
      <c r="B34" s="41"/>
      <c r="C34" s="41"/>
      <c r="D34" s="41"/>
      <c r="E34" s="41"/>
      <c r="F34" s="42"/>
    </row>
    <row r="35" spans="1:6" ht="15" customHeight="1" x14ac:dyDescent="0.3">
      <c r="A35" s="40"/>
      <c r="B35" s="41"/>
      <c r="C35" s="41"/>
      <c r="D35" s="41"/>
      <c r="E35" s="41"/>
      <c r="F35" s="42"/>
    </row>
    <row r="36" spans="1:6" ht="15" customHeight="1" x14ac:dyDescent="0.3">
      <c r="A36" s="40"/>
      <c r="B36" s="41"/>
      <c r="C36" s="41"/>
      <c r="D36" s="41"/>
      <c r="E36" s="41"/>
      <c r="F36" s="42"/>
    </row>
    <row r="37" spans="1:6" ht="15" customHeight="1" x14ac:dyDescent="0.3">
      <c r="A37" s="40"/>
      <c r="B37" s="41"/>
      <c r="C37" s="41"/>
      <c r="D37" s="41"/>
      <c r="E37" s="41"/>
      <c r="F37" s="42"/>
    </row>
    <row r="38" spans="1:6" ht="15" customHeight="1" x14ac:dyDescent="0.3">
      <c r="A38" s="40"/>
      <c r="B38" s="41"/>
      <c r="C38" s="41"/>
      <c r="D38" s="41"/>
      <c r="E38" s="41"/>
      <c r="F38" s="42"/>
    </row>
    <row r="39" spans="1:6" ht="15" customHeight="1" x14ac:dyDescent="0.3">
      <c r="A39" s="40"/>
      <c r="B39" s="41"/>
      <c r="C39" s="41"/>
      <c r="D39" s="41"/>
      <c r="E39" s="41"/>
      <c r="F39" s="42"/>
    </row>
    <row r="40" spans="1:6" ht="15" customHeight="1" x14ac:dyDescent="0.3">
      <c r="A40" s="40"/>
      <c r="B40" s="41"/>
      <c r="C40" s="41"/>
      <c r="D40" s="41"/>
      <c r="E40" s="41"/>
      <c r="F40" s="42"/>
    </row>
    <row r="41" spans="1:6" ht="15" customHeight="1" x14ac:dyDescent="0.3">
      <c r="A41" s="40"/>
      <c r="B41" s="41"/>
      <c r="C41" s="41"/>
      <c r="D41" s="41"/>
      <c r="E41" s="41"/>
      <c r="F41" s="42"/>
    </row>
    <row r="42" spans="1:6" ht="15" customHeight="1" x14ac:dyDescent="0.3">
      <c r="A42" s="40"/>
      <c r="B42" s="41"/>
      <c r="C42" s="41"/>
      <c r="D42" s="41"/>
      <c r="E42" s="41"/>
      <c r="F42" s="42"/>
    </row>
    <row r="43" spans="1:6" ht="15" customHeight="1" x14ac:dyDescent="0.3">
      <c r="A43" s="40"/>
      <c r="B43" s="41"/>
      <c r="C43" s="41"/>
      <c r="D43" s="41"/>
      <c r="E43" s="41"/>
      <c r="F43" s="42"/>
    </row>
    <row r="44" spans="1:6" ht="15" customHeight="1" x14ac:dyDescent="0.3">
      <c r="A44" s="40"/>
      <c r="B44" s="41"/>
      <c r="C44" s="41"/>
      <c r="D44" s="41"/>
      <c r="E44" s="41"/>
      <c r="F44" s="42"/>
    </row>
    <row r="45" spans="1:6" ht="15" customHeight="1" x14ac:dyDescent="0.3">
      <c r="A45" s="40"/>
      <c r="B45" s="41"/>
      <c r="C45" s="41"/>
      <c r="D45" s="41"/>
      <c r="E45" s="41"/>
      <c r="F45" s="42"/>
    </row>
    <row r="46" spans="1:6" ht="15" customHeight="1" x14ac:dyDescent="0.3">
      <c r="A46" s="40"/>
      <c r="B46" s="41"/>
      <c r="C46" s="41"/>
      <c r="D46" s="41"/>
      <c r="E46" s="41"/>
      <c r="F46" s="42"/>
    </row>
    <row r="47" spans="1:6" ht="15" customHeight="1" x14ac:dyDescent="0.3">
      <c r="A47" s="43"/>
      <c r="B47" s="44"/>
      <c r="C47" s="44"/>
      <c r="D47" s="44"/>
      <c r="E47" s="44"/>
      <c r="F47" s="45"/>
    </row>
  </sheetData>
  <mergeCells count="6">
    <mergeCell ref="A15:F47"/>
    <mergeCell ref="A1:F1"/>
    <mergeCell ref="A2:F2"/>
    <mergeCell ref="A3:F3"/>
    <mergeCell ref="E7:F7"/>
    <mergeCell ref="A14:F14"/>
  </mergeCells>
  <dataValidations count="3">
    <dataValidation type="list" allowBlank="1" showInputMessage="1" showErrorMessage="1" sqref="E5" xr:uid="{3C3452B2-EDC9-4DEF-8A21-8873287E4C16}">
      <formula1>"COM DESONERAÇÃO,SEM DESONERAÇÃO"</formula1>
    </dataValidation>
    <dataValidation type="decimal" allowBlank="1" showInputMessage="1" showErrorMessage="1" sqref="F8" xr:uid="{567653E1-0571-4C39-BE81-C297E79B9FD2}">
      <formula1>1</formula1>
      <formula2>10</formula2>
    </dataValidation>
    <dataValidation type="decimal" allowBlank="1" showInputMessage="1" showErrorMessage="1" sqref="F9" xr:uid="{66AD96B3-0A8D-4D63-B0BE-B21DB7EED1EE}">
      <formula1>0</formula1>
      <formula2>1</formula2>
    </dataValidation>
  </dataValidations>
  <pageMargins left="0.78740157480314965" right="0.39370078740157483" top="1.1811023622047243" bottom="0.78740157480314965" header="0.31496062992125984" footer="0.31496062992125984"/>
  <pageSetup paperSize="9" scale="74"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386D0F-CB99-48AA-86CE-659D32995F0B}">
  <sheetPr>
    <pageSetUpPr fitToPage="1"/>
  </sheetPr>
  <dimension ref="A1:S393"/>
  <sheetViews>
    <sheetView showGridLines="0" workbookViewId="0">
      <selection sqref="A1:J1"/>
    </sheetView>
  </sheetViews>
  <sheetFormatPr defaultRowHeight="14.4" x14ac:dyDescent="0.3"/>
  <cols>
    <col min="1" max="3" width="13.88671875" bestFit="1" customWidth="1"/>
    <col min="4" max="4" width="55.5546875" bestFit="1" customWidth="1"/>
    <col min="5" max="10" width="17.5546875" bestFit="1" customWidth="1"/>
    <col min="11" max="11" width="12" bestFit="1" customWidth="1"/>
    <col min="12" max="12" width="33.33203125" bestFit="1" customWidth="1"/>
    <col min="13" max="19" width="14.77734375" bestFit="1" customWidth="1"/>
  </cols>
  <sheetData>
    <row r="1" spans="1:19" x14ac:dyDescent="0.3">
      <c r="A1" s="33" t="str">
        <f>CIDADE</f>
        <v>MUNICÍPIO DE LAGOA DO PIAUI - PI</v>
      </c>
      <c r="B1" s="33"/>
      <c r="C1" s="33"/>
      <c r="D1" s="33"/>
      <c r="E1" s="33"/>
      <c r="F1" s="33"/>
      <c r="G1" s="33"/>
      <c r="H1" s="33"/>
      <c r="I1" s="33"/>
      <c r="J1" s="33"/>
    </row>
    <row r="2" spans="1:19" x14ac:dyDescent="0.3">
      <c r="A2" s="33" t="str">
        <f>OBRA</f>
        <v>IMPLANTAÇÃO DE 5 (CINCO) SISTEMAS SIMPLIFICADOS DE ABASTECIMENTO DE ÁGUA ZONA RURAL DO MUNICÍPIO DE LAGOA DO PIAUÍ-PI</v>
      </c>
      <c r="B2" s="33"/>
      <c r="C2" s="33"/>
      <c r="D2" s="33"/>
      <c r="E2" s="33"/>
      <c r="F2" s="33"/>
      <c r="G2" s="33"/>
      <c r="H2" s="33"/>
      <c r="I2" s="33"/>
      <c r="J2" s="33"/>
    </row>
    <row r="3" spans="1:19" x14ac:dyDescent="0.3">
      <c r="A3" s="33" t="s">
        <v>1150</v>
      </c>
      <c r="B3" s="33"/>
      <c r="C3" s="33"/>
      <c r="D3" s="33"/>
      <c r="E3" s="33"/>
      <c r="F3" s="33"/>
      <c r="G3" s="33"/>
      <c r="H3" s="33"/>
      <c r="I3" s="33"/>
      <c r="J3" s="33"/>
    </row>
    <row r="4" spans="1:19" x14ac:dyDescent="0.3">
      <c r="N4" s="34" t="s">
        <v>1014</v>
      </c>
      <c r="O4" s="36"/>
      <c r="P4" s="35"/>
      <c r="Q4" s="34" t="s">
        <v>1015</v>
      </c>
      <c r="R4" s="36"/>
      <c r="S4" s="35"/>
    </row>
    <row r="5" spans="1:19" x14ac:dyDescent="0.3">
      <c r="A5" s="1" t="s">
        <v>3</v>
      </c>
      <c r="B5" s="7" t="str">
        <f>FONTE&amp;FOLHA</f>
        <v>SINAPI PI 06/2025, SEINFRA CE 28, ORSE SE 05/2025, SEM DESONERAÇÃO</v>
      </c>
      <c r="C5" s="3"/>
      <c r="D5" s="3"/>
      <c r="E5" s="3"/>
      <c r="F5" s="3"/>
      <c r="G5" s="27" t="s">
        <v>10</v>
      </c>
      <c r="H5" s="8">
        <f>LEI</f>
        <v>113.33</v>
      </c>
      <c r="I5" s="1" t="s">
        <v>19</v>
      </c>
      <c r="J5" s="8">
        <f>BDI</f>
        <v>24.84</v>
      </c>
      <c r="M5" s="4" t="s">
        <v>138</v>
      </c>
      <c r="N5" s="4" t="s">
        <v>1016</v>
      </c>
      <c r="O5" s="4" t="s">
        <v>128</v>
      </c>
      <c r="P5" s="4" t="s">
        <v>1017</v>
      </c>
      <c r="Q5" s="4" t="s">
        <v>1016</v>
      </c>
      <c r="R5" s="4" t="s">
        <v>128</v>
      </c>
      <c r="S5" s="4" t="s">
        <v>1017</v>
      </c>
    </row>
    <row r="6" spans="1:19" x14ac:dyDescent="0.3">
      <c r="A6" s="4" t="s">
        <v>1018</v>
      </c>
      <c r="B6" s="4" t="s">
        <v>138</v>
      </c>
      <c r="C6" s="4" t="s">
        <v>139</v>
      </c>
      <c r="D6" s="4" t="s">
        <v>21</v>
      </c>
      <c r="E6" s="4" t="s">
        <v>140</v>
      </c>
      <c r="F6" s="4" t="s">
        <v>506</v>
      </c>
      <c r="G6" s="34" t="s">
        <v>1019</v>
      </c>
      <c r="H6" s="35"/>
      <c r="I6" s="34" t="s">
        <v>15</v>
      </c>
      <c r="J6" s="35"/>
    </row>
    <row r="7" spans="1:19" ht="60" customHeight="1" x14ac:dyDescent="0.3">
      <c r="A7" s="15" t="s">
        <v>1141</v>
      </c>
      <c r="B7" s="15">
        <v>88827</v>
      </c>
      <c r="C7" s="15" t="str">
        <f>VLOOKUP(B7,S!$A:$G,2,FALSE)</f>
        <v>SINAPI</v>
      </c>
      <c r="D7" s="22" t="str">
        <f>VLOOKUP(B7,S!$A:$G,3,FALSE)</f>
        <v>BETONEIRA CAPACIDADE NOMINAL DE 400 L, CAPACIDADE DE MISTURA 280 L, MOTOR ELÉTRICO TRIFÁSICO POTÊNCIA DE 2 CV, SEM CARREGADOR - JUROS. AF_05/2023</v>
      </c>
      <c r="E7" s="15" t="str">
        <f>VLOOKUP(B7,S!$A:$G,4,FALSE)</f>
        <v>H</v>
      </c>
      <c r="F7" s="15"/>
      <c r="G7" s="73">
        <f>I9</f>
        <v>0.09</v>
      </c>
      <c r="H7" s="74"/>
      <c r="I7" s="73"/>
      <c r="J7" s="74"/>
      <c r="K7" s="16">
        <f>VLOOKUP(B7,S!A:G,5,FALSE)</f>
        <v>0.09</v>
      </c>
      <c r="L7" s="15" t="str">
        <f>IF(K7=G7,"OK, CONFORME TABELA",IF(G7&gt;K7,"ACIMA DA TABELA: ","ABAIXO DA TABELA: ")&amp;TRUNC((G7*100)/K7,2)&amp;" %")</f>
        <v>OK, CONFORME TABELA</v>
      </c>
    </row>
    <row r="8" spans="1:19" ht="45" customHeight="1" x14ac:dyDescent="0.3">
      <c r="A8" s="23" t="s">
        <v>1025</v>
      </c>
      <c r="B8" s="23">
        <v>10535</v>
      </c>
      <c r="C8" s="23" t="str">
        <f>VLOOKUP(B8,IF(A8="COMPOSICAO",S!$A:$E,I!$A:$E),2,FALSE)</f>
        <v>SINAPI</v>
      </c>
      <c r="D8" s="24" t="str">
        <f>VLOOKUP(B8,IF(A8="COMPOSICAO",S!$A:$E,I!$A:$E),3,FALSE)</f>
        <v>BETONEIRA CAPACIDADE NOMINAL 400 L, CAPACIDADE DE MISTURA 280 L, MOTOR ELETRICO TRIFASICO 220/380 V POTENCIA 2 CV, SEM CARREGADOR</v>
      </c>
      <c r="E8" s="23" t="str">
        <f>VLOOKUP(B8,IF(A8="COMPOSICAO",S!$A:$E,I!$A:$E),4,FALSE)</f>
        <v>UN</v>
      </c>
      <c r="F8" s="23">
        <v>1.4800000000000001E-5</v>
      </c>
      <c r="G8" s="71">
        <f>IF(A8="COMPOSICAO",VLOOKUP("TOTAL SEM BDI - "&amp;B8,CPUAUX4!$A:$J,9,FALSE),VLOOKUP(B8,I!$A:$E,5,FALSE))</f>
        <v>6439.62</v>
      </c>
      <c r="H8" s="72"/>
      <c r="I8" s="71">
        <f>TRUNC(F8*G8,2)</f>
        <v>0.09</v>
      </c>
      <c r="J8" s="72"/>
      <c r="M8" s="23">
        <f>B8</f>
        <v>10535</v>
      </c>
      <c r="N8" s="23">
        <f>SUMIF(CPUAUX2!M:M,B7,CPUAUX2!O:O)</f>
        <v>44.949052800000004</v>
      </c>
      <c r="O8" s="23">
        <f>F8*N8</f>
        <v>6.6524598144000009E-4</v>
      </c>
      <c r="Q8" s="23">
        <f ca="1">SUMIF(CPUAUX2!M:M,B7,CPUAUX2!R:R)</f>
        <v>17.979621119999997</v>
      </c>
      <c r="R8" s="23">
        <f ca="1">F8*Q8</f>
        <v>2.6609839257599996E-4</v>
      </c>
    </row>
    <row r="9" spans="1:19" x14ac:dyDescent="0.3">
      <c r="A9" s="68" t="str">
        <f>"TOTAL SEM BDI - "&amp;B7</f>
        <v>TOTAL SEM BDI - 88827</v>
      </c>
      <c r="B9" s="69"/>
      <c r="C9" s="69"/>
      <c r="D9" s="69"/>
      <c r="E9" s="69"/>
      <c r="F9" s="69"/>
      <c r="G9" s="69"/>
      <c r="H9" s="70"/>
      <c r="I9" s="71">
        <f>SUM(I7:I8)</f>
        <v>0.09</v>
      </c>
      <c r="J9" s="72"/>
    </row>
    <row r="11" spans="1:19" x14ac:dyDescent="0.3">
      <c r="A11" s="4" t="s">
        <v>1018</v>
      </c>
      <c r="B11" s="4" t="s">
        <v>138</v>
      </c>
      <c r="C11" s="4" t="s">
        <v>139</v>
      </c>
      <c r="D11" s="4" t="s">
        <v>21</v>
      </c>
      <c r="E11" s="4" t="s">
        <v>140</v>
      </c>
      <c r="F11" s="4" t="s">
        <v>506</v>
      </c>
      <c r="G11" s="34" t="s">
        <v>1019</v>
      </c>
      <c r="H11" s="35"/>
      <c r="I11" s="34" t="s">
        <v>15</v>
      </c>
      <c r="J11" s="35"/>
    </row>
    <row r="12" spans="1:19" ht="60" customHeight="1" x14ac:dyDescent="0.3">
      <c r="A12" s="15" t="s">
        <v>1141</v>
      </c>
      <c r="B12" s="15">
        <v>88826</v>
      </c>
      <c r="C12" s="15" t="str">
        <f>VLOOKUP(B12,S!$A:$G,2,FALSE)</f>
        <v>SINAPI</v>
      </c>
      <c r="D12" s="22" t="str">
        <f>VLOOKUP(B12,S!$A:$G,3,FALSE)</f>
        <v>BETONEIRA CAPACIDADE NOMINAL DE 400 L, CAPACIDADE DE MISTURA 280 L, MOTOR ELÉTRICO TRIFÁSICO POTÊNCIA DE 2 CV, SEM CARREGADOR - DEPRECIAÇÃO. AF_05/2023</v>
      </c>
      <c r="E12" s="15" t="str">
        <f>VLOOKUP(B12,S!$A:$G,4,FALSE)</f>
        <v>H</v>
      </c>
      <c r="F12" s="15"/>
      <c r="G12" s="73">
        <f>I14</f>
        <v>0.41</v>
      </c>
      <c r="H12" s="74"/>
      <c r="I12" s="73"/>
      <c r="J12" s="74"/>
      <c r="K12" s="16">
        <f>VLOOKUP(B12,S!A:G,5,FALSE)</f>
        <v>0.41</v>
      </c>
      <c r="L12" s="15" t="str">
        <f>IF(K12=G12,"OK, CONFORME TABELA",IF(G12&gt;K12,"ACIMA DA TABELA: ","ABAIXO DA TABELA: ")&amp;TRUNC((G12*100)/K12,2)&amp;" %")</f>
        <v>OK, CONFORME TABELA</v>
      </c>
    </row>
    <row r="13" spans="1:19" ht="45" customHeight="1" x14ac:dyDescent="0.3">
      <c r="A13" s="23" t="s">
        <v>1025</v>
      </c>
      <c r="B13" s="23">
        <v>10535</v>
      </c>
      <c r="C13" s="23" t="str">
        <f>VLOOKUP(B13,IF(A13="COMPOSICAO",S!$A:$E,I!$A:$E),2,FALSE)</f>
        <v>SINAPI</v>
      </c>
      <c r="D13" s="24" t="str">
        <f>VLOOKUP(B13,IF(A13="COMPOSICAO",S!$A:$E,I!$A:$E),3,FALSE)</f>
        <v>BETONEIRA CAPACIDADE NOMINAL 400 L, CAPACIDADE DE MISTURA 280 L, MOTOR ELETRICO TRIFASICO 220/380 V POTENCIA 2 CV, SEM CARREGADOR</v>
      </c>
      <c r="E13" s="23" t="str">
        <f>VLOOKUP(B13,IF(A13="COMPOSICAO",S!$A:$E,I!$A:$E),4,FALSE)</f>
        <v>UN</v>
      </c>
      <c r="F13" s="23">
        <v>6.3999999999999997E-5</v>
      </c>
      <c r="G13" s="71">
        <f>IF(A13="COMPOSICAO",VLOOKUP("TOTAL SEM BDI - "&amp;B13,CPUAUX4!$A:$J,9,FALSE),VLOOKUP(B13,I!$A:$E,5,FALSE))</f>
        <v>6439.62</v>
      </c>
      <c r="H13" s="72"/>
      <c r="I13" s="71">
        <f>TRUNC(F13*G13,2)</f>
        <v>0.41</v>
      </c>
      <c r="J13" s="72"/>
      <c r="M13" s="23">
        <f>B13</f>
        <v>10535</v>
      </c>
      <c r="N13" s="23">
        <f>SUMIF(CPUAUX2!M:M,B12,CPUAUX2!O:O)</f>
        <v>44.949052800000004</v>
      </c>
      <c r="O13" s="23">
        <f>F13*N13</f>
        <v>2.8767393792000001E-3</v>
      </c>
      <c r="Q13" s="23">
        <f ca="1">SUMIF(CPUAUX2!M:M,B12,CPUAUX2!R:R)</f>
        <v>17.979621119999997</v>
      </c>
      <c r="R13" s="23">
        <f ca="1">F13*Q13</f>
        <v>1.1506957516799997E-3</v>
      </c>
    </row>
    <row r="14" spans="1:19" x14ac:dyDescent="0.3">
      <c r="A14" s="68" t="str">
        <f>"TOTAL SEM BDI - "&amp;B12</f>
        <v>TOTAL SEM BDI - 88826</v>
      </c>
      <c r="B14" s="69"/>
      <c r="C14" s="69"/>
      <c r="D14" s="69"/>
      <c r="E14" s="69"/>
      <c r="F14" s="69"/>
      <c r="G14" s="69"/>
      <c r="H14" s="70"/>
      <c r="I14" s="71">
        <f>SUM(I12:I13)</f>
        <v>0.41</v>
      </c>
      <c r="J14" s="72"/>
    </row>
    <row r="16" spans="1:19" x14ac:dyDescent="0.3">
      <c r="A16" s="4" t="s">
        <v>1018</v>
      </c>
      <c r="B16" s="4" t="s">
        <v>138</v>
      </c>
      <c r="C16" s="4" t="s">
        <v>139</v>
      </c>
      <c r="D16" s="4" t="s">
        <v>21</v>
      </c>
      <c r="E16" s="4" t="s">
        <v>140</v>
      </c>
      <c r="F16" s="4" t="s">
        <v>506</v>
      </c>
      <c r="G16" s="34" t="s">
        <v>1019</v>
      </c>
      <c r="H16" s="35"/>
      <c r="I16" s="34" t="s">
        <v>15</v>
      </c>
      <c r="J16" s="35"/>
    </row>
    <row r="17" spans="1:18" ht="60" customHeight="1" x14ac:dyDescent="0.3">
      <c r="A17" s="15" t="s">
        <v>1141</v>
      </c>
      <c r="B17" s="15">
        <v>88829</v>
      </c>
      <c r="C17" s="15" t="str">
        <f>VLOOKUP(B17,S!$A:$G,2,FALSE)</f>
        <v>SINAPI</v>
      </c>
      <c r="D17" s="22" t="str">
        <f>VLOOKUP(B17,S!$A:$G,3,FALSE)</f>
        <v>BETONEIRA CAPACIDADE NOMINAL DE 400 L, CAPACIDADE DE MISTURA 280 L, MOTOR ELÉTRICO TRIFÁSICO POTÊNCIA DE 2 CV, SEM CARREGADOR - MATERIAIS NA OPERAÇÃO. AF_05/2023</v>
      </c>
      <c r="E17" s="15" t="str">
        <f>VLOOKUP(B17,S!$A:$G,4,FALSE)</f>
        <v>H</v>
      </c>
      <c r="F17" s="15"/>
      <c r="G17" s="73">
        <f>I19</f>
        <v>1.37</v>
      </c>
      <c r="H17" s="74"/>
      <c r="I17" s="73"/>
      <c r="J17" s="74"/>
      <c r="K17" s="16">
        <f>VLOOKUP(B17,S!A:G,5,FALSE)</f>
        <v>1.37</v>
      </c>
      <c r="L17" s="15" t="str">
        <f>IF(K17=G17,"OK, CONFORME TABELA",IF(G17&gt;K17,"ACIMA DA TABELA: ","ABAIXO DA TABELA: ")&amp;TRUNC((G17*100)/K17,2)&amp;" %")</f>
        <v>OK, CONFORME TABELA</v>
      </c>
    </row>
    <row r="18" spans="1:18" ht="30" customHeight="1" x14ac:dyDescent="0.3">
      <c r="A18" s="23" t="s">
        <v>1025</v>
      </c>
      <c r="B18" s="23">
        <v>2705</v>
      </c>
      <c r="C18" s="23" t="str">
        <f>VLOOKUP(B18,IF(A18="COMPOSICAO",S!$A:$E,I!$A:$E),2,FALSE)</f>
        <v>SINAPI</v>
      </c>
      <c r="D18" s="24" t="str">
        <f>VLOOKUP(B18,IF(A18="COMPOSICAO",S!$A:$E,I!$A:$E),3,FALSE)</f>
        <v>ENERGIA ELETRICA ATE 2000 KWH INDUSTRIAL, SEM DEMANDA</v>
      </c>
      <c r="E18" s="23" t="str">
        <f>VLOOKUP(B18,IF(A18="COMPOSICAO",S!$A:$E,I!$A:$E),4,FALSE)</f>
        <v>KWH</v>
      </c>
      <c r="F18" s="23">
        <v>1.25</v>
      </c>
      <c r="G18" s="71">
        <f>IF(A18="COMPOSICAO",VLOOKUP("TOTAL SEM BDI - "&amp;B18,CPUAUX4!$A:$J,9,FALSE),VLOOKUP(B18,I!$A:$E,5,FALSE))</f>
        <v>1.1000000000000001</v>
      </c>
      <c r="H18" s="72"/>
      <c r="I18" s="71">
        <f>TRUNC(F18*G18,2)</f>
        <v>1.37</v>
      </c>
      <c r="J18" s="72"/>
      <c r="M18" s="23">
        <f>B18</f>
        <v>2705</v>
      </c>
      <c r="N18" s="23">
        <f>SUMIF(CPUAUX2!M:M,B17,CPUAUX2!O:O)</f>
        <v>19.014592199999999</v>
      </c>
      <c r="O18" s="23">
        <f>F18*N18</f>
        <v>23.768240249999998</v>
      </c>
      <c r="Q18" s="23">
        <f ca="1">SUMIF(CPUAUX2!M:M,B17,CPUAUX2!R:R)</f>
        <v>7.60583688</v>
      </c>
      <c r="R18" s="23">
        <f ca="1">F18*Q18</f>
        <v>9.5072960999999996</v>
      </c>
    </row>
    <row r="19" spans="1:18" x14ac:dyDescent="0.3">
      <c r="A19" s="68" t="str">
        <f>"TOTAL SEM BDI - "&amp;B17</f>
        <v>TOTAL SEM BDI - 88829</v>
      </c>
      <c r="B19" s="69"/>
      <c r="C19" s="69"/>
      <c r="D19" s="69"/>
      <c r="E19" s="69"/>
      <c r="F19" s="69"/>
      <c r="G19" s="69"/>
      <c r="H19" s="70"/>
      <c r="I19" s="71">
        <f>SUM(I17:I18)</f>
        <v>1.37</v>
      </c>
      <c r="J19" s="72"/>
    </row>
    <row r="21" spans="1:18" x14ac:dyDescent="0.3">
      <c r="A21" s="4" t="s">
        <v>1018</v>
      </c>
      <c r="B21" s="4" t="s">
        <v>138</v>
      </c>
      <c r="C21" s="4" t="s">
        <v>139</v>
      </c>
      <c r="D21" s="4" t="s">
        <v>21</v>
      </c>
      <c r="E21" s="4" t="s">
        <v>140</v>
      </c>
      <c r="F21" s="4" t="s">
        <v>506</v>
      </c>
      <c r="G21" s="34" t="s">
        <v>1019</v>
      </c>
      <c r="H21" s="35"/>
      <c r="I21" s="34" t="s">
        <v>15</v>
      </c>
      <c r="J21" s="35"/>
    </row>
    <row r="22" spans="1:18" ht="60" customHeight="1" x14ac:dyDescent="0.3">
      <c r="A22" s="15" t="s">
        <v>1141</v>
      </c>
      <c r="B22" s="15">
        <v>88828</v>
      </c>
      <c r="C22" s="15" t="str">
        <f>VLOOKUP(B22,S!$A:$G,2,FALSE)</f>
        <v>SINAPI</v>
      </c>
      <c r="D22" s="22" t="str">
        <f>VLOOKUP(B22,S!$A:$G,3,FALSE)</f>
        <v>BETONEIRA CAPACIDADE NOMINAL DE 400 L, CAPACIDADE DE MISTURA 280 L, MOTOR ELÉTRICO TRIFÁSICO POTÊNCIA DE 2 CV, SEM CARREGADOR - MANUTENÇÃO. AF_05/2023</v>
      </c>
      <c r="E22" s="15" t="str">
        <f>VLOOKUP(B22,S!$A:$G,4,FALSE)</f>
        <v>H</v>
      </c>
      <c r="F22" s="15"/>
      <c r="G22" s="73">
        <f>I24</f>
        <v>0.45</v>
      </c>
      <c r="H22" s="74"/>
      <c r="I22" s="73"/>
      <c r="J22" s="74"/>
      <c r="K22" s="16">
        <f>VLOOKUP(B22,S!A:G,5,FALSE)</f>
        <v>0.45</v>
      </c>
      <c r="L22" s="15" t="str">
        <f>IF(K22=G22,"OK, CONFORME TABELA",IF(G22&gt;K22,"ACIMA DA TABELA: ","ABAIXO DA TABELA: ")&amp;TRUNC((G22*100)/K22,2)&amp;" %")</f>
        <v>OK, CONFORME TABELA</v>
      </c>
    </row>
    <row r="23" spans="1:18" ht="45" customHeight="1" x14ac:dyDescent="0.3">
      <c r="A23" s="23" t="s">
        <v>1025</v>
      </c>
      <c r="B23" s="23">
        <v>10535</v>
      </c>
      <c r="C23" s="23" t="str">
        <f>VLOOKUP(B23,IF(A23="COMPOSICAO",S!$A:$E,I!$A:$E),2,FALSE)</f>
        <v>SINAPI</v>
      </c>
      <c r="D23" s="24" t="str">
        <f>VLOOKUP(B23,IF(A23="COMPOSICAO",S!$A:$E,I!$A:$E),3,FALSE)</f>
        <v>BETONEIRA CAPACIDADE NOMINAL 400 L, CAPACIDADE DE MISTURA 280 L, MOTOR ELETRICO TRIFASICO 220/380 V POTENCIA 2 CV, SEM CARREGADOR</v>
      </c>
      <c r="E23" s="23" t="str">
        <f>VLOOKUP(B23,IF(A23="COMPOSICAO",S!$A:$E,I!$A:$E),4,FALSE)</f>
        <v>UN</v>
      </c>
      <c r="F23" s="23">
        <v>6.9999999999999994E-5</v>
      </c>
      <c r="G23" s="71">
        <f>IF(A23="COMPOSICAO",VLOOKUP("TOTAL SEM BDI - "&amp;B23,CPUAUX4!$A:$J,9,FALSE),VLOOKUP(B23,I!$A:$E,5,FALSE))</f>
        <v>6439.62</v>
      </c>
      <c r="H23" s="72"/>
      <c r="I23" s="71">
        <f>TRUNC(F23*G23,2)</f>
        <v>0.45</v>
      </c>
      <c r="J23" s="72"/>
      <c r="M23" s="23">
        <f>B23</f>
        <v>10535</v>
      </c>
      <c r="N23" s="23">
        <f>SUMIF(CPUAUX2!M:M,B22,CPUAUX2!O:O)</f>
        <v>19.014592199999999</v>
      </c>
      <c r="O23" s="23">
        <f>F23*N23</f>
        <v>1.3310214539999999E-3</v>
      </c>
      <c r="Q23" s="23">
        <f ca="1">SUMIF(CPUAUX2!M:M,B22,CPUAUX2!R:R)</f>
        <v>7.60583688</v>
      </c>
      <c r="R23" s="23">
        <f ca="1">F23*Q23</f>
        <v>5.3240858159999999E-4</v>
      </c>
    </row>
    <row r="24" spans="1:18" x14ac:dyDescent="0.3">
      <c r="A24" s="68" t="str">
        <f>"TOTAL SEM BDI - "&amp;B22</f>
        <v>TOTAL SEM BDI - 88828</v>
      </c>
      <c r="B24" s="69"/>
      <c r="C24" s="69"/>
      <c r="D24" s="69"/>
      <c r="E24" s="69"/>
      <c r="F24" s="69"/>
      <c r="G24" s="69"/>
      <c r="H24" s="70"/>
      <c r="I24" s="71">
        <f>SUM(I22:I23)</f>
        <v>0.45</v>
      </c>
      <c r="J24" s="72"/>
    </row>
    <row r="26" spans="1:18" x14ac:dyDescent="0.3">
      <c r="A26" s="4" t="s">
        <v>1018</v>
      </c>
      <c r="B26" s="4" t="s">
        <v>138</v>
      </c>
      <c r="C26" s="4" t="s">
        <v>139</v>
      </c>
      <c r="D26" s="4" t="s">
        <v>21</v>
      </c>
      <c r="E26" s="4" t="s">
        <v>140</v>
      </c>
      <c r="F26" s="4" t="s">
        <v>506</v>
      </c>
      <c r="G26" s="34" t="s">
        <v>1019</v>
      </c>
      <c r="H26" s="35"/>
      <c r="I26" s="34" t="s">
        <v>15</v>
      </c>
      <c r="J26" s="35"/>
    </row>
    <row r="27" spans="1:18" ht="45" customHeight="1" x14ac:dyDescent="0.3">
      <c r="A27" s="15" t="s">
        <v>1093</v>
      </c>
      <c r="B27" s="15">
        <v>95389</v>
      </c>
      <c r="C27" s="15" t="str">
        <f>VLOOKUP(B27,S!$A:$G,2,FALSE)</f>
        <v>SINAPI</v>
      </c>
      <c r="D27" s="22" t="str">
        <f>VLOOKUP(B27,S!$A:$G,3,FALSE)</f>
        <v>CURSO DE CAPACITAÇÃO PARA OPERADOR DE BETONEIRA ESTACIONÁRIA/MISTURADOR (ENCARGOS COMPLEMENTARES) - HORISTA</v>
      </c>
      <c r="E27" s="15" t="str">
        <f>VLOOKUP(B27,S!$A:$G,4,FALSE)</f>
        <v>H</v>
      </c>
      <c r="F27" s="15"/>
      <c r="G27" s="73">
        <f>I29</f>
        <v>0.17</v>
      </c>
      <c r="H27" s="74"/>
      <c r="I27" s="73"/>
      <c r="J27" s="74"/>
      <c r="K27" s="16">
        <f>VLOOKUP(B27,S!A:G,5,FALSE)</f>
        <v>0.17</v>
      </c>
      <c r="L27" s="15" t="str">
        <f>IF(K27=G27,"OK, CONFORME TABELA",IF(G27&gt;K27,"ACIMA DA TABELA: ","ABAIXO DA TABELA: ")&amp;TRUNC((G27*100)/K27,2)&amp;" %")</f>
        <v>OK, CONFORME TABELA</v>
      </c>
    </row>
    <row r="28" spans="1:18" ht="30" customHeight="1" x14ac:dyDescent="0.3">
      <c r="A28" s="23" t="s">
        <v>1025</v>
      </c>
      <c r="B28" s="23">
        <v>37666</v>
      </c>
      <c r="C28" s="23" t="str">
        <f>VLOOKUP(B28,IF(A28="COMPOSICAO",S!$A:$E,I!$A:$E),2,FALSE)</f>
        <v>SINAPI</v>
      </c>
      <c r="D28" s="24" t="str">
        <f>VLOOKUP(B28,IF(A28="COMPOSICAO",S!$A:$E,I!$A:$E),3,FALSE)</f>
        <v>OPERADOR DE BETONEIRA ESTACIONARIA / MISTURADOR (HORISTA)</v>
      </c>
      <c r="E28" s="23" t="str">
        <f>VLOOKUP(B28,IF(A28="COMPOSICAO",S!$A:$E,I!$A:$E),4,FALSE)</f>
        <v>H</v>
      </c>
      <c r="F28" s="23">
        <v>8.3099999999999997E-3</v>
      </c>
      <c r="G28" s="71">
        <f>IF(A28="COMPOSICAO",VLOOKUP("TOTAL SEM BDI - "&amp;B28,CPUAUX4!$A:$J,9,FALSE),VLOOKUP(B28,I!$A:$E,5,FALSE))</f>
        <v>21.48</v>
      </c>
      <c r="H28" s="72"/>
      <c r="I28" s="71">
        <f>TRUNC(F28*G28,2)</f>
        <v>0.17</v>
      </c>
      <c r="J28" s="72"/>
      <c r="M28" s="23">
        <f>B28</f>
        <v>37666</v>
      </c>
      <c r="N28" s="23">
        <f>SUMIF(CPUAUX2!M:M,B27,CPUAUX2!O:O)</f>
        <v>47.259446144999998</v>
      </c>
      <c r="O28" s="23">
        <f>F28*N28</f>
        <v>0.39272599746494996</v>
      </c>
      <c r="Q28" s="23">
        <f ca="1">SUMIF(CPUAUX2!M:M,B27,CPUAUX2!R:R)</f>
        <v>18.903778458000001</v>
      </c>
      <c r="R28" s="23">
        <f ca="1">F28*Q28</f>
        <v>0.15709039898598001</v>
      </c>
    </row>
    <row r="29" spans="1:18" x14ac:dyDescent="0.3">
      <c r="A29" s="68" t="str">
        <f>"TOTAL SEM BDI - "&amp;B27</f>
        <v>TOTAL SEM BDI - 95389</v>
      </c>
      <c r="B29" s="69"/>
      <c r="C29" s="69"/>
      <c r="D29" s="69"/>
      <c r="E29" s="69"/>
      <c r="F29" s="69"/>
      <c r="G29" s="69"/>
      <c r="H29" s="70"/>
      <c r="I29" s="71">
        <f>SUM(I27:I28)</f>
        <v>0.17</v>
      </c>
      <c r="J29" s="72"/>
    </row>
    <row r="31" spans="1:18" x14ac:dyDescent="0.3">
      <c r="A31" s="4" t="s">
        <v>1018</v>
      </c>
      <c r="B31" s="4" t="s">
        <v>138</v>
      </c>
      <c r="C31" s="4" t="s">
        <v>139</v>
      </c>
      <c r="D31" s="4" t="s">
        <v>21</v>
      </c>
      <c r="E31" s="4" t="s">
        <v>140</v>
      </c>
      <c r="F31" s="4" t="s">
        <v>506</v>
      </c>
      <c r="G31" s="34" t="s">
        <v>1019</v>
      </c>
      <c r="H31" s="35"/>
      <c r="I31" s="34" t="s">
        <v>15</v>
      </c>
      <c r="J31" s="35"/>
    </row>
    <row r="32" spans="1:18" ht="30" customHeight="1" x14ac:dyDescent="0.3">
      <c r="A32" s="15" t="s">
        <v>1093</v>
      </c>
      <c r="B32" s="15">
        <v>95378</v>
      </c>
      <c r="C32" s="15" t="str">
        <f>VLOOKUP(B32,S!$A:$G,2,FALSE)</f>
        <v>SINAPI</v>
      </c>
      <c r="D32" s="22" t="str">
        <f>VLOOKUP(B32,S!$A:$G,3,FALSE)</f>
        <v>CURSO DE CAPACITAÇÃO PARA SERVENTE (ENCARGOS COMPLEMENTARES) - HORISTA</v>
      </c>
      <c r="E32" s="15" t="str">
        <f>VLOOKUP(B32,S!$A:$G,4,FALSE)</f>
        <v>H</v>
      </c>
      <c r="F32" s="15"/>
      <c r="G32" s="73">
        <f>I34</f>
        <v>0.31</v>
      </c>
      <c r="H32" s="74"/>
      <c r="I32" s="73"/>
      <c r="J32" s="74"/>
      <c r="K32" s="16">
        <f>VLOOKUP(B32,S!A:G,5,FALSE)</f>
        <v>0.31</v>
      </c>
      <c r="L32" s="15" t="str">
        <f>IF(K32=G32,"OK, CONFORME TABELA",IF(G32&gt;K32,"ACIMA DA TABELA: ","ABAIXO DA TABELA: ")&amp;TRUNC((G32*100)/K32,2)&amp;" %")</f>
        <v>OK, CONFORME TABELA</v>
      </c>
    </row>
    <row r="33" spans="1:18" x14ac:dyDescent="0.3">
      <c r="A33" s="23" t="s">
        <v>1025</v>
      </c>
      <c r="B33" s="23">
        <v>6111</v>
      </c>
      <c r="C33" s="23" t="str">
        <f>VLOOKUP(B33,IF(A33="COMPOSICAO",S!$A:$E,I!$A:$E),2,FALSE)</f>
        <v>SINAPI</v>
      </c>
      <c r="D33" s="24" t="str">
        <f>VLOOKUP(B33,IF(A33="COMPOSICAO",S!$A:$E,I!$A:$E),3,FALSE)</f>
        <v>SERVENTE DE OBRAS (HORISTA)</v>
      </c>
      <c r="E33" s="23" t="str">
        <f>VLOOKUP(B33,IF(A33="COMPOSICAO",S!$A:$E,I!$A:$E),4,FALSE)</f>
        <v>H</v>
      </c>
      <c r="F33" s="23">
        <v>2.12E-2</v>
      </c>
      <c r="G33" s="71">
        <f>IF(A33="COMPOSICAO",VLOOKUP("TOTAL SEM BDI - "&amp;B33,CPUAUX4!$A:$J,9,FALSE),VLOOKUP(B33,I!$A:$E,5,FALSE))</f>
        <v>14.86</v>
      </c>
      <c r="H33" s="72"/>
      <c r="I33" s="71">
        <f>TRUNC(F33*G33,2)</f>
        <v>0.31</v>
      </c>
      <c r="J33" s="72"/>
      <c r="M33" s="23">
        <f>B33</f>
        <v>6111</v>
      </c>
      <c r="N33" s="23">
        <f>SUMIF(CPUAUX2!M:M,B32,CPUAUX2!O:O)</f>
        <v>167.82725691799999</v>
      </c>
      <c r="O33" s="23">
        <f>F33*N33</f>
        <v>3.5579378466615998</v>
      </c>
      <c r="Q33" s="23">
        <f ca="1">SUMIF(CPUAUX2!M:M,B32,CPUAUX2!R:R)</f>
        <v>67.130902767199998</v>
      </c>
      <c r="R33" s="23">
        <f ca="1">F33*Q33</f>
        <v>1.4231751386646401</v>
      </c>
    </row>
    <row r="34" spans="1:18" x14ac:dyDescent="0.3">
      <c r="A34" s="68" t="str">
        <f>"TOTAL SEM BDI - "&amp;B32</f>
        <v>TOTAL SEM BDI - 95378</v>
      </c>
      <c r="B34" s="69"/>
      <c r="C34" s="69"/>
      <c r="D34" s="69"/>
      <c r="E34" s="69"/>
      <c r="F34" s="69"/>
      <c r="G34" s="69"/>
      <c r="H34" s="70"/>
      <c r="I34" s="71">
        <f>SUM(I32:I33)</f>
        <v>0.31</v>
      </c>
      <c r="J34" s="72"/>
    </row>
    <row r="36" spans="1:18" x14ac:dyDescent="0.3">
      <c r="A36" s="4" t="s">
        <v>1018</v>
      </c>
      <c r="B36" s="4" t="s">
        <v>138</v>
      </c>
      <c r="C36" s="4" t="s">
        <v>139</v>
      </c>
      <c r="D36" s="4" t="s">
        <v>21</v>
      </c>
      <c r="E36" s="4" t="s">
        <v>140</v>
      </c>
      <c r="F36" s="4" t="s">
        <v>506</v>
      </c>
      <c r="G36" s="34" t="s">
        <v>1019</v>
      </c>
      <c r="H36" s="35"/>
      <c r="I36" s="34" t="s">
        <v>15</v>
      </c>
      <c r="J36" s="35"/>
    </row>
    <row r="37" spans="1:18" ht="30" customHeight="1" x14ac:dyDescent="0.3">
      <c r="A37" s="15" t="s">
        <v>1093</v>
      </c>
      <c r="B37" s="15">
        <v>95330</v>
      </c>
      <c r="C37" s="15" t="str">
        <f>VLOOKUP(B37,S!$A:$G,2,FALSE)</f>
        <v>SINAPI</v>
      </c>
      <c r="D37" s="22" t="str">
        <f>VLOOKUP(B37,S!$A:$G,3,FALSE)</f>
        <v>CURSO DE CAPACITAÇÃO PARA CARPINTEIRO DE FÔRMAS (ENCARGOS COMPLEMENTARES) - HORISTA</v>
      </c>
      <c r="E37" s="15" t="str">
        <f>VLOOKUP(B37,S!$A:$G,4,FALSE)</f>
        <v>H</v>
      </c>
      <c r="F37" s="15"/>
      <c r="G37" s="73">
        <f>I39</f>
        <v>0.23</v>
      </c>
      <c r="H37" s="74"/>
      <c r="I37" s="73"/>
      <c r="J37" s="74"/>
      <c r="K37" s="16">
        <f>VLOOKUP(B37,S!A:G,5,FALSE)</f>
        <v>0.23</v>
      </c>
      <c r="L37" s="15" t="str">
        <f>IF(K37=G37,"OK, CONFORME TABELA",IF(G37&gt;K37,"ACIMA DA TABELA: ","ABAIXO DA TABELA: ")&amp;TRUNC((G37*100)/K37,2)&amp;" %")</f>
        <v>OK, CONFORME TABELA</v>
      </c>
    </row>
    <row r="38" spans="1:18" ht="15" customHeight="1" x14ac:dyDescent="0.3">
      <c r="A38" s="23" t="s">
        <v>1025</v>
      </c>
      <c r="B38" s="23">
        <v>1213</v>
      </c>
      <c r="C38" s="23" t="str">
        <f>VLOOKUP(B38,IF(A38="COMPOSICAO",S!$A:$E,I!$A:$E),2,FALSE)</f>
        <v>SINAPI</v>
      </c>
      <c r="D38" s="24" t="str">
        <f>VLOOKUP(B38,IF(A38="COMPOSICAO",S!$A:$E,I!$A:$E),3,FALSE)</f>
        <v>CARPINTEIRO DE FORMAS PARA CONCRETO (HORISTA)</v>
      </c>
      <c r="E38" s="23" t="str">
        <f>VLOOKUP(B38,IF(A38="COMPOSICAO",S!$A:$E,I!$A:$E),4,FALSE)</f>
        <v>H</v>
      </c>
      <c r="F38" s="23">
        <v>1.154E-2</v>
      </c>
      <c r="G38" s="71">
        <f>IF(A38="COMPOSICAO",VLOOKUP("TOTAL SEM BDI - "&amp;B38,CPUAUX4!$A:$J,9,FALSE),VLOOKUP(B38,I!$A:$E,5,FALSE))</f>
        <v>20.329999999999998</v>
      </c>
      <c r="H38" s="72"/>
      <c r="I38" s="71">
        <f>TRUNC(F38*G38,2)</f>
        <v>0.23</v>
      </c>
      <c r="J38" s="72"/>
      <c r="M38" s="23">
        <f>B38</f>
        <v>1213</v>
      </c>
      <c r="N38" s="23">
        <f>SUMIF(CPUAUX2!M:M,B37,CPUAUX2!O:O)</f>
        <v>25.01671125</v>
      </c>
      <c r="O38" s="23">
        <f>F38*N38</f>
        <v>0.28869284782499999</v>
      </c>
      <c r="Q38" s="23">
        <f ca="1">SUMIF(CPUAUX2!M:M,B37,CPUAUX2!R:R)</f>
        <v>10.006684500000002</v>
      </c>
      <c r="R38" s="23">
        <f ca="1">F38*Q38</f>
        <v>0.11547713913000003</v>
      </c>
    </row>
    <row r="39" spans="1:18" x14ac:dyDescent="0.3">
      <c r="A39" s="68" t="str">
        <f>"TOTAL SEM BDI - "&amp;B37</f>
        <v>TOTAL SEM BDI - 95330</v>
      </c>
      <c r="B39" s="69"/>
      <c r="C39" s="69"/>
      <c r="D39" s="69"/>
      <c r="E39" s="69"/>
      <c r="F39" s="69"/>
      <c r="G39" s="69"/>
      <c r="H39" s="70"/>
      <c r="I39" s="71">
        <f>SUM(I37:I38)</f>
        <v>0.23</v>
      </c>
      <c r="J39" s="72"/>
    </row>
    <row r="41" spans="1:18" x14ac:dyDescent="0.3">
      <c r="A41" s="4" t="s">
        <v>1018</v>
      </c>
      <c r="B41" s="4" t="s">
        <v>138</v>
      </c>
      <c r="C41" s="4" t="s">
        <v>139</v>
      </c>
      <c r="D41" s="4" t="s">
        <v>21</v>
      </c>
      <c r="E41" s="4" t="s">
        <v>140</v>
      </c>
      <c r="F41" s="4" t="s">
        <v>506</v>
      </c>
      <c r="G41" s="34" t="s">
        <v>1019</v>
      </c>
      <c r="H41" s="35"/>
      <c r="I41" s="34" t="s">
        <v>15</v>
      </c>
      <c r="J41" s="35"/>
    </row>
    <row r="42" spans="1:18" ht="30" customHeight="1" x14ac:dyDescent="0.3">
      <c r="A42" s="15" t="s">
        <v>1093</v>
      </c>
      <c r="B42" s="15">
        <v>95309</v>
      </c>
      <c r="C42" s="15" t="str">
        <f>VLOOKUP(B42,S!$A:$G,2,FALSE)</f>
        <v>SINAPI</v>
      </c>
      <c r="D42" s="22" t="str">
        <f>VLOOKUP(B42,S!$A:$G,3,FALSE)</f>
        <v>CURSO DE CAPACITAÇÃO PARA AJUDANTE DE CARPINTEIRO (ENCARGOS COMPLEMENTARES) - HORISTA</v>
      </c>
      <c r="E42" s="15" t="str">
        <f>VLOOKUP(B42,S!$A:$G,4,FALSE)</f>
        <v>H</v>
      </c>
      <c r="F42" s="15"/>
      <c r="G42" s="73">
        <f>I44</f>
        <v>0.22</v>
      </c>
      <c r="H42" s="74"/>
      <c r="I42" s="73"/>
      <c r="J42" s="74"/>
      <c r="K42" s="16">
        <f>VLOOKUP(B42,S!A:G,5,FALSE)</f>
        <v>0.22</v>
      </c>
      <c r="L42" s="15" t="str">
        <f>IF(K42=G42,"OK, CONFORME TABELA",IF(G42&gt;K42,"ACIMA DA TABELA: ","ABAIXO DA TABELA: ")&amp;TRUNC((G42*100)/K42,2)&amp;" %")</f>
        <v>OK, CONFORME TABELA</v>
      </c>
    </row>
    <row r="43" spans="1:18" x14ac:dyDescent="0.3">
      <c r="A43" s="23" t="s">
        <v>1025</v>
      </c>
      <c r="B43" s="23">
        <v>6117</v>
      </c>
      <c r="C43" s="23" t="str">
        <f>VLOOKUP(B43,IF(A43="COMPOSICAO",S!$A:$E,I!$A:$E),2,FALSE)</f>
        <v>SINAPI</v>
      </c>
      <c r="D43" s="24" t="str">
        <f>VLOOKUP(B43,IF(A43="COMPOSICAO",S!$A:$E,I!$A:$E),3,FALSE)</f>
        <v>CARPINTEIRO AUXILIAR (HORISTA)</v>
      </c>
      <c r="E43" s="23" t="str">
        <f>VLOOKUP(B43,IF(A43="COMPOSICAO",S!$A:$E,I!$A:$E),4,FALSE)</f>
        <v>H</v>
      </c>
      <c r="F43" s="23">
        <v>1.4760000000000001E-2</v>
      </c>
      <c r="G43" s="71">
        <f>IF(A43="COMPOSICAO",VLOOKUP("TOTAL SEM BDI - "&amp;B43,CPUAUX4!$A:$J,9,FALSE),VLOOKUP(B43,I!$A:$E,5,FALSE))</f>
        <v>15.57</v>
      </c>
      <c r="H43" s="72"/>
      <c r="I43" s="71">
        <f>TRUNC(F43*G43,2)</f>
        <v>0.22</v>
      </c>
      <c r="J43" s="72"/>
      <c r="M43" s="23">
        <f>B43</f>
        <v>6117</v>
      </c>
      <c r="N43" s="23">
        <f>SUMIF(CPUAUX2!M:M,B42,CPUAUX2!O:O)</f>
        <v>8.1360821999999988</v>
      </c>
      <c r="O43" s="23">
        <f>F43*N43</f>
        <v>0.12008857327199998</v>
      </c>
      <c r="Q43" s="23">
        <f ca="1">SUMIF(CPUAUX2!M:M,B42,CPUAUX2!R:R)</f>
        <v>3.25443288</v>
      </c>
      <c r="R43" s="23">
        <f ca="1">F43*Q43</f>
        <v>4.8035429308800004E-2</v>
      </c>
    </row>
    <row r="44" spans="1:18" x14ac:dyDescent="0.3">
      <c r="A44" s="68" t="str">
        <f>"TOTAL SEM BDI - "&amp;B42</f>
        <v>TOTAL SEM BDI - 95309</v>
      </c>
      <c r="B44" s="69"/>
      <c r="C44" s="69"/>
      <c r="D44" s="69"/>
      <c r="E44" s="69"/>
      <c r="F44" s="69"/>
      <c r="G44" s="69"/>
      <c r="H44" s="70"/>
      <c r="I44" s="71">
        <f>SUM(I42:I43)</f>
        <v>0.22</v>
      </c>
      <c r="J44" s="72"/>
    </row>
    <row r="46" spans="1:18" x14ac:dyDescent="0.3">
      <c r="A46" s="4" t="s">
        <v>1018</v>
      </c>
      <c r="B46" s="4" t="s">
        <v>138</v>
      </c>
      <c r="C46" s="4" t="s">
        <v>139</v>
      </c>
      <c r="D46" s="4" t="s">
        <v>21</v>
      </c>
      <c r="E46" s="4" t="s">
        <v>140</v>
      </c>
      <c r="F46" s="4" t="s">
        <v>506</v>
      </c>
      <c r="G46" s="34" t="s">
        <v>1019</v>
      </c>
      <c r="H46" s="35"/>
      <c r="I46" s="34" t="s">
        <v>15</v>
      </c>
      <c r="J46" s="35"/>
    </row>
    <row r="47" spans="1:18" ht="45" customHeight="1" x14ac:dyDescent="0.3">
      <c r="A47" s="15" t="s">
        <v>1093</v>
      </c>
      <c r="B47" s="15">
        <v>95360</v>
      </c>
      <c r="C47" s="15" t="str">
        <f>VLOOKUP(B47,S!$A:$G,2,FALSE)</f>
        <v>SINAPI</v>
      </c>
      <c r="D47" s="22" t="str">
        <f>VLOOKUP(B47,S!$A:$G,3,FALSE)</f>
        <v>CURSO DE CAPACITAÇÃO PARA OPERADOR DE MÁQUINAS E EQUIPAMENTOS (ENCARGOS COMPLEMENTARES) - HORISTA</v>
      </c>
      <c r="E47" s="15" t="str">
        <f>VLOOKUP(B47,S!$A:$G,4,FALSE)</f>
        <v>H</v>
      </c>
      <c r="F47" s="15"/>
      <c r="G47" s="73">
        <f>I49</f>
        <v>0.24</v>
      </c>
      <c r="H47" s="74"/>
      <c r="I47" s="73"/>
      <c r="J47" s="74"/>
      <c r="K47" s="16">
        <f>VLOOKUP(B47,S!A:G,5,FALSE)</f>
        <v>0.24</v>
      </c>
      <c r="L47" s="15" t="str">
        <f>IF(K47=G47,"OK, CONFORME TABELA",IF(G47&gt;K47,"ACIMA DA TABELA: ","ABAIXO DA TABELA: ")&amp;TRUNC((G47*100)/K47,2)&amp;" %")</f>
        <v>OK, CONFORME TABELA</v>
      </c>
    </row>
    <row r="48" spans="1:18" ht="30" customHeight="1" x14ac:dyDescent="0.3">
      <c r="A48" s="23" t="s">
        <v>1025</v>
      </c>
      <c r="B48" s="23">
        <v>4230</v>
      </c>
      <c r="C48" s="23" t="str">
        <f>VLOOKUP(B48,IF(A48="COMPOSICAO",S!$A:$E,I!$A:$E),2,FALSE)</f>
        <v>SINAPI</v>
      </c>
      <c r="D48" s="24" t="str">
        <f>VLOOKUP(B48,IF(A48="COMPOSICAO",S!$A:$E,I!$A:$E),3,FALSE)</f>
        <v>OPERADOR DE MAQUINAS E TRATORES DIVERSOS - TERRAPLANAGEM (HORISTA)</v>
      </c>
      <c r="E48" s="23" t="str">
        <f>VLOOKUP(B48,IF(A48="COMPOSICAO",S!$A:$E,I!$A:$E),4,FALSE)</f>
        <v>H</v>
      </c>
      <c r="F48" s="23">
        <v>1.154E-2</v>
      </c>
      <c r="G48" s="71">
        <f>IF(A48="COMPOSICAO",VLOOKUP("TOTAL SEM BDI - "&amp;B48,CPUAUX4!$A:$J,9,FALSE),VLOOKUP(B48,I!$A:$E,5,FALSE))</f>
        <v>21.48</v>
      </c>
      <c r="H48" s="72"/>
      <c r="I48" s="71">
        <f>TRUNC(F48*G48,2)</f>
        <v>0.24</v>
      </c>
      <c r="J48" s="72"/>
      <c r="M48" s="23">
        <f>B48</f>
        <v>4230</v>
      </c>
      <c r="N48" s="23">
        <f>SUMIF(CPUAUX2!M:M,B47,CPUAUX2!O:O)</f>
        <v>7.7</v>
      </c>
      <c r="O48" s="23">
        <f>F48*N48</f>
        <v>8.8858000000000006E-2</v>
      </c>
      <c r="Q48" s="23">
        <f ca="1">SUMIF(CPUAUX2!M:M,B47,CPUAUX2!R:R)</f>
        <v>3.08</v>
      </c>
      <c r="R48" s="23">
        <f ca="1">F48*Q48</f>
        <v>3.5543200000000004E-2</v>
      </c>
    </row>
    <row r="49" spans="1:18" x14ac:dyDescent="0.3">
      <c r="A49" s="68" t="str">
        <f>"TOTAL SEM BDI - "&amp;B47</f>
        <v>TOTAL SEM BDI - 95360</v>
      </c>
      <c r="B49" s="69"/>
      <c r="C49" s="69"/>
      <c r="D49" s="69"/>
      <c r="E49" s="69"/>
      <c r="F49" s="69"/>
      <c r="G49" s="69"/>
      <c r="H49" s="70"/>
      <c r="I49" s="71">
        <f>SUM(I47:I48)</f>
        <v>0.24</v>
      </c>
      <c r="J49" s="72"/>
    </row>
    <row r="51" spans="1:18" x14ac:dyDescent="0.3">
      <c r="A51" s="4" t="s">
        <v>1018</v>
      </c>
      <c r="B51" s="4" t="s">
        <v>138</v>
      </c>
      <c r="C51" s="4" t="s">
        <v>139</v>
      </c>
      <c r="D51" s="4" t="s">
        <v>21</v>
      </c>
      <c r="E51" s="4" t="s">
        <v>140</v>
      </c>
      <c r="F51" s="4" t="s">
        <v>506</v>
      </c>
      <c r="G51" s="34" t="s">
        <v>1019</v>
      </c>
      <c r="H51" s="35"/>
      <c r="I51" s="34" t="s">
        <v>15</v>
      </c>
      <c r="J51" s="35"/>
    </row>
    <row r="52" spans="1:18" ht="60" customHeight="1" x14ac:dyDescent="0.3">
      <c r="A52" s="15" t="s">
        <v>1141</v>
      </c>
      <c r="B52" s="15">
        <v>89222</v>
      </c>
      <c r="C52" s="15" t="str">
        <f>VLOOKUP(B52,S!$A:$G,2,FALSE)</f>
        <v>SINAPI</v>
      </c>
      <c r="D52" s="22" t="str">
        <f>VLOOKUP(B52,S!$A:$G,3,FALSE)</f>
        <v>BETONEIRA CAPACIDADE NOMINAL DE 600 L, CAPACIDADE DE MISTURA 360 L, MOTOR ELÉTRICO TRIFÁSICO POTÊNCIA DE 4 CV, SEM CARREGADOR - JUROS. AF_05/2023</v>
      </c>
      <c r="E52" s="15" t="str">
        <f>VLOOKUP(B52,S!$A:$G,4,FALSE)</f>
        <v>H</v>
      </c>
      <c r="F52" s="15"/>
      <c r="G52" s="73">
        <f>I54</f>
        <v>0.38</v>
      </c>
      <c r="H52" s="74"/>
      <c r="I52" s="73"/>
      <c r="J52" s="74"/>
      <c r="K52" s="16">
        <f>VLOOKUP(B52,S!A:G,5,FALSE)</f>
        <v>0.38</v>
      </c>
      <c r="L52" s="15" t="str">
        <f>IF(K52=G52,"OK, CONFORME TABELA",IF(G52&gt;K52,"ACIMA DA TABELA: ","ABAIXO DA TABELA: ")&amp;TRUNC((G52*100)/K52,2)&amp;" %")</f>
        <v>OK, CONFORME TABELA</v>
      </c>
    </row>
    <row r="53" spans="1:18" ht="45" customHeight="1" x14ac:dyDescent="0.3">
      <c r="A53" s="23" t="s">
        <v>1025</v>
      </c>
      <c r="B53" s="23">
        <v>36397</v>
      </c>
      <c r="C53" s="23" t="str">
        <f>VLOOKUP(B53,IF(A53="COMPOSICAO",S!$A:$E,I!$A:$E),2,FALSE)</f>
        <v>SINAPI</v>
      </c>
      <c r="D53" s="24" t="str">
        <f>VLOOKUP(B53,IF(A53="COMPOSICAO",S!$A:$E,I!$A:$E),3,FALSE)</f>
        <v>BETONEIRA, CAPACIDADE NOMINAL 600 L, CAPACIDADE DE MISTURA 360L, MOTOR ELETRICO TRIFASICO 220/380V, POTENCIA 4CV, EXCLUSO CARREGADOR</v>
      </c>
      <c r="E53" s="23" t="str">
        <f>VLOOKUP(B53,IF(A53="COMPOSICAO",S!$A:$E,I!$A:$E),4,FALSE)</f>
        <v>UN</v>
      </c>
      <c r="F53" s="23">
        <v>1.4800000000000001E-5</v>
      </c>
      <c r="G53" s="71">
        <f>IF(A53="COMPOSICAO",VLOOKUP("TOTAL SEM BDI - "&amp;B53,CPUAUX4!$A:$J,9,FALSE),VLOOKUP(B53,I!$A:$E,5,FALSE))</f>
        <v>26195.06</v>
      </c>
      <c r="H53" s="72"/>
      <c r="I53" s="71">
        <f>TRUNC(F53*G53,2)</f>
        <v>0.38</v>
      </c>
      <c r="J53" s="72"/>
      <c r="M53" s="23">
        <f>B53</f>
        <v>36397</v>
      </c>
      <c r="N53" s="23">
        <f>SUMIF(CPUAUX2!M:M,B52,CPUAUX2!O:O)</f>
        <v>2.3104436550000003</v>
      </c>
      <c r="O53" s="23">
        <f>F53*N53</f>
        <v>3.4194566094000003E-5</v>
      </c>
      <c r="Q53" s="23">
        <f ca="1">SUMIF(CPUAUX2!M:M,B52,CPUAUX2!R:R)</f>
        <v>0.92417746200000006</v>
      </c>
      <c r="R53" s="23">
        <f ca="1">F53*Q53</f>
        <v>1.3677826437600002E-5</v>
      </c>
    </row>
    <row r="54" spans="1:18" x14ac:dyDescent="0.3">
      <c r="A54" s="68" t="str">
        <f>"TOTAL SEM BDI - "&amp;B52</f>
        <v>TOTAL SEM BDI - 89222</v>
      </c>
      <c r="B54" s="69"/>
      <c r="C54" s="69"/>
      <c r="D54" s="69"/>
      <c r="E54" s="69"/>
      <c r="F54" s="69"/>
      <c r="G54" s="69"/>
      <c r="H54" s="70"/>
      <c r="I54" s="71">
        <f>SUM(I52:I53)</f>
        <v>0.38</v>
      </c>
      <c r="J54" s="72"/>
    </row>
    <row r="56" spans="1:18" x14ac:dyDescent="0.3">
      <c r="A56" s="4" t="s">
        <v>1018</v>
      </c>
      <c r="B56" s="4" t="s">
        <v>138</v>
      </c>
      <c r="C56" s="4" t="s">
        <v>139</v>
      </c>
      <c r="D56" s="4" t="s">
        <v>21</v>
      </c>
      <c r="E56" s="4" t="s">
        <v>140</v>
      </c>
      <c r="F56" s="4" t="s">
        <v>506</v>
      </c>
      <c r="G56" s="34" t="s">
        <v>1019</v>
      </c>
      <c r="H56" s="35"/>
      <c r="I56" s="34" t="s">
        <v>15</v>
      </c>
      <c r="J56" s="35"/>
    </row>
    <row r="57" spans="1:18" ht="60" customHeight="1" x14ac:dyDescent="0.3">
      <c r="A57" s="15" t="s">
        <v>1141</v>
      </c>
      <c r="B57" s="15">
        <v>89221</v>
      </c>
      <c r="C57" s="15" t="str">
        <f>VLOOKUP(B57,S!$A:$G,2,FALSE)</f>
        <v>SINAPI</v>
      </c>
      <c r="D57" s="22" t="str">
        <f>VLOOKUP(B57,S!$A:$G,3,FALSE)</f>
        <v>BETONEIRA CAPACIDADE NOMINAL DE 600 L, CAPACIDADE DE MISTURA 360 L, MOTOR ELÉTRICO TRIFÁSICO POTÊNCIA DE 4 CV, SEM CARREGADOR - DEPRECIAÇÃO. AF_05/2023</v>
      </c>
      <c r="E57" s="15" t="str">
        <f>VLOOKUP(B57,S!$A:$G,4,FALSE)</f>
        <v>H</v>
      </c>
      <c r="F57" s="15"/>
      <c r="G57" s="73">
        <f>I59</f>
        <v>1.67</v>
      </c>
      <c r="H57" s="74"/>
      <c r="I57" s="73"/>
      <c r="J57" s="74"/>
      <c r="K57" s="16">
        <f>VLOOKUP(B57,S!A:G,5,FALSE)</f>
        <v>1.67</v>
      </c>
      <c r="L57" s="15" t="str">
        <f>IF(K57=G57,"OK, CONFORME TABELA",IF(G57&gt;K57,"ACIMA DA TABELA: ","ABAIXO DA TABELA: ")&amp;TRUNC((G57*100)/K57,2)&amp;" %")</f>
        <v>OK, CONFORME TABELA</v>
      </c>
    </row>
    <row r="58" spans="1:18" ht="45" customHeight="1" x14ac:dyDescent="0.3">
      <c r="A58" s="23" t="s">
        <v>1025</v>
      </c>
      <c r="B58" s="23">
        <v>36397</v>
      </c>
      <c r="C58" s="23" t="str">
        <f>VLOOKUP(B58,IF(A58="COMPOSICAO",S!$A:$E,I!$A:$E),2,FALSE)</f>
        <v>SINAPI</v>
      </c>
      <c r="D58" s="24" t="str">
        <f>VLOOKUP(B58,IF(A58="COMPOSICAO",S!$A:$E,I!$A:$E),3,FALSE)</f>
        <v>BETONEIRA, CAPACIDADE NOMINAL 600 L, CAPACIDADE DE MISTURA 360L, MOTOR ELETRICO TRIFASICO 220/380V, POTENCIA 4CV, EXCLUSO CARREGADOR</v>
      </c>
      <c r="E58" s="23" t="str">
        <f>VLOOKUP(B58,IF(A58="COMPOSICAO",S!$A:$E,I!$A:$E),4,FALSE)</f>
        <v>UN</v>
      </c>
      <c r="F58" s="23">
        <v>6.3999999999999997E-5</v>
      </c>
      <c r="G58" s="71">
        <f>IF(A58="COMPOSICAO",VLOOKUP("TOTAL SEM BDI - "&amp;B58,CPUAUX4!$A:$J,9,FALSE),VLOOKUP(B58,I!$A:$E,5,FALSE))</f>
        <v>26195.06</v>
      </c>
      <c r="H58" s="72"/>
      <c r="I58" s="71">
        <f>TRUNC(F58*G58,2)</f>
        <v>1.67</v>
      </c>
      <c r="J58" s="72"/>
      <c r="M58" s="23">
        <f>B58</f>
        <v>36397</v>
      </c>
      <c r="N58" s="23">
        <f>SUMIF(CPUAUX2!M:M,B57,CPUAUX2!O:O)</f>
        <v>2.3104436550000003</v>
      </c>
      <c r="O58" s="23">
        <f>F58*N58</f>
        <v>1.4786839392E-4</v>
      </c>
      <c r="Q58" s="23">
        <f ca="1">SUMIF(CPUAUX2!M:M,B57,CPUAUX2!R:R)</f>
        <v>0.92417746200000006</v>
      </c>
      <c r="R58" s="23">
        <f ca="1">F58*Q58</f>
        <v>5.9147357568000004E-5</v>
      </c>
    </row>
    <row r="59" spans="1:18" x14ac:dyDescent="0.3">
      <c r="A59" s="68" t="str">
        <f>"TOTAL SEM BDI - "&amp;B57</f>
        <v>TOTAL SEM BDI - 89221</v>
      </c>
      <c r="B59" s="69"/>
      <c r="C59" s="69"/>
      <c r="D59" s="69"/>
      <c r="E59" s="69"/>
      <c r="F59" s="69"/>
      <c r="G59" s="69"/>
      <c r="H59" s="70"/>
      <c r="I59" s="71">
        <f>SUM(I57:I58)</f>
        <v>1.67</v>
      </c>
      <c r="J59" s="72"/>
    </row>
    <row r="61" spans="1:18" x14ac:dyDescent="0.3">
      <c r="A61" s="4" t="s">
        <v>1018</v>
      </c>
      <c r="B61" s="4" t="s">
        <v>138</v>
      </c>
      <c r="C61" s="4" t="s">
        <v>139</v>
      </c>
      <c r="D61" s="4" t="s">
        <v>21</v>
      </c>
      <c r="E61" s="4" t="s">
        <v>140</v>
      </c>
      <c r="F61" s="4" t="s">
        <v>506</v>
      </c>
      <c r="G61" s="34" t="s">
        <v>1019</v>
      </c>
      <c r="H61" s="35"/>
      <c r="I61" s="34" t="s">
        <v>15</v>
      </c>
      <c r="J61" s="35"/>
    </row>
    <row r="62" spans="1:18" ht="60" customHeight="1" x14ac:dyDescent="0.3">
      <c r="A62" s="15" t="s">
        <v>1141</v>
      </c>
      <c r="B62" s="15">
        <v>89224</v>
      </c>
      <c r="C62" s="15" t="str">
        <f>VLOOKUP(B62,S!$A:$G,2,FALSE)</f>
        <v>SINAPI</v>
      </c>
      <c r="D62" s="22" t="str">
        <f>VLOOKUP(B62,S!$A:$G,3,FALSE)</f>
        <v>BETONEIRA CAPACIDADE NOMINAL DE 600 L, CAPACIDADE DE MISTURA 360 L, MOTOR ELÉTRICO TRIFÁSICO POTÊNCIA DE 4 CV, SEM CARREGADOR - MATERIAIS NA OPERAÇÃO. AF_05/2023</v>
      </c>
      <c r="E62" s="15" t="str">
        <f>VLOOKUP(B62,S!$A:$G,4,FALSE)</f>
        <v>H</v>
      </c>
      <c r="F62" s="15"/>
      <c r="G62" s="73">
        <f>I64</f>
        <v>2.75</v>
      </c>
      <c r="H62" s="74"/>
      <c r="I62" s="73"/>
      <c r="J62" s="74"/>
      <c r="K62" s="16">
        <f>VLOOKUP(B62,S!A:G,5,FALSE)</f>
        <v>2.75</v>
      </c>
      <c r="L62" s="15" t="str">
        <f>IF(K62=G62,"OK, CONFORME TABELA",IF(G62&gt;K62,"ACIMA DA TABELA: ","ABAIXO DA TABELA: ")&amp;TRUNC((G62*100)/K62,2)&amp;" %")</f>
        <v>OK, CONFORME TABELA</v>
      </c>
    </row>
    <row r="63" spans="1:18" ht="30" customHeight="1" x14ac:dyDescent="0.3">
      <c r="A63" s="23" t="s">
        <v>1025</v>
      </c>
      <c r="B63" s="23">
        <v>2705</v>
      </c>
      <c r="C63" s="23" t="str">
        <f>VLOOKUP(B63,IF(A63="COMPOSICAO",S!$A:$E,I!$A:$E),2,FALSE)</f>
        <v>SINAPI</v>
      </c>
      <c r="D63" s="24" t="str">
        <f>VLOOKUP(B63,IF(A63="COMPOSICAO",S!$A:$E,I!$A:$E),3,FALSE)</f>
        <v>ENERGIA ELETRICA ATE 2000 KWH INDUSTRIAL, SEM DEMANDA</v>
      </c>
      <c r="E63" s="23" t="str">
        <f>VLOOKUP(B63,IF(A63="COMPOSICAO",S!$A:$E,I!$A:$E),4,FALSE)</f>
        <v>KWH</v>
      </c>
      <c r="F63" s="23">
        <v>2.5</v>
      </c>
      <c r="G63" s="71">
        <f>IF(A63="COMPOSICAO",VLOOKUP("TOTAL SEM BDI - "&amp;B63,CPUAUX4!$A:$J,9,FALSE),VLOOKUP(B63,I!$A:$E,5,FALSE))</f>
        <v>1.1000000000000001</v>
      </c>
      <c r="H63" s="72"/>
      <c r="I63" s="71">
        <f>TRUNC(F63*G63,2)</f>
        <v>2.75</v>
      </c>
      <c r="J63" s="72"/>
      <c r="M63" s="23">
        <f>B63</f>
        <v>2705</v>
      </c>
      <c r="N63" s="23">
        <f>SUMIF(CPUAUX2!M:M,B62,CPUAUX2!O:O)</f>
        <v>1.1377092630000001</v>
      </c>
      <c r="O63" s="23">
        <f>F63*N63</f>
        <v>2.8442731575</v>
      </c>
      <c r="Q63" s="23">
        <f ca="1">SUMIF(CPUAUX2!M:M,B62,CPUAUX2!R:R)</f>
        <v>0.45508370520000002</v>
      </c>
      <c r="R63" s="23">
        <f ca="1">F63*Q63</f>
        <v>1.1377092630000001</v>
      </c>
    </row>
    <row r="64" spans="1:18" x14ac:dyDescent="0.3">
      <c r="A64" s="68" t="str">
        <f>"TOTAL SEM BDI - "&amp;B62</f>
        <v>TOTAL SEM BDI - 89224</v>
      </c>
      <c r="B64" s="69"/>
      <c r="C64" s="69"/>
      <c r="D64" s="69"/>
      <c r="E64" s="69"/>
      <c r="F64" s="69"/>
      <c r="G64" s="69"/>
      <c r="H64" s="70"/>
      <c r="I64" s="71">
        <f>SUM(I62:I63)</f>
        <v>2.75</v>
      </c>
      <c r="J64" s="72"/>
    </row>
    <row r="66" spans="1:18" x14ac:dyDescent="0.3">
      <c r="A66" s="4" t="s">
        <v>1018</v>
      </c>
      <c r="B66" s="4" t="s">
        <v>138</v>
      </c>
      <c r="C66" s="4" t="s">
        <v>139</v>
      </c>
      <c r="D66" s="4" t="s">
        <v>21</v>
      </c>
      <c r="E66" s="4" t="s">
        <v>140</v>
      </c>
      <c r="F66" s="4" t="s">
        <v>506</v>
      </c>
      <c r="G66" s="34" t="s">
        <v>1019</v>
      </c>
      <c r="H66" s="35"/>
      <c r="I66" s="34" t="s">
        <v>15</v>
      </c>
      <c r="J66" s="35"/>
    </row>
    <row r="67" spans="1:18" ht="60" customHeight="1" x14ac:dyDescent="0.3">
      <c r="A67" s="15" t="s">
        <v>1141</v>
      </c>
      <c r="B67" s="15">
        <v>89223</v>
      </c>
      <c r="C67" s="15" t="str">
        <f>VLOOKUP(B67,S!$A:$G,2,FALSE)</f>
        <v>SINAPI</v>
      </c>
      <c r="D67" s="22" t="str">
        <f>VLOOKUP(B67,S!$A:$G,3,FALSE)</f>
        <v>BETONEIRA CAPACIDADE NOMINAL DE 600 L, CAPACIDADE DE MISTURA 360 L, MOTOR ELÉTRICO TRIFÁSICO POTÊNCIA DE 4 CV, SEM CARREGADOR - MANUTENÇÃO. AF_05/2023</v>
      </c>
      <c r="E67" s="15" t="str">
        <f>VLOOKUP(B67,S!$A:$G,4,FALSE)</f>
        <v>H</v>
      </c>
      <c r="F67" s="15"/>
      <c r="G67" s="73">
        <f>I69</f>
        <v>1.83</v>
      </c>
      <c r="H67" s="74"/>
      <c r="I67" s="73"/>
      <c r="J67" s="74"/>
      <c r="K67" s="16">
        <f>VLOOKUP(B67,S!A:G,5,FALSE)</f>
        <v>1.83</v>
      </c>
      <c r="L67" s="15" t="str">
        <f>IF(K67=G67,"OK, CONFORME TABELA",IF(G67&gt;K67,"ACIMA DA TABELA: ","ABAIXO DA TABELA: ")&amp;TRUNC((G67*100)/K67,2)&amp;" %")</f>
        <v>OK, CONFORME TABELA</v>
      </c>
    </row>
    <row r="68" spans="1:18" ht="45" customHeight="1" x14ac:dyDescent="0.3">
      <c r="A68" s="23" t="s">
        <v>1025</v>
      </c>
      <c r="B68" s="23">
        <v>36397</v>
      </c>
      <c r="C68" s="23" t="str">
        <f>VLOOKUP(B68,IF(A68="COMPOSICAO",S!$A:$E,I!$A:$E),2,FALSE)</f>
        <v>SINAPI</v>
      </c>
      <c r="D68" s="24" t="str">
        <f>VLOOKUP(B68,IF(A68="COMPOSICAO",S!$A:$E,I!$A:$E),3,FALSE)</f>
        <v>BETONEIRA, CAPACIDADE NOMINAL 600 L, CAPACIDADE DE MISTURA 360L, MOTOR ELETRICO TRIFASICO 220/380V, POTENCIA 4CV, EXCLUSO CARREGADOR</v>
      </c>
      <c r="E68" s="23" t="str">
        <f>VLOOKUP(B68,IF(A68="COMPOSICAO",S!$A:$E,I!$A:$E),4,FALSE)</f>
        <v>UN</v>
      </c>
      <c r="F68" s="23">
        <v>6.9999999999999994E-5</v>
      </c>
      <c r="G68" s="71">
        <f>IF(A68="COMPOSICAO",VLOOKUP("TOTAL SEM BDI - "&amp;B68,CPUAUX4!$A:$J,9,FALSE),VLOOKUP(B68,I!$A:$E,5,FALSE))</f>
        <v>26195.06</v>
      </c>
      <c r="H68" s="72"/>
      <c r="I68" s="71">
        <f>TRUNC(F68*G68,2)</f>
        <v>1.83</v>
      </c>
      <c r="J68" s="72"/>
      <c r="M68" s="23">
        <f>B68</f>
        <v>36397</v>
      </c>
      <c r="N68" s="23">
        <f>SUMIF(CPUAUX2!M:M,B67,CPUAUX2!O:O)</f>
        <v>1.1377092630000001</v>
      </c>
      <c r="O68" s="23">
        <f>F68*N68</f>
        <v>7.9639648409999996E-5</v>
      </c>
      <c r="Q68" s="23">
        <f ca="1">SUMIF(CPUAUX2!M:M,B67,CPUAUX2!R:R)</f>
        <v>0.45508370520000002</v>
      </c>
      <c r="R68" s="23">
        <f ca="1">F68*Q68</f>
        <v>3.1855859363999997E-5</v>
      </c>
    </row>
    <row r="69" spans="1:18" x14ac:dyDescent="0.3">
      <c r="A69" s="68" t="str">
        <f>"TOTAL SEM BDI - "&amp;B67</f>
        <v>TOTAL SEM BDI - 89223</v>
      </c>
      <c r="B69" s="69"/>
      <c r="C69" s="69"/>
      <c r="D69" s="69"/>
      <c r="E69" s="69"/>
      <c r="F69" s="69"/>
      <c r="G69" s="69"/>
      <c r="H69" s="70"/>
      <c r="I69" s="71">
        <f>SUM(I67:I68)</f>
        <v>1.83</v>
      </c>
      <c r="J69" s="72"/>
    </row>
    <row r="71" spans="1:18" x14ac:dyDescent="0.3">
      <c r="A71" s="4" t="s">
        <v>1018</v>
      </c>
      <c r="B71" s="4" t="s">
        <v>138</v>
      </c>
      <c r="C71" s="4" t="s">
        <v>139</v>
      </c>
      <c r="D71" s="4" t="s">
        <v>21</v>
      </c>
      <c r="E71" s="4" t="s">
        <v>140</v>
      </c>
      <c r="F71" s="4" t="s">
        <v>506</v>
      </c>
      <c r="G71" s="34" t="s">
        <v>1019</v>
      </c>
      <c r="H71" s="35"/>
      <c r="I71" s="34" t="s">
        <v>15</v>
      </c>
      <c r="J71" s="35"/>
    </row>
    <row r="72" spans="1:18" ht="45" customHeight="1" x14ac:dyDescent="0.3">
      <c r="A72" s="15" t="s">
        <v>1141</v>
      </c>
      <c r="B72" s="15">
        <v>91689</v>
      </c>
      <c r="C72" s="15" t="str">
        <f>VLOOKUP(B72,S!$A:$G,2,FALSE)</f>
        <v>SINAPI</v>
      </c>
      <c r="D72" s="22" t="str">
        <f>VLOOKUP(B72,S!$A:$G,3,FALSE)</f>
        <v>SERRA CIRCULAR DE BANCADA COM MOTOR ELÉTRICO POTÊNCIA DE 5HP, COM COIFA PARA DISCO 10" - JUROS. AF_08/2015</v>
      </c>
      <c r="E72" s="15" t="str">
        <f>VLOOKUP(B72,S!$A:$G,4,FALSE)</f>
        <v>H</v>
      </c>
      <c r="F72" s="15"/>
      <c r="G72" s="73">
        <f>I74</f>
        <v>0.02</v>
      </c>
      <c r="H72" s="74"/>
      <c r="I72" s="73"/>
      <c r="J72" s="74"/>
      <c r="K72" s="16">
        <f>VLOOKUP(B72,S!A:G,5,FALSE)</f>
        <v>0.02</v>
      </c>
      <c r="L72" s="15" t="str">
        <f>IF(K72=G72,"OK, CONFORME TABELA",IF(G72&gt;K72,"ACIMA DA TABELA: ","ABAIXO DA TABELA: ")&amp;TRUNC((G72*100)/K72,2)&amp;" %")</f>
        <v>OK, CONFORME TABELA</v>
      </c>
    </row>
    <row r="73" spans="1:18" ht="45" customHeight="1" x14ac:dyDescent="0.3">
      <c r="A73" s="23" t="s">
        <v>1025</v>
      </c>
      <c r="B73" s="23">
        <v>14618</v>
      </c>
      <c r="C73" s="23" t="str">
        <f>VLOOKUP(B73,IF(A73="COMPOSICAO",S!$A:$E,I!$A:$E),2,FALSE)</f>
        <v>SINAPI</v>
      </c>
      <c r="D73" s="24" t="str">
        <f>VLOOKUP(B73,IF(A73="COMPOSICAO",S!$A:$E,I!$A:$E),3,FALSE)</f>
        <v>SERRA CIRCULAR DE BANCADA COM MOTOR ELETRICO, POTENCIA DE *1600* W, PARA DISCO DE DIAMETRO DE 10" (250 MM)</v>
      </c>
      <c r="E73" s="23" t="str">
        <f>VLOOKUP(B73,IF(A73="COMPOSICAO",S!$A:$E,I!$A:$E),4,FALSE)</f>
        <v>UN</v>
      </c>
      <c r="F73" s="23">
        <v>1.4800000000000001E-5</v>
      </c>
      <c r="G73" s="71">
        <f>IF(A73="COMPOSICAO",VLOOKUP("TOTAL SEM BDI - "&amp;B73,CPUAUX4!$A:$J,9,FALSE),VLOOKUP(B73,I!$A:$E,5,FALSE))</f>
        <v>1705.61</v>
      </c>
      <c r="H73" s="72"/>
      <c r="I73" s="71">
        <f>TRUNC(F73*G73,2)</f>
        <v>0.02</v>
      </c>
      <c r="J73" s="72"/>
      <c r="M73" s="23">
        <f>B73</f>
        <v>14618</v>
      </c>
      <c r="N73" s="23">
        <f>SUMIF(CPUAUX2!M:M,B72,CPUAUX2!O:O)</f>
        <v>4.3343999999999996</v>
      </c>
      <c r="O73" s="23">
        <f>F73*N73</f>
        <v>6.4149119999999993E-5</v>
      </c>
      <c r="Q73" s="23">
        <f ca="1">SUMIF(CPUAUX2!M:M,B72,CPUAUX2!R:R)</f>
        <v>1.7337599999999997</v>
      </c>
      <c r="R73" s="23">
        <f ca="1">F73*Q73</f>
        <v>2.5659647999999999E-5</v>
      </c>
    </row>
    <row r="74" spans="1:18" x14ac:dyDescent="0.3">
      <c r="A74" s="68" t="str">
        <f>"TOTAL SEM BDI - "&amp;B72</f>
        <v>TOTAL SEM BDI - 91689</v>
      </c>
      <c r="B74" s="69"/>
      <c r="C74" s="69"/>
      <c r="D74" s="69"/>
      <c r="E74" s="69"/>
      <c r="F74" s="69"/>
      <c r="G74" s="69"/>
      <c r="H74" s="70"/>
      <c r="I74" s="71">
        <f>SUM(I72:I73)</f>
        <v>0.02</v>
      </c>
      <c r="J74" s="72"/>
    </row>
    <row r="76" spans="1:18" x14ac:dyDescent="0.3">
      <c r="A76" s="4" t="s">
        <v>1018</v>
      </c>
      <c r="B76" s="4" t="s">
        <v>138</v>
      </c>
      <c r="C76" s="4" t="s">
        <v>139</v>
      </c>
      <c r="D76" s="4" t="s">
        <v>21</v>
      </c>
      <c r="E76" s="4" t="s">
        <v>140</v>
      </c>
      <c r="F76" s="4" t="s">
        <v>506</v>
      </c>
      <c r="G76" s="34" t="s">
        <v>1019</v>
      </c>
      <c r="H76" s="35"/>
      <c r="I76" s="34" t="s">
        <v>15</v>
      </c>
      <c r="J76" s="35"/>
    </row>
    <row r="77" spans="1:18" ht="45" customHeight="1" x14ac:dyDescent="0.3">
      <c r="A77" s="15" t="s">
        <v>1141</v>
      </c>
      <c r="B77" s="15">
        <v>91688</v>
      </c>
      <c r="C77" s="15" t="str">
        <f>VLOOKUP(B77,S!$A:$G,2,FALSE)</f>
        <v>SINAPI</v>
      </c>
      <c r="D77" s="22" t="str">
        <f>VLOOKUP(B77,S!$A:$G,3,FALSE)</f>
        <v>SERRA CIRCULAR DE BANCADA COM MOTOR ELÉTRICO POTÊNCIA DE 5HP, COM COIFA PARA DISCO 10" - DEPRECIAÇÃO. AF_08/2015</v>
      </c>
      <c r="E77" s="15" t="str">
        <f>VLOOKUP(B77,S!$A:$G,4,FALSE)</f>
        <v>H</v>
      </c>
      <c r="F77" s="15"/>
      <c r="G77" s="73">
        <f>I79</f>
        <v>0.12</v>
      </c>
      <c r="H77" s="74"/>
      <c r="I77" s="73"/>
      <c r="J77" s="74"/>
      <c r="K77" s="16">
        <f>VLOOKUP(B77,S!A:G,5,FALSE)</f>
        <v>0.12</v>
      </c>
      <c r="L77" s="15" t="str">
        <f>IF(K77=G77,"OK, CONFORME TABELA",IF(G77&gt;K77,"ACIMA DA TABELA: ","ABAIXO DA TABELA: ")&amp;TRUNC((G77*100)/K77,2)&amp;" %")</f>
        <v>OK, CONFORME TABELA</v>
      </c>
    </row>
    <row r="78" spans="1:18" ht="45" customHeight="1" x14ac:dyDescent="0.3">
      <c r="A78" s="23" t="s">
        <v>1025</v>
      </c>
      <c r="B78" s="23">
        <v>14618</v>
      </c>
      <c r="C78" s="23" t="str">
        <f>VLOOKUP(B78,IF(A78="COMPOSICAO",S!$A:$E,I!$A:$E),2,FALSE)</f>
        <v>SINAPI</v>
      </c>
      <c r="D78" s="24" t="str">
        <f>VLOOKUP(B78,IF(A78="COMPOSICAO",S!$A:$E,I!$A:$E),3,FALSE)</f>
        <v>SERRA CIRCULAR DE BANCADA COM MOTOR ELETRICO, POTENCIA DE *1600* W, PARA DISCO DE DIAMETRO DE 10" (250 MM)</v>
      </c>
      <c r="E78" s="23" t="str">
        <f>VLOOKUP(B78,IF(A78="COMPOSICAO",S!$A:$E,I!$A:$E),4,FALSE)</f>
        <v>UN</v>
      </c>
      <c r="F78" s="23">
        <v>7.2000000000000002E-5</v>
      </c>
      <c r="G78" s="71">
        <f>IF(A78="COMPOSICAO",VLOOKUP("TOTAL SEM BDI - "&amp;B78,CPUAUX4!$A:$J,9,FALSE),VLOOKUP(B78,I!$A:$E,5,FALSE))</f>
        <v>1705.61</v>
      </c>
      <c r="H78" s="72"/>
      <c r="I78" s="71">
        <f>TRUNC(F78*G78,2)</f>
        <v>0.12</v>
      </c>
      <c r="J78" s="72"/>
      <c r="M78" s="23">
        <f>B78</f>
        <v>14618</v>
      </c>
      <c r="N78" s="23">
        <f>SUMIF(CPUAUX2!M:M,B77,CPUAUX2!O:O)</f>
        <v>4.3343999999999996</v>
      </c>
      <c r="O78" s="23">
        <f>F78*N78</f>
        <v>3.120768E-4</v>
      </c>
      <c r="Q78" s="23">
        <f ca="1">SUMIF(CPUAUX2!M:M,B77,CPUAUX2!R:R)</f>
        <v>1.7337599999999997</v>
      </c>
      <c r="R78" s="23">
        <f ca="1">F78*Q78</f>
        <v>1.2483071999999998E-4</v>
      </c>
    </row>
    <row r="79" spans="1:18" x14ac:dyDescent="0.3">
      <c r="A79" s="68" t="str">
        <f>"TOTAL SEM BDI - "&amp;B77</f>
        <v>TOTAL SEM BDI - 91688</v>
      </c>
      <c r="B79" s="69"/>
      <c r="C79" s="69"/>
      <c r="D79" s="69"/>
      <c r="E79" s="69"/>
      <c r="F79" s="69"/>
      <c r="G79" s="69"/>
      <c r="H79" s="70"/>
      <c r="I79" s="71">
        <f>SUM(I77:I78)</f>
        <v>0.12</v>
      </c>
      <c r="J79" s="72"/>
    </row>
    <row r="81" spans="1:18" x14ac:dyDescent="0.3">
      <c r="A81" s="4" t="s">
        <v>1018</v>
      </c>
      <c r="B81" s="4" t="s">
        <v>138</v>
      </c>
      <c r="C81" s="4" t="s">
        <v>139</v>
      </c>
      <c r="D81" s="4" t="s">
        <v>21</v>
      </c>
      <c r="E81" s="4" t="s">
        <v>140</v>
      </c>
      <c r="F81" s="4" t="s">
        <v>506</v>
      </c>
      <c r="G81" s="34" t="s">
        <v>1019</v>
      </c>
      <c r="H81" s="35"/>
      <c r="I81" s="34" t="s">
        <v>15</v>
      </c>
      <c r="J81" s="35"/>
    </row>
    <row r="82" spans="1:18" ht="30" customHeight="1" x14ac:dyDescent="0.3">
      <c r="A82" s="15" t="s">
        <v>1093</v>
      </c>
      <c r="B82" s="15">
        <v>88297</v>
      </c>
      <c r="C82" s="15" t="str">
        <f>VLOOKUP(B82,S!$A:$G,2,FALSE)</f>
        <v>SINAPI</v>
      </c>
      <c r="D82" s="22" t="str">
        <f>VLOOKUP(B82,S!$A:$G,3,FALSE)</f>
        <v>OPERADOR DE MÁQUINAS E EQUIPAMENTOS COM ENCARGOS COMPLEMENTARES</v>
      </c>
      <c r="E82" s="15" t="str">
        <f>VLOOKUP(B82,S!$A:$G,4,FALSE)</f>
        <v>H</v>
      </c>
      <c r="F82" s="15"/>
      <c r="G82" s="73">
        <f>I91</f>
        <v>27.16</v>
      </c>
      <c r="H82" s="74"/>
      <c r="I82" s="73"/>
      <c r="J82" s="74"/>
      <c r="K82" s="16">
        <f>VLOOKUP(B82,S!A:G,5,FALSE)</f>
        <v>27.16</v>
      </c>
      <c r="L82" s="15" t="str">
        <f>IF(K82=G82,"OK, CONFORME TABELA",IF(G82&gt;K82,"ACIMA DA TABELA: ","ABAIXO DA TABELA: ")&amp;TRUNC((G82*100)/K82,2)&amp;" %")</f>
        <v>OK, CONFORME TABELA</v>
      </c>
    </row>
    <row r="83" spans="1:18" ht="30" customHeight="1" x14ac:dyDescent="0.3">
      <c r="A83" s="23" t="s">
        <v>1025</v>
      </c>
      <c r="B83" s="23">
        <v>43488</v>
      </c>
      <c r="C83" s="23" t="str">
        <f>VLOOKUP(B83,IF(A83="COMPOSICAO",S!$A:$E,I!$A:$E),2,FALSE)</f>
        <v>SINAPI</v>
      </c>
      <c r="D83" s="24" t="str">
        <f>VLOOKUP(B83,IF(A83="COMPOSICAO",S!$A:$E,I!$A:$E),3,FALSE)</f>
        <v>EPI - FAMILIA OPERADOR ESCAVADEIRA - HORISTA (ENCARGOS COMPLEMENTARES - COLETADO CAIXA)</v>
      </c>
      <c r="E83" s="23" t="str">
        <f>VLOOKUP(B83,IF(A83="COMPOSICAO",S!$A:$E,I!$A:$E),4,FALSE)</f>
        <v>H</v>
      </c>
      <c r="F83" s="23">
        <v>1</v>
      </c>
      <c r="G83" s="71">
        <f>IF(A83="COMPOSICAO",VLOOKUP("TOTAL SEM BDI - "&amp;B83,CPUAUX4!$A:$J,9,FALSE),VLOOKUP(B83,I!$A:$E,5,FALSE))</f>
        <v>0.89</v>
      </c>
      <c r="H83" s="72"/>
      <c r="I83" s="71">
        <f t="shared" ref="I83:I90" si="0">TRUNC(F83*G83,2)</f>
        <v>0.89</v>
      </c>
      <c r="J83" s="72"/>
      <c r="M83" s="23">
        <f t="shared" ref="M83:M90" si="1">B83</f>
        <v>43488</v>
      </c>
      <c r="N83" s="23">
        <f>SUMIF(CPUAUX2!M:M,B82,CPUAUX2!O:O)</f>
        <v>4.3343999999999996</v>
      </c>
      <c r="O83" s="23">
        <f t="shared" ref="O83:O90" si="2">F83*N83</f>
        <v>4.3343999999999996</v>
      </c>
      <c r="Q83" s="23">
        <f ca="1">SUMIF(CPUAUX2!M:M,B82,CPUAUX2!R:R)</f>
        <v>1.7337599999999997</v>
      </c>
      <c r="R83" s="23">
        <f t="shared" ref="R83:R90" ca="1" si="3">F83*Q83</f>
        <v>1.7337599999999997</v>
      </c>
    </row>
    <row r="84" spans="1:18" ht="45" customHeight="1" x14ac:dyDescent="0.3">
      <c r="A84" s="23" t="s">
        <v>1025</v>
      </c>
      <c r="B84" s="23">
        <v>43464</v>
      </c>
      <c r="C84" s="23" t="str">
        <f>VLOOKUP(B84,IF(A84="COMPOSICAO",S!$A:$E,I!$A:$E),2,FALSE)</f>
        <v>SINAPI</v>
      </c>
      <c r="D84" s="24" t="str">
        <f>VLOOKUP(B84,IF(A84="COMPOSICAO",S!$A:$E,I!$A:$E),3,FALSE)</f>
        <v>FERRAMENTAS - FAMILIA OPERADOR ESCAVADEIRA - HORISTA (ENCARGOS COMPLEMENTARES - COLETADO CAIXA)</v>
      </c>
      <c r="E84" s="23" t="str">
        <f>VLOOKUP(B84,IF(A84="COMPOSICAO",S!$A:$E,I!$A:$E),4,FALSE)</f>
        <v>H</v>
      </c>
      <c r="F84" s="23">
        <v>1</v>
      </c>
      <c r="G84" s="71">
        <f>IF(A84="COMPOSICAO",VLOOKUP("TOTAL SEM BDI - "&amp;B84,CPUAUX4!$A:$J,9,FALSE),VLOOKUP(B84,I!$A:$E,5,FALSE))</f>
        <v>0.01</v>
      </c>
      <c r="H84" s="72"/>
      <c r="I84" s="71">
        <f t="shared" si="0"/>
        <v>0.01</v>
      </c>
      <c r="J84" s="72"/>
      <c r="M84" s="23">
        <f t="shared" si="1"/>
        <v>43464</v>
      </c>
      <c r="N84" s="23">
        <f>SUMIF(CPUAUX2!M:M,B82,CPUAUX2!O:O)</f>
        <v>4.3343999999999996</v>
      </c>
      <c r="O84" s="23">
        <f t="shared" si="2"/>
        <v>4.3343999999999996</v>
      </c>
      <c r="Q84" s="23">
        <f ca="1">SUMIF(CPUAUX2!M:M,B82,CPUAUX2!R:R)</f>
        <v>1.7337599999999997</v>
      </c>
      <c r="R84" s="23">
        <f t="shared" ca="1" si="3"/>
        <v>1.7337599999999997</v>
      </c>
    </row>
    <row r="85" spans="1:18" ht="30" customHeight="1" x14ac:dyDescent="0.3">
      <c r="A85" s="23" t="s">
        <v>1025</v>
      </c>
      <c r="B85" s="23">
        <v>37373</v>
      </c>
      <c r="C85" s="23" t="str">
        <f>VLOOKUP(B85,IF(A85="COMPOSICAO",S!$A:$E,I!$A:$E),2,FALSE)</f>
        <v>SINAPI</v>
      </c>
      <c r="D85" s="24" t="str">
        <f>VLOOKUP(B85,IF(A85="COMPOSICAO",S!$A:$E,I!$A:$E),3,FALSE)</f>
        <v>SEGURO - HORISTA (COLETADO CAIXA - ENCARGOS COMPLEMENTARES)</v>
      </c>
      <c r="E85" s="23" t="str">
        <f>VLOOKUP(B85,IF(A85="COMPOSICAO",S!$A:$E,I!$A:$E),4,FALSE)</f>
        <v>H</v>
      </c>
      <c r="F85" s="23">
        <v>1</v>
      </c>
      <c r="G85" s="71">
        <f>IF(A85="COMPOSICAO",VLOOKUP("TOTAL SEM BDI - "&amp;B85,CPUAUX4!$A:$J,9,FALSE),VLOOKUP(B85,I!$A:$E,5,FALSE))</f>
        <v>0.08</v>
      </c>
      <c r="H85" s="72"/>
      <c r="I85" s="71">
        <f t="shared" si="0"/>
        <v>0.08</v>
      </c>
      <c r="J85" s="72"/>
      <c r="M85" s="23">
        <f t="shared" si="1"/>
        <v>37373</v>
      </c>
      <c r="N85" s="23">
        <f>SUMIF(CPUAUX2!M:M,B82,CPUAUX2!O:O)</f>
        <v>4.3343999999999996</v>
      </c>
      <c r="O85" s="23">
        <f t="shared" si="2"/>
        <v>4.3343999999999996</v>
      </c>
      <c r="Q85" s="23">
        <f ca="1">SUMIF(CPUAUX2!M:M,B82,CPUAUX2!R:R)</f>
        <v>1.7337599999999997</v>
      </c>
      <c r="R85" s="23">
        <f t="shared" ca="1" si="3"/>
        <v>1.7337599999999997</v>
      </c>
    </row>
    <row r="86" spans="1:18" ht="30" customHeight="1" x14ac:dyDescent="0.3">
      <c r="A86" s="23" t="s">
        <v>1025</v>
      </c>
      <c r="B86" s="23">
        <v>37372</v>
      </c>
      <c r="C86" s="23" t="str">
        <f>VLOOKUP(B86,IF(A86="COMPOSICAO",S!$A:$E,I!$A:$E),2,FALSE)</f>
        <v>SINAPI</v>
      </c>
      <c r="D86" s="24" t="str">
        <f>VLOOKUP(B86,IF(A86="COMPOSICAO",S!$A:$E,I!$A:$E),3,FALSE)</f>
        <v>EXAMES - HORISTA (COLETADO CAIXA - ENCARGOS COMPLEMENTARES)</v>
      </c>
      <c r="E86" s="23" t="str">
        <f>VLOOKUP(B86,IF(A86="COMPOSICAO",S!$A:$E,I!$A:$E),4,FALSE)</f>
        <v>H</v>
      </c>
      <c r="F86" s="23">
        <v>1</v>
      </c>
      <c r="G86" s="71">
        <f>IF(A86="COMPOSICAO",VLOOKUP("TOTAL SEM BDI - "&amp;B86,CPUAUX4!$A:$J,9,FALSE),VLOOKUP(B86,I!$A:$E,5,FALSE))</f>
        <v>1.43</v>
      </c>
      <c r="H86" s="72"/>
      <c r="I86" s="71">
        <f t="shared" si="0"/>
        <v>1.43</v>
      </c>
      <c r="J86" s="72"/>
      <c r="M86" s="23">
        <f t="shared" si="1"/>
        <v>37372</v>
      </c>
      <c r="N86" s="23">
        <f>SUMIF(CPUAUX2!M:M,B82,CPUAUX2!O:O)</f>
        <v>4.3343999999999996</v>
      </c>
      <c r="O86" s="23">
        <f t="shared" si="2"/>
        <v>4.3343999999999996</v>
      </c>
      <c r="Q86" s="23">
        <f ca="1">SUMIF(CPUAUX2!M:M,B82,CPUAUX2!R:R)</f>
        <v>1.7337599999999997</v>
      </c>
      <c r="R86" s="23">
        <f t="shared" ca="1" si="3"/>
        <v>1.7337599999999997</v>
      </c>
    </row>
    <row r="87" spans="1:18" ht="30" customHeight="1" x14ac:dyDescent="0.3">
      <c r="A87" s="23" t="s">
        <v>1025</v>
      </c>
      <c r="B87" s="23">
        <v>37371</v>
      </c>
      <c r="C87" s="23" t="str">
        <f>VLOOKUP(B87,IF(A87="COMPOSICAO",S!$A:$E,I!$A:$E),2,FALSE)</f>
        <v>SINAPI</v>
      </c>
      <c r="D87" s="24" t="str">
        <f>VLOOKUP(B87,IF(A87="COMPOSICAO",S!$A:$E,I!$A:$E),3,FALSE)</f>
        <v>TRANSPORTE - HORISTA (COLETADO CAIXA - ENCARGOS COMPLEMENTARES)</v>
      </c>
      <c r="E87" s="23" t="str">
        <f>VLOOKUP(B87,IF(A87="COMPOSICAO",S!$A:$E,I!$A:$E),4,FALSE)</f>
        <v>H</v>
      </c>
      <c r="F87" s="23">
        <v>1</v>
      </c>
      <c r="G87" s="71">
        <f>IF(A87="COMPOSICAO",VLOOKUP("TOTAL SEM BDI - "&amp;B87,CPUAUX4!$A:$J,9,FALSE),VLOOKUP(B87,I!$A:$E,5,FALSE))</f>
        <v>0.56999999999999995</v>
      </c>
      <c r="H87" s="72"/>
      <c r="I87" s="71">
        <f t="shared" si="0"/>
        <v>0.56999999999999995</v>
      </c>
      <c r="J87" s="72"/>
      <c r="M87" s="23">
        <f t="shared" si="1"/>
        <v>37371</v>
      </c>
      <c r="N87" s="23">
        <f>SUMIF(CPUAUX2!M:M,B82,CPUAUX2!O:O)</f>
        <v>4.3343999999999996</v>
      </c>
      <c r="O87" s="23">
        <f t="shared" si="2"/>
        <v>4.3343999999999996</v>
      </c>
      <c r="Q87" s="23">
        <f ca="1">SUMIF(CPUAUX2!M:M,B82,CPUAUX2!R:R)</f>
        <v>1.7337599999999997</v>
      </c>
      <c r="R87" s="23">
        <f t="shared" ca="1" si="3"/>
        <v>1.7337599999999997</v>
      </c>
    </row>
    <row r="88" spans="1:18" ht="30" customHeight="1" x14ac:dyDescent="0.3">
      <c r="A88" s="23" t="s">
        <v>1025</v>
      </c>
      <c r="B88" s="23">
        <v>37370</v>
      </c>
      <c r="C88" s="23" t="str">
        <f>VLOOKUP(B88,IF(A88="COMPOSICAO",S!$A:$E,I!$A:$E),2,FALSE)</f>
        <v>SINAPI</v>
      </c>
      <c r="D88" s="24" t="str">
        <f>VLOOKUP(B88,IF(A88="COMPOSICAO",S!$A:$E,I!$A:$E),3,FALSE)</f>
        <v>ALIMENTACAO - HORISTA (COLETADO CAIXA - ENCARGOS COMPLEMENTARES)</v>
      </c>
      <c r="E88" s="23" t="str">
        <f>VLOOKUP(B88,IF(A88="COMPOSICAO",S!$A:$E,I!$A:$E),4,FALSE)</f>
        <v>H</v>
      </c>
      <c r="F88" s="23">
        <v>1</v>
      </c>
      <c r="G88" s="71">
        <f>IF(A88="COMPOSICAO",VLOOKUP("TOTAL SEM BDI - "&amp;B88,CPUAUX4!$A:$J,9,FALSE),VLOOKUP(B88,I!$A:$E,5,FALSE))</f>
        <v>2.46</v>
      </c>
      <c r="H88" s="72"/>
      <c r="I88" s="71">
        <f t="shared" si="0"/>
        <v>2.46</v>
      </c>
      <c r="J88" s="72"/>
      <c r="M88" s="23">
        <f t="shared" si="1"/>
        <v>37370</v>
      </c>
      <c r="N88" s="23">
        <f>SUMIF(CPUAUX2!M:M,B82,CPUAUX2!O:O)</f>
        <v>4.3343999999999996</v>
      </c>
      <c r="O88" s="23">
        <f t="shared" si="2"/>
        <v>4.3343999999999996</v>
      </c>
      <c r="Q88" s="23">
        <f ca="1">SUMIF(CPUAUX2!M:M,B82,CPUAUX2!R:R)</f>
        <v>1.7337599999999997</v>
      </c>
      <c r="R88" s="23">
        <f t="shared" ca="1" si="3"/>
        <v>1.7337599999999997</v>
      </c>
    </row>
    <row r="89" spans="1:18" ht="30" customHeight="1" x14ac:dyDescent="0.3">
      <c r="A89" s="23" t="s">
        <v>1025</v>
      </c>
      <c r="B89" s="23">
        <v>4230</v>
      </c>
      <c r="C89" s="23" t="str">
        <f>VLOOKUP(B89,IF(A89="COMPOSICAO",S!$A:$E,I!$A:$E),2,FALSE)</f>
        <v>SINAPI</v>
      </c>
      <c r="D89" s="24" t="str">
        <f>VLOOKUP(B89,IF(A89="COMPOSICAO",S!$A:$E,I!$A:$E),3,FALSE)</f>
        <v>OPERADOR DE MAQUINAS E TRATORES DIVERSOS - TERRAPLANAGEM (HORISTA)</v>
      </c>
      <c r="E89" s="23" t="str">
        <f>VLOOKUP(B89,IF(A89="COMPOSICAO",S!$A:$E,I!$A:$E),4,FALSE)</f>
        <v>H</v>
      </c>
      <c r="F89" s="23">
        <v>1</v>
      </c>
      <c r="G89" s="71">
        <f>IF(A89="COMPOSICAO",VLOOKUP("TOTAL SEM BDI - "&amp;B89,CPUAUX4!$A:$J,9,FALSE),VLOOKUP(B89,I!$A:$E,5,FALSE))</f>
        <v>21.48</v>
      </c>
      <c r="H89" s="72"/>
      <c r="I89" s="71">
        <f t="shared" si="0"/>
        <v>21.48</v>
      </c>
      <c r="J89" s="72"/>
      <c r="M89" s="23">
        <f t="shared" si="1"/>
        <v>4230</v>
      </c>
      <c r="N89" s="23">
        <f>SUMIF(CPUAUX2!M:M,B82,CPUAUX2!O:O)</f>
        <v>4.3343999999999996</v>
      </c>
      <c r="O89" s="23">
        <f t="shared" si="2"/>
        <v>4.3343999999999996</v>
      </c>
      <c r="Q89" s="23">
        <f ca="1">SUMIF(CPUAUX2!M:M,B82,CPUAUX2!R:R)</f>
        <v>1.7337599999999997</v>
      </c>
      <c r="R89" s="23">
        <f t="shared" ca="1" si="3"/>
        <v>1.7337599999999997</v>
      </c>
    </row>
    <row r="90" spans="1:18" ht="45" customHeight="1" x14ac:dyDescent="0.3">
      <c r="A90" s="23" t="s">
        <v>1022</v>
      </c>
      <c r="B90" s="23">
        <v>95360</v>
      </c>
      <c r="C90" s="23" t="str">
        <f>VLOOKUP(B90,IF(A90="COMPOSICAO",S!$A:$E,I!$A:$E),2,FALSE)</f>
        <v>SINAPI</v>
      </c>
      <c r="D90" s="24" t="str">
        <f>VLOOKUP(B90,IF(A90="COMPOSICAO",S!$A:$E,I!$A:$E),3,FALSE)</f>
        <v>CURSO DE CAPACITAÇÃO PARA OPERADOR DE MÁQUINAS E EQUIPAMENTOS (ENCARGOS COMPLEMENTARES) - HORISTA</v>
      </c>
      <c r="E90" s="23" t="str">
        <f>VLOOKUP(B90,IF(A90="COMPOSICAO",S!$A:$E,I!$A:$E),4,FALSE)</f>
        <v>H</v>
      </c>
      <c r="F90" s="23">
        <v>1</v>
      </c>
      <c r="G90" s="71">
        <f>IF(A90="COMPOSICAO",VLOOKUP("TOTAL SEM BDI - "&amp;B90,CPUAUX4!$A:$J,9,FALSE),VLOOKUP(B90,I!$A:$E,5,FALSE))</f>
        <v>0.24</v>
      </c>
      <c r="H90" s="72"/>
      <c r="I90" s="71">
        <f t="shared" si="0"/>
        <v>0.24</v>
      </c>
      <c r="J90" s="72"/>
      <c r="M90" s="23">
        <f t="shared" si="1"/>
        <v>95360</v>
      </c>
      <c r="N90" s="23">
        <f>SUMIF(CPUAUX2!M:M,B82,CPUAUX2!O:O)</f>
        <v>4.3343999999999996</v>
      </c>
      <c r="O90" s="23">
        <f t="shared" si="2"/>
        <v>4.3343999999999996</v>
      </c>
      <c r="Q90" s="23">
        <f ca="1">SUMIF(CPUAUX2!M:M,B82,CPUAUX2!R:R)</f>
        <v>1.7337599999999997</v>
      </c>
      <c r="R90" s="23">
        <f t="shared" ca="1" si="3"/>
        <v>1.7337599999999997</v>
      </c>
    </row>
    <row r="91" spans="1:18" x14ac:dyDescent="0.3">
      <c r="A91" s="68" t="str">
        <f>"TOTAL SEM BDI - "&amp;B82</f>
        <v>TOTAL SEM BDI - 88297</v>
      </c>
      <c r="B91" s="69"/>
      <c r="C91" s="69"/>
      <c r="D91" s="69"/>
      <c r="E91" s="69"/>
      <c r="F91" s="69"/>
      <c r="G91" s="69"/>
      <c r="H91" s="70"/>
      <c r="I91" s="71">
        <f>SUM(I82:I90)</f>
        <v>27.16</v>
      </c>
      <c r="J91" s="72"/>
    </row>
    <row r="93" spans="1:18" x14ac:dyDescent="0.3">
      <c r="A93" s="4" t="s">
        <v>1018</v>
      </c>
      <c r="B93" s="4" t="s">
        <v>138</v>
      </c>
      <c r="C93" s="4" t="s">
        <v>139</v>
      </c>
      <c r="D93" s="4" t="s">
        <v>21</v>
      </c>
      <c r="E93" s="4" t="s">
        <v>140</v>
      </c>
      <c r="F93" s="4" t="s">
        <v>506</v>
      </c>
      <c r="G93" s="34" t="s">
        <v>1019</v>
      </c>
      <c r="H93" s="35"/>
      <c r="I93" s="34" t="s">
        <v>15</v>
      </c>
      <c r="J93" s="35"/>
    </row>
    <row r="94" spans="1:18" ht="45" customHeight="1" x14ac:dyDescent="0.3">
      <c r="A94" s="15" t="s">
        <v>1141</v>
      </c>
      <c r="B94" s="15">
        <v>91691</v>
      </c>
      <c r="C94" s="15" t="str">
        <f>VLOOKUP(B94,S!$A:$G,2,FALSE)</f>
        <v>SINAPI</v>
      </c>
      <c r="D94" s="22" t="str">
        <f>VLOOKUP(B94,S!$A:$G,3,FALSE)</f>
        <v>SERRA CIRCULAR DE BANCADA COM MOTOR ELÉTRICO POTÊNCIA DE 5HP, COM COIFA PARA DISCO 10" - MATERIAIS NA OPERAÇÃO. AF_08/2015</v>
      </c>
      <c r="E94" s="15" t="str">
        <f>VLOOKUP(B94,S!$A:$G,4,FALSE)</f>
        <v>H</v>
      </c>
      <c r="F94" s="15"/>
      <c r="G94" s="73">
        <f>I96</f>
        <v>1.49</v>
      </c>
      <c r="H94" s="74"/>
      <c r="I94" s="73"/>
      <c r="J94" s="74"/>
      <c r="K94" s="16">
        <f>VLOOKUP(B94,S!A:G,5,FALSE)</f>
        <v>1.49</v>
      </c>
      <c r="L94" s="15" t="str">
        <f>IF(K94=G94,"OK, CONFORME TABELA",IF(G94&gt;K94,"ACIMA DA TABELA: ","ABAIXO DA TABELA: ")&amp;TRUNC((G94*100)/K94,2)&amp;" %")</f>
        <v>OK, CONFORME TABELA</v>
      </c>
    </row>
    <row r="95" spans="1:18" ht="30" customHeight="1" x14ac:dyDescent="0.3">
      <c r="A95" s="23" t="s">
        <v>1025</v>
      </c>
      <c r="B95" s="23">
        <v>2705</v>
      </c>
      <c r="C95" s="23" t="str">
        <f>VLOOKUP(B95,IF(A95="COMPOSICAO",S!$A:$E,I!$A:$E),2,FALSE)</f>
        <v>SINAPI</v>
      </c>
      <c r="D95" s="24" t="str">
        <f>VLOOKUP(B95,IF(A95="COMPOSICAO",S!$A:$E,I!$A:$E),3,FALSE)</f>
        <v>ENERGIA ELETRICA ATE 2000 KWH INDUSTRIAL, SEM DEMANDA</v>
      </c>
      <c r="E95" s="23" t="str">
        <f>VLOOKUP(B95,IF(A95="COMPOSICAO",S!$A:$E,I!$A:$E),4,FALSE)</f>
        <v>KWH</v>
      </c>
      <c r="F95" s="23">
        <v>1.36</v>
      </c>
      <c r="G95" s="71">
        <f>IF(A95="COMPOSICAO",VLOOKUP("TOTAL SEM BDI - "&amp;B95,CPUAUX4!$A:$J,9,FALSE),VLOOKUP(B95,I!$A:$E,5,FALSE))</f>
        <v>1.1000000000000001</v>
      </c>
      <c r="H95" s="72"/>
      <c r="I95" s="71">
        <f>TRUNC(F95*G95,2)</f>
        <v>1.49</v>
      </c>
      <c r="J95" s="72"/>
      <c r="M95" s="23">
        <f>B95</f>
        <v>2705</v>
      </c>
      <c r="N95" s="23">
        <f>SUMIF(CPUAUX2!M:M,B94,CPUAUX2!O:O)</f>
        <v>0.86687999999999998</v>
      </c>
      <c r="O95" s="23">
        <f>F95*N95</f>
        <v>1.1789568000000001</v>
      </c>
      <c r="Q95" s="23">
        <f ca="1">SUMIF(CPUAUX2!M:M,B94,CPUAUX2!R:R)</f>
        <v>0.34675199999999995</v>
      </c>
      <c r="R95" s="23">
        <f ca="1">F95*Q95</f>
        <v>0.47158271999999996</v>
      </c>
    </row>
    <row r="96" spans="1:18" x14ac:dyDescent="0.3">
      <c r="A96" s="68" t="str">
        <f>"TOTAL SEM BDI - "&amp;B94</f>
        <v>TOTAL SEM BDI - 91691</v>
      </c>
      <c r="B96" s="69"/>
      <c r="C96" s="69"/>
      <c r="D96" s="69"/>
      <c r="E96" s="69"/>
      <c r="F96" s="69"/>
      <c r="G96" s="69"/>
      <c r="H96" s="70"/>
      <c r="I96" s="71">
        <f>SUM(I94:I95)</f>
        <v>1.49</v>
      </c>
      <c r="J96" s="72"/>
    </row>
    <row r="98" spans="1:18" x14ac:dyDescent="0.3">
      <c r="A98" s="4" t="s">
        <v>1018</v>
      </c>
      <c r="B98" s="4" t="s">
        <v>138</v>
      </c>
      <c r="C98" s="4" t="s">
        <v>139</v>
      </c>
      <c r="D98" s="4" t="s">
        <v>21</v>
      </c>
      <c r="E98" s="4" t="s">
        <v>140</v>
      </c>
      <c r="F98" s="4" t="s">
        <v>506</v>
      </c>
      <c r="G98" s="34" t="s">
        <v>1019</v>
      </c>
      <c r="H98" s="35"/>
      <c r="I98" s="34" t="s">
        <v>15</v>
      </c>
      <c r="J98" s="35"/>
    </row>
    <row r="99" spans="1:18" ht="45" customHeight="1" x14ac:dyDescent="0.3">
      <c r="A99" s="15" t="s">
        <v>1141</v>
      </c>
      <c r="B99" s="15">
        <v>91690</v>
      </c>
      <c r="C99" s="15" t="str">
        <f>VLOOKUP(B99,S!$A:$G,2,FALSE)</f>
        <v>SINAPI</v>
      </c>
      <c r="D99" s="22" t="str">
        <f>VLOOKUP(B99,S!$A:$G,3,FALSE)</f>
        <v>SERRA CIRCULAR DE BANCADA COM MOTOR ELÉTRICO POTÊNCIA DE 5HP, COM COIFA PARA DISCO 10" - MANUTENÇÃO. AF_08/2015</v>
      </c>
      <c r="E99" s="15" t="str">
        <f>VLOOKUP(B99,S!$A:$G,4,FALSE)</f>
        <v>H</v>
      </c>
      <c r="F99" s="15"/>
      <c r="G99" s="73">
        <f>I101</f>
        <v>0.08</v>
      </c>
      <c r="H99" s="74"/>
      <c r="I99" s="73"/>
      <c r="J99" s="74"/>
      <c r="K99" s="16">
        <f>VLOOKUP(B99,S!A:G,5,FALSE)</f>
        <v>0.08</v>
      </c>
      <c r="L99" s="15" t="str">
        <f>IF(K99=G99,"OK, CONFORME TABELA",IF(G99&gt;K99,"ACIMA DA TABELA: ","ABAIXO DA TABELA: ")&amp;TRUNC((G99*100)/K99,2)&amp;" %")</f>
        <v>OK, CONFORME TABELA</v>
      </c>
    </row>
    <row r="100" spans="1:18" ht="45" customHeight="1" x14ac:dyDescent="0.3">
      <c r="A100" s="23" t="s">
        <v>1025</v>
      </c>
      <c r="B100" s="23">
        <v>14618</v>
      </c>
      <c r="C100" s="23" t="str">
        <f>VLOOKUP(B100,IF(A100="COMPOSICAO",S!$A:$E,I!$A:$E),2,FALSE)</f>
        <v>SINAPI</v>
      </c>
      <c r="D100" s="24" t="str">
        <f>VLOOKUP(B100,IF(A100="COMPOSICAO",S!$A:$E,I!$A:$E),3,FALSE)</f>
        <v>SERRA CIRCULAR DE BANCADA COM MOTOR ELETRICO, POTENCIA DE *1600* W, PARA DISCO DE DIAMETRO DE 10" (250 MM)</v>
      </c>
      <c r="E100" s="23" t="str">
        <f>VLOOKUP(B100,IF(A100="COMPOSICAO",S!$A:$E,I!$A:$E),4,FALSE)</f>
        <v>UN</v>
      </c>
      <c r="F100" s="23">
        <v>5.0000000000000002E-5</v>
      </c>
      <c r="G100" s="71">
        <f>IF(A100="COMPOSICAO",VLOOKUP("TOTAL SEM BDI - "&amp;B100,CPUAUX4!$A:$J,9,FALSE),VLOOKUP(B100,I!$A:$E,5,FALSE))</f>
        <v>1705.61</v>
      </c>
      <c r="H100" s="72"/>
      <c r="I100" s="71">
        <f>TRUNC(F100*G100,2)</f>
        <v>0.08</v>
      </c>
      <c r="J100" s="72"/>
      <c r="M100" s="23">
        <f>B100</f>
        <v>14618</v>
      </c>
      <c r="N100" s="23">
        <f>SUMIF(CPUAUX2!M:M,B99,CPUAUX2!O:O)</f>
        <v>0.86687999999999998</v>
      </c>
      <c r="O100" s="23">
        <f>F100*N100</f>
        <v>4.3344000000000004E-5</v>
      </c>
      <c r="Q100" s="23">
        <f ca="1">SUMIF(CPUAUX2!M:M,B99,CPUAUX2!R:R)</f>
        <v>0.34675199999999995</v>
      </c>
      <c r="R100" s="23">
        <f ca="1">F100*Q100</f>
        <v>1.7337599999999998E-5</v>
      </c>
    </row>
    <row r="101" spans="1:18" x14ac:dyDescent="0.3">
      <c r="A101" s="68" t="str">
        <f>"TOTAL SEM BDI - "&amp;B99</f>
        <v>TOTAL SEM BDI - 91690</v>
      </c>
      <c r="B101" s="69"/>
      <c r="C101" s="69"/>
      <c r="D101" s="69"/>
      <c r="E101" s="69"/>
      <c r="F101" s="69"/>
      <c r="G101" s="69"/>
      <c r="H101" s="70"/>
      <c r="I101" s="71">
        <f>SUM(I99:I100)</f>
        <v>0.08</v>
      </c>
      <c r="J101" s="72"/>
    </row>
    <row r="103" spans="1:18" x14ac:dyDescent="0.3">
      <c r="A103" s="4" t="s">
        <v>1018</v>
      </c>
      <c r="B103" s="4" t="s">
        <v>138</v>
      </c>
      <c r="C103" s="4" t="s">
        <v>139</v>
      </c>
      <c r="D103" s="4" t="s">
        <v>21</v>
      </c>
      <c r="E103" s="4" t="s">
        <v>140</v>
      </c>
      <c r="F103" s="4" t="s">
        <v>506</v>
      </c>
      <c r="G103" s="34" t="s">
        <v>1019</v>
      </c>
      <c r="H103" s="35"/>
      <c r="I103" s="34" t="s">
        <v>15</v>
      </c>
      <c r="J103" s="35"/>
    </row>
    <row r="104" spans="1:18" ht="30" customHeight="1" x14ac:dyDescent="0.3">
      <c r="A104" s="15" t="s">
        <v>1093</v>
      </c>
      <c r="B104" s="15">
        <v>95314</v>
      </c>
      <c r="C104" s="15" t="str">
        <f>VLOOKUP(B104,S!$A:$G,2,FALSE)</f>
        <v>SINAPI</v>
      </c>
      <c r="D104" s="22" t="str">
        <f>VLOOKUP(B104,S!$A:$G,3,FALSE)</f>
        <v>CURSO DE CAPACITAÇÃO PARA ARMADOR (ENCARGOS COMPLEMENTARES) - HORISTA</v>
      </c>
      <c r="E104" s="15" t="str">
        <f>VLOOKUP(B104,S!$A:$G,4,FALSE)</f>
        <v>H</v>
      </c>
      <c r="F104" s="15"/>
      <c r="G104" s="73">
        <f>I106</f>
        <v>0.23</v>
      </c>
      <c r="H104" s="74"/>
      <c r="I104" s="73"/>
      <c r="J104" s="74"/>
      <c r="K104" s="16">
        <f>VLOOKUP(B104,S!A:G,5,FALSE)</f>
        <v>0.23</v>
      </c>
      <c r="L104" s="15" t="str">
        <f>IF(K104=G104,"OK, CONFORME TABELA",IF(G104&gt;K104,"ACIMA DA TABELA: ","ABAIXO DA TABELA: ")&amp;TRUNC((G104*100)/K104,2)&amp;" %")</f>
        <v>OK, CONFORME TABELA</v>
      </c>
    </row>
    <row r="105" spans="1:18" x14ac:dyDescent="0.3">
      <c r="A105" s="23" t="s">
        <v>1025</v>
      </c>
      <c r="B105" s="23">
        <v>378</v>
      </c>
      <c r="C105" s="23" t="str">
        <f>VLOOKUP(B105,IF(A105="COMPOSICAO",S!$A:$E,I!$A:$E),2,FALSE)</f>
        <v>SINAPI</v>
      </c>
      <c r="D105" s="24" t="str">
        <f>VLOOKUP(B105,IF(A105="COMPOSICAO",S!$A:$E,I!$A:$E),3,FALSE)</f>
        <v>ARMADOR (HORISTA)</v>
      </c>
      <c r="E105" s="23" t="str">
        <f>VLOOKUP(B105,IF(A105="COMPOSICAO",S!$A:$E,I!$A:$E),4,FALSE)</f>
        <v>H</v>
      </c>
      <c r="F105" s="23">
        <v>1.154E-2</v>
      </c>
      <c r="G105" s="71">
        <f>IF(A105="COMPOSICAO",VLOOKUP("TOTAL SEM BDI - "&amp;B105,CPUAUX4!$A:$J,9,FALSE),VLOOKUP(B105,I!$A:$E,5,FALSE))</f>
        <v>20.329999999999998</v>
      </c>
      <c r="H105" s="72"/>
      <c r="I105" s="71">
        <f>TRUNC(F105*G105,2)</f>
        <v>0.23</v>
      </c>
      <c r="J105" s="72"/>
      <c r="M105" s="23">
        <f>B105</f>
        <v>378</v>
      </c>
      <c r="N105" s="23">
        <f>SUMIF(CPUAUX2!M:M,B104,CPUAUX2!O:O)</f>
        <v>3.8812828500000007</v>
      </c>
      <c r="O105" s="23">
        <f>F105*N105</f>
        <v>4.479000408900001E-2</v>
      </c>
      <c r="Q105" s="23">
        <f ca="1">SUMIF(CPUAUX2!M:M,B104,CPUAUX2!R:R)</f>
        <v>1.5525131400000001</v>
      </c>
      <c r="R105" s="23">
        <f ca="1">F105*Q105</f>
        <v>1.7916001635600001E-2</v>
      </c>
    </row>
    <row r="106" spans="1:18" x14ac:dyDescent="0.3">
      <c r="A106" s="68" t="str">
        <f>"TOTAL SEM BDI - "&amp;B104</f>
        <v>TOTAL SEM BDI - 95314</v>
      </c>
      <c r="B106" s="69"/>
      <c r="C106" s="69"/>
      <c r="D106" s="69"/>
      <c r="E106" s="69"/>
      <c r="F106" s="69"/>
      <c r="G106" s="69"/>
      <c r="H106" s="70"/>
      <c r="I106" s="71">
        <f>SUM(I104:I105)</f>
        <v>0.23</v>
      </c>
      <c r="J106" s="72"/>
    </row>
    <row r="108" spans="1:18" x14ac:dyDescent="0.3">
      <c r="A108" s="4" t="s">
        <v>1018</v>
      </c>
      <c r="B108" s="4" t="s">
        <v>138</v>
      </c>
      <c r="C108" s="4" t="s">
        <v>139</v>
      </c>
      <c r="D108" s="4" t="s">
        <v>21</v>
      </c>
      <c r="E108" s="4" t="s">
        <v>140</v>
      </c>
      <c r="F108" s="4" t="s">
        <v>506</v>
      </c>
      <c r="G108" s="34" t="s">
        <v>1019</v>
      </c>
      <c r="H108" s="35"/>
      <c r="I108" s="34" t="s">
        <v>15</v>
      </c>
      <c r="J108" s="35"/>
    </row>
    <row r="109" spans="1:18" ht="30" customHeight="1" x14ac:dyDescent="0.3">
      <c r="A109" s="15" t="s">
        <v>1093</v>
      </c>
      <c r="B109" s="15">
        <v>95308</v>
      </c>
      <c r="C109" s="15" t="str">
        <f>VLOOKUP(B109,S!$A:$G,2,FALSE)</f>
        <v>SINAPI</v>
      </c>
      <c r="D109" s="22" t="str">
        <f>VLOOKUP(B109,S!$A:$G,3,FALSE)</f>
        <v>CURSO DE CAPACITAÇÃO PARA AJUDANTE DE ARMADOR (ENCARGOS COMPLEMENTARES) - HORISTA</v>
      </c>
      <c r="E109" s="15" t="str">
        <f>VLOOKUP(B109,S!$A:$G,4,FALSE)</f>
        <v>H</v>
      </c>
      <c r="F109" s="15"/>
      <c r="G109" s="73">
        <f>I111</f>
        <v>0.17</v>
      </c>
      <c r="H109" s="74"/>
      <c r="I109" s="73"/>
      <c r="J109" s="74"/>
      <c r="K109" s="16">
        <f>VLOOKUP(B109,S!A:G,5,FALSE)</f>
        <v>0.17</v>
      </c>
      <c r="L109" s="15" t="str">
        <f>IF(K109=G109,"OK, CONFORME TABELA",IF(G109&gt;K109,"ACIMA DA TABELA: ","ABAIXO DA TABELA: ")&amp;TRUNC((G109*100)/K109,2)&amp;" %")</f>
        <v>OK, CONFORME TABELA</v>
      </c>
    </row>
    <row r="110" spans="1:18" x14ac:dyDescent="0.3">
      <c r="A110" s="23" t="s">
        <v>1025</v>
      </c>
      <c r="B110" s="23">
        <v>6114</v>
      </c>
      <c r="C110" s="23" t="str">
        <f>VLOOKUP(B110,IF(A110="COMPOSICAO",S!$A:$E,I!$A:$E),2,FALSE)</f>
        <v>SINAPI</v>
      </c>
      <c r="D110" s="24" t="str">
        <f>VLOOKUP(B110,IF(A110="COMPOSICAO",S!$A:$E,I!$A:$E),3,FALSE)</f>
        <v>AJUDANTE DE ARMADOR (HORISTA)</v>
      </c>
      <c r="E110" s="23" t="str">
        <f>VLOOKUP(B110,IF(A110="COMPOSICAO",S!$A:$E,I!$A:$E),4,FALSE)</f>
        <v>H</v>
      </c>
      <c r="F110" s="23">
        <v>1.154E-2</v>
      </c>
      <c r="G110" s="71">
        <f>IF(A110="COMPOSICAO",VLOOKUP("TOTAL SEM BDI - "&amp;B110,CPUAUX4!$A:$J,9,FALSE),VLOOKUP(B110,I!$A:$E,5,FALSE))</f>
        <v>15.57</v>
      </c>
      <c r="H110" s="72"/>
      <c r="I110" s="71">
        <f>TRUNC(F110*G110,2)</f>
        <v>0.17</v>
      </c>
      <c r="J110" s="72"/>
      <c r="M110" s="23">
        <f>B110</f>
        <v>6114</v>
      </c>
      <c r="N110" s="23">
        <f>SUMIF(CPUAUX2!M:M,B109,CPUAUX2!O:O)</f>
        <v>0.81084896000000006</v>
      </c>
      <c r="O110" s="23">
        <f>F110*N110</f>
        <v>9.3571969984000015E-3</v>
      </c>
      <c r="Q110" s="23">
        <f ca="1">SUMIF(CPUAUX2!M:M,B109,CPUAUX2!R:R)</f>
        <v>0.32433958400000007</v>
      </c>
      <c r="R110" s="23">
        <f ca="1">F110*Q110</f>
        <v>3.7428787993600008E-3</v>
      </c>
    </row>
    <row r="111" spans="1:18" x14ac:dyDescent="0.3">
      <c r="A111" s="68" t="str">
        <f>"TOTAL SEM BDI - "&amp;B109</f>
        <v>TOTAL SEM BDI - 95308</v>
      </c>
      <c r="B111" s="69"/>
      <c r="C111" s="69"/>
      <c r="D111" s="69"/>
      <c r="E111" s="69"/>
      <c r="F111" s="69"/>
      <c r="G111" s="69"/>
      <c r="H111" s="70"/>
      <c r="I111" s="71">
        <f>SUM(I109:I110)</f>
        <v>0.17</v>
      </c>
      <c r="J111" s="72"/>
    </row>
    <row r="113" spans="1:18" x14ac:dyDescent="0.3">
      <c r="A113" s="4" t="s">
        <v>1018</v>
      </c>
      <c r="B113" s="4" t="s">
        <v>138</v>
      </c>
      <c r="C113" s="4" t="s">
        <v>139</v>
      </c>
      <c r="D113" s="4" t="s">
        <v>21</v>
      </c>
      <c r="E113" s="4" t="s">
        <v>140</v>
      </c>
      <c r="F113" s="4" t="s">
        <v>506</v>
      </c>
      <c r="G113" s="34" t="s">
        <v>1019</v>
      </c>
      <c r="H113" s="35"/>
      <c r="I113" s="34" t="s">
        <v>15</v>
      </c>
      <c r="J113" s="35"/>
    </row>
    <row r="114" spans="1:18" ht="45" customHeight="1" x14ac:dyDescent="0.3">
      <c r="A114" s="15" t="s">
        <v>1141</v>
      </c>
      <c r="B114" s="15">
        <v>90583</v>
      </c>
      <c r="C114" s="15" t="str">
        <f>VLOOKUP(B114,S!$A:$G,2,FALSE)</f>
        <v>SINAPI</v>
      </c>
      <c r="D114" s="22" t="str">
        <f>VLOOKUP(B114,S!$A:$G,3,FALSE)</f>
        <v>VIBRADOR DE IMERSÃO, DIÂMETRO DE PONTEIRA 45MM, MOTOR ELÉTRICO TRIFÁSICO POTÊNCIA DE 2 CV - JUROS. AF_06/2015</v>
      </c>
      <c r="E114" s="15" t="str">
        <f>VLOOKUP(B114,S!$A:$G,4,FALSE)</f>
        <v>H</v>
      </c>
      <c r="F114" s="15"/>
      <c r="G114" s="73">
        <f>I116</f>
        <v>0.09</v>
      </c>
      <c r="H114" s="74"/>
      <c r="I114" s="73"/>
      <c r="J114" s="74"/>
      <c r="K114" s="16">
        <f>VLOOKUP(B114,S!A:G,5,FALSE)</f>
        <v>0.09</v>
      </c>
      <c r="L114" s="15" t="str">
        <f>IF(K114=G114,"OK, CONFORME TABELA",IF(G114&gt;K114,"ACIMA DA TABELA: ","ABAIXO DA TABELA: ")&amp;TRUNC((G114*100)/K114,2)&amp;" %")</f>
        <v>OK, CONFORME TABELA</v>
      </c>
    </row>
    <row r="115" spans="1:18" ht="45" customHeight="1" x14ac:dyDescent="0.3">
      <c r="A115" s="23" t="s">
        <v>1025</v>
      </c>
      <c r="B115" s="23">
        <v>13896</v>
      </c>
      <c r="C115" s="23" t="str">
        <f>VLOOKUP(B115,IF(A115="COMPOSICAO",S!$A:$E,I!$A:$E),2,FALSE)</f>
        <v>SINAPI</v>
      </c>
      <c r="D115" s="24" t="str">
        <f>VLOOKUP(B115,IF(A115="COMPOSICAO",S!$A:$E,I!$A:$E),3,FALSE)</f>
        <v>VIBRADOR DE IMERSAO, DIAMETRO DA PONTEIRA DE *45* MM, COM MOTOR ELETRICO TRIFASICO DE 2 HP (2 CV)</v>
      </c>
      <c r="E115" s="23" t="str">
        <f>VLOOKUP(B115,IF(A115="COMPOSICAO",S!$A:$E,I!$A:$E),4,FALSE)</f>
        <v>UN</v>
      </c>
      <c r="F115" s="23">
        <v>2.9600000000000001E-5</v>
      </c>
      <c r="G115" s="71">
        <f>IF(A115="COMPOSICAO",VLOOKUP("TOTAL SEM BDI - "&amp;B115,CPUAUX4!$A:$J,9,FALSE),VLOOKUP(B115,I!$A:$E,5,FALSE))</f>
        <v>3120.96</v>
      </c>
      <c r="H115" s="72"/>
      <c r="I115" s="71">
        <f>TRUNC(F115*G115,2)</f>
        <v>0.09</v>
      </c>
      <c r="J115" s="72"/>
      <c r="M115" s="23">
        <f>B115</f>
        <v>13896</v>
      </c>
      <c r="N115" s="23">
        <f>SUMIF(CPUAUX2!M:M,B114,CPUAUX2!O:O)</f>
        <v>4.1496000000000005E-2</v>
      </c>
      <c r="O115" s="23">
        <f>F115*N115</f>
        <v>1.2282816000000001E-6</v>
      </c>
      <c r="Q115" s="23">
        <f ca="1">SUMIF(CPUAUX2!M:M,B114,CPUAUX2!R:R)</f>
        <v>1.6598400000000003E-2</v>
      </c>
      <c r="R115" s="23">
        <f ca="1">F115*Q115</f>
        <v>4.9131264000000007E-7</v>
      </c>
    </row>
    <row r="116" spans="1:18" x14ac:dyDescent="0.3">
      <c r="A116" s="68" t="str">
        <f>"TOTAL SEM BDI - "&amp;B114</f>
        <v>TOTAL SEM BDI - 90583</v>
      </c>
      <c r="B116" s="69"/>
      <c r="C116" s="69"/>
      <c r="D116" s="69"/>
      <c r="E116" s="69"/>
      <c r="F116" s="69"/>
      <c r="G116" s="69"/>
      <c r="H116" s="70"/>
      <c r="I116" s="71">
        <f>SUM(I114:I115)</f>
        <v>0.09</v>
      </c>
      <c r="J116" s="72"/>
    </row>
    <row r="118" spans="1:18" x14ac:dyDescent="0.3">
      <c r="A118" s="4" t="s">
        <v>1018</v>
      </c>
      <c r="B118" s="4" t="s">
        <v>138</v>
      </c>
      <c r="C118" s="4" t="s">
        <v>139</v>
      </c>
      <c r="D118" s="4" t="s">
        <v>21</v>
      </c>
      <c r="E118" s="4" t="s">
        <v>140</v>
      </c>
      <c r="F118" s="4" t="s">
        <v>506</v>
      </c>
      <c r="G118" s="34" t="s">
        <v>1019</v>
      </c>
      <c r="H118" s="35"/>
      <c r="I118" s="34" t="s">
        <v>15</v>
      </c>
      <c r="J118" s="35"/>
    </row>
    <row r="119" spans="1:18" ht="45" customHeight="1" x14ac:dyDescent="0.3">
      <c r="A119" s="15" t="s">
        <v>1141</v>
      </c>
      <c r="B119" s="15">
        <v>90582</v>
      </c>
      <c r="C119" s="15" t="str">
        <f>VLOOKUP(B119,S!$A:$G,2,FALSE)</f>
        <v>SINAPI</v>
      </c>
      <c r="D119" s="22" t="str">
        <f>VLOOKUP(B119,S!$A:$G,3,FALSE)</f>
        <v>VIBRADOR DE IMERSÃO, DIÂMETRO DE PONTEIRA 45MM, MOTOR ELÉTRICO TRIFÁSICO POTÊNCIA DE 2 CV - DEPRECIAÇÃO. AF_06/2015</v>
      </c>
      <c r="E119" s="15" t="str">
        <f>VLOOKUP(B119,S!$A:$G,4,FALSE)</f>
        <v>H</v>
      </c>
      <c r="F119" s="15"/>
      <c r="G119" s="73">
        <f>I121</f>
        <v>0.39</v>
      </c>
      <c r="H119" s="74"/>
      <c r="I119" s="73"/>
      <c r="J119" s="74"/>
      <c r="K119" s="16">
        <f>VLOOKUP(B119,S!A:G,5,FALSE)</f>
        <v>0.39</v>
      </c>
      <c r="L119" s="15" t="str">
        <f>IF(K119=G119,"OK, CONFORME TABELA",IF(G119&gt;K119,"ACIMA DA TABELA: ","ABAIXO DA TABELA: ")&amp;TRUNC((G119*100)/K119,2)&amp;" %")</f>
        <v>OK, CONFORME TABELA</v>
      </c>
    </row>
    <row r="120" spans="1:18" ht="45" customHeight="1" x14ac:dyDescent="0.3">
      <c r="A120" s="23" t="s">
        <v>1025</v>
      </c>
      <c r="B120" s="23">
        <v>13896</v>
      </c>
      <c r="C120" s="23" t="str">
        <f>VLOOKUP(B120,IF(A120="COMPOSICAO",S!$A:$E,I!$A:$E),2,FALSE)</f>
        <v>SINAPI</v>
      </c>
      <c r="D120" s="24" t="str">
        <f>VLOOKUP(B120,IF(A120="COMPOSICAO",S!$A:$E,I!$A:$E),3,FALSE)</f>
        <v>VIBRADOR DE IMERSAO, DIAMETRO DA PONTEIRA DE *45* MM, COM MOTOR ELETRICO TRIFASICO DE 2 HP (2 CV)</v>
      </c>
      <c r="E120" s="23" t="str">
        <f>VLOOKUP(B120,IF(A120="COMPOSICAO",S!$A:$E,I!$A:$E),4,FALSE)</f>
        <v>UN</v>
      </c>
      <c r="F120" s="23">
        <v>1.2799999999999999E-4</v>
      </c>
      <c r="G120" s="71">
        <f>IF(A120="COMPOSICAO",VLOOKUP("TOTAL SEM BDI - "&amp;B120,CPUAUX4!$A:$J,9,FALSE),VLOOKUP(B120,I!$A:$E,5,FALSE))</f>
        <v>3120.96</v>
      </c>
      <c r="H120" s="72"/>
      <c r="I120" s="71">
        <f>TRUNC(F120*G120,2)</f>
        <v>0.39</v>
      </c>
      <c r="J120" s="72"/>
      <c r="M120" s="23">
        <f>B120</f>
        <v>13896</v>
      </c>
      <c r="N120" s="23">
        <f>SUMIF(CPUAUX2!M:M,B119,CPUAUX2!O:O)</f>
        <v>4.1496000000000005E-2</v>
      </c>
      <c r="O120" s="23">
        <f>F120*N120</f>
        <v>5.3114880000000004E-6</v>
      </c>
      <c r="Q120" s="23">
        <f ca="1">SUMIF(CPUAUX2!M:M,B119,CPUAUX2!R:R)</f>
        <v>1.6598400000000003E-2</v>
      </c>
      <c r="R120" s="23">
        <f ca="1">F120*Q120</f>
        <v>2.1245952000000003E-6</v>
      </c>
    </row>
    <row r="121" spans="1:18" x14ac:dyDescent="0.3">
      <c r="A121" s="68" t="str">
        <f>"TOTAL SEM BDI - "&amp;B119</f>
        <v>TOTAL SEM BDI - 90582</v>
      </c>
      <c r="B121" s="69"/>
      <c r="C121" s="69"/>
      <c r="D121" s="69"/>
      <c r="E121" s="69"/>
      <c r="F121" s="69"/>
      <c r="G121" s="69"/>
      <c r="H121" s="70"/>
      <c r="I121" s="71">
        <f>SUM(I119:I120)</f>
        <v>0.39</v>
      </c>
      <c r="J121" s="72"/>
    </row>
    <row r="123" spans="1:18" x14ac:dyDescent="0.3">
      <c r="A123" s="4" t="s">
        <v>1018</v>
      </c>
      <c r="B123" s="4" t="s">
        <v>138</v>
      </c>
      <c r="C123" s="4" t="s">
        <v>139</v>
      </c>
      <c r="D123" s="4" t="s">
        <v>21</v>
      </c>
      <c r="E123" s="4" t="s">
        <v>140</v>
      </c>
      <c r="F123" s="4" t="s">
        <v>506</v>
      </c>
      <c r="G123" s="34" t="s">
        <v>1019</v>
      </c>
      <c r="H123" s="35"/>
      <c r="I123" s="34" t="s">
        <v>15</v>
      </c>
      <c r="J123" s="35"/>
    </row>
    <row r="124" spans="1:18" ht="45" customHeight="1" x14ac:dyDescent="0.3">
      <c r="A124" s="15" t="s">
        <v>1141</v>
      </c>
      <c r="B124" s="15">
        <v>90585</v>
      </c>
      <c r="C124" s="15" t="str">
        <f>VLOOKUP(B124,S!$A:$G,2,FALSE)</f>
        <v>SINAPI</v>
      </c>
      <c r="D124" s="22" t="str">
        <f>VLOOKUP(B124,S!$A:$G,3,FALSE)</f>
        <v>VIBRADOR DE IMERSÃO, DIÂMETRO DE PONTEIRA 45MM, MOTOR ELÉTRICO TRIFÁSICO POTÊNCIA DE 2 CV - MATERIAIS NA OPERAÇÃO. AF_06/2015</v>
      </c>
      <c r="E124" s="15" t="str">
        <f>VLOOKUP(B124,S!$A:$G,4,FALSE)</f>
        <v>H</v>
      </c>
      <c r="F124" s="15"/>
      <c r="G124" s="73">
        <f>I126</f>
        <v>0.56999999999999995</v>
      </c>
      <c r="H124" s="74"/>
      <c r="I124" s="73"/>
      <c r="J124" s="74"/>
      <c r="K124" s="16">
        <f>VLOOKUP(B124,S!A:G,5,FALSE)</f>
        <v>0.56999999999999995</v>
      </c>
      <c r="L124" s="15" t="str">
        <f>IF(K124=G124,"OK, CONFORME TABELA",IF(G124&gt;K124,"ACIMA DA TABELA: ","ABAIXO DA TABELA: ")&amp;TRUNC((G124*100)/K124,2)&amp;" %")</f>
        <v>OK, CONFORME TABELA</v>
      </c>
    </row>
    <row r="125" spans="1:18" ht="30" customHeight="1" x14ac:dyDescent="0.3">
      <c r="A125" s="23" t="s">
        <v>1025</v>
      </c>
      <c r="B125" s="23">
        <v>2705</v>
      </c>
      <c r="C125" s="23" t="str">
        <f>VLOOKUP(B125,IF(A125="COMPOSICAO",S!$A:$E,I!$A:$E),2,FALSE)</f>
        <v>SINAPI</v>
      </c>
      <c r="D125" s="24" t="str">
        <f>VLOOKUP(B125,IF(A125="COMPOSICAO",S!$A:$E,I!$A:$E),3,FALSE)</f>
        <v>ENERGIA ELETRICA ATE 2000 KWH INDUSTRIAL, SEM DEMANDA</v>
      </c>
      <c r="E125" s="23" t="str">
        <f>VLOOKUP(B125,IF(A125="COMPOSICAO",S!$A:$E,I!$A:$E),4,FALSE)</f>
        <v>KWH</v>
      </c>
      <c r="F125" s="23">
        <v>0.52</v>
      </c>
      <c r="G125" s="71">
        <f>IF(A125="COMPOSICAO",VLOOKUP("TOTAL SEM BDI - "&amp;B125,CPUAUX4!$A:$J,9,FALSE),VLOOKUP(B125,I!$A:$E,5,FALSE))</f>
        <v>1.1000000000000001</v>
      </c>
      <c r="H125" s="72"/>
      <c r="I125" s="71">
        <f>TRUNC(F125*G125,2)</f>
        <v>0.56999999999999995</v>
      </c>
      <c r="J125" s="72"/>
      <c r="M125" s="23">
        <f>B125</f>
        <v>2705</v>
      </c>
      <c r="N125" s="23">
        <f>SUMIF(CPUAUX2!M:M,B124,CPUAUX2!O:O)</f>
        <v>1.7413500000000002E-2</v>
      </c>
      <c r="O125" s="23">
        <f>F125*N125</f>
        <v>9.0550200000000004E-3</v>
      </c>
      <c r="Q125" s="23">
        <f ca="1">SUMIF(CPUAUX2!M:M,B124,CPUAUX2!R:R)</f>
        <v>6.9654000000000009E-3</v>
      </c>
      <c r="R125" s="23">
        <f ca="1">F125*Q125</f>
        <v>3.6220080000000008E-3</v>
      </c>
    </row>
    <row r="126" spans="1:18" x14ac:dyDescent="0.3">
      <c r="A126" s="68" t="str">
        <f>"TOTAL SEM BDI - "&amp;B124</f>
        <v>TOTAL SEM BDI - 90585</v>
      </c>
      <c r="B126" s="69"/>
      <c r="C126" s="69"/>
      <c r="D126" s="69"/>
      <c r="E126" s="69"/>
      <c r="F126" s="69"/>
      <c r="G126" s="69"/>
      <c r="H126" s="70"/>
      <c r="I126" s="71">
        <f>SUM(I124:I125)</f>
        <v>0.56999999999999995</v>
      </c>
      <c r="J126" s="72"/>
    </row>
    <row r="128" spans="1:18" x14ac:dyDescent="0.3">
      <c r="A128" s="4" t="s">
        <v>1018</v>
      </c>
      <c r="B128" s="4" t="s">
        <v>138</v>
      </c>
      <c r="C128" s="4" t="s">
        <v>139</v>
      </c>
      <c r="D128" s="4" t="s">
        <v>21</v>
      </c>
      <c r="E128" s="4" t="s">
        <v>140</v>
      </c>
      <c r="F128" s="4" t="s">
        <v>506</v>
      </c>
      <c r="G128" s="34" t="s">
        <v>1019</v>
      </c>
      <c r="H128" s="35"/>
      <c r="I128" s="34" t="s">
        <v>15</v>
      </c>
      <c r="J128" s="35"/>
    </row>
    <row r="129" spans="1:18" ht="45" customHeight="1" x14ac:dyDescent="0.3">
      <c r="A129" s="15" t="s">
        <v>1141</v>
      </c>
      <c r="B129" s="15">
        <v>90584</v>
      </c>
      <c r="C129" s="15" t="str">
        <f>VLOOKUP(B129,S!$A:$G,2,FALSE)</f>
        <v>SINAPI</v>
      </c>
      <c r="D129" s="22" t="str">
        <f>VLOOKUP(B129,S!$A:$G,3,FALSE)</f>
        <v>VIBRADOR DE IMERSÃO, DIÂMETRO DE PONTEIRA 45MM, MOTOR ELÉTRICO TRIFÁSICO POTÊNCIA DE 2 CV - MANUTENÇÃO. AF_06/2015</v>
      </c>
      <c r="E129" s="15" t="str">
        <f>VLOOKUP(B129,S!$A:$G,4,FALSE)</f>
        <v>H</v>
      </c>
      <c r="F129" s="15"/>
      <c r="G129" s="73">
        <f>I131</f>
        <v>0.31</v>
      </c>
      <c r="H129" s="74"/>
      <c r="I129" s="73"/>
      <c r="J129" s="74"/>
      <c r="K129" s="16">
        <f>VLOOKUP(B129,S!A:G,5,FALSE)</f>
        <v>0.31</v>
      </c>
      <c r="L129" s="15" t="str">
        <f>IF(K129=G129,"OK, CONFORME TABELA",IF(G129&gt;K129,"ACIMA DA TABELA: ","ABAIXO DA TABELA: ")&amp;TRUNC((G129*100)/K129,2)&amp;" %")</f>
        <v>OK, CONFORME TABELA</v>
      </c>
    </row>
    <row r="130" spans="1:18" ht="45" customHeight="1" x14ac:dyDescent="0.3">
      <c r="A130" s="23" t="s">
        <v>1025</v>
      </c>
      <c r="B130" s="23">
        <v>13896</v>
      </c>
      <c r="C130" s="23" t="str">
        <f>VLOOKUP(B130,IF(A130="COMPOSICAO",S!$A:$E,I!$A:$E),2,FALSE)</f>
        <v>SINAPI</v>
      </c>
      <c r="D130" s="24" t="str">
        <f>VLOOKUP(B130,IF(A130="COMPOSICAO",S!$A:$E,I!$A:$E),3,FALSE)</f>
        <v>VIBRADOR DE IMERSAO, DIAMETRO DA PONTEIRA DE *45* MM, COM MOTOR ELETRICO TRIFASICO DE 2 HP (2 CV)</v>
      </c>
      <c r="E130" s="23" t="str">
        <f>VLOOKUP(B130,IF(A130="COMPOSICAO",S!$A:$E,I!$A:$E),4,FALSE)</f>
        <v>UN</v>
      </c>
      <c r="F130" s="23">
        <v>1E-4</v>
      </c>
      <c r="G130" s="71">
        <f>IF(A130="COMPOSICAO",VLOOKUP("TOTAL SEM BDI - "&amp;B130,CPUAUX4!$A:$J,9,FALSE),VLOOKUP(B130,I!$A:$E,5,FALSE))</f>
        <v>3120.96</v>
      </c>
      <c r="H130" s="72"/>
      <c r="I130" s="71">
        <f>TRUNC(F130*G130,2)</f>
        <v>0.31</v>
      </c>
      <c r="J130" s="72"/>
      <c r="M130" s="23">
        <f>B130</f>
        <v>13896</v>
      </c>
      <c r="N130" s="23">
        <f>SUMIF(CPUAUX2!M:M,B129,CPUAUX2!O:O)</f>
        <v>1.7413500000000002E-2</v>
      </c>
      <c r="O130" s="23">
        <f>F130*N130</f>
        <v>1.7413500000000003E-6</v>
      </c>
      <c r="Q130" s="23">
        <f ca="1">SUMIF(CPUAUX2!M:M,B129,CPUAUX2!R:R)</f>
        <v>6.9654000000000009E-3</v>
      </c>
      <c r="R130" s="23">
        <f ca="1">F130*Q130</f>
        <v>6.9654000000000017E-7</v>
      </c>
    </row>
    <row r="131" spans="1:18" x14ac:dyDescent="0.3">
      <c r="A131" s="68" t="str">
        <f>"TOTAL SEM BDI - "&amp;B129</f>
        <v>TOTAL SEM BDI - 90584</v>
      </c>
      <c r="B131" s="69"/>
      <c r="C131" s="69"/>
      <c r="D131" s="69"/>
      <c r="E131" s="69"/>
      <c r="F131" s="69"/>
      <c r="G131" s="69"/>
      <c r="H131" s="70"/>
      <c r="I131" s="71">
        <f>SUM(I129:I130)</f>
        <v>0.31</v>
      </c>
      <c r="J131" s="72"/>
    </row>
    <row r="133" spans="1:18" x14ac:dyDescent="0.3">
      <c r="A133" s="4" t="s">
        <v>1018</v>
      </c>
      <c r="B133" s="4" t="s">
        <v>138</v>
      </c>
      <c r="C133" s="4" t="s">
        <v>139</v>
      </c>
      <c r="D133" s="4" t="s">
        <v>21</v>
      </c>
      <c r="E133" s="4" t="s">
        <v>140</v>
      </c>
      <c r="F133" s="4" t="s">
        <v>506</v>
      </c>
      <c r="G133" s="34" t="s">
        <v>1019</v>
      </c>
      <c r="H133" s="35"/>
      <c r="I133" s="34" t="s">
        <v>15</v>
      </c>
      <c r="J133" s="35"/>
    </row>
    <row r="134" spans="1:18" ht="30" customHeight="1" x14ac:dyDescent="0.3">
      <c r="A134" s="15" t="s">
        <v>1093</v>
      </c>
      <c r="B134" s="15">
        <v>95371</v>
      </c>
      <c r="C134" s="15" t="str">
        <f>VLOOKUP(B134,S!$A:$G,2,FALSE)</f>
        <v>SINAPI</v>
      </c>
      <c r="D134" s="22" t="str">
        <f>VLOOKUP(B134,S!$A:$G,3,FALSE)</f>
        <v>CURSO DE CAPACITAÇÃO PARA PEDREIRO (ENCARGOS COMPLEMENTARES) - HORISTA</v>
      </c>
      <c r="E134" s="15" t="str">
        <f>VLOOKUP(B134,S!$A:$G,4,FALSE)</f>
        <v>H</v>
      </c>
      <c r="F134" s="15"/>
      <c r="G134" s="73">
        <f>I136</f>
        <v>0.43</v>
      </c>
      <c r="H134" s="74"/>
      <c r="I134" s="73"/>
      <c r="J134" s="74"/>
      <c r="K134" s="16">
        <f>VLOOKUP(B134,S!A:G,5,FALSE)</f>
        <v>0.43</v>
      </c>
      <c r="L134" s="15" t="str">
        <f>IF(K134=G134,"OK, CONFORME TABELA",IF(G134&gt;K134,"ACIMA DA TABELA: ","ABAIXO DA TABELA: ")&amp;TRUNC((G134*100)/K134,2)&amp;" %")</f>
        <v>OK, CONFORME TABELA</v>
      </c>
    </row>
    <row r="135" spans="1:18" x14ac:dyDescent="0.3">
      <c r="A135" s="23" t="s">
        <v>1025</v>
      </c>
      <c r="B135" s="23">
        <v>4750</v>
      </c>
      <c r="C135" s="23" t="str">
        <f>VLOOKUP(B135,IF(A135="COMPOSICAO",S!$A:$E,I!$A:$E),2,FALSE)</f>
        <v>SINAPI</v>
      </c>
      <c r="D135" s="24" t="str">
        <f>VLOOKUP(B135,IF(A135="COMPOSICAO",S!$A:$E,I!$A:$E),3,FALSE)</f>
        <v>PEDREIRO (HORISTA)</v>
      </c>
      <c r="E135" s="23" t="str">
        <f>VLOOKUP(B135,IF(A135="COMPOSICAO",S!$A:$E,I!$A:$E),4,FALSE)</f>
        <v>H</v>
      </c>
      <c r="F135" s="23">
        <v>2.12E-2</v>
      </c>
      <c r="G135" s="71">
        <f>IF(A135="COMPOSICAO",VLOOKUP("TOTAL SEM BDI - "&amp;B135,CPUAUX4!$A:$J,9,FALSE),VLOOKUP(B135,I!$A:$E,5,FALSE))</f>
        <v>20.329999999999998</v>
      </c>
      <c r="H135" s="72"/>
      <c r="I135" s="71">
        <f>TRUNC(F135*G135,2)</f>
        <v>0.43</v>
      </c>
      <c r="J135" s="72"/>
      <c r="M135" s="23">
        <f>B135</f>
        <v>4750</v>
      </c>
      <c r="N135" s="23">
        <f>SUMIF(CPUAUX2!M:M,B134,CPUAUX2!O:O)</f>
        <v>4.1496000000000005E-2</v>
      </c>
      <c r="O135" s="23">
        <f>F135*N135</f>
        <v>8.7971520000000017E-4</v>
      </c>
      <c r="Q135" s="23">
        <f ca="1">SUMIF(CPUAUX2!M:M,B134,CPUAUX2!R:R)</f>
        <v>1.6598400000000003E-2</v>
      </c>
      <c r="R135" s="23">
        <f ca="1">F135*Q135</f>
        <v>3.5188608000000004E-4</v>
      </c>
    </row>
    <row r="136" spans="1:18" x14ac:dyDescent="0.3">
      <c r="A136" s="68" t="str">
        <f>"TOTAL SEM BDI - "&amp;B134</f>
        <v>TOTAL SEM BDI - 95371</v>
      </c>
      <c r="B136" s="69"/>
      <c r="C136" s="69"/>
      <c r="D136" s="69"/>
      <c r="E136" s="69"/>
      <c r="F136" s="69"/>
      <c r="G136" s="69"/>
      <c r="H136" s="70"/>
      <c r="I136" s="71">
        <f>SUM(I134:I135)</f>
        <v>0.43</v>
      </c>
      <c r="J136" s="72"/>
    </row>
    <row r="138" spans="1:18" x14ac:dyDescent="0.3">
      <c r="A138" s="4" t="s">
        <v>1018</v>
      </c>
      <c r="B138" s="4" t="s">
        <v>138</v>
      </c>
      <c r="C138" s="4" t="s">
        <v>139</v>
      </c>
      <c r="D138" s="4" t="s">
        <v>21</v>
      </c>
      <c r="E138" s="4" t="s">
        <v>140</v>
      </c>
      <c r="F138" s="4" t="s">
        <v>506</v>
      </c>
      <c r="G138" s="34" t="s">
        <v>1019</v>
      </c>
      <c r="H138" s="35"/>
      <c r="I138" s="34" t="s">
        <v>15</v>
      </c>
      <c r="J138" s="35"/>
    </row>
    <row r="139" spans="1:18" ht="45" customHeight="1" x14ac:dyDescent="0.3">
      <c r="A139" s="15" t="s">
        <v>1098</v>
      </c>
      <c r="B139" s="15">
        <v>91693</v>
      </c>
      <c r="C139" s="15" t="str">
        <f>VLOOKUP(B139,S!$A:$G,2,FALSE)</f>
        <v>SINAPI</v>
      </c>
      <c r="D139" s="22" t="str">
        <f>VLOOKUP(B139,S!$A:$G,3,FALSE)</f>
        <v>SERRA CIRCULAR DE BANCADA COM MOTOR ELÉTRICO POTÊNCIA DE 5HP, COM COIFA PARA DISCO 10" - CHI DIURNO. AF_08/2015</v>
      </c>
      <c r="E139" s="15" t="str">
        <f>VLOOKUP(B139,S!$A:$G,4,FALSE)</f>
        <v>CHI</v>
      </c>
      <c r="F139" s="15"/>
      <c r="G139" s="73">
        <f>I143</f>
        <v>27.3</v>
      </c>
      <c r="H139" s="74"/>
      <c r="I139" s="73"/>
      <c r="J139" s="74"/>
      <c r="K139" s="16">
        <f>VLOOKUP(B139,S!A:G,5,FALSE)</f>
        <v>27.3</v>
      </c>
      <c r="L139" s="15" t="str">
        <f>IF(K139=G139,"OK, CONFORME TABELA",IF(G139&gt;K139,"ACIMA DA TABELA: ","ABAIXO DA TABELA: ")&amp;TRUNC((G139*100)/K139,2)&amp;" %")</f>
        <v>OK, CONFORME TABELA</v>
      </c>
    </row>
    <row r="140" spans="1:18" ht="45" customHeight="1" x14ac:dyDescent="0.3">
      <c r="A140" s="23" t="s">
        <v>1022</v>
      </c>
      <c r="B140" s="23">
        <v>91689</v>
      </c>
      <c r="C140" s="23" t="str">
        <f>VLOOKUP(B140,IF(A140="COMPOSICAO",S!$A:$E,I!$A:$E),2,FALSE)</f>
        <v>SINAPI</v>
      </c>
      <c r="D140" s="24" t="str">
        <f>VLOOKUP(B140,IF(A140="COMPOSICAO",S!$A:$E,I!$A:$E),3,FALSE)</f>
        <v>SERRA CIRCULAR DE BANCADA COM MOTOR ELÉTRICO POTÊNCIA DE 5HP, COM COIFA PARA DISCO 10" - JUROS. AF_08/2015</v>
      </c>
      <c r="E140" s="23" t="str">
        <f>VLOOKUP(B140,IF(A140="COMPOSICAO",S!$A:$E,I!$A:$E),4,FALSE)</f>
        <v>H</v>
      </c>
      <c r="F140" s="23">
        <v>1</v>
      </c>
      <c r="G140" s="71">
        <f>IF(A140="COMPOSICAO",VLOOKUP("TOTAL SEM BDI - "&amp;B140,CPUAUX4!$A:$J,9,FALSE),VLOOKUP(B140,I!$A:$E,5,FALSE))</f>
        <v>0.02</v>
      </c>
      <c r="H140" s="72"/>
      <c r="I140" s="71">
        <f>TRUNC(F140*G140,2)</f>
        <v>0.02</v>
      </c>
      <c r="J140" s="72"/>
      <c r="M140" s="23">
        <f>B140</f>
        <v>91689</v>
      </c>
      <c r="N140" s="23">
        <f>SUMIF(CPUAUX2!M:M,B139,CPUAUX2!O:O)</f>
        <v>1.3489390777500001</v>
      </c>
      <c r="O140" s="23">
        <f>F140*N140</f>
        <v>1.3489390777500001</v>
      </c>
      <c r="Q140" s="23">
        <f ca="1">SUMIF(CPUAUX2!M:M,B139,CPUAUX2!R:R)</f>
        <v>0.53957563109999995</v>
      </c>
      <c r="R140" s="23">
        <f ca="1">F140*Q140</f>
        <v>0.53957563109999995</v>
      </c>
    </row>
    <row r="141" spans="1:18" ht="45" customHeight="1" x14ac:dyDescent="0.3">
      <c r="A141" s="23" t="s">
        <v>1022</v>
      </c>
      <c r="B141" s="23">
        <v>91688</v>
      </c>
      <c r="C141" s="23" t="str">
        <f>VLOOKUP(B141,IF(A141="COMPOSICAO",S!$A:$E,I!$A:$E),2,FALSE)</f>
        <v>SINAPI</v>
      </c>
      <c r="D141" s="24" t="str">
        <f>VLOOKUP(B141,IF(A141="COMPOSICAO",S!$A:$E,I!$A:$E),3,FALSE)</f>
        <v>SERRA CIRCULAR DE BANCADA COM MOTOR ELÉTRICO POTÊNCIA DE 5HP, COM COIFA PARA DISCO 10" - DEPRECIAÇÃO. AF_08/2015</v>
      </c>
      <c r="E141" s="23" t="str">
        <f>VLOOKUP(B141,IF(A141="COMPOSICAO",S!$A:$E,I!$A:$E),4,FALSE)</f>
        <v>H</v>
      </c>
      <c r="F141" s="23">
        <v>1</v>
      </c>
      <c r="G141" s="71">
        <f>IF(A141="COMPOSICAO",VLOOKUP("TOTAL SEM BDI - "&amp;B141,CPUAUX4!$A:$J,9,FALSE),VLOOKUP(B141,I!$A:$E,5,FALSE))</f>
        <v>0.12</v>
      </c>
      <c r="H141" s="72"/>
      <c r="I141" s="71">
        <f>TRUNC(F141*G141,2)</f>
        <v>0.12</v>
      </c>
      <c r="J141" s="72"/>
      <c r="M141" s="23">
        <f>B141</f>
        <v>91688</v>
      </c>
      <c r="N141" s="23">
        <f>SUMIF(CPUAUX2!M:M,B139,CPUAUX2!O:O)</f>
        <v>1.3489390777500001</v>
      </c>
      <c r="O141" s="23">
        <f>F141*N141</f>
        <v>1.3489390777500001</v>
      </c>
      <c r="Q141" s="23">
        <f ca="1">SUMIF(CPUAUX2!M:M,B139,CPUAUX2!R:R)</f>
        <v>0.53957563109999995</v>
      </c>
      <c r="R141" s="23">
        <f ca="1">F141*Q141</f>
        <v>0.53957563109999995</v>
      </c>
    </row>
    <row r="142" spans="1:18" ht="30" customHeight="1" x14ac:dyDescent="0.3">
      <c r="A142" s="23" t="s">
        <v>1022</v>
      </c>
      <c r="B142" s="23">
        <v>88297</v>
      </c>
      <c r="C142" s="23" t="str">
        <f>VLOOKUP(B142,IF(A142="COMPOSICAO",S!$A:$E,I!$A:$E),2,FALSE)</f>
        <v>SINAPI</v>
      </c>
      <c r="D142" s="24" t="str">
        <f>VLOOKUP(B142,IF(A142="COMPOSICAO",S!$A:$E,I!$A:$E),3,FALSE)</f>
        <v>OPERADOR DE MÁQUINAS E EQUIPAMENTOS COM ENCARGOS COMPLEMENTARES</v>
      </c>
      <c r="E142" s="23" t="str">
        <f>VLOOKUP(B142,IF(A142="COMPOSICAO",S!$A:$E,I!$A:$E),4,FALSE)</f>
        <v>H</v>
      </c>
      <c r="F142" s="23">
        <v>1</v>
      </c>
      <c r="G142" s="71">
        <f>IF(A142="COMPOSICAO",VLOOKUP("TOTAL SEM BDI - "&amp;B142,CPUAUX4!$A:$J,9,FALSE),VLOOKUP(B142,I!$A:$E,5,FALSE))</f>
        <v>27.16</v>
      </c>
      <c r="H142" s="72"/>
      <c r="I142" s="71">
        <f>TRUNC(F142*G142,2)</f>
        <v>27.16</v>
      </c>
      <c r="J142" s="72"/>
      <c r="M142" s="23">
        <f>B142</f>
        <v>88297</v>
      </c>
      <c r="N142" s="23">
        <f>SUMIF(CPUAUX2!M:M,B139,CPUAUX2!O:O)</f>
        <v>1.3489390777500001</v>
      </c>
      <c r="O142" s="23">
        <f>F142*N142</f>
        <v>1.3489390777500001</v>
      </c>
      <c r="Q142" s="23">
        <f ca="1">SUMIF(CPUAUX2!M:M,B139,CPUAUX2!R:R)</f>
        <v>0.53957563109999995</v>
      </c>
      <c r="R142" s="23">
        <f ca="1">F142*Q142</f>
        <v>0.53957563109999995</v>
      </c>
    </row>
    <row r="143" spans="1:18" x14ac:dyDescent="0.3">
      <c r="A143" s="68" t="str">
        <f>"TOTAL SEM BDI - "&amp;B139</f>
        <v>TOTAL SEM BDI - 91693</v>
      </c>
      <c r="B143" s="69"/>
      <c r="C143" s="69"/>
      <c r="D143" s="69"/>
      <c r="E143" s="69"/>
      <c r="F143" s="69"/>
      <c r="G143" s="69"/>
      <c r="H143" s="70"/>
      <c r="I143" s="71">
        <f>SUM(I139:I142)</f>
        <v>27.3</v>
      </c>
      <c r="J143" s="72"/>
    </row>
    <row r="145" spans="1:18" x14ac:dyDescent="0.3">
      <c r="A145" s="4" t="s">
        <v>1018</v>
      </c>
      <c r="B145" s="4" t="s">
        <v>138</v>
      </c>
      <c r="C145" s="4" t="s">
        <v>139</v>
      </c>
      <c r="D145" s="4" t="s">
        <v>21</v>
      </c>
      <c r="E145" s="4" t="s">
        <v>140</v>
      </c>
      <c r="F145" s="4" t="s">
        <v>506</v>
      </c>
      <c r="G145" s="34" t="s">
        <v>1019</v>
      </c>
      <c r="H145" s="35"/>
      <c r="I145" s="34" t="s">
        <v>15</v>
      </c>
      <c r="J145" s="35"/>
    </row>
    <row r="146" spans="1:18" ht="45" customHeight="1" x14ac:dyDescent="0.3">
      <c r="A146" s="15" t="s">
        <v>1098</v>
      </c>
      <c r="B146" s="15">
        <v>91692</v>
      </c>
      <c r="C146" s="15" t="str">
        <f>VLOOKUP(B146,S!$A:$G,2,FALSE)</f>
        <v>SINAPI</v>
      </c>
      <c r="D146" s="22" t="str">
        <f>VLOOKUP(B146,S!$A:$G,3,FALSE)</f>
        <v>SERRA CIRCULAR DE BANCADA COM MOTOR ELÉTRICO POTÊNCIA DE 5HP, COM COIFA PARA DISCO 10" - CHP DIURNO. AF_08/2015</v>
      </c>
      <c r="E146" s="15" t="str">
        <f>VLOOKUP(B146,S!$A:$G,4,FALSE)</f>
        <v>CHP</v>
      </c>
      <c r="F146" s="15"/>
      <c r="G146" s="73">
        <f>I152</f>
        <v>28.87</v>
      </c>
      <c r="H146" s="74"/>
      <c r="I146" s="73"/>
      <c r="J146" s="74"/>
      <c r="K146" s="16">
        <f>VLOOKUP(B146,S!A:G,5,FALSE)</f>
        <v>28.87</v>
      </c>
      <c r="L146" s="15" t="str">
        <f>IF(K146=G146,"OK, CONFORME TABELA",IF(G146&gt;K146,"ACIMA DA TABELA: ","ABAIXO DA TABELA: ")&amp;TRUNC((G146*100)/K146,2)&amp;" %")</f>
        <v>OK, CONFORME TABELA</v>
      </c>
    </row>
    <row r="147" spans="1:18" ht="45" customHeight="1" x14ac:dyDescent="0.3">
      <c r="A147" s="23" t="s">
        <v>1022</v>
      </c>
      <c r="B147" s="23">
        <v>91691</v>
      </c>
      <c r="C147" s="23" t="str">
        <f>VLOOKUP(B147,IF(A147="COMPOSICAO",S!$A:$E,I!$A:$E),2,FALSE)</f>
        <v>SINAPI</v>
      </c>
      <c r="D147" s="24" t="str">
        <f>VLOOKUP(B147,IF(A147="COMPOSICAO",S!$A:$E,I!$A:$E),3,FALSE)</f>
        <v>SERRA CIRCULAR DE BANCADA COM MOTOR ELÉTRICO POTÊNCIA DE 5HP, COM COIFA PARA DISCO 10" - MATERIAIS NA OPERAÇÃO. AF_08/2015</v>
      </c>
      <c r="E147" s="23" t="str">
        <f>VLOOKUP(B147,IF(A147="COMPOSICAO",S!$A:$E,I!$A:$E),4,FALSE)</f>
        <v>H</v>
      </c>
      <c r="F147" s="23">
        <v>1</v>
      </c>
      <c r="G147" s="71">
        <f>IF(A147="COMPOSICAO",VLOOKUP("TOTAL SEM BDI - "&amp;B147,CPUAUX4!$A:$J,9,FALSE),VLOOKUP(B147,I!$A:$E,5,FALSE))</f>
        <v>1.49</v>
      </c>
      <c r="H147" s="72"/>
      <c r="I147" s="71">
        <f>TRUNC(F147*G147,2)</f>
        <v>1.49</v>
      </c>
      <c r="J147" s="72"/>
      <c r="M147" s="23">
        <f>B147</f>
        <v>91691</v>
      </c>
      <c r="N147" s="23">
        <f>SUMIF(CPUAUX2!M:M,B146,CPUAUX2!O:O)</f>
        <v>0.31435257915000003</v>
      </c>
      <c r="O147" s="23">
        <f>F147*N147</f>
        <v>0.31435257915000003</v>
      </c>
      <c r="Q147" s="23">
        <f ca="1">SUMIF(CPUAUX2!M:M,B146,CPUAUX2!R:R)</f>
        <v>0.12574103166</v>
      </c>
      <c r="R147" s="23">
        <f ca="1">F147*Q147</f>
        <v>0.12574103166</v>
      </c>
    </row>
    <row r="148" spans="1:18" ht="45" customHeight="1" x14ac:dyDescent="0.3">
      <c r="A148" s="23" t="s">
        <v>1022</v>
      </c>
      <c r="B148" s="23">
        <v>91690</v>
      </c>
      <c r="C148" s="23" t="str">
        <f>VLOOKUP(B148,IF(A148="COMPOSICAO",S!$A:$E,I!$A:$E),2,FALSE)</f>
        <v>SINAPI</v>
      </c>
      <c r="D148" s="24" t="str">
        <f>VLOOKUP(B148,IF(A148="COMPOSICAO",S!$A:$E,I!$A:$E),3,FALSE)</f>
        <v>SERRA CIRCULAR DE BANCADA COM MOTOR ELÉTRICO POTÊNCIA DE 5HP, COM COIFA PARA DISCO 10" - MANUTENÇÃO. AF_08/2015</v>
      </c>
      <c r="E148" s="23" t="str">
        <f>VLOOKUP(B148,IF(A148="COMPOSICAO",S!$A:$E,I!$A:$E),4,FALSE)</f>
        <v>H</v>
      </c>
      <c r="F148" s="23">
        <v>1</v>
      </c>
      <c r="G148" s="71">
        <f>IF(A148="COMPOSICAO",VLOOKUP("TOTAL SEM BDI - "&amp;B148,CPUAUX4!$A:$J,9,FALSE),VLOOKUP(B148,I!$A:$E,5,FALSE))</f>
        <v>0.08</v>
      </c>
      <c r="H148" s="72"/>
      <c r="I148" s="71">
        <f>TRUNC(F148*G148,2)</f>
        <v>0.08</v>
      </c>
      <c r="J148" s="72"/>
      <c r="M148" s="23">
        <f>B148</f>
        <v>91690</v>
      </c>
      <c r="N148" s="23">
        <f>SUMIF(CPUAUX2!M:M,B146,CPUAUX2!O:O)</f>
        <v>0.31435257915000003</v>
      </c>
      <c r="O148" s="23">
        <f>F148*N148</f>
        <v>0.31435257915000003</v>
      </c>
      <c r="Q148" s="23">
        <f ca="1">SUMIF(CPUAUX2!M:M,B146,CPUAUX2!R:R)</f>
        <v>0.12574103166</v>
      </c>
      <c r="R148" s="23">
        <f ca="1">F148*Q148</f>
        <v>0.12574103166</v>
      </c>
    </row>
    <row r="149" spans="1:18" ht="45" customHeight="1" x14ac:dyDescent="0.3">
      <c r="A149" s="23" t="s">
        <v>1022</v>
      </c>
      <c r="B149" s="23">
        <v>91689</v>
      </c>
      <c r="C149" s="23" t="str">
        <f>VLOOKUP(B149,IF(A149="COMPOSICAO",S!$A:$E,I!$A:$E),2,FALSE)</f>
        <v>SINAPI</v>
      </c>
      <c r="D149" s="24" t="str">
        <f>VLOOKUP(B149,IF(A149="COMPOSICAO",S!$A:$E,I!$A:$E),3,FALSE)</f>
        <v>SERRA CIRCULAR DE BANCADA COM MOTOR ELÉTRICO POTÊNCIA DE 5HP, COM COIFA PARA DISCO 10" - JUROS. AF_08/2015</v>
      </c>
      <c r="E149" s="23" t="str">
        <f>VLOOKUP(B149,IF(A149="COMPOSICAO",S!$A:$E,I!$A:$E),4,FALSE)</f>
        <v>H</v>
      </c>
      <c r="F149" s="23">
        <v>1</v>
      </c>
      <c r="G149" s="71">
        <f>IF(A149="COMPOSICAO",VLOOKUP("TOTAL SEM BDI - "&amp;B149,CPUAUX4!$A:$J,9,FALSE),VLOOKUP(B149,I!$A:$E,5,FALSE))</f>
        <v>0.02</v>
      </c>
      <c r="H149" s="72"/>
      <c r="I149" s="71">
        <f>TRUNC(F149*G149,2)</f>
        <v>0.02</v>
      </c>
      <c r="J149" s="72"/>
      <c r="M149" s="23">
        <f>B149</f>
        <v>91689</v>
      </c>
      <c r="N149" s="23">
        <f>SUMIF(CPUAUX2!M:M,B146,CPUAUX2!O:O)</f>
        <v>0.31435257915000003</v>
      </c>
      <c r="O149" s="23">
        <f>F149*N149</f>
        <v>0.31435257915000003</v>
      </c>
      <c r="Q149" s="23">
        <f ca="1">SUMIF(CPUAUX2!M:M,B146,CPUAUX2!R:R)</f>
        <v>0.12574103166</v>
      </c>
      <c r="R149" s="23">
        <f ca="1">F149*Q149</f>
        <v>0.12574103166</v>
      </c>
    </row>
    <row r="150" spans="1:18" ht="45" customHeight="1" x14ac:dyDescent="0.3">
      <c r="A150" s="23" t="s">
        <v>1022</v>
      </c>
      <c r="B150" s="23">
        <v>91688</v>
      </c>
      <c r="C150" s="23" t="str">
        <f>VLOOKUP(B150,IF(A150="COMPOSICAO",S!$A:$E,I!$A:$E),2,FALSE)</f>
        <v>SINAPI</v>
      </c>
      <c r="D150" s="24" t="str">
        <f>VLOOKUP(B150,IF(A150="COMPOSICAO",S!$A:$E,I!$A:$E),3,FALSE)</f>
        <v>SERRA CIRCULAR DE BANCADA COM MOTOR ELÉTRICO POTÊNCIA DE 5HP, COM COIFA PARA DISCO 10" - DEPRECIAÇÃO. AF_08/2015</v>
      </c>
      <c r="E150" s="23" t="str">
        <f>VLOOKUP(B150,IF(A150="COMPOSICAO",S!$A:$E,I!$A:$E),4,FALSE)</f>
        <v>H</v>
      </c>
      <c r="F150" s="23">
        <v>1</v>
      </c>
      <c r="G150" s="71">
        <f>IF(A150="COMPOSICAO",VLOOKUP("TOTAL SEM BDI - "&amp;B150,CPUAUX4!$A:$J,9,FALSE),VLOOKUP(B150,I!$A:$E,5,FALSE))</f>
        <v>0.12</v>
      </c>
      <c r="H150" s="72"/>
      <c r="I150" s="71">
        <f>TRUNC(F150*G150,2)</f>
        <v>0.12</v>
      </c>
      <c r="J150" s="72"/>
      <c r="M150" s="23">
        <f>B150</f>
        <v>91688</v>
      </c>
      <c r="N150" s="23">
        <f>SUMIF(CPUAUX2!M:M,B146,CPUAUX2!O:O)</f>
        <v>0.31435257915000003</v>
      </c>
      <c r="O150" s="23">
        <f>F150*N150</f>
        <v>0.31435257915000003</v>
      </c>
      <c r="Q150" s="23">
        <f ca="1">SUMIF(CPUAUX2!M:M,B146,CPUAUX2!R:R)</f>
        <v>0.12574103166</v>
      </c>
      <c r="R150" s="23">
        <f ca="1">F150*Q150</f>
        <v>0.12574103166</v>
      </c>
    </row>
    <row r="151" spans="1:18" ht="30" customHeight="1" x14ac:dyDescent="0.3">
      <c r="A151" s="23" t="s">
        <v>1022</v>
      </c>
      <c r="B151" s="23">
        <v>88297</v>
      </c>
      <c r="C151" s="23" t="str">
        <f>VLOOKUP(B151,IF(A151="COMPOSICAO",S!$A:$E,I!$A:$E),2,FALSE)</f>
        <v>SINAPI</v>
      </c>
      <c r="D151" s="24" t="str">
        <f>VLOOKUP(B151,IF(A151="COMPOSICAO",S!$A:$E,I!$A:$E),3,FALSE)</f>
        <v>OPERADOR DE MÁQUINAS E EQUIPAMENTOS COM ENCARGOS COMPLEMENTARES</v>
      </c>
      <c r="E151" s="23" t="str">
        <f>VLOOKUP(B151,IF(A151="COMPOSICAO",S!$A:$E,I!$A:$E),4,FALSE)</f>
        <v>H</v>
      </c>
      <c r="F151" s="23">
        <v>1</v>
      </c>
      <c r="G151" s="71">
        <f>IF(A151="COMPOSICAO",VLOOKUP("TOTAL SEM BDI - "&amp;B151,CPUAUX4!$A:$J,9,FALSE),VLOOKUP(B151,I!$A:$E,5,FALSE))</f>
        <v>27.16</v>
      </c>
      <c r="H151" s="72"/>
      <c r="I151" s="71">
        <f>TRUNC(F151*G151,2)</f>
        <v>27.16</v>
      </c>
      <c r="J151" s="72"/>
      <c r="M151" s="23">
        <f>B151</f>
        <v>88297</v>
      </c>
      <c r="N151" s="23">
        <f>SUMIF(CPUAUX2!M:M,B146,CPUAUX2!O:O)</f>
        <v>0.31435257915000003</v>
      </c>
      <c r="O151" s="23">
        <f>F151*N151</f>
        <v>0.31435257915000003</v>
      </c>
      <c r="Q151" s="23">
        <f ca="1">SUMIF(CPUAUX2!M:M,B146,CPUAUX2!R:R)</f>
        <v>0.12574103166</v>
      </c>
      <c r="R151" s="23">
        <f ca="1">F151*Q151</f>
        <v>0.12574103166</v>
      </c>
    </row>
    <row r="152" spans="1:18" x14ac:dyDescent="0.3">
      <c r="A152" s="68" t="str">
        <f>"TOTAL SEM BDI - "&amp;B146</f>
        <v>TOTAL SEM BDI - 91692</v>
      </c>
      <c r="B152" s="69"/>
      <c r="C152" s="69"/>
      <c r="D152" s="69"/>
      <c r="E152" s="69"/>
      <c r="F152" s="69"/>
      <c r="G152" s="69"/>
      <c r="H152" s="70"/>
      <c r="I152" s="71">
        <f>SUM(I146:I151)</f>
        <v>28.87</v>
      </c>
      <c r="J152" s="72"/>
    </row>
    <row r="154" spans="1:18" x14ac:dyDescent="0.3">
      <c r="A154" s="4" t="s">
        <v>1018</v>
      </c>
      <c r="B154" s="4" t="s">
        <v>138</v>
      </c>
      <c r="C154" s="4" t="s">
        <v>139</v>
      </c>
      <c r="D154" s="4" t="s">
        <v>21</v>
      </c>
      <c r="E154" s="4" t="s">
        <v>140</v>
      </c>
      <c r="F154" s="4" t="s">
        <v>506</v>
      </c>
      <c r="G154" s="34" t="s">
        <v>1019</v>
      </c>
      <c r="H154" s="35"/>
      <c r="I154" s="34" t="s">
        <v>15</v>
      </c>
      <c r="J154" s="35"/>
    </row>
    <row r="155" spans="1:18" ht="30" customHeight="1" x14ac:dyDescent="0.3">
      <c r="A155" s="15" t="s">
        <v>1093</v>
      </c>
      <c r="B155" s="15">
        <v>88262</v>
      </c>
      <c r="C155" s="15" t="str">
        <f>VLOOKUP(B155,S!$A:$G,2,FALSE)</f>
        <v>SINAPI</v>
      </c>
      <c r="D155" s="22" t="str">
        <f>VLOOKUP(B155,S!$A:$G,3,FALSE)</f>
        <v>CARPINTEIRO DE FORMAS COM ENCARGOS COMPLEMENTARES</v>
      </c>
      <c r="E155" s="15" t="str">
        <f>VLOOKUP(B155,S!$A:$G,4,FALSE)</f>
        <v>H</v>
      </c>
      <c r="F155" s="15"/>
      <c r="G155" s="73">
        <f>I164</f>
        <v>26.97</v>
      </c>
      <c r="H155" s="74"/>
      <c r="I155" s="73"/>
      <c r="J155" s="74"/>
      <c r="K155" s="16">
        <f>VLOOKUP(B155,S!A:G,5,FALSE)</f>
        <v>26.97</v>
      </c>
      <c r="L155" s="15" t="str">
        <f>IF(K155=G155,"OK, CONFORME TABELA",IF(G155&gt;K155,"ACIMA DA TABELA: ","ABAIXO DA TABELA: ")&amp;TRUNC((G155*100)/K155,2)&amp;" %")</f>
        <v>OK, CONFORME TABELA</v>
      </c>
    </row>
    <row r="156" spans="1:18" ht="30" customHeight="1" x14ac:dyDescent="0.3">
      <c r="A156" s="23" t="s">
        <v>1025</v>
      </c>
      <c r="B156" s="23">
        <v>43483</v>
      </c>
      <c r="C156" s="23" t="str">
        <f>VLOOKUP(B156,IF(A156="COMPOSICAO",S!$A:$E,I!$A:$E),2,FALSE)</f>
        <v>SINAPI</v>
      </c>
      <c r="D156" s="24" t="str">
        <f>VLOOKUP(B156,IF(A156="COMPOSICAO",S!$A:$E,I!$A:$E),3,FALSE)</f>
        <v>EPI - FAMILIA CARPINTEIRO DE FORMAS - HORISTA (ENCARGOS COMPLEMENTARES - COLETADO CAIXA)</v>
      </c>
      <c r="E156" s="23" t="str">
        <f>VLOOKUP(B156,IF(A156="COMPOSICAO",S!$A:$E,I!$A:$E),4,FALSE)</f>
        <v>H</v>
      </c>
      <c r="F156" s="23">
        <v>1</v>
      </c>
      <c r="G156" s="71">
        <f>IF(A156="COMPOSICAO",VLOOKUP("TOTAL SEM BDI - "&amp;B156,CPUAUX4!$A:$J,9,FALSE),VLOOKUP(B156,I!$A:$E,5,FALSE))</f>
        <v>1.43</v>
      </c>
      <c r="H156" s="72"/>
      <c r="I156" s="71">
        <f t="shared" ref="I156:I163" si="4">TRUNC(F156*G156,2)</f>
        <v>1.43</v>
      </c>
      <c r="J156" s="72"/>
      <c r="M156" s="23">
        <f t="shared" ref="M156:M163" si="5">B156</f>
        <v>43483</v>
      </c>
      <c r="N156" s="23">
        <f>SUMIF(CPUAUX2!M:M,B155,CPUAUX2!O:O)</f>
        <v>3.5117891928000002</v>
      </c>
      <c r="O156" s="23">
        <f t="shared" ref="O156:O163" si="6">F156*N156</f>
        <v>3.5117891928000002</v>
      </c>
      <c r="Q156" s="23">
        <f ca="1">SUMIF(CPUAUX2!M:M,B155,CPUAUX2!R:R)</f>
        <v>1.4047156771200002</v>
      </c>
      <c r="R156" s="23">
        <f t="shared" ref="R156:R163" ca="1" si="7">F156*Q156</f>
        <v>1.4047156771200002</v>
      </c>
    </row>
    <row r="157" spans="1:18" ht="45" customHeight="1" x14ac:dyDescent="0.3">
      <c r="A157" s="23" t="s">
        <v>1025</v>
      </c>
      <c r="B157" s="23">
        <v>43459</v>
      </c>
      <c r="C157" s="23" t="str">
        <f>VLOOKUP(B157,IF(A157="COMPOSICAO",S!$A:$E,I!$A:$E),2,FALSE)</f>
        <v>SINAPI</v>
      </c>
      <c r="D157" s="24" t="str">
        <f>VLOOKUP(B157,IF(A157="COMPOSICAO",S!$A:$E,I!$A:$E),3,FALSE)</f>
        <v>FERRAMENTAS - FAMILIA CARPINTEIRO DE FORMAS - HORISTA (ENCARGOS COMPLEMENTARES - COLETADO CAIXA)</v>
      </c>
      <c r="E157" s="23" t="str">
        <f>VLOOKUP(B157,IF(A157="COMPOSICAO",S!$A:$E,I!$A:$E),4,FALSE)</f>
        <v>H</v>
      </c>
      <c r="F157" s="23">
        <v>1</v>
      </c>
      <c r="G157" s="71">
        <f>IF(A157="COMPOSICAO",VLOOKUP("TOTAL SEM BDI - "&amp;B157,CPUAUX4!$A:$J,9,FALSE),VLOOKUP(B157,I!$A:$E,5,FALSE))</f>
        <v>0.44</v>
      </c>
      <c r="H157" s="72"/>
      <c r="I157" s="71">
        <f t="shared" si="4"/>
        <v>0.44</v>
      </c>
      <c r="J157" s="72"/>
      <c r="M157" s="23">
        <f t="shared" si="5"/>
        <v>43459</v>
      </c>
      <c r="N157" s="23">
        <f>SUMIF(CPUAUX2!M:M,B155,CPUAUX2!O:O)</f>
        <v>3.5117891928000002</v>
      </c>
      <c r="O157" s="23">
        <f t="shared" si="6"/>
        <v>3.5117891928000002</v>
      </c>
      <c r="Q157" s="23">
        <f ca="1">SUMIF(CPUAUX2!M:M,B155,CPUAUX2!R:R)</f>
        <v>1.4047156771200002</v>
      </c>
      <c r="R157" s="23">
        <f t="shared" ca="1" si="7"/>
        <v>1.4047156771200002</v>
      </c>
    </row>
    <row r="158" spans="1:18" ht="30" customHeight="1" x14ac:dyDescent="0.3">
      <c r="A158" s="23" t="s">
        <v>1025</v>
      </c>
      <c r="B158" s="23">
        <v>37373</v>
      </c>
      <c r="C158" s="23" t="str">
        <f>VLOOKUP(B158,IF(A158="COMPOSICAO",S!$A:$E,I!$A:$E),2,FALSE)</f>
        <v>SINAPI</v>
      </c>
      <c r="D158" s="24" t="str">
        <f>VLOOKUP(B158,IF(A158="COMPOSICAO",S!$A:$E,I!$A:$E),3,FALSE)</f>
        <v>SEGURO - HORISTA (COLETADO CAIXA - ENCARGOS COMPLEMENTARES)</v>
      </c>
      <c r="E158" s="23" t="str">
        <f>VLOOKUP(B158,IF(A158="COMPOSICAO",S!$A:$E,I!$A:$E),4,FALSE)</f>
        <v>H</v>
      </c>
      <c r="F158" s="23">
        <v>1</v>
      </c>
      <c r="G158" s="71">
        <f>IF(A158="COMPOSICAO",VLOOKUP("TOTAL SEM BDI - "&amp;B158,CPUAUX4!$A:$J,9,FALSE),VLOOKUP(B158,I!$A:$E,5,FALSE))</f>
        <v>0.08</v>
      </c>
      <c r="H158" s="72"/>
      <c r="I158" s="71">
        <f t="shared" si="4"/>
        <v>0.08</v>
      </c>
      <c r="J158" s="72"/>
      <c r="M158" s="23">
        <f t="shared" si="5"/>
        <v>37373</v>
      </c>
      <c r="N158" s="23">
        <f>SUMIF(CPUAUX2!M:M,B155,CPUAUX2!O:O)</f>
        <v>3.5117891928000002</v>
      </c>
      <c r="O158" s="23">
        <f t="shared" si="6"/>
        <v>3.5117891928000002</v>
      </c>
      <c r="Q158" s="23">
        <f ca="1">SUMIF(CPUAUX2!M:M,B155,CPUAUX2!R:R)</f>
        <v>1.4047156771200002</v>
      </c>
      <c r="R158" s="23">
        <f t="shared" ca="1" si="7"/>
        <v>1.4047156771200002</v>
      </c>
    </row>
    <row r="159" spans="1:18" ht="30" customHeight="1" x14ac:dyDescent="0.3">
      <c r="A159" s="23" t="s">
        <v>1025</v>
      </c>
      <c r="B159" s="23">
        <v>37372</v>
      </c>
      <c r="C159" s="23" t="str">
        <f>VLOOKUP(B159,IF(A159="COMPOSICAO",S!$A:$E,I!$A:$E),2,FALSE)</f>
        <v>SINAPI</v>
      </c>
      <c r="D159" s="24" t="str">
        <f>VLOOKUP(B159,IF(A159="COMPOSICAO",S!$A:$E,I!$A:$E),3,FALSE)</f>
        <v>EXAMES - HORISTA (COLETADO CAIXA - ENCARGOS COMPLEMENTARES)</v>
      </c>
      <c r="E159" s="23" t="str">
        <f>VLOOKUP(B159,IF(A159="COMPOSICAO",S!$A:$E,I!$A:$E),4,FALSE)</f>
        <v>H</v>
      </c>
      <c r="F159" s="23">
        <v>1</v>
      </c>
      <c r="G159" s="71">
        <f>IF(A159="COMPOSICAO",VLOOKUP("TOTAL SEM BDI - "&amp;B159,CPUAUX4!$A:$J,9,FALSE),VLOOKUP(B159,I!$A:$E,5,FALSE))</f>
        <v>1.43</v>
      </c>
      <c r="H159" s="72"/>
      <c r="I159" s="71">
        <f t="shared" si="4"/>
        <v>1.43</v>
      </c>
      <c r="J159" s="72"/>
      <c r="M159" s="23">
        <f t="shared" si="5"/>
        <v>37372</v>
      </c>
      <c r="N159" s="23">
        <f>SUMIF(CPUAUX2!M:M,B155,CPUAUX2!O:O)</f>
        <v>3.5117891928000002</v>
      </c>
      <c r="O159" s="23">
        <f t="shared" si="6"/>
        <v>3.5117891928000002</v>
      </c>
      <c r="Q159" s="23">
        <f ca="1">SUMIF(CPUAUX2!M:M,B155,CPUAUX2!R:R)</f>
        <v>1.4047156771200002</v>
      </c>
      <c r="R159" s="23">
        <f t="shared" ca="1" si="7"/>
        <v>1.4047156771200002</v>
      </c>
    </row>
    <row r="160" spans="1:18" ht="30" customHeight="1" x14ac:dyDescent="0.3">
      <c r="A160" s="23" t="s">
        <v>1025</v>
      </c>
      <c r="B160" s="23">
        <v>37371</v>
      </c>
      <c r="C160" s="23" t="str">
        <f>VLOOKUP(B160,IF(A160="COMPOSICAO",S!$A:$E,I!$A:$E),2,FALSE)</f>
        <v>SINAPI</v>
      </c>
      <c r="D160" s="24" t="str">
        <f>VLOOKUP(B160,IF(A160="COMPOSICAO",S!$A:$E,I!$A:$E),3,FALSE)</f>
        <v>TRANSPORTE - HORISTA (COLETADO CAIXA - ENCARGOS COMPLEMENTARES)</v>
      </c>
      <c r="E160" s="23" t="str">
        <f>VLOOKUP(B160,IF(A160="COMPOSICAO",S!$A:$E,I!$A:$E),4,FALSE)</f>
        <v>H</v>
      </c>
      <c r="F160" s="23">
        <v>1</v>
      </c>
      <c r="G160" s="71">
        <f>IF(A160="COMPOSICAO",VLOOKUP("TOTAL SEM BDI - "&amp;B160,CPUAUX4!$A:$J,9,FALSE),VLOOKUP(B160,I!$A:$E,5,FALSE))</f>
        <v>0.56999999999999995</v>
      </c>
      <c r="H160" s="72"/>
      <c r="I160" s="71">
        <f t="shared" si="4"/>
        <v>0.56999999999999995</v>
      </c>
      <c r="J160" s="72"/>
      <c r="M160" s="23">
        <f t="shared" si="5"/>
        <v>37371</v>
      </c>
      <c r="N160" s="23">
        <f>SUMIF(CPUAUX2!M:M,B155,CPUAUX2!O:O)</f>
        <v>3.5117891928000002</v>
      </c>
      <c r="O160" s="23">
        <f t="shared" si="6"/>
        <v>3.5117891928000002</v>
      </c>
      <c r="Q160" s="23">
        <f ca="1">SUMIF(CPUAUX2!M:M,B155,CPUAUX2!R:R)</f>
        <v>1.4047156771200002</v>
      </c>
      <c r="R160" s="23">
        <f t="shared" ca="1" si="7"/>
        <v>1.4047156771200002</v>
      </c>
    </row>
    <row r="161" spans="1:18" ht="30" customHeight="1" x14ac:dyDescent="0.3">
      <c r="A161" s="23" t="s">
        <v>1025</v>
      </c>
      <c r="B161" s="23">
        <v>37370</v>
      </c>
      <c r="C161" s="23" t="str">
        <f>VLOOKUP(B161,IF(A161="COMPOSICAO",S!$A:$E,I!$A:$E),2,FALSE)</f>
        <v>SINAPI</v>
      </c>
      <c r="D161" s="24" t="str">
        <f>VLOOKUP(B161,IF(A161="COMPOSICAO",S!$A:$E,I!$A:$E),3,FALSE)</f>
        <v>ALIMENTACAO - HORISTA (COLETADO CAIXA - ENCARGOS COMPLEMENTARES)</v>
      </c>
      <c r="E161" s="23" t="str">
        <f>VLOOKUP(B161,IF(A161="COMPOSICAO",S!$A:$E,I!$A:$E),4,FALSE)</f>
        <v>H</v>
      </c>
      <c r="F161" s="23">
        <v>1</v>
      </c>
      <c r="G161" s="71">
        <f>IF(A161="COMPOSICAO",VLOOKUP("TOTAL SEM BDI - "&amp;B161,CPUAUX4!$A:$J,9,FALSE),VLOOKUP(B161,I!$A:$E,5,FALSE))</f>
        <v>2.46</v>
      </c>
      <c r="H161" s="72"/>
      <c r="I161" s="71">
        <f t="shared" si="4"/>
        <v>2.46</v>
      </c>
      <c r="J161" s="72"/>
      <c r="M161" s="23">
        <f t="shared" si="5"/>
        <v>37370</v>
      </c>
      <c r="N161" s="23">
        <f>SUMIF(CPUAUX2!M:M,B155,CPUAUX2!O:O)</f>
        <v>3.5117891928000002</v>
      </c>
      <c r="O161" s="23">
        <f t="shared" si="6"/>
        <v>3.5117891928000002</v>
      </c>
      <c r="Q161" s="23">
        <f ca="1">SUMIF(CPUAUX2!M:M,B155,CPUAUX2!R:R)</f>
        <v>1.4047156771200002</v>
      </c>
      <c r="R161" s="23">
        <f t="shared" ca="1" si="7"/>
        <v>1.4047156771200002</v>
      </c>
    </row>
    <row r="162" spans="1:18" ht="15" customHeight="1" x14ac:dyDescent="0.3">
      <c r="A162" s="23" t="s">
        <v>1025</v>
      </c>
      <c r="B162" s="23">
        <v>1213</v>
      </c>
      <c r="C162" s="23" t="str">
        <f>VLOOKUP(B162,IF(A162="COMPOSICAO",S!$A:$E,I!$A:$E),2,FALSE)</f>
        <v>SINAPI</v>
      </c>
      <c r="D162" s="24" t="str">
        <f>VLOOKUP(B162,IF(A162="COMPOSICAO",S!$A:$E,I!$A:$E),3,FALSE)</f>
        <v>CARPINTEIRO DE FORMAS PARA CONCRETO (HORISTA)</v>
      </c>
      <c r="E162" s="23" t="str">
        <f>VLOOKUP(B162,IF(A162="COMPOSICAO",S!$A:$E,I!$A:$E),4,FALSE)</f>
        <v>H</v>
      </c>
      <c r="F162" s="23">
        <v>1</v>
      </c>
      <c r="G162" s="71">
        <f>IF(A162="COMPOSICAO",VLOOKUP("TOTAL SEM BDI - "&amp;B162,CPUAUX4!$A:$J,9,FALSE),VLOOKUP(B162,I!$A:$E,5,FALSE))</f>
        <v>20.329999999999998</v>
      </c>
      <c r="H162" s="72"/>
      <c r="I162" s="71">
        <f t="shared" si="4"/>
        <v>20.329999999999998</v>
      </c>
      <c r="J162" s="72"/>
      <c r="M162" s="23">
        <f t="shared" si="5"/>
        <v>1213</v>
      </c>
      <c r="N162" s="23">
        <f>SUMIF(CPUAUX2!M:M,B155,CPUAUX2!O:O)</f>
        <v>3.5117891928000002</v>
      </c>
      <c r="O162" s="23">
        <f t="shared" si="6"/>
        <v>3.5117891928000002</v>
      </c>
      <c r="Q162" s="23">
        <f ca="1">SUMIF(CPUAUX2!M:M,B155,CPUAUX2!R:R)</f>
        <v>1.4047156771200002</v>
      </c>
      <c r="R162" s="23">
        <f t="shared" ca="1" si="7"/>
        <v>1.4047156771200002</v>
      </c>
    </row>
    <row r="163" spans="1:18" ht="30" customHeight="1" x14ac:dyDescent="0.3">
      <c r="A163" s="23" t="s">
        <v>1022</v>
      </c>
      <c r="B163" s="23">
        <v>95330</v>
      </c>
      <c r="C163" s="23" t="str">
        <f>VLOOKUP(B163,IF(A163="COMPOSICAO",S!$A:$E,I!$A:$E),2,FALSE)</f>
        <v>SINAPI</v>
      </c>
      <c r="D163" s="24" t="str">
        <f>VLOOKUP(B163,IF(A163="COMPOSICAO",S!$A:$E,I!$A:$E),3,FALSE)</f>
        <v>CURSO DE CAPACITAÇÃO PARA CARPINTEIRO DE FÔRMAS (ENCARGOS COMPLEMENTARES) - HORISTA</v>
      </c>
      <c r="E163" s="23" t="str">
        <f>VLOOKUP(B163,IF(A163="COMPOSICAO",S!$A:$E,I!$A:$E),4,FALSE)</f>
        <v>H</v>
      </c>
      <c r="F163" s="23">
        <v>1</v>
      </c>
      <c r="G163" s="71">
        <f>IF(A163="COMPOSICAO",VLOOKUP("TOTAL SEM BDI - "&amp;B163,CPUAUX4!$A:$J,9,FALSE),VLOOKUP(B163,I!$A:$E,5,FALSE))</f>
        <v>0.23</v>
      </c>
      <c r="H163" s="72"/>
      <c r="I163" s="71">
        <f t="shared" si="4"/>
        <v>0.23</v>
      </c>
      <c r="J163" s="72"/>
      <c r="M163" s="23">
        <f t="shared" si="5"/>
        <v>95330</v>
      </c>
      <c r="N163" s="23">
        <f>SUMIF(CPUAUX2!M:M,B155,CPUAUX2!O:O)</f>
        <v>3.5117891928000002</v>
      </c>
      <c r="O163" s="23">
        <f t="shared" si="6"/>
        <v>3.5117891928000002</v>
      </c>
      <c r="Q163" s="23">
        <f ca="1">SUMIF(CPUAUX2!M:M,B155,CPUAUX2!R:R)</f>
        <v>1.4047156771200002</v>
      </c>
      <c r="R163" s="23">
        <f t="shared" ca="1" si="7"/>
        <v>1.4047156771200002</v>
      </c>
    </row>
    <row r="164" spans="1:18" x14ac:dyDescent="0.3">
      <c r="A164" s="68" t="str">
        <f>"TOTAL SEM BDI - "&amp;B155</f>
        <v>TOTAL SEM BDI - 88262</v>
      </c>
      <c r="B164" s="69"/>
      <c r="C164" s="69"/>
      <c r="D164" s="69"/>
      <c r="E164" s="69"/>
      <c r="F164" s="69"/>
      <c r="G164" s="69"/>
      <c r="H164" s="70"/>
      <c r="I164" s="71">
        <f>SUM(I155:I163)</f>
        <v>26.97</v>
      </c>
      <c r="J164" s="72"/>
    </row>
    <row r="166" spans="1:18" x14ac:dyDescent="0.3">
      <c r="A166" s="4" t="s">
        <v>1018</v>
      </c>
      <c r="B166" s="4" t="s">
        <v>138</v>
      </c>
      <c r="C166" s="4" t="s">
        <v>139</v>
      </c>
      <c r="D166" s="4" t="s">
        <v>21</v>
      </c>
      <c r="E166" s="4" t="s">
        <v>140</v>
      </c>
      <c r="F166" s="4" t="s">
        <v>506</v>
      </c>
      <c r="G166" s="34" t="s">
        <v>1019</v>
      </c>
      <c r="H166" s="35"/>
      <c r="I166" s="34" t="s">
        <v>15</v>
      </c>
      <c r="J166" s="35"/>
    </row>
    <row r="167" spans="1:18" ht="30" customHeight="1" x14ac:dyDescent="0.3">
      <c r="A167" s="15" t="s">
        <v>1093</v>
      </c>
      <c r="B167" s="15">
        <v>88239</v>
      </c>
      <c r="C167" s="15" t="str">
        <f>VLOOKUP(B167,S!$A:$G,2,FALSE)</f>
        <v>SINAPI</v>
      </c>
      <c r="D167" s="22" t="str">
        <f>VLOOKUP(B167,S!$A:$G,3,FALSE)</f>
        <v>AJUDANTE DE CARPINTEIRO COM ENCARGOS COMPLEMENTARES</v>
      </c>
      <c r="E167" s="15" t="str">
        <f>VLOOKUP(B167,S!$A:$G,4,FALSE)</f>
        <v>H</v>
      </c>
      <c r="F167" s="15"/>
      <c r="G167" s="73">
        <f>I176</f>
        <v>22.2</v>
      </c>
      <c r="H167" s="74"/>
      <c r="I167" s="73"/>
      <c r="J167" s="74"/>
      <c r="K167" s="16">
        <f>VLOOKUP(B167,S!A:G,5,FALSE)</f>
        <v>22.2</v>
      </c>
      <c r="L167" s="15" t="str">
        <f>IF(K167=G167,"OK, CONFORME TABELA",IF(G167&gt;K167,"ACIMA DA TABELA: ","ABAIXO DA TABELA: ")&amp;TRUNC((G167*100)/K167,2)&amp;" %")</f>
        <v>OK, CONFORME TABELA</v>
      </c>
    </row>
    <row r="168" spans="1:18" ht="30" customHeight="1" x14ac:dyDescent="0.3">
      <c r="A168" s="23" t="s">
        <v>1025</v>
      </c>
      <c r="B168" s="23">
        <v>43483</v>
      </c>
      <c r="C168" s="23" t="str">
        <f>VLOOKUP(B168,IF(A168="COMPOSICAO",S!$A:$E,I!$A:$E),2,FALSE)</f>
        <v>SINAPI</v>
      </c>
      <c r="D168" s="24" t="str">
        <f>VLOOKUP(B168,IF(A168="COMPOSICAO",S!$A:$E,I!$A:$E),3,FALSE)</f>
        <v>EPI - FAMILIA CARPINTEIRO DE FORMAS - HORISTA (ENCARGOS COMPLEMENTARES - COLETADO CAIXA)</v>
      </c>
      <c r="E168" s="23" t="str">
        <f>VLOOKUP(B168,IF(A168="COMPOSICAO",S!$A:$E,I!$A:$E),4,FALSE)</f>
        <v>H</v>
      </c>
      <c r="F168" s="23">
        <v>1</v>
      </c>
      <c r="G168" s="71">
        <f>IF(A168="COMPOSICAO",VLOOKUP("TOTAL SEM BDI - "&amp;B168,CPUAUX4!$A:$J,9,FALSE),VLOOKUP(B168,I!$A:$E,5,FALSE))</f>
        <v>1.43</v>
      </c>
      <c r="H168" s="72"/>
      <c r="I168" s="71">
        <f t="shared" ref="I168:I175" si="8">TRUNC(F168*G168,2)</f>
        <v>1.43</v>
      </c>
      <c r="J168" s="72"/>
      <c r="M168" s="23">
        <f t="shared" ref="M168:M175" si="9">B168</f>
        <v>43483</v>
      </c>
      <c r="N168" s="23">
        <f>SUMIF(CPUAUX2!M:M,B167,CPUAUX2!O:O)</f>
        <v>0.86720131530000022</v>
      </c>
      <c r="O168" s="23">
        <f t="shared" ref="O168:O175" si="10">F168*N168</f>
        <v>0.86720131530000022</v>
      </c>
      <c r="Q168" s="23">
        <f ca="1">SUMIF(CPUAUX2!M:M,B167,CPUAUX2!R:R)</f>
        <v>0.34688052612000009</v>
      </c>
      <c r="R168" s="23">
        <f t="shared" ref="R168:R175" ca="1" si="11">F168*Q168</f>
        <v>0.34688052612000009</v>
      </c>
    </row>
    <row r="169" spans="1:18" ht="45" customHeight="1" x14ac:dyDescent="0.3">
      <c r="A169" s="23" t="s">
        <v>1025</v>
      </c>
      <c r="B169" s="23">
        <v>43459</v>
      </c>
      <c r="C169" s="23" t="str">
        <f>VLOOKUP(B169,IF(A169="COMPOSICAO",S!$A:$E,I!$A:$E),2,FALSE)</f>
        <v>SINAPI</v>
      </c>
      <c r="D169" s="24" t="str">
        <f>VLOOKUP(B169,IF(A169="COMPOSICAO",S!$A:$E,I!$A:$E),3,FALSE)</f>
        <v>FERRAMENTAS - FAMILIA CARPINTEIRO DE FORMAS - HORISTA (ENCARGOS COMPLEMENTARES - COLETADO CAIXA)</v>
      </c>
      <c r="E169" s="23" t="str">
        <f>VLOOKUP(B169,IF(A169="COMPOSICAO",S!$A:$E,I!$A:$E),4,FALSE)</f>
        <v>H</v>
      </c>
      <c r="F169" s="23">
        <v>1</v>
      </c>
      <c r="G169" s="71">
        <f>IF(A169="COMPOSICAO",VLOOKUP("TOTAL SEM BDI - "&amp;B169,CPUAUX4!$A:$J,9,FALSE),VLOOKUP(B169,I!$A:$E,5,FALSE))</f>
        <v>0.44</v>
      </c>
      <c r="H169" s="72"/>
      <c r="I169" s="71">
        <f t="shared" si="8"/>
        <v>0.44</v>
      </c>
      <c r="J169" s="72"/>
      <c r="M169" s="23">
        <f t="shared" si="9"/>
        <v>43459</v>
      </c>
      <c r="N169" s="23">
        <f>SUMIF(CPUAUX2!M:M,B167,CPUAUX2!O:O)</f>
        <v>0.86720131530000022</v>
      </c>
      <c r="O169" s="23">
        <f t="shared" si="10"/>
        <v>0.86720131530000022</v>
      </c>
      <c r="Q169" s="23">
        <f ca="1">SUMIF(CPUAUX2!M:M,B167,CPUAUX2!R:R)</f>
        <v>0.34688052612000009</v>
      </c>
      <c r="R169" s="23">
        <f t="shared" ca="1" si="11"/>
        <v>0.34688052612000009</v>
      </c>
    </row>
    <row r="170" spans="1:18" ht="30" customHeight="1" x14ac:dyDescent="0.3">
      <c r="A170" s="23" t="s">
        <v>1025</v>
      </c>
      <c r="B170" s="23">
        <v>37373</v>
      </c>
      <c r="C170" s="23" t="str">
        <f>VLOOKUP(B170,IF(A170="COMPOSICAO",S!$A:$E,I!$A:$E),2,FALSE)</f>
        <v>SINAPI</v>
      </c>
      <c r="D170" s="24" t="str">
        <f>VLOOKUP(B170,IF(A170="COMPOSICAO",S!$A:$E,I!$A:$E),3,FALSE)</f>
        <v>SEGURO - HORISTA (COLETADO CAIXA - ENCARGOS COMPLEMENTARES)</v>
      </c>
      <c r="E170" s="23" t="str">
        <f>VLOOKUP(B170,IF(A170="COMPOSICAO",S!$A:$E,I!$A:$E),4,FALSE)</f>
        <v>H</v>
      </c>
      <c r="F170" s="23">
        <v>1</v>
      </c>
      <c r="G170" s="71">
        <f>IF(A170="COMPOSICAO",VLOOKUP("TOTAL SEM BDI - "&amp;B170,CPUAUX4!$A:$J,9,FALSE),VLOOKUP(B170,I!$A:$E,5,FALSE))</f>
        <v>0.08</v>
      </c>
      <c r="H170" s="72"/>
      <c r="I170" s="71">
        <f t="shared" si="8"/>
        <v>0.08</v>
      </c>
      <c r="J170" s="72"/>
      <c r="M170" s="23">
        <f t="shared" si="9"/>
        <v>37373</v>
      </c>
      <c r="N170" s="23">
        <f>SUMIF(CPUAUX2!M:M,B167,CPUAUX2!O:O)</f>
        <v>0.86720131530000022</v>
      </c>
      <c r="O170" s="23">
        <f t="shared" si="10"/>
        <v>0.86720131530000022</v>
      </c>
      <c r="Q170" s="23">
        <f ca="1">SUMIF(CPUAUX2!M:M,B167,CPUAUX2!R:R)</f>
        <v>0.34688052612000009</v>
      </c>
      <c r="R170" s="23">
        <f t="shared" ca="1" si="11"/>
        <v>0.34688052612000009</v>
      </c>
    </row>
    <row r="171" spans="1:18" ht="30" customHeight="1" x14ac:dyDescent="0.3">
      <c r="A171" s="23" t="s">
        <v>1025</v>
      </c>
      <c r="B171" s="23">
        <v>37372</v>
      </c>
      <c r="C171" s="23" t="str">
        <f>VLOOKUP(B171,IF(A171="COMPOSICAO",S!$A:$E,I!$A:$E),2,FALSE)</f>
        <v>SINAPI</v>
      </c>
      <c r="D171" s="24" t="str">
        <f>VLOOKUP(B171,IF(A171="COMPOSICAO",S!$A:$E,I!$A:$E),3,FALSE)</f>
        <v>EXAMES - HORISTA (COLETADO CAIXA - ENCARGOS COMPLEMENTARES)</v>
      </c>
      <c r="E171" s="23" t="str">
        <f>VLOOKUP(B171,IF(A171="COMPOSICAO",S!$A:$E,I!$A:$E),4,FALSE)</f>
        <v>H</v>
      </c>
      <c r="F171" s="23">
        <v>1</v>
      </c>
      <c r="G171" s="71">
        <f>IF(A171="COMPOSICAO",VLOOKUP("TOTAL SEM BDI - "&amp;B171,CPUAUX4!$A:$J,9,FALSE),VLOOKUP(B171,I!$A:$E,5,FALSE))</f>
        <v>1.43</v>
      </c>
      <c r="H171" s="72"/>
      <c r="I171" s="71">
        <f t="shared" si="8"/>
        <v>1.43</v>
      </c>
      <c r="J171" s="72"/>
      <c r="M171" s="23">
        <f t="shared" si="9"/>
        <v>37372</v>
      </c>
      <c r="N171" s="23">
        <f>SUMIF(CPUAUX2!M:M,B167,CPUAUX2!O:O)</f>
        <v>0.86720131530000022</v>
      </c>
      <c r="O171" s="23">
        <f t="shared" si="10"/>
        <v>0.86720131530000022</v>
      </c>
      <c r="Q171" s="23">
        <f ca="1">SUMIF(CPUAUX2!M:M,B167,CPUAUX2!R:R)</f>
        <v>0.34688052612000009</v>
      </c>
      <c r="R171" s="23">
        <f t="shared" ca="1" si="11"/>
        <v>0.34688052612000009</v>
      </c>
    </row>
    <row r="172" spans="1:18" ht="30" customHeight="1" x14ac:dyDescent="0.3">
      <c r="A172" s="23" t="s">
        <v>1025</v>
      </c>
      <c r="B172" s="23">
        <v>37371</v>
      </c>
      <c r="C172" s="23" t="str">
        <f>VLOOKUP(B172,IF(A172="COMPOSICAO",S!$A:$E,I!$A:$E),2,FALSE)</f>
        <v>SINAPI</v>
      </c>
      <c r="D172" s="24" t="str">
        <f>VLOOKUP(B172,IF(A172="COMPOSICAO",S!$A:$E,I!$A:$E),3,FALSE)</f>
        <v>TRANSPORTE - HORISTA (COLETADO CAIXA - ENCARGOS COMPLEMENTARES)</v>
      </c>
      <c r="E172" s="23" t="str">
        <f>VLOOKUP(B172,IF(A172="COMPOSICAO",S!$A:$E,I!$A:$E),4,FALSE)</f>
        <v>H</v>
      </c>
      <c r="F172" s="23">
        <v>1</v>
      </c>
      <c r="G172" s="71">
        <f>IF(A172="COMPOSICAO",VLOOKUP("TOTAL SEM BDI - "&amp;B172,CPUAUX4!$A:$J,9,FALSE),VLOOKUP(B172,I!$A:$E,5,FALSE))</f>
        <v>0.56999999999999995</v>
      </c>
      <c r="H172" s="72"/>
      <c r="I172" s="71">
        <f t="shared" si="8"/>
        <v>0.56999999999999995</v>
      </c>
      <c r="J172" s="72"/>
      <c r="M172" s="23">
        <f t="shared" si="9"/>
        <v>37371</v>
      </c>
      <c r="N172" s="23">
        <f>SUMIF(CPUAUX2!M:M,B167,CPUAUX2!O:O)</f>
        <v>0.86720131530000022</v>
      </c>
      <c r="O172" s="23">
        <f t="shared" si="10"/>
        <v>0.86720131530000022</v>
      </c>
      <c r="Q172" s="23">
        <f ca="1">SUMIF(CPUAUX2!M:M,B167,CPUAUX2!R:R)</f>
        <v>0.34688052612000009</v>
      </c>
      <c r="R172" s="23">
        <f t="shared" ca="1" si="11"/>
        <v>0.34688052612000009</v>
      </c>
    </row>
    <row r="173" spans="1:18" ht="30" customHeight="1" x14ac:dyDescent="0.3">
      <c r="A173" s="23" t="s">
        <v>1025</v>
      </c>
      <c r="B173" s="23">
        <v>37370</v>
      </c>
      <c r="C173" s="23" t="str">
        <f>VLOOKUP(B173,IF(A173="COMPOSICAO",S!$A:$E,I!$A:$E),2,FALSE)</f>
        <v>SINAPI</v>
      </c>
      <c r="D173" s="24" t="str">
        <f>VLOOKUP(B173,IF(A173="COMPOSICAO",S!$A:$E,I!$A:$E),3,FALSE)</f>
        <v>ALIMENTACAO - HORISTA (COLETADO CAIXA - ENCARGOS COMPLEMENTARES)</v>
      </c>
      <c r="E173" s="23" t="str">
        <f>VLOOKUP(B173,IF(A173="COMPOSICAO",S!$A:$E,I!$A:$E),4,FALSE)</f>
        <v>H</v>
      </c>
      <c r="F173" s="23">
        <v>1</v>
      </c>
      <c r="G173" s="71">
        <f>IF(A173="COMPOSICAO",VLOOKUP("TOTAL SEM BDI - "&amp;B173,CPUAUX4!$A:$J,9,FALSE),VLOOKUP(B173,I!$A:$E,5,FALSE))</f>
        <v>2.46</v>
      </c>
      <c r="H173" s="72"/>
      <c r="I173" s="71">
        <f t="shared" si="8"/>
        <v>2.46</v>
      </c>
      <c r="J173" s="72"/>
      <c r="M173" s="23">
        <f t="shared" si="9"/>
        <v>37370</v>
      </c>
      <c r="N173" s="23">
        <f>SUMIF(CPUAUX2!M:M,B167,CPUAUX2!O:O)</f>
        <v>0.86720131530000022</v>
      </c>
      <c r="O173" s="23">
        <f t="shared" si="10"/>
        <v>0.86720131530000022</v>
      </c>
      <c r="Q173" s="23">
        <f ca="1">SUMIF(CPUAUX2!M:M,B167,CPUAUX2!R:R)</f>
        <v>0.34688052612000009</v>
      </c>
      <c r="R173" s="23">
        <f t="shared" ca="1" si="11"/>
        <v>0.34688052612000009</v>
      </c>
    </row>
    <row r="174" spans="1:18" x14ac:dyDescent="0.3">
      <c r="A174" s="23" t="s">
        <v>1025</v>
      </c>
      <c r="B174" s="23">
        <v>6117</v>
      </c>
      <c r="C174" s="23" t="str">
        <f>VLOOKUP(B174,IF(A174="COMPOSICAO",S!$A:$E,I!$A:$E),2,FALSE)</f>
        <v>SINAPI</v>
      </c>
      <c r="D174" s="24" t="str">
        <f>VLOOKUP(B174,IF(A174="COMPOSICAO",S!$A:$E,I!$A:$E),3,FALSE)</f>
        <v>CARPINTEIRO AUXILIAR (HORISTA)</v>
      </c>
      <c r="E174" s="23" t="str">
        <f>VLOOKUP(B174,IF(A174="COMPOSICAO",S!$A:$E,I!$A:$E),4,FALSE)</f>
        <v>H</v>
      </c>
      <c r="F174" s="23">
        <v>1</v>
      </c>
      <c r="G174" s="71">
        <f>IF(A174="COMPOSICAO",VLOOKUP("TOTAL SEM BDI - "&amp;B174,CPUAUX4!$A:$J,9,FALSE),VLOOKUP(B174,I!$A:$E,5,FALSE))</f>
        <v>15.57</v>
      </c>
      <c r="H174" s="72"/>
      <c r="I174" s="71">
        <f t="shared" si="8"/>
        <v>15.57</v>
      </c>
      <c r="J174" s="72"/>
      <c r="M174" s="23">
        <f t="shared" si="9"/>
        <v>6117</v>
      </c>
      <c r="N174" s="23">
        <f>SUMIF(CPUAUX2!M:M,B167,CPUAUX2!O:O)</f>
        <v>0.86720131530000022</v>
      </c>
      <c r="O174" s="23">
        <f t="shared" si="10"/>
        <v>0.86720131530000022</v>
      </c>
      <c r="Q174" s="23">
        <f ca="1">SUMIF(CPUAUX2!M:M,B167,CPUAUX2!R:R)</f>
        <v>0.34688052612000009</v>
      </c>
      <c r="R174" s="23">
        <f t="shared" ca="1" si="11"/>
        <v>0.34688052612000009</v>
      </c>
    </row>
    <row r="175" spans="1:18" ht="30" customHeight="1" x14ac:dyDescent="0.3">
      <c r="A175" s="23" t="s">
        <v>1022</v>
      </c>
      <c r="B175" s="23">
        <v>95309</v>
      </c>
      <c r="C175" s="23" t="str">
        <f>VLOOKUP(B175,IF(A175="COMPOSICAO",S!$A:$E,I!$A:$E),2,FALSE)</f>
        <v>SINAPI</v>
      </c>
      <c r="D175" s="24" t="str">
        <f>VLOOKUP(B175,IF(A175="COMPOSICAO",S!$A:$E,I!$A:$E),3,FALSE)</f>
        <v>CURSO DE CAPACITAÇÃO PARA AJUDANTE DE CARPINTEIRO (ENCARGOS COMPLEMENTARES) - HORISTA</v>
      </c>
      <c r="E175" s="23" t="str">
        <f>VLOOKUP(B175,IF(A175="COMPOSICAO",S!$A:$E,I!$A:$E),4,FALSE)</f>
        <v>H</v>
      </c>
      <c r="F175" s="23">
        <v>1</v>
      </c>
      <c r="G175" s="71">
        <f>IF(A175="COMPOSICAO",VLOOKUP("TOTAL SEM BDI - "&amp;B175,CPUAUX4!$A:$J,9,FALSE),VLOOKUP(B175,I!$A:$E,5,FALSE))</f>
        <v>0.22</v>
      </c>
      <c r="H175" s="72"/>
      <c r="I175" s="71">
        <f t="shared" si="8"/>
        <v>0.22</v>
      </c>
      <c r="J175" s="72"/>
      <c r="M175" s="23">
        <f t="shared" si="9"/>
        <v>95309</v>
      </c>
      <c r="N175" s="23">
        <f>SUMIF(CPUAUX2!M:M,B167,CPUAUX2!O:O)</f>
        <v>0.86720131530000022</v>
      </c>
      <c r="O175" s="23">
        <f t="shared" si="10"/>
        <v>0.86720131530000022</v>
      </c>
      <c r="Q175" s="23">
        <f ca="1">SUMIF(CPUAUX2!M:M,B167,CPUAUX2!R:R)</f>
        <v>0.34688052612000009</v>
      </c>
      <c r="R175" s="23">
        <f t="shared" ca="1" si="11"/>
        <v>0.34688052612000009</v>
      </c>
    </row>
    <row r="176" spans="1:18" x14ac:dyDescent="0.3">
      <c r="A176" s="68" t="str">
        <f>"TOTAL SEM BDI - "&amp;B167</f>
        <v>TOTAL SEM BDI - 88239</v>
      </c>
      <c r="B176" s="69"/>
      <c r="C176" s="69"/>
      <c r="D176" s="69"/>
      <c r="E176" s="69"/>
      <c r="F176" s="69"/>
      <c r="G176" s="69"/>
      <c r="H176" s="70"/>
      <c r="I176" s="71">
        <f>SUM(I167:I175)</f>
        <v>22.2</v>
      </c>
      <c r="J176" s="72"/>
    </row>
    <row r="178" spans="1:18" x14ac:dyDescent="0.3">
      <c r="A178" s="4" t="s">
        <v>1018</v>
      </c>
      <c r="B178" s="4" t="s">
        <v>138</v>
      </c>
      <c r="C178" s="4" t="s">
        <v>139</v>
      </c>
      <c r="D178" s="4" t="s">
        <v>21</v>
      </c>
      <c r="E178" s="4" t="s">
        <v>140</v>
      </c>
      <c r="F178" s="4" t="s">
        <v>506</v>
      </c>
      <c r="G178" s="34" t="s">
        <v>1019</v>
      </c>
      <c r="H178" s="35"/>
      <c r="I178" s="34" t="s">
        <v>15</v>
      </c>
      <c r="J178" s="35"/>
    </row>
    <row r="179" spans="1:18" x14ac:dyDescent="0.3">
      <c r="A179" s="15" t="s">
        <v>1093</v>
      </c>
      <c r="B179" s="15">
        <v>88245</v>
      </c>
      <c r="C179" s="15" t="str">
        <f>VLOOKUP(B179,S!$A:$G,2,FALSE)</f>
        <v>SINAPI</v>
      </c>
      <c r="D179" s="22" t="str">
        <f>VLOOKUP(B179,S!$A:$G,3,FALSE)</f>
        <v>ARMADOR COM ENCARGOS COMPLEMENTARES</v>
      </c>
      <c r="E179" s="15" t="str">
        <f>VLOOKUP(B179,S!$A:$G,4,FALSE)</f>
        <v>H</v>
      </c>
      <c r="F179" s="15"/>
      <c r="G179" s="73">
        <f>I188</f>
        <v>27.189999999999998</v>
      </c>
      <c r="H179" s="74"/>
      <c r="I179" s="73"/>
      <c r="J179" s="74"/>
      <c r="K179" s="16">
        <f>VLOOKUP(B179,S!A:G,5,FALSE)</f>
        <v>27.19</v>
      </c>
      <c r="L179" s="15" t="str">
        <f>IF(K179=G179,"OK, CONFORME TABELA",IF(G179&gt;K179,"ACIMA DA TABELA: ","ABAIXO DA TABELA: ")&amp;TRUNC((G179*100)/K179,2)&amp;" %")</f>
        <v>OK, CONFORME TABELA</v>
      </c>
    </row>
    <row r="180" spans="1:18" ht="30" customHeight="1" x14ac:dyDescent="0.3">
      <c r="A180" s="23" t="s">
        <v>1025</v>
      </c>
      <c r="B180" s="23">
        <v>43489</v>
      </c>
      <c r="C180" s="23" t="str">
        <f>VLOOKUP(B180,IF(A180="COMPOSICAO",S!$A:$E,I!$A:$E),2,FALSE)</f>
        <v>SINAPI</v>
      </c>
      <c r="D180" s="24" t="str">
        <f>VLOOKUP(B180,IF(A180="COMPOSICAO",S!$A:$E,I!$A:$E),3,FALSE)</f>
        <v>EPI - FAMILIA PEDREIRO - HORISTA (ENCARGOS COMPLEMENTARES - COLETADO CAIXA)</v>
      </c>
      <c r="E180" s="23" t="str">
        <f>VLOOKUP(B180,IF(A180="COMPOSICAO",S!$A:$E,I!$A:$E),4,FALSE)</f>
        <v>H</v>
      </c>
      <c r="F180" s="23">
        <v>1</v>
      </c>
      <c r="G180" s="71">
        <f>IF(A180="COMPOSICAO",VLOOKUP("TOTAL SEM BDI - "&amp;B180,CPUAUX4!$A:$J,9,FALSE),VLOOKUP(B180,I!$A:$E,5,FALSE))</f>
        <v>1.31</v>
      </c>
      <c r="H180" s="72"/>
      <c r="I180" s="71">
        <f t="shared" ref="I180:I187" si="12">TRUNC(F180*G180,2)</f>
        <v>1.31</v>
      </c>
      <c r="J180" s="72"/>
      <c r="M180" s="23">
        <f t="shared" ref="M180:M187" si="13">B180</f>
        <v>43489</v>
      </c>
      <c r="N180" s="23">
        <f>SUMIF(CPUAUX2!M:M,B179,CPUAUX2!O:O)</f>
        <v>0.81584223</v>
      </c>
      <c r="O180" s="23">
        <f t="shared" ref="O180:O187" si="14">F180*N180</f>
        <v>0.81584223</v>
      </c>
      <c r="Q180" s="23">
        <f ca="1">SUMIF(CPUAUX2!M:M,B179,CPUAUX2!R:R)</f>
        <v>0.3263368920000001</v>
      </c>
      <c r="R180" s="23">
        <f t="shared" ref="R180:R187" ca="1" si="15">F180*Q180</f>
        <v>0.3263368920000001</v>
      </c>
    </row>
    <row r="181" spans="1:18" ht="30" customHeight="1" x14ac:dyDescent="0.3">
      <c r="A181" s="23" t="s">
        <v>1025</v>
      </c>
      <c r="B181" s="23">
        <v>43465</v>
      </c>
      <c r="C181" s="23" t="str">
        <f>VLOOKUP(B181,IF(A181="COMPOSICAO",S!$A:$E,I!$A:$E),2,FALSE)</f>
        <v>SINAPI</v>
      </c>
      <c r="D181" s="24" t="str">
        <f>VLOOKUP(B181,IF(A181="COMPOSICAO",S!$A:$E,I!$A:$E),3,FALSE)</f>
        <v>FERRAMENTAS - FAMILIA PEDREIRO - HORISTA (ENCARGOS COMPLEMENTARES - COLETADO CAIXA)</v>
      </c>
      <c r="E181" s="23" t="str">
        <f>VLOOKUP(B181,IF(A181="COMPOSICAO",S!$A:$E,I!$A:$E),4,FALSE)</f>
        <v>H</v>
      </c>
      <c r="F181" s="23">
        <v>1</v>
      </c>
      <c r="G181" s="71">
        <f>IF(A181="COMPOSICAO",VLOOKUP("TOTAL SEM BDI - "&amp;B181,CPUAUX4!$A:$J,9,FALSE),VLOOKUP(B181,I!$A:$E,5,FALSE))</f>
        <v>0.78</v>
      </c>
      <c r="H181" s="72"/>
      <c r="I181" s="71">
        <f t="shared" si="12"/>
        <v>0.78</v>
      </c>
      <c r="J181" s="72"/>
      <c r="M181" s="23">
        <f t="shared" si="13"/>
        <v>43465</v>
      </c>
      <c r="N181" s="23">
        <f>SUMIF(CPUAUX2!M:M,B179,CPUAUX2!O:O)</f>
        <v>0.81584223</v>
      </c>
      <c r="O181" s="23">
        <f t="shared" si="14"/>
        <v>0.81584223</v>
      </c>
      <c r="Q181" s="23">
        <f ca="1">SUMIF(CPUAUX2!M:M,B179,CPUAUX2!R:R)</f>
        <v>0.3263368920000001</v>
      </c>
      <c r="R181" s="23">
        <f t="shared" ca="1" si="15"/>
        <v>0.3263368920000001</v>
      </c>
    </row>
    <row r="182" spans="1:18" ht="30" customHeight="1" x14ac:dyDescent="0.3">
      <c r="A182" s="23" t="s">
        <v>1025</v>
      </c>
      <c r="B182" s="23">
        <v>37373</v>
      </c>
      <c r="C182" s="23" t="str">
        <f>VLOOKUP(B182,IF(A182="COMPOSICAO",S!$A:$E,I!$A:$E),2,FALSE)</f>
        <v>SINAPI</v>
      </c>
      <c r="D182" s="24" t="str">
        <f>VLOOKUP(B182,IF(A182="COMPOSICAO",S!$A:$E,I!$A:$E),3,FALSE)</f>
        <v>SEGURO - HORISTA (COLETADO CAIXA - ENCARGOS COMPLEMENTARES)</v>
      </c>
      <c r="E182" s="23" t="str">
        <f>VLOOKUP(B182,IF(A182="COMPOSICAO",S!$A:$E,I!$A:$E),4,FALSE)</f>
        <v>H</v>
      </c>
      <c r="F182" s="23">
        <v>1</v>
      </c>
      <c r="G182" s="71">
        <f>IF(A182="COMPOSICAO",VLOOKUP("TOTAL SEM BDI - "&amp;B182,CPUAUX4!$A:$J,9,FALSE),VLOOKUP(B182,I!$A:$E,5,FALSE))</f>
        <v>0.08</v>
      </c>
      <c r="H182" s="72"/>
      <c r="I182" s="71">
        <f t="shared" si="12"/>
        <v>0.08</v>
      </c>
      <c r="J182" s="72"/>
      <c r="M182" s="23">
        <f t="shared" si="13"/>
        <v>37373</v>
      </c>
      <c r="N182" s="23">
        <f>SUMIF(CPUAUX2!M:M,B179,CPUAUX2!O:O)</f>
        <v>0.81584223</v>
      </c>
      <c r="O182" s="23">
        <f t="shared" si="14"/>
        <v>0.81584223</v>
      </c>
      <c r="Q182" s="23">
        <f ca="1">SUMIF(CPUAUX2!M:M,B179,CPUAUX2!R:R)</f>
        <v>0.3263368920000001</v>
      </c>
      <c r="R182" s="23">
        <f t="shared" ca="1" si="15"/>
        <v>0.3263368920000001</v>
      </c>
    </row>
    <row r="183" spans="1:18" ht="30" customHeight="1" x14ac:dyDescent="0.3">
      <c r="A183" s="23" t="s">
        <v>1025</v>
      </c>
      <c r="B183" s="23">
        <v>37372</v>
      </c>
      <c r="C183" s="23" t="str">
        <f>VLOOKUP(B183,IF(A183="COMPOSICAO",S!$A:$E,I!$A:$E),2,FALSE)</f>
        <v>SINAPI</v>
      </c>
      <c r="D183" s="24" t="str">
        <f>VLOOKUP(B183,IF(A183="COMPOSICAO",S!$A:$E,I!$A:$E),3,FALSE)</f>
        <v>EXAMES - HORISTA (COLETADO CAIXA - ENCARGOS COMPLEMENTARES)</v>
      </c>
      <c r="E183" s="23" t="str">
        <f>VLOOKUP(B183,IF(A183="COMPOSICAO",S!$A:$E,I!$A:$E),4,FALSE)</f>
        <v>H</v>
      </c>
      <c r="F183" s="23">
        <v>1</v>
      </c>
      <c r="G183" s="71">
        <f>IF(A183="COMPOSICAO",VLOOKUP("TOTAL SEM BDI - "&amp;B183,CPUAUX4!$A:$J,9,FALSE),VLOOKUP(B183,I!$A:$E,5,FALSE))</f>
        <v>1.43</v>
      </c>
      <c r="H183" s="72"/>
      <c r="I183" s="71">
        <f t="shared" si="12"/>
        <v>1.43</v>
      </c>
      <c r="J183" s="72"/>
      <c r="M183" s="23">
        <f t="shared" si="13"/>
        <v>37372</v>
      </c>
      <c r="N183" s="23">
        <f>SUMIF(CPUAUX2!M:M,B179,CPUAUX2!O:O)</f>
        <v>0.81584223</v>
      </c>
      <c r="O183" s="23">
        <f t="shared" si="14"/>
        <v>0.81584223</v>
      </c>
      <c r="Q183" s="23">
        <f ca="1">SUMIF(CPUAUX2!M:M,B179,CPUAUX2!R:R)</f>
        <v>0.3263368920000001</v>
      </c>
      <c r="R183" s="23">
        <f t="shared" ca="1" si="15"/>
        <v>0.3263368920000001</v>
      </c>
    </row>
    <row r="184" spans="1:18" ht="30" customHeight="1" x14ac:dyDescent="0.3">
      <c r="A184" s="23" t="s">
        <v>1025</v>
      </c>
      <c r="B184" s="23">
        <v>37371</v>
      </c>
      <c r="C184" s="23" t="str">
        <f>VLOOKUP(B184,IF(A184="COMPOSICAO",S!$A:$E,I!$A:$E),2,FALSE)</f>
        <v>SINAPI</v>
      </c>
      <c r="D184" s="24" t="str">
        <f>VLOOKUP(B184,IF(A184="COMPOSICAO",S!$A:$E,I!$A:$E),3,FALSE)</f>
        <v>TRANSPORTE - HORISTA (COLETADO CAIXA - ENCARGOS COMPLEMENTARES)</v>
      </c>
      <c r="E184" s="23" t="str">
        <f>VLOOKUP(B184,IF(A184="COMPOSICAO",S!$A:$E,I!$A:$E),4,FALSE)</f>
        <v>H</v>
      </c>
      <c r="F184" s="23">
        <v>1</v>
      </c>
      <c r="G184" s="71">
        <f>IF(A184="COMPOSICAO",VLOOKUP("TOTAL SEM BDI - "&amp;B184,CPUAUX4!$A:$J,9,FALSE),VLOOKUP(B184,I!$A:$E,5,FALSE))</f>
        <v>0.56999999999999995</v>
      </c>
      <c r="H184" s="72"/>
      <c r="I184" s="71">
        <f t="shared" si="12"/>
        <v>0.56999999999999995</v>
      </c>
      <c r="J184" s="72"/>
      <c r="M184" s="23">
        <f t="shared" si="13"/>
        <v>37371</v>
      </c>
      <c r="N184" s="23">
        <f>SUMIF(CPUAUX2!M:M,B179,CPUAUX2!O:O)</f>
        <v>0.81584223</v>
      </c>
      <c r="O184" s="23">
        <f t="shared" si="14"/>
        <v>0.81584223</v>
      </c>
      <c r="Q184" s="23">
        <f ca="1">SUMIF(CPUAUX2!M:M,B179,CPUAUX2!R:R)</f>
        <v>0.3263368920000001</v>
      </c>
      <c r="R184" s="23">
        <f t="shared" ca="1" si="15"/>
        <v>0.3263368920000001</v>
      </c>
    </row>
    <row r="185" spans="1:18" ht="30" customHeight="1" x14ac:dyDescent="0.3">
      <c r="A185" s="23" t="s">
        <v>1025</v>
      </c>
      <c r="B185" s="23">
        <v>37370</v>
      </c>
      <c r="C185" s="23" t="str">
        <f>VLOOKUP(B185,IF(A185="COMPOSICAO",S!$A:$E,I!$A:$E),2,FALSE)</f>
        <v>SINAPI</v>
      </c>
      <c r="D185" s="24" t="str">
        <f>VLOOKUP(B185,IF(A185="COMPOSICAO",S!$A:$E,I!$A:$E),3,FALSE)</f>
        <v>ALIMENTACAO - HORISTA (COLETADO CAIXA - ENCARGOS COMPLEMENTARES)</v>
      </c>
      <c r="E185" s="23" t="str">
        <f>VLOOKUP(B185,IF(A185="COMPOSICAO",S!$A:$E,I!$A:$E),4,FALSE)</f>
        <v>H</v>
      </c>
      <c r="F185" s="23">
        <v>1</v>
      </c>
      <c r="G185" s="71">
        <f>IF(A185="COMPOSICAO",VLOOKUP("TOTAL SEM BDI - "&amp;B185,CPUAUX4!$A:$J,9,FALSE),VLOOKUP(B185,I!$A:$E,5,FALSE))</f>
        <v>2.46</v>
      </c>
      <c r="H185" s="72"/>
      <c r="I185" s="71">
        <f t="shared" si="12"/>
        <v>2.46</v>
      </c>
      <c r="J185" s="72"/>
      <c r="M185" s="23">
        <f t="shared" si="13"/>
        <v>37370</v>
      </c>
      <c r="N185" s="23">
        <f>SUMIF(CPUAUX2!M:M,B179,CPUAUX2!O:O)</f>
        <v>0.81584223</v>
      </c>
      <c r="O185" s="23">
        <f t="shared" si="14"/>
        <v>0.81584223</v>
      </c>
      <c r="Q185" s="23">
        <f ca="1">SUMIF(CPUAUX2!M:M,B179,CPUAUX2!R:R)</f>
        <v>0.3263368920000001</v>
      </c>
      <c r="R185" s="23">
        <f t="shared" ca="1" si="15"/>
        <v>0.3263368920000001</v>
      </c>
    </row>
    <row r="186" spans="1:18" x14ac:dyDescent="0.3">
      <c r="A186" s="23" t="s">
        <v>1025</v>
      </c>
      <c r="B186" s="23">
        <v>378</v>
      </c>
      <c r="C186" s="23" t="str">
        <f>VLOOKUP(B186,IF(A186="COMPOSICAO",S!$A:$E,I!$A:$E),2,FALSE)</f>
        <v>SINAPI</v>
      </c>
      <c r="D186" s="24" t="str">
        <f>VLOOKUP(B186,IF(A186="COMPOSICAO",S!$A:$E,I!$A:$E),3,FALSE)</f>
        <v>ARMADOR (HORISTA)</v>
      </c>
      <c r="E186" s="23" t="str">
        <f>VLOOKUP(B186,IF(A186="COMPOSICAO",S!$A:$E,I!$A:$E),4,FALSE)</f>
        <v>H</v>
      </c>
      <c r="F186" s="23">
        <v>1</v>
      </c>
      <c r="G186" s="71">
        <f>IF(A186="COMPOSICAO",VLOOKUP("TOTAL SEM BDI - "&amp;B186,CPUAUX4!$A:$J,9,FALSE),VLOOKUP(B186,I!$A:$E,5,FALSE))</f>
        <v>20.329999999999998</v>
      </c>
      <c r="H186" s="72"/>
      <c r="I186" s="71">
        <f t="shared" si="12"/>
        <v>20.329999999999998</v>
      </c>
      <c r="J186" s="72"/>
      <c r="M186" s="23">
        <f t="shared" si="13"/>
        <v>378</v>
      </c>
      <c r="N186" s="23">
        <f>SUMIF(CPUAUX2!M:M,B179,CPUAUX2!O:O)</f>
        <v>0.81584223</v>
      </c>
      <c r="O186" s="23">
        <f t="shared" si="14"/>
        <v>0.81584223</v>
      </c>
      <c r="Q186" s="23">
        <f ca="1">SUMIF(CPUAUX2!M:M,B179,CPUAUX2!R:R)</f>
        <v>0.3263368920000001</v>
      </c>
      <c r="R186" s="23">
        <f t="shared" ca="1" si="15"/>
        <v>0.3263368920000001</v>
      </c>
    </row>
    <row r="187" spans="1:18" ht="30" customHeight="1" x14ac:dyDescent="0.3">
      <c r="A187" s="23" t="s">
        <v>1022</v>
      </c>
      <c r="B187" s="23">
        <v>95314</v>
      </c>
      <c r="C187" s="23" t="str">
        <f>VLOOKUP(B187,IF(A187="COMPOSICAO",S!$A:$E,I!$A:$E),2,FALSE)</f>
        <v>SINAPI</v>
      </c>
      <c r="D187" s="24" t="str">
        <f>VLOOKUP(B187,IF(A187="COMPOSICAO",S!$A:$E,I!$A:$E),3,FALSE)</f>
        <v>CURSO DE CAPACITAÇÃO PARA ARMADOR (ENCARGOS COMPLEMENTARES) - HORISTA</v>
      </c>
      <c r="E187" s="23" t="str">
        <f>VLOOKUP(B187,IF(A187="COMPOSICAO",S!$A:$E,I!$A:$E),4,FALSE)</f>
        <v>H</v>
      </c>
      <c r="F187" s="23">
        <v>1</v>
      </c>
      <c r="G187" s="71">
        <f>IF(A187="COMPOSICAO",VLOOKUP("TOTAL SEM BDI - "&amp;B187,CPUAUX4!$A:$J,9,FALSE),VLOOKUP(B187,I!$A:$E,5,FALSE))</f>
        <v>0.23</v>
      </c>
      <c r="H187" s="72"/>
      <c r="I187" s="71">
        <f t="shared" si="12"/>
        <v>0.23</v>
      </c>
      <c r="J187" s="72"/>
      <c r="M187" s="23">
        <f t="shared" si="13"/>
        <v>95314</v>
      </c>
      <c r="N187" s="23">
        <f>SUMIF(CPUAUX2!M:M,B179,CPUAUX2!O:O)</f>
        <v>0.81584223</v>
      </c>
      <c r="O187" s="23">
        <f t="shared" si="14"/>
        <v>0.81584223</v>
      </c>
      <c r="Q187" s="23">
        <f ca="1">SUMIF(CPUAUX2!M:M,B179,CPUAUX2!R:R)</f>
        <v>0.3263368920000001</v>
      </c>
      <c r="R187" s="23">
        <f t="shared" ca="1" si="15"/>
        <v>0.3263368920000001</v>
      </c>
    </row>
    <row r="188" spans="1:18" x14ac:dyDescent="0.3">
      <c r="A188" s="68" t="str">
        <f>"TOTAL SEM BDI - "&amp;B179</f>
        <v>TOTAL SEM BDI - 88245</v>
      </c>
      <c r="B188" s="69"/>
      <c r="C188" s="69"/>
      <c r="D188" s="69"/>
      <c r="E188" s="69"/>
      <c r="F188" s="69"/>
      <c r="G188" s="69"/>
      <c r="H188" s="70"/>
      <c r="I188" s="71">
        <f>SUM(I179:I187)</f>
        <v>27.189999999999998</v>
      </c>
      <c r="J188" s="72"/>
    </row>
    <row r="190" spans="1:18" x14ac:dyDescent="0.3">
      <c r="A190" s="4" t="s">
        <v>1018</v>
      </c>
      <c r="B190" s="4" t="s">
        <v>138</v>
      </c>
      <c r="C190" s="4" t="s">
        <v>139</v>
      </c>
      <c r="D190" s="4" t="s">
        <v>21</v>
      </c>
      <c r="E190" s="4" t="s">
        <v>140</v>
      </c>
      <c r="F190" s="4" t="s">
        <v>506</v>
      </c>
      <c r="G190" s="34" t="s">
        <v>1019</v>
      </c>
      <c r="H190" s="35"/>
      <c r="I190" s="34" t="s">
        <v>15</v>
      </c>
      <c r="J190" s="35"/>
    </row>
    <row r="191" spans="1:18" ht="30" customHeight="1" x14ac:dyDescent="0.3">
      <c r="A191" s="15" t="s">
        <v>1093</v>
      </c>
      <c r="B191" s="15">
        <v>88238</v>
      </c>
      <c r="C191" s="15" t="str">
        <f>VLOOKUP(B191,S!$A:$G,2,FALSE)</f>
        <v>SINAPI</v>
      </c>
      <c r="D191" s="22" t="str">
        <f>VLOOKUP(B191,S!$A:$G,3,FALSE)</f>
        <v>AJUDANTE DE ARMADOR COM ENCARGOS COMPLEMENTARES</v>
      </c>
      <c r="E191" s="15" t="str">
        <f>VLOOKUP(B191,S!$A:$G,4,FALSE)</f>
        <v>H</v>
      </c>
      <c r="F191" s="15"/>
      <c r="G191" s="73">
        <f>I200</f>
        <v>22.37</v>
      </c>
      <c r="H191" s="74"/>
      <c r="I191" s="73"/>
      <c r="J191" s="74"/>
      <c r="K191" s="16">
        <f>VLOOKUP(B191,S!A:G,5,FALSE)</f>
        <v>22.37</v>
      </c>
      <c r="L191" s="15" t="str">
        <f>IF(K191=G191,"OK, CONFORME TABELA",IF(G191&gt;K191,"ACIMA DA TABELA: ","ABAIXO DA TABELA: ")&amp;TRUNC((G191*100)/K191,2)&amp;" %")</f>
        <v>OK, CONFORME TABELA</v>
      </c>
    </row>
    <row r="192" spans="1:18" ht="30" customHeight="1" x14ac:dyDescent="0.3">
      <c r="A192" s="23" t="s">
        <v>1025</v>
      </c>
      <c r="B192" s="23">
        <v>43489</v>
      </c>
      <c r="C192" s="23" t="str">
        <f>VLOOKUP(B192,IF(A192="COMPOSICAO",S!$A:$E,I!$A:$E),2,FALSE)</f>
        <v>SINAPI</v>
      </c>
      <c r="D192" s="24" t="str">
        <f>VLOOKUP(B192,IF(A192="COMPOSICAO",S!$A:$E,I!$A:$E),3,FALSE)</f>
        <v>EPI - FAMILIA PEDREIRO - HORISTA (ENCARGOS COMPLEMENTARES - COLETADO CAIXA)</v>
      </c>
      <c r="E192" s="23" t="str">
        <f>VLOOKUP(B192,IF(A192="COMPOSICAO",S!$A:$E,I!$A:$E),4,FALSE)</f>
        <v>H</v>
      </c>
      <c r="F192" s="23">
        <v>1</v>
      </c>
      <c r="G192" s="71">
        <f>IF(A192="COMPOSICAO",VLOOKUP("TOTAL SEM BDI - "&amp;B192,CPUAUX4!$A:$J,9,FALSE),VLOOKUP(B192,I!$A:$E,5,FALSE))</f>
        <v>1.31</v>
      </c>
      <c r="H192" s="72"/>
      <c r="I192" s="71">
        <f t="shared" ref="I192:I199" si="16">TRUNC(F192*G192,2)</f>
        <v>1.31</v>
      </c>
      <c r="J192" s="72"/>
      <c r="M192" s="23">
        <f t="shared" ref="M192:M199" si="17">B192</f>
        <v>43489</v>
      </c>
      <c r="N192" s="23">
        <f>SUMIF(CPUAUX2!M:M,B191,CPUAUX2!O:O)</f>
        <v>0.12947851500000002</v>
      </c>
      <c r="O192" s="23">
        <f t="shared" ref="O192:O199" si="18">F192*N192</f>
        <v>0.12947851500000002</v>
      </c>
      <c r="Q192" s="23">
        <f ca="1">SUMIF(CPUAUX2!M:M,B191,CPUAUX2!R:R)</f>
        <v>5.1791406000000005E-2</v>
      </c>
      <c r="R192" s="23">
        <f t="shared" ref="R192:R199" ca="1" si="19">F192*Q192</f>
        <v>5.1791406000000005E-2</v>
      </c>
    </row>
    <row r="193" spans="1:18" ht="30" customHeight="1" x14ac:dyDescent="0.3">
      <c r="A193" s="23" t="s">
        <v>1025</v>
      </c>
      <c r="B193" s="23">
        <v>43465</v>
      </c>
      <c r="C193" s="23" t="str">
        <f>VLOOKUP(B193,IF(A193="COMPOSICAO",S!$A:$E,I!$A:$E),2,FALSE)</f>
        <v>SINAPI</v>
      </c>
      <c r="D193" s="24" t="str">
        <f>VLOOKUP(B193,IF(A193="COMPOSICAO",S!$A:$E,I!$A:$E),3,FALSE)</f>
        <v>FERRAMENTAS - FAMILIA PEDREIRO - HORISTA (ENCARGOS COMPLEMENTARES - COLETADO CAIXA)</v>
      </c>
      <c r="E193" s="23" t="str">
        <f>VLOOKUP(B193,IF(A193="COMPOSICAO",S!$A:$E,I!$A:$E),4,FALSE)</f>
        <v>H</v>
      </c>
      <c r="F193" s="23">
        <v>1</v>
      </c>
      <c r="G193" s="71">
        <f>IF(A193="COMPOSICAO",VLOOKUP("TOTAL SEM BDI - "&amp;B193,CPUAUX4!$A:$J,9,FALSE),VLOOKUP(B193,I!$A:$E,5,FALSE))</f>
        <v>0.78</v>
      </c>
      <c r="H193" s="72"/>
      <c r="I193" s="71">
        <f t="shared" si="16"/>
        <v>0.78</v>
      </c>
      <c r="J193" s="72"/>
      <c r="M193" s="23">
        <f t="shared" si="17"/>
        <v>43465</v>
      </c>
      <c r="N193" s="23">
        <f>SUMIF(CPUAUX2!M:M,B191,CPUAUX2!O:O)</f>
        <v>0.12947851500000002</v>
      </c>
      <c r="O193" s="23">
        <f t="shared" si="18"/>
        <v>0.12947851500000002</v>
      </c>
      <c r="Q193" s="23">
        <f ca="1">SUMIF(CPUAUX2!M:M,B191,CPUAUX2!R:R)</f>
        <v>5.1791406000000005E-2</v>
      </c>
      <c r="R193" s="23">
        <f t="shared" ca="1" si="19"/>
        <v>5.1791406000000005E-2</v>
      </c>
    </row>
    <row r="194" spans="1:18" ht="30" customHeight="1" x14ac:dyDescent="0.3">
      <c r="A194" s="23" t="s">
        <v>1025</v>
      </c>
      <c r="B194" s="23">
        <v>37373</v>
      </c>
      <c r="C194" s="23" t="str">
        <f>VLOOKUP(B194,IF(A194="COMPOSICAO",S!$A:$E,I!$A:$E),2,FALSE)</f>
        <v>SINAPI</v>
      </c>
      <c r="D194" s="24" t="str">
        <f>VLOOKUP(B194,IF(A194="COMPOSICAO",S!$A:$E,I!$A:$E),3,FALSE)</f>
        <v>SEGURO - HORISTA (COLETADO CAIXA - ENCARGOS COMPLEMENTARES)</v>
      </c>
      <c r="E194" s="23" t="str">
        <f>VLOOKUP(B194,IF(A194="COMPOSICAO",S!$A:$E,I!$A:$E),4,FALSE)</f>
        <v>H</v>
      </c>
      <c r="F194" s="23">
        <v>1</v>
      </c>
      <c r="G194" s="71">
        <f>IF(A194="COMPOSICAO",VLOOKUP("TOTAL SEM BDI - "&amp;B194,CPUAUX4!$A:$J,9,FALSE),VLOOKUP(B194,I!$A:$E,5,FALSE))</f>
        <v>0.08</v>
      </c>
      <c r="H194" s="72"/>
      <c r="I194" s="71">
        <f t="shared" si="16"/>
        <v>0.08</v>
      </c>
      <c r="J194" s="72"/>
      <c r="M194" s="23">
        <f t="shared" si="17"/>
        <v>37373</v>
      </c>
      <c r="N194" s="23">
        <f>SUMIF(CPUAUX2!M:M,B191,CPUAUX2!O:O)</f>
        <v>0.12947851500000002</v>
      </c>
      <c r="O194" s="23">
        <f t="shared" si="18"/>
        <v>0.12947851500000002</v>
      </c>
      <c r="Q194" s="23">
        <f ca="1">SUMIF(CPUAUX2!M:M,B191,CPUAUX2!R:R)</f>
        <v>5.1791406000000005E-2</v>
      </c>
      <c r="R194" s="23">
        <f t="shared" ca="1" si="19"/>
        <v>5.1791406000000005E-2</v>
      </c>
    </row>
    <row r="195" spans="1:18" ht="30" customHeight="1" x14ac:dyDescent="0.3">
      <c r="A195" s="23" t="s">
        <v>1025</v>
      </c>
      <c r="B195" s="23">
        <v>37372</v>
      </c>
      <c r="C195" s="23" t="str">
        <f>VLOOKUP(B195,IF(A195="COMPOSICAO",S!$A:$E,I!$A:$E),2,FALSE)</f>
        <v>SINAPI</v>
      </c>
      <c r="D195" s="24" t="str">
        <f>VLOOKUP(B195,IF(A195="COMPOSICAO",S!$A:$E,I!$A:$E),3,FALSE)</f>
        <v>EXAMES - HORISTA (COLETADO CAIXA - ENCARGOS COMPLEMENTARES)</v>
      </c>
      <c r="E195" s="23" t="str">
        <f>VLOOKUP(B195,IF(A195="COMPOSICAO",S!$A:$E,I!$A:$E),4,FALSE)</f>
        <v>H</v>
      </c>
      <c r="F195" s="23">
        <v>1</v>
      </c>
      <c r="G195" s="71">
        <f>IF(A195="COMPOSICAO",VLOOKUP("TOTAL SEM BDI - "&amp;B195,CPUAUX4!$A:$J,9,FALSE),VLOOKUP(B195,I!$A:$E,5,FALSE))</f>
        <v>1.43</v>
      </c>
      <c r="H195" s="72"/>
      <c r="I195" s="71">
        <f t="shared" si="16"/>
        <v>1.43</v>
      </c>
      <c r="J195" s="72"/>
      <c r="M195" s="23">
        <f t="shared" si="17"/>
        <v>37372</v>
      </c>
      <c r="N195" s="23">
        <f>SUMIF(CPUAUX2!M:M,B191,CPUAUX2!O:O)</f>
        <v>0.12947851500000002</v>
      </c>
      <c r="O195" s="23">
        <f t="shared" si="18"/>
        <v>0.12947851500000002</v>
      </c>
      <c r="Q195" s="23">
        <f ca="1">SUMIF(CPUAUX2!M:M,B191,CPUAUX2!R:R)</f>
        <v>5.1791406000000005E-2</v>
      </c>
      <c r="R195" s="23">
        <f t="shared" ca="1" si="19"/>
        <v>5.1791406000000005E-2</v>
      </c>
    </row>
    <row r="196" spans="1:18" ht="30" customHeight="1" x14ac:dyDescent="0.3">
      <c r="A196" s="23" t="s">
        <v>1025</v>
      </c>
      <c r="B196" s="23">
        <v>37371</v>
      </c>
      <c r="C196" s="23" t="str">
        <f>VLOOKUP(B196,IF(A196="COMPOSICAO",S!$A:$E,I!$A:$E),2,FALSE)</f>
        <v>SINAPI</v>
      </c>
      <c r="D196" s="24" t="str">
        <f>VLOOKUP(B196,IF(A196="COMPOSICAO",S!$A:$E,I!$A:$E),3,FALSE)</f>
        <v>TRANSPORTE - HORISTA (COLETADO CAIXA - ENCARGOS COMPLEMENTARES)</v>
      </c>
      <c r="E196" s="23" t="str">
        <f>VLOOKUP(B196,IF(A196="COMPOSICAO",S!$A:$E,I!$A:$E),4,FALSE)</f>
        <v>H</v>
      </c>
      <c r="F196" s="23">
        <v>1</v>
      </c>
      <c r="G196" s="71">
        <f>IF(A196="COMPOSICAO",VLOOKUP("TOTAL SEM BDI - "&amp;B196,CPUAUX4!$A:$J,9,FALSE),VLOOKUP(B196,I!$A:$E,5,FALSE))</f>
        <v>0.56999999999999995</v>
      </c>
      <c r="H196" s="72"/>
      <c r="I196" s="71">
        <f t="shared" si="16"/>
        <v>0.56999999999999995</v>
      </c>
      <c r="J196" s="72"/>
      <c r="M196" s="23">
        <f t="shared" si="17"/>
        <v>37371</v>
      </c>
      <c r="N196" s="23">
        <f>SUMIF(CPUAUX2!M:M,B191,CPUAUX2!O:O)</f>
        <v>0.12947851500000002</v>
      </c>
      <c r="O196" s="23">
        <f t="shared" si="18"/>
        <v>0.12947851500000002</v>
      </c>
      <c r="Q196" s="23">
        <f ca="1">SUMIF(CPUAUX2!M:M,B191,CPUAUX2!R:R)</f>
        <v>5.1791406000000005E-2</v>
      </c>
      <c r="R196" s="23">
        <f t="shared" ca="1" si="19"/>
        <v>5.1791406000000005E-2</v>
      </c>
    </row>
    <row r="197" spans="1:18" ht="30" customHeight="1" x14ac:dyDescent="0.3">
      <c r="A197" s="23" t="s">
        <v>1025</v>
      </c>
      <c r="B197" s="23">
        <v>37370</v>
      </c>
      <c r="C197" s="23" t="str">
        <f>VLOOKUP(B197,IF(A197="COMPOSICAO",S!$A:$E,I!$A:$E),2,FALSE)</f>
        <v>SINAPI</v>
      </c>
      <c r="D197" s="24" t="str">
        <f>VLOOKUP(B197,IF(A197="COMPOSICAO",S!$A:$E,I!$A:$E),3,FALSE)</f>
        <v>ALIMENTACAO - HORISTA (COLETADO CAIXA - ENCARGOS COMPLEMENTARES)</v>
      </c>
      <c r="E197" s="23" t="str">
        <f>VLOOKUP(B197,IF(A197="COMPOSICAO",S!$A:$E,I!$A:$E),4,FALSE)</f>
        <v>H</v>
      </c>
      <c r="F197" s="23">
        <v>1</v>
      </c>
      <c r="G197" s="71">
        <f>IF(A197="COMPOSICAO",VLOOKUP("TOTAL SEM BDI - "&amp;B197,CPUAUX4!$A:$J,9,FALSE),VLOOKUP(B197,I!$A:$E,5,FALSE))</f>
        <v>2.46</v>
      </c>
      <c r="H197" s="72"/>
      <c r="I197" s="71">
        <f t="shared" si="16"/>
        <v>2.46</v>
      </c>
      <c r="J197" s="72"/>
      <c r="M197" s="23">
        <f t="shared" si="17"/>
        <v>37370</v>
      </c>
      <c r="N197" s="23">
        <f>SUMIF(CPUAUX2!M:M,B191,CPUAUX2!O:O)</f>
        <v>0.12947851500000002</v>
      </c>
      <c r="O197" s="23">
        <f t="shared" si="18"/>
        <v>0.12947851500000002</v>
      </c>
      <c r="Q197" s="23">
        <f ca="1">SUMIF(CPUAUX2!M:M,B191,CPUAUX2!R:R)</f>
        <v>5.1791406000000005E-2</v>
      </c>
      <c r="R197" s="23">
        <f t="shared" ca="1" si="19"/>
        <v>5.1791406000000005E-2</v>
      </c>
    </row>
    <row r="198" spans="1:18" x14ac:dyDescent="0.3">
      <c r="A198" s="23" t="s">
        <v>1025</v>
      </c>
      <c r="B198" s="23">
        <v>6114</v>
      </c>
      <c r="C198" s="23" t="str">
        <f>VLOOKUP(B198,IF(A198="COMPOSICAO",S!$A:$E,I!$A:$E),2,FALSE)</f>
        <v>SINAPI</v>
      </c>
      <c r="D198" s="24" t="str">
        <f>VLOOKUP(B198,IF(A198="COMPOSICAO",S!$A:$E,I!$A:$E),3,FALSE)</f>
        <v>AJUDANTE DE ARMADOR (HORISTA)</v>
      </c>
      <c r="E198" s="23" t="str">
        <f>VLOOKUP(B198,IF(A198="COMPOSICAO",S!$A:$E,I!$A:$E),4,FALSE)</f>
        <v>H</v>
      </c>
      <c r="F198" s="23">
        <v>1</v>
      </c>
      <c r="G198" s="71">
        <f>IF(A198="COMPOSICAO",VLOOKUP("TOTAL SEM BDI - "&amp;B198,CPUAUX4!$A:$J,9,FALSE),VLOOKUP(B198,I!$A:$E,5,FALSE))</f>
        <v>15.57</v>
      </c>
      <c r="H198" s="72"/>
      <c r="I198" s="71">
        <f t="shared" si="16"/>
        <v>15.57</v>
      </c>
      <c r="J198" s="72"/>
      <c r="M198" s="23">
        <f t="shared" si="17"/>
        <v>6114</v>
      </c>
      <c r="N198" s="23">
        <f>SUMIF(CPUAUX2!M:M,B191,CPUAUX2!O:O)</f>
        <v>0.12947851500000002</v>
      </c>
      <c r="O198" s="23">
        <f t="shared" si="18"/>
        <v>0.12947851500000002</v>
      </c>
      <c r="Q198" s="23">
        <f ca="1">SUMIF(CPUAUX2!M:M,B191,CPUAUX2!R:R)</f>
        <v>5.1791406000000005E-2</v>
      </c>
      <c r="R198" s="23">
        <f t="shared" ca="1" si="19"/>
        <v>5.1791406000000005E-2</v>
      </c>
    </row>
    <row r="199" spans="1:18" ht="30" customHeight="1" x14ac:dyDescent="0.3">
      <c r="A199" s="23" t="s">
        <v>1022</v>
      </c>
      <c r="B199" s="23">
        <v>95308</v>
      </c>
      <c r="C199" s="23" t="str">
        <f>VLOOKUP(B199,IF(A199="COMPOSICAO",S!$A:$E,I!$A:$E),2,FALSE)</f>
        <v>SINAPI</v>
      </c>
      <c r="D199" s="24" t="str">
        <f>VLOOKUP(B199,IF(A199="COMPOSICAO",S!$A:$E,I!$A:$E),3,FALSE)</f>
        <v>CURSO DE CAPACITAÇÃO PARA AJUDANTE DE ARMADOR (ENCARGOS COMPLEMENTARES) - HORISTA</v>
      </c>
      <c r="E199" s="23" t="str">
        <f>VLOOKUP(B199,IF(A199="COMPOSICAO",S!$A:$E,I!$A:$E),4,FALSE)</f>
        <v>H</v>
      </c>
      <c r="F199" s="23">
        <v>1</v>
      </c>
      <c r="G199" s="71">
        <f>IF(A199="COMPOSICAO",VLOOKUP("TOTAL SEM BDI - "&amp;B199,CPUAUX4!$A:$J,9,FALSE),VLOOKUP(B199,I!$A:$E,5,FALSE))</f>
        <v>0.17</v>
      </c>
      <c r="H199" s="72"/>
      <c r="I199" s="71">
        <f t="shared" si="16"/>
        <v>0.17</v>
      </c>
      <c r="J199" s="72"/>
      <c r="M199" s="23">
        <f t="shared" si="17"/>
        <v>95308</v>
      </c>
      <c r="N199" s="23">
        <f>SUMIF(CPUAUX2!M:M,B191,CPUAUX2!O:O)</f>
        <v>0.12947851500000002</v>
      </c>
      <c r="O199" s="23">
        <f t="shared" si="18"/>
        <v>0.12947851500000002</v>
      </c>
      <c r="Q199" s="23">
        <f ca="1">SUMIF(CPUAUX2!M:M,B191,CPUAUX2!R:R)</f>
        <v>5.1791406000000005E-2</v>
      </c>
      <c r="R199" s="23">
        <f t="shared" ca="1" si="19"/>
        <v>5.1791406000000005E-2</v>
      </c>
    </row>
    <row r="200" spans="1:18" x14ac:dyDescent="0.3">
      <c r="A200" s="68" t="str">
        <f>"TOTAL SEM BDI - "&amp;B191</f>
        <v>TOTAL SEM BDI - 88238</v>
      </c>
      <c r="B200" s="69"/>
      <c r="C200" s="69"/>
      <c r="D200" s="69"/>
      <c r="E200" s="69"/>
      <c r="F200" s="69"/>
      <c r="G200" s="69"/>
      <c r="H200" s="70"/>
      <c r="I200" s="71">
        <f>SUM(I191:I199)</f>
        <v>22.37</v>
      </c>
      <c r="J200" s="72"/>
    </row>
    <row r="202" spans="1:18" x14ac:dyDescent="0.3">
      <c r="A202" s="4" t="s">
        <v>1018</v>
      </c>
      <c r="B202" s="4" t="s">
        <v>138</v>
      </c>
      <c r="C202" s="4" t="s">
        <v>139</v>
      </c>
      <c r="D202" s="4" t="s">
        <v>21</v>
      </c>
      <c r="E202" s="4" t="s">
        <v>140</v>
      </c>
      <c r="F202" s="4" t="s">
        <v>506</v>
      </c>
      <c r="G202" s="34" t="s">
        <v>1019</v>
      </c>
      <c r="H202" s="35"/>
      <c r="I202" s="34" t="s">
        <v>15</v>
      </c>
      <c r="J202" s="35"/>
    </row>
    <row r="203" spans="1:18" ht="30" customHeight="1" x14ac:dyDescent="0.3">
      <c r="A203" s="15" t="s">
        <v>1093</v>
      </c>
      <c r="B203" s="15">
        <v>95332</v>
      </c>
      <c r="C203" s="15" t="str">
        <f>VLOOKUP(B203,S!$A:$G,2,FALSE)</f>
        <v>SINAPI</v>
      </c>
      <c r="D203" s="22" t="str">
        <f>VLOOKUP(B203,S!$A:$G,3,FALSE)</f>
        <v>CURSO DE CAPACITAÇÃO PARA ELETRICISTA (ENCARGOS COMPLEMENTARES) - HORISTA</v>
      </c>
      <c r="E203" s="15" t="str">
        <f>VLOOKUP(B203,S!$A:$G,4,FALSE)</f>
        <v>H</v>
      </c>
      <c r="F203" s="15"/>
      <c r="G203" s="73">
        <f>I205</f>
        <v>0.75</v>
      </c>
      <c r="H203" s="74"/>
      <c r="I203" s="73"/>
      <c r="J203" s="74"/>
      <c r="K203" s="16">
        <f>VLOOKUP(B203,S!A:G,5,FALSE)</f>
        <v>0.75</v>
      </c>
      <c r="L203" s="15" t="str">
        <f>IF(K203=G203,"OK, CONFORME TABELA",IF(G203&gt;K203,"ACIMA DA TABELA: ","ABAIXO DA TABELA: ")&amp;TRUNC((G203*100)/K203,2)&amp;" %")</f>
        <v>OK, CONFORME TABELA</v>
      </c>
    </row>
    <row r="204" spans="1:18" x14ac:dyDescent="0.3">
      <c r="A204" s="23" t="s">
        <v>1025</v>
      </c>
      <c r="B204" s="23">
        <v>2436</v>
      </c>
      <c r="C204" s="23" t="str">
        <f>VLOOKUP(B204,IF(A204="COMPOSICAO",S!$A:$E,I!$A:$E),2,FALSE)</f>
        <v>SINAPI</v>
      </c>
      <c r="D204" s="24" t="str">
        <f>VLOOKUP(B204,IF(A204="COMPOSICAO",S!$A:$E,I!$A:$E),3,FALSE)</f>
        <v>ELETRICISTA (HORISTA)</v>
      </c>
      <c r="E204" s="23" t="str">
        <f>VLOOKUP(B204,IF(A204="COMPOSICAO",S!$A:$E,I!$A:$E),4,FALSE)</f>
        <v>H</v>
      </c>
      <c r="F204" s="23">
        <v>3.7319999999999999E-2</v>
      </c>
      <c r="G204" s="71">
        <f>IF(A204="COMPOSICAO",VLOOKUP("TOTAL SEM BDI - "&amp;B204,CPUAUX4!$A:$J,9,FALSE),VLOOKUP(B204,I!$A:$E,5,FALSE))</f>
        <v>20.329999999999998</v>
      </c>
      <c r="H204" s="72"/>
      <c r="I204" s="71">
        <f>TRUNC(F204*G204,2)</f>
        <v>0.75</v>
      </c>
      <c r="J204" s="72"/>
      <c r="M204" s="23">
        <f>B204</f>
        <v>2436</v>
      </c>
      <c r="N204" s="23">
        <f>SUMIF(CPUAUX2!M:M,B203,CPUAUX2!O:O)</f>
        <v>27.880274999999997</v>
      </c>
      <c r="O204" s="23">
        <f>F204*N204</f>
        <v>1.040491863</v>
      </c>
      <c r="Q204" s="23">
        <f ca="1">SUMIF(CPUAUX2!M:M,B203,CPUAUX2!R:R)</f>
        <v>11.15211</v>
      </c>
      <c r="R204" s="23">
        <f ca="1">F204*Q204</f>
        <v>0.4161967452</v>
      </c>
    </row>
    <row r="205" spans="1:18" x14ac:dyDescent="0.3">
      <c r="A205" s="68" t="str">
        <f>"TOTAL SEM BDI - "&amp;B203</f>
        <v>TOTAL SEM BDI - 95332</v>
      </c>
      <c r="B205" s="69"/>
      <c r="C205" s="69"/>
      <c r="D205" s="69"/>
      <c r="E205" s="69"/>
      <c r="F205" s="69"/>
      <c r="G205" s="69"/>
      <c r="H205" s="70"/>
      <c r="I205" s="71">
        <f>SUM(I203:I204)</f>
        <v>0.75</v>
      </c>
      <c r="J205" s="72"/>
    </row>
    <row r="207" spans="1:18" x14ac:dyDescent="0.3">
      <c r="A207" s="4" t="s">
        <v>1018</v>
      </c>
      <c r="B207" s="4" t="s">
        <v>138</v>
      </c>
      <c r="C207" s="4" t="s">
        <v>139</v>
      </c>
      <c r="D207" s="4" t="s">
        <v>21</v>
      </c>
      <c r="E207" s="4" t="s">
        <v>140</v>
      </c>
      <c r="F207" s="4" t="s">
        <v>506</v>
      </c>
      <c r="G207" s="34" t="s">
        <v>1019</v>
      </c>
      <c r="H207" s="35"/>
      <c r="I207" s="34" t="s">
        <v>15</v>
      </c>
      <c r="J207" s="35"/>
    </row>
    <row r="208" spans="1:18" ht="30" customHeight="1" x14ac:dyDescent="0.3">
      <c r="A208" s="15" t="s">
        <v>1093</v>
      </c>
      <c r="B208" s="15">
        <v>95316</v>
      </c>
      <c r="C208" s="15" t="str">
        <f>VLOOKUP(B208,S!$A:$G,2,FALSE)</f>
        <v>SINAPI</v>
      </c>
      <c r="D208" s="22" t="str">
        <f>VLOOKUP(B208,S!$A:$G,3,FALSE)</f>
        <v>CURSO DE CAPACITAÇÃO PARA AUXILIAR DE ELETRICISTA (ENCARGOS COMPLEMENTARES) - HORISTA</v>
      </c>
      <c r="E208" s="15" t="str">
        <f>VLOOKUP(B208,S!$A:$G,4,FALSE)</f>
        <v>H</v>
      </c>
      <c r="F208" s="15"/>
      <c r="G208" s="73">
        <f>I210</f>
        <v>0.57999999999999996</v>
      </c>
      <c r="H208" s="74"/>
      <c r="I208" s="73"/>
      <c r="J208" s="74"/>
      <c r="K208" s="16">
        <f>VLOOKUP(B208,S!A:G,5,FALSE)</f>
        <v>0.57999999999999996</v>
      </c>
      <c r="L208" s="15" t="str">
        <f>IF(K208=G208,"OK, CONFORME TABELA",IF(G208&gt;K208,"ACIMA DA TABELA: ","ABAIXO DA TABELA: ")&amp;TRUNC((G208*100)/K208,2)&amp;" %")</f>
        <v>OK, CONFORME TABELA</v>
      </c>
    </row>
    <row r="209" spans="1:18" x14ac:dyDescent="0.3">
      <c r="A209" s="23" t="s">
        <v>1025</v>
      </c>
      <c r="B209" s="23">
        <v>247</v>
      </c>
      <c r="C209" s="23" t="str">
        <f>VLOOKUP(B209,IF(A209="COMPOSICAO",S!$A:$E,I!$A:$E),2,FALSE)</f>
        <v>SINAPI</v>
      </c>
      <c r="D209" s="24" t="str">
        <f>VLOOKUP(B209,IF(A209="COMPOSICAO",S!$A:$E,I!$A:$E),3,FALSE)</f>
        <v>AJUDANTE DE ELETRICISTA (HORISTA)</v>
      </c>
      <c r="E209" s="23" t="str">
        <f>VLOOKUP(B209,IF(A209="COMPOSICAO",S!$A:$E,I!$A:$E),4,FALSE)</f>
        <v>H</v>
      </c>
      <c r="F209" s="23">
        <v>3.7319999999999999E-2</v>
      </c>
      <c r="G209" s="71">
        <f>IF(A209="COMPOSICAO",VLOOKUP("TOTAL SEM BDI - "&amp;B209,CPUAUX4!$A:$J,9,FALSE),VLOOKUP(B209,I!$A:$E,5,FALSE))</f>
        <v>15.57</v>
      </c>
      <c r="H209" s="72"/>
      <c r="I209" s="71">
        <f>TRUNC(F209*G209,2)</f>
        <v>0.57999999999999996</v>
      </c>
      <c r="J209" s="72"/>
      <c r="M209" s="23">
        <f>B209</f>
        <v>247</v>
      </c>
      <c r="N209" s="23">
        <f>SUMIF(CPUAUX2!M:M,B208,CPUAUX2!O:O)</f>
        <v>25.464475</v>
      </c>
      <c r="O209" s="23">
        <f>F209*N209</f>
        <v>0.95033420699999993</v>
      </c>
      <c r="Q209" s="23">
        <f ca="1">SUMIF(CPUAUX2!M:M,B208,CPUAUX2!R:R)</f>
        <v>10.185790000000001</v>
      </c>
      <c r="R209" s="23">
        <f ca="1">F209*Q209</f>
        <v>0.38013368280000004</v>
      </c>
    </row>
    <row r="210" spans="1:18" x14ac:dyDescent="0.3">
      <c r="A210" s="68" t="str">
        <f>"TOTAL SEM BDI - "&amp;B208</f>
        <v>TOTAL SEM BDI - 95316</v>
      </c>
      <c r="B210" s="69"/>
      <c r="C210" s="69"/>
      <c r="D210" s="69"/>
      <c r="E210" s="69"/>
      <c r="F210" s="69"/>
      <c r="G210" s="69"/>
      <c r="H210" s="70"/>
      <c r="I210" s="71">
        <f>SUM(I208:I209)</f>
        <v>0.57999999999999996</v>
      </c>
      <c r="J210" s="72"/>
    </row>
    <row r="212" spans="1:18" x14ac:dyDescent="0.3">
      <c r="A212" s="4" t="s">
        <v>1018</v>
      </c>
      <c r="B212" s="4" t="s">
        <v>138</v>
      </c>
      <c r="C212" s="4" t="s">
        <v>139</v>
      </c>
      <c r="D212" s="4" t="s">
        <v>21</v>
      </c>
      <c r="E212" s="4" t="s">
        <v>140</v>
      </c>
      <c r="F212" s="4" t="s">
        <v>506</v>
      </c>
      <c r="G212" s="34" t="s">
        <v>1019</v>
      </c>
      <c r="H212" s="35"/>
      <c r="I212" s="34" t="s">
        <v>15</v>
      </c>
      <c r="J212" s="35"/>
    </row>
    <row r="213" spans="1:18" x14ac:dyDescent="0.3">
      <c r="A213" s="15" t="s">
        <v>1093</v>
      </c>
      <c r="B213" s="15">
        <v>88316</v>
      </c>
      <c r="C213" s="15" t="str">
        <f>VLOOKUP(B213,S!$A:$G,2,FALSE)</f>
        <v>SINAPI</v>
      </c>
      <c r="D213" s="22" t="str">
        <f>VLOOKUP(B213,S!$A:$G,3,FALSE)</f>
        <v>SERVENTE COM ENCARGOS COMPLEMENTARES</v>
      </c>
      <c r="E213" s="15" t="str">
        <f>VLOOKUP(B213,S!$A:$G,4,FALSE)</f>
        <v>H</v>
      </c>
      <c r="F213" s="15"/>
      <c r="G213" s="73">
        <f>I222</f>
        <v>21.709999999999997</v>
      </c>
      <c r="H213" s="74"/>
      <c r="I213" s="73"/>
      <c r="J213" s="74"/>
      <c r="K213" s="16">
        <f>VLOOKUP(B213,S!A:G,5,FALSE)</f>
        <v>21.71</v>
      </c>
      <c r="L213" s="15" t="str">
        <f>IF(K213=G213,"OK, CONFORME TABELA",IF(G213&gt;K213,"ACIMA DA TABELA: ","ABAIXO DA TABELA: ")&amp;TRUNC((G213*100)/K213,2)&amp;" %")</f>
        <v>OK, CONFORME TABELA</v>
      </c>
    </row>
    <row r="214" spans="1:18" ht="30" customHeight="1" x14ac:dyDescent="0.3">
      <c r="A214" s="23" t="s">
        <v>1025</v>
      </c>
      <c r="B214" s="23">
        <v>43491</v>
      </c>
      <c r="C214" s="23" t="str">
        <f>VLOOKUP(B214,IF(A214="COMPOSICAO",S!$A:$E,I!$A:$E),2,FALSE)</f>
        <v>SINAPI</v>
      </c>
      <c r="D214" s="24" t="str">
        <f>VLOOKUP(B214,IF(A214="COMPOSICAO",S!$A:$E,I!$A:$E),3,FALSE)</f>
        <v>EPI - FAMILIA SERVENTE - HORISTA (ENCARGOS COMPLEMENTARES - COLETADO CAIXA)</v>
      </c>
      <c r="E214" s="23" t="str">
        <f>VLOOKUP(B214,IF(A214="COMPOSICAO",S!$A:$E,I!$A:$E),4,FALSE)</f>
        <v>H</v>
      </c>
      <c r="F214" s="23">
        <v>1</v>
      </c>
      <c r="G214" s="71">
        <f>IF(A214="COMPOSICAO",VLOOKUP("TOTAL SEM BDI - "&amp;B214,CPUAUX4!$A:$J,9,FALSE),VLOOKUP(B214,I!$A:$E,5,FALSE))</f>
        <v>1.39</v>
      </c>
      <c r="H214" s="72"/>
      <c r="I214" s="71">
        <f t="shared" ref="I214:I221" si="20">TRUNC(F214*G214,2)</f>
        <v>1.39</v>
      </c>
      <c r="J214" s="72"/>
      <c r="M214" s="23">
        <f t="shared" ref="M214:M221" si="21">B214</f>
        <v>43491</v>
      </c>
      <c r="N214" s="23">
        <f>SUMIF(CPUAUX2!M:M,B213,CPUAUX2!O:O)</f>
        <v>0.51934200000000008</v>
      </c>
      <c r="O214" s="23">
        <f t="shared" ref="O214:O221" si="22">F214*N214</f>
        <v>0.51934200000000008</v>
      </c>
      <c r="Q214" s="23">
        <f ca="1">SUMIF(CPUAUX2!M:M,B213,CPUAUX2!R:R)</f>
        <v>0.20773680000000005</v>
      </c>
      <c r="R214" s="23">
        <f t="shared" ref="R214:R221" ca="1" si="23">F214*Q214</f>
        <v>0.20773680000000005</v>
      </c>
    </row>
    <row r="215" spans="1:18" ht="30" customHeight="1" x14ac:dyDescent="0.3">
      <c r="A215" s="23" t="s">
        <v>1025</v>
      </c>
      <c r="B215" s="23">
        <v>43467</v>
      </c>
      <c r="C215" s="23" t="str">
        <f>VLOOKUP(B215,IF(A215="COMPOSICAO",S!$A:$E,I!$A:$E),2,FALSE)</f>
        <v>SINAPI</v>
      </c>
      <c r="D215" s="24" t="str">
        <f>VLOOKUP(B215,IF(A215="COMPOSICAO",S!$A:$E,I!$A:$E),3,FALSE)</f>
        <v>FERRAMENTAS - FAMILIA SERVENTE - HORISTA (ENCARGOS COMPLEMENTARES - COLETADO CAIXA)</v>
      </c>
      <c r="E215" s="23" t="str">
        <f>VLOOKUP(B215,IF(A215="COMPOSICAO",S!$A:$E,I!$A:$E),4,FALSE)</f>
        <v>H</v>
      </c>
      <c r="F215" s="23">
        <v>1</v>
      </c>
      <c r="G215" s="71">
        <f>IF(A215="COMPOSICAO",VLOOKUP("TOTAL SEM BDI - "&amp;B215,CPUAUX4!$A:$J,9,FALSE),VLOOKUP(B215,I!$A:$E,5,FALSE))</f>
        <v>0.61</v>
      </c>
      <c r="H215" s="72"/>
      <c r="I215" s="71">
        <f t="shared" si="20"/>
        <v>0.61</v>
      </c>
      <c r="J215" s="72"/>
      <c r="M215" s="23">
        <f t="shared" si="21"/>
        <v>43467</v>
      </c>
      <c r="N215" s="23">
        <f>SUMIF(CPUAUX2!M:M,B213,CPUAUX2!O:O)</f>
        <v>0.51934200000000008</v>
      </c>
      <c r="O215" s="23">
        <f t="shared" si="22"/>
        <v>0.51934200000000008</v>
      </c>
      <c r="Q215" s="23">
        <f ca="1">SUMIF(CPUAUX2!M:M,B213,CPUAUX2!R:R)</f>
        <v>0.20773680000000005</v>
      </c>
      <c r="R215" s="23">
        <f t="shared" ca="1" si="23"/>
        <v>0.20773680000000005</v>
      </c>
    </row>
    <row r="216" spans="1:18" ht="30" customHeight="1" x14ac:dyDescent="0.3">
      <c r="A216" s="23" t="s">
        <v>1025</v>
      </c>
      <c r="B216" s="23">
        <v>37373</v>
      </c>
      <c r="C216" s="23" t="str">
        <f>VLOOKUP(B216,IF(A216="COMPOSICAO",S!$A:$E,I!$A:$E),2,FALSE)</f>
        <v>SINAPI</v>
      </c>
      <c r="D216" s="24" t="str">
        <f>VLOOKUP(B216,IF(A216="COMPOSICAO",S!$A:$E,I!$A:$E),3,FALSE)</f>
        <v>SEGURO - HORISTA (COLETADO CAIXA - ENCARGOS COMPLEMENTARES)</v>
      </c>
      <c r="E216" s="23" t="str">
        <f>VLOOKUP(B216,IF(A216="COMPOSICAO",S!$A:$E,I!$A:$E),4,FALSE)</f>
        <v>H</v>
      </c>
      <c r="F216" s="23">
        <v>1</v>
      </c>
      <c r="G216" s="71">
        <f>IF(A216="COMPOSICAO",VLOOKUP("TOTAL SEM BDI - "&amp;B216,CPUAUX4!$A:$J,9,FALSE),VLOOKUP(B216,I!$A:$E,5,FALSE))</f>
        <v>0.08</v>
      </c>
      <c r="H216" s="72"/>
      <c r="I216" s="71">
        <f t="shared" si="20"/>
        <v>0.08</v>
      </c>
      <c r="J216" s="72"/>
      <c r="M216" s="23">
        <f t="shared" si="21"/>
        <v>37373</v>
      </c>
      <c r="N216" s="23">
        <f>SUMIF(CPUAUX2!M:M,B213,CPUAUX2!O:O)</f>
        <v>0.51934200000000008</v>
      </c>
      <c r="O216" s="23">
        <f t="shared" si="22"/>
        <v>0.51934200000000008</v>
      </c>
      <c r="Q216" s="23">
        <f ca="1">SUMIF(CPUAUX2!M:M,B213,CPUAUX2!R:R)</f>
        <v>0.20773680000000005</v>
      </c>
      <c r="R216" s="23">
        <f t="shared" ca="1" si="23"/>
        <v>0.20773680000000005</v>
      </c>
    </row>
    <row r="217" spans="1:18" ht="30" customHeight="1" x14ac:dyDescent="0.3">
      <c r="A217" s="23" t="s">
        <v>1025</v>
      </c>
      <c r="B217" s="23">
        <v>37372</v>
      </c>
      <c r="C217" s="23" t="str">
        <f>VLOOKUP(B217,IF(A217="COMPOSICAO",S!$A:$E,I!$A:$E),2,FALSE)</f>
        <v>SINAPI</v>
      </c>
      <c r="D217" s="24" t="str">
        <f>VLOOKUP(B217,IF(A217="COMPOSICAO",S!$A:$E,I!$A:$E),3,FALSE)</f>
        <v>EXAMES - HORISTA (COLETADO CAIXA - ENCARGOS COMPLEMENTARES)</v>
      </c>
      <c r="E217" s="23" t="str">
        <f>VLOOKUP(B217,IF(A217="COMPOSICAO",S!$A:$E,I!$A:$E),4,FALSE)</f>
        <v>H</v>
      </c>
      <c r="F217" s="23">
        <v>1</v>
      </c>
      <c r="G217" s="71">
        <f>IF(A217="COMPOSICAO",VLOOKUP("TOTAL SEM BDI - "&amp;B217,CPUAUX4!$A:$J,9,FALSE),VLOOKUP(B217,I!$A:$E,5,FALSE))</f>
        <v>1.43</v>
      </c>
      <c r="H217" s="72"/>
      <c r="I217" s="71">
        <f t="shared" si="20"/>
        <v>1.43</v>
      </c>
      <c r="J217" s="72"/>
      <c r="M217" s="23">
        <f t="shared" si="21"/>
        <v>37372</v>
      </c>
      <c r="N217" s="23">
        <f>SUMIF(CPUAUX2!M:M,B213,CPUAUX2!O:O)</f>
        <v>0.51934200000000008</v>
      </c>
      <c r="O217" s="23">
        <f t="shared" si="22"/>
        <v>0.51934200000000008</v>
      </c>
      <c r="Q217" s="23">
        <f ca="1">SUMIF(CPUAUX2!M:M,B213,CPUAUX2!R:R)</f>
        <v>0.20773680000000005</v>
      </c>
      <c r="R217" s="23">
        <f t="shared" ca="1" si="23"/>
        <v>0.20773680000000005</v>
      </c>
    </row>
    <row r="218" spans="1:18" ht="30" customHeight="1" x14ac:dyDescent="0.3">
      <c r="A218" s="23" t="s">
        <v>1025</v>
      </c>
      <c r="B218" s="23">
        <v>37371</v>
      </c>
      <c r="C218" s="23" t="str">
        <f>VLOOKUP(B218,IF(A218="COMPOSICAO",S!$A:$E,I!$A:$E),2,FALSE)</f>
        <v>SINAPI</v>
      </c>
      <c r="D218" s="24" t="str">
        <f>VLOOKUP(B218,IF(A218="COMPOSICAO",S!$A:$E,I!$A:$E),3,FALSE)</f>
        <v>TRANSPORTE - HORISTA (COLETADO CAIXA - ENCARGOS COMPLEMENTARES)</v>
      </c>
      <c r="E218" s="23" t="str">
        <f>VLOOKUP(B218,IF(A218="COMPOSICAO",S!$A:$E,I!$A:$E),4,FALSE)</f>
        <v>H</v>
      </c>
      <c r="F218" s="23">
        <v>1</v>
      </c>
      <c r="G218" s="71">
        <f>IF(A218="COMPOSICAO",VLOOKUP("TOTAL SEM BDI - "&amp;B218,CPUAUX4!$A:$J,9,FALSE),VLOOKUP(B218,I!$A:$E,5,FALSE))</f>
        <v>0.56999999999999995</v>
      </c>
      <c r="H218" s="72"/>
      <c r="I218" s="71">
        <f t="shared" si="20"/>
        <v>0.56999999999999995</v>
      </c>
      <c r="J218" s="72"/>
      <c r="M218" s="23">
        <f t="shared" si="21"/>
        <v>37371</v>
      </c>
      <c r="N218" s="23">
        <f>SUMIF(CPUAUX2!M:M,B213,CPUAUX2!O:O)</f>
        <v>0.51934200000000008</v>
      </c>
      <c r="O218" s="23">
        <f t="shared" si="22"/>
        <v>0.51934200000000008</v>
      </c>
      <c r="Q218" s="23">
        <f ca="1">SUMIF(CPUAUX2!M:M,B213,CPUAUX2!R:R)</f>
        <v>0.20773680000000005</v>
      </c>
      <c r="R218" s="23">
        <f t="shared" ca="1" si="23"/>
        <v>0.20773680000000005</v>
      </c>
    </row>
    <row r="219" spans="1:18" ht="30" customHeight="1" x14ac:dyDescent="0.3">
      <c r="A219" s="23" t="s">
        <v>1025</v>
      </c>
      <c r="B219" s="23">
        <v>37370</v>
      </c>
      <c r="C219" s="23" t="str">
        <f>VLOOKUP(B219,IF(A219="COMPOSICAO",S!$A:$E,I!$A:$E),2,FALSE)</f>
        <v>SINAPI</v>
      </c>
      <c r="D219" s="24" t="str">
        <f>VLOOKUP(B219,IF(A219="COMPOSICAO",S!$A:$E,I!$A:$E),3,FALSE)</f>
        <v>ALIMENTACAO - HORISTA (COLETADO CAIXA - ENCARGOS COMPLEMENTARES)</v>
      </c>
      <c r="E219" s="23" t="str">
        <f>VLOOKUP(B219,IF(A219="COMPOSICAO",S!$A:$E,I!$A:$E),4,FALSE)</f>
        <v>H</v>
      </c>
      <c r="F219" s="23">
        <v>1</v>
      </c>
      <c r="G219" s="71">
        <f>IF(A219="COMPOSICAO",VLOOKUP("TOTAL SEM BDI - "&amp;B219,CPUAUX4!$A:$J,9,FALSE),VLOOKUP(B219,I!$A:$E,5,FALSE))</f>
        <v>2.46</v>
      </c>
      <c r="H219" s="72"/>
      <c r="I219" s="71">
        <f t="shared" si="20"/>
        <v>2.46</v>
      </c>
      <c r="J219" s="72"/>
      <c r="M219" s="23">
        <f t="shared" si="21"/>
        <v>37370</v>
      </c>
      <c r="N219" s="23">
        <f>SUMIF(CPUAUX2!M:M,B213,CPUAUX2!O:O)</f>
        <v>0.51934200000000008</v>
      </c>
      <c r="O219" s="23">
        <f t="shared" si="22"/>
        <v>0.51934200000000008</v>
      </c>
      <c r="Q219" s="23">
        <f ca="1">SUMIF(CPUAUX2!M:M,B213,CPUAUX2!R:R)</f>
        <v>0.20773680000000005</v>
      </c>
      <c r="R219" s="23">
        <f t="shared" ca="1" si="23"/>
        <v>0.20773680000000005</v>
      </c>
    </row>
    <row r="220" spans="1:18" x14ac:dyDescent="0.3">
      <c r="A220" s="23" t="s">
        <v>1025</v>
      </c>
      <c r="B220" s="23">
        <v>6111</v>
      </c>
      <c r="C220" s="23" t="str">
        <f>VLOOKUP(B220,IF(A220="COMPOSICAO",S!$A:$E,I!$A:$E),2,FALSE)</f>
        <v>SINAPI</v>
      </c>
      <c r="D220" s="24" t="str">
        <f>VLOOKUP(B220,IF(A220="COMPOSICAO",S!$A:$E,I!$A:$E),3,FALSE)</f>
        <v>SERVENTE DE OBRAS (HORISTA)</v>
      </c>
      <c r="E220" s="23" t="str">
        <f>VLOOKUP(B220,IF(A220="COMPOSICAO",S!$A:$E,I!$A:$E),4,FALSE)</f>
        <v>H</v>
      </c>
      <c r="F220" s="23">
        <v>1</v>
      </c>
      <c r="G220" s="71">
        <f>IF(A220="COMPOSICAO",VLOOKUP("TOTAL SEM BDI - "&amp;B220,CPUAUX4!$A:$J,9,FALSE),VLOOKUP(B220,I!$A:$E,5,FALSE))</f>
        <v>14.86</v>
      </c>
      <c r="H220" s="72"/>
      <c r="I220" s="71">
        <f t="shared" si="20"/>
        <v>14.86</v>
      </c>
      <c r="J220" s="72"/>
      <c r="M220" s="23">
        <f t="shared" si="21"/>
        <v>6111</v>
      </c>
      <c r="N220" s="23">
        <f>SUMIF(CPUAUX2!M:M,B213,CPUAUX2!O:O)</f>
        <v>0.51934200000000008</v>
      </c>
      <c r="O220" s="23">
        <f t="shared" si="22"/>
        <v>0.51934200000000008</v>
      </c>
      <c r="Q220" s="23">
        <f ca="1">SUMIF(CPUAUX2!M:M,B213,CPUAUX2!R:R)</f>
        <v>0.20773680000000005</v>
      </c>
      <c r="R220" s="23">
        <f t="shared" ca="1" si="23"/>
        <v>0.20773680000000005</v>
      </c>
    </row>
    <row r="221" spans="1:18" ht="30" customHeight="1" x14ac:dyDescent="0.3">
      <c r="A221" s="23" t="s">
        <v>1022</v>
      </c>
      <c r="B221" s="23">
        <v>95378</v>
      </c>
      <c r="C221" s="23" t="str">
        <f>VLOOKUP(B221,IF(A221="COMPOSICAO",S!$A:$E,I!$A:$E),2,FALSE)</f>
        <v>SINAPI</v>
      </c>
      <c r="D221" s="24" t="str">
        <f>VLOOKUP(B221,IF(A221="COMPOSICAO",S!$A:$E,I!$A:$E),3,FALSE)</f>
        <v>CURSO DE CAPACITAÇÃO PARA SERVENTE (ENCARGOS COMPLEMENTARES) - HORISTA</v>
      </c>
      <c r="E221" s="23" t="str">
        <f>VLOOKUP(B221,IF(A221="COMPOSICAO",S!$A:$E,I!$A:$E),4,FALSE)</f>
        <v>H</v>
      </c>
      <c r="F221" s="23">
        <v>1</v>
      </c>
      <c r="G221" s="71">
        <f>IF(A221="COMPOSICAO",VLOOKUP("TOTAL SEM BDI - "&amp;B221,CPUAUX4!$A:$J,9,FALSE),VLOOKUP(B221,I!$A:$E,5,FALSE))</f>
        <v>0.31</v>
      </c>
      <c r="H221" s="72"/>
      <c r="I221" s="71">
        <f t="shared" si="20"/>
        <v>0.31</v>
      </c>
      <c r="J221" s="72"/>
      <c r="M221" s="23">
        <f t="shared" si="21"/>
        <v>95378</v>
      </c>
      <c r="N221" s="23">
        <f>SUMIF(CPUAUX2!M:M,B213,CPUAUX2!O:O)</f>
        <v>0.51934200000000008</v>
      </c>
      <c r="O221" s="23">
        <f t="shared" si="22"/>
        <v>0.51934200000000008</v>
      </c>
      <c r="Q221" s="23">
        <f ca="1">SUMIF(CPUAUX2!M:M,B213,CPUAUX2!R:R)</f>
        <v>0.20773680000000005</v>
      </c>
      <c r="R221" s="23">
        <f t="shared" ca="1" si="23"/>
        <v>0.20773680000000005</v>
      </c>
    </row>
    <row r="222" spans="1:18" x14ac:dyDescent="0.3">
      <c r="A222" s="68" t="str">
        <f>"TOTAL SEM BDI - "&amp;B213</f>
        <v>TOTAL SEM BDI - 88316</v>
      </c>
      <c r="B222" s="69"/>
      <c r="C222" s="69"/>
      <c r="D222" s="69"/>
      <c r="E222" s="69"/>
      <c r="F222" s="69"/>
      <c r="G222" s="69"/>
      <c r="H222" s="70"/>
      <c r="I222" s="71">
        <f>SUM(I213:I221)</f>
        <v>21.709999999999997</v>
      </c>
      <c r="J222" s="72"/>
    </row>
    <row r="224" spans="1:18" x14ac:dyDescent="0.3">
      <c r="A224" s="4" t="s">
        <v>1018</v>
      </c>
      <c r="B224" s="4" t="s">
        <v>138</v>
      </c>
      <c r="C224" s="4" t="s">
        <v>139</v>
      </c>
      <c r="D224" s="4" t="s">
        <v>21</v>
      </c>
      <c r="E224" s="4" t="s">
        <v>140</v>
      </c>
      <c r="F224" s="4" t="s">
        <v>506</v>
      </c>
      <c r="G224" s="34" t="s">
        <v>1019</v>
      </c>
      <c r="H224" s="35"/>
      <c r="I224" s="34" t="s">
        <v>15</v>
      </c>
      <c r="J224" s="35"/>
    </row>
    <row r="225" spans="1:18" ht="45" customHeight="1" x14ac:dyDescent="0.3">
      <c r="A225" s="15" t="s">
        <v>1093</v>
      </c>
      <c r="B225" s="15">
        <v>95335</v>
      </c>
      <c r="C225" s="15" t="str">
        <f>VLOOKUP(B225,S!$A:$G,2,FALSE)</f>
        <v>SINAPI</v>
      </c>
      <c r="D225" s="22" t="str">
        <f>VLOOKUP(B225,S!$A:$G,3,FALSE)</f>
        <v>CURSO DE CAPACITAÇÃO PARA ENCANADOR OU BOMBEIRO HIDRÁULICO (ENCARGOS COMPLEMENTARES) - HORISTA</v>
      </c>
      <c r="E225" s="15" t="str">
        <f>VLOOKUP(B225,S!$A:$G,4,FALSE)</f>
        <v>H</v>
      </c>
      <c r="F225" s="15"/>
      <c r="G225" s="73">
        <f>I227</f>
        <v>0.36</v>
      </c>
      <c r="H225" s="74"/>
      <c r="I225" s="73"/>
      <c r="J225" s="74"/>
      <c r="K225" s="16">
        <f>VLOOKUP(B225,S!A:G,5,FALSE)</f>
        <v>0.36</v>
      </c>
      <c r="L225" s="15" t="str">
        <f>IF(K225=G225,"OK, CONFORME TABELA",IF(G225&gt;K225,"ACIMA DA TABELA: ","ABAIXO DA TABELA: ")&amp;TRUNC((G225*100)/K225,2)&amp;" %")</f>
        <v>OK, CONFORME TABELA</v>
      </c>
    </row>
    <row r="226" spans="1:18" x14ac:dyDescent="0.3">
      <c r="A226" s="23" t="s">
        <v>1025</v>
      </c>
      <c r="B226" s="23">
        <v>2696</v>
      </c>
      <c r="C226" s="23" t="str">
        <f>VLOOKUP(B226,IF(A226="COMPOSICAO",S!$A:$E,I!$A:$E),2,FALSE)</f>
        <v>SINAPI</v>
      </c>
      <c r="D226" s="24" t="str">
        <f>VLOOKUP(B226,IF(A226="COMPOSICAO",S!$A:$E,I!$A:$E),3,FALSE)</f>
        <v>ENCANADOR OU BOMBEIRO HIDRAULICO (HORISTA)</v>
      </c>
      <c r="E226" s="23" t="str">
        <f>VLOOKUP(B226,IF(A226="COMPOSICAO",S!$A:$E,I!$A:$E),4,FALSE)</f>
        <v>H</v>
      </c>
      <c r="F226" s="23">
        <v>1.7979999999999999E-2</v>
      </c>
      <c r="G226" s="71">
        <f>IF(A226="COMPOSICAO",VLOOKUP("TOTAL SEM BDI - "&amp;B226,CPUAUX4!$A:$J,9,FALSE),VLOOKUP(B226,I!$A:$E,5,FALSE))</f>
        <v>20.329999999999998</v>
      </c>
      <c r="H226" s="72"/>
      <c r="I226" s="71">
        <f>TRUNC(F226*G226,2)</f>
        <v>0.36</v>
      </c>
      <c r="J226" s="72"/>
      <c r="M226" s="23">
        <f>B226</f>
        <v>2696</v>
      </c>
      <c r="N226" s="23">
        <f>SUMIF(CPUAUX2!M:M,B225,CPUAUX2!O:O)</f>
        <v>11.4255</v>
      </c>
      <c r="O226" s="23">
        <f>F226*N226</f>
        <v>0.20543048999999999</v>
      </c>
      <c r="Q226" s="23">
        <f ca="1">SUMIF(CPUAUX2!M:M,B225,CPUAUX2!R:R)</f>
        <v>4.5701999999999998</v>
      </c>
      <c r="R226" s="23">
        <f ca="1">F226*Q226</f>
        <v>8.2172195999999989E-2</v>
      </c>
    </row>
    <row r="227" spans="1:18" x14ac:dyDescent="0.3">
      <c r="A227" s="68" t="str">
        <f>"TOTAL SEM BDI - "&amp;B225</f>
        <v>TOTAL SEM BDI - 95335</v>
      </c>
      <c r="B227" s="69"/>
      <c r="C227" s="69"/>
      <c r="D227" s="69"/>
      <c r="E227" s="69"/>
      <c r="F227" s="69"/>
      <c r="G227" s="69"/>
      <c r="H227" s="70"/>
      <c r="I227" s="71">
        <f>SUM(I225:I226)</f>
        <v>0.36</v>
      </c>
      <c r="J227" s="72"/>
    </row>
    <row r="229" spans="1:18" x14ac:dyDescent="0.3">
      <c r="A229" s="4" t="s">
        <v>1018</v>
      </c>
      <c r="B229" s="4" t="s">
        <v>138</v>
      </c>
      <c r="C229" s="4" t="s">
        <v>139</v>
      </c>
      <c r="D229" s="4" t="s">
        <v>21</v>
      </c>
      <c r="E229" s="4" t="s">
        <v>140</v>
      </c>
      <c r="F229" s="4" t="s">
        <v>506</v>
      </c>
      <c r="G229" s="34" t="s">
        <v>1019</v>
      </c>
      <c r="H229" s="35"/>
      <c r="I229" s="34" t="s">
        <v>15</v>
      </c>
      <c r="J229" s="35"/>
    </row>
    <row r="230" spans="1:18" ht="45" customHeight="1" x14ac:dyDescent="0.3">
      <c r="A230" s="15" t="s">
        <v>1093</v>
      </c>
      <c r="B230" s="15">
        <v>95317</v>
      </c>
      <c r="C230" s="15" t="str">
        <f>VLOOKUP(B230,S!$A:$G,2,FALSE)</f>
        <v>SINAPI</v>
      </c>
      <c r="D230" s="22" t="str">
        <f>VLOOKUP(B230,S!$A:$G,3,FALSE)</f>
        <v>CURSO DE CAPACITAÇÃO PARA AUXILIAR DE ENCANADOR OU BOMBEIRO HIDRÁULICO (ENCARGOS COMPLEMENTARES) - HORISTA</v>
      </c>
      <c r="E230" s="15" t="str">
        <f>VLOOKUP(B230,S!$A:$G,4,FALSE)</f>
        <v>H</v>
      </c>
      <c r="F230" s="15"/>
      <c r="G230" s="73">
        <f>I232</f>
        <v>0.27</v>
      </c>
      <c r="H230" s="74"/>
      <c r="I230" s="73"/>
      <c r="J230" s="74"/>
      <c r="K230" s="16">
        <f>VLOOKUP(B230,S!A:G,5,FALSE)</f>
        <v>0.27</v>
      </c>
      <c r="L230" s="15" t="str">
        <f>IF(K230=G230,"OK, CONFORME TABELA",IF(G230&gt;K230,"ACIMA DA TABELA: ","ABAIXO DA TABELA: ")&amp;TRUNC((G230*100)/K230,2)&amp;" %")</f>
        <v>OK, CONFORME TABELA</v>
      </c>
    </row>
    <row r="231" spans="1:18" ht="30" customHeight="1" x14ac:dyDescent="0.3">
      <c r="A231" s="23" t="s">
        <v>1025</v>
      </c>
      <c r="B231" s="23">
        <v>246</v>
      </c>
      <c r="C231" s="23" t="str">
        <f>VLOOKUP(B231,IF(A231="COMPOSICAO",S!$A:$E,I!$A:$E),2,FALSE)</f>
        <v>SINAPI</v>
      </c>
      <c r="D231" s="24" t="str">
        <f>VLOOKUP(B231,IF(A231="COMPOSICAO",S!$A:$E,I!$A:$E),3,FALSE)</f>
        <v>AUXILIAR DE ENCANADOR OU BOMBEIRO HIDRAULICO (HORISTA)</v>
      </c>
      <c r="E231" s="23" t="str">
        <f>VLOOKUP(B231,IF(A231="COMPOSICAO",S!$A:$E,I!$A:$E),4,FALSE)</f>
        <v>H</v>
      </c>
      <c r="F231" s="23">
        <v>1.7979999999999999E-2</v>
      </c>
      <c r="G231" s="71">
        <f>IF(A231="COMPOSICAO",VLOOKUP("TOTAL SEM BDI - "&amp;B231,CPUAUX4!$A:$J,9,FALSE),VLOOKUP(B231,I!$A:$E,5,FALSE))</f>
        <v>15.57</v>
      </c>
      <c r="H231" s="72"/>
      <c r="I231" s="71">
        <f>TRUNC(F231*G231,2)</f>
        <v>0.27</v>
      </c>
      <c r="J231" s="72"/>
      <c r="M231" s="23">
        <f>B231</f>
        <v>246</v>
      </c>
      <c r="N231" s="23">
        <f>SUMIF(CPUAUX2!M:M,B230,CPUAUX2!O:O)</f>
        <v>8.3234999999999992</v>
      </c>
      <c r="O231" s="23">
        <f>F231*N231</f>
        <v>0.14965652999999998</v>
      </c>
      <c r="Q231" s="23">
        <f ca="1">SUMIF(CPUAUX2!M:M,B230,CPUAUX2!R:R)</f>
        <v>3.3294000000000001</v>
      </c>
      <c r="R231" s="23">
        <f ca="1">F231*Q231</f>
        <v>5.9862612000000003E-2</v>
      </c>
    </row>
    <row r="232" spans="1:18" x14ac:dyDescent="0.3">
      <c r="A232" s="68" t="str">
        <f>"TOTAL SEM BDI - "&amp;B230</f>
        <v>TOTAL SEM BDI - 95317</v>
      </c>
      <c r="B232" s="69"/>
      <c r="C232" s="69"/>
      <c r="D232" s="69"/>
      <c r="E232" s="69"/>
      <c r="F232" s="69"/>
      <c r="G232" s="69"/>
      <c r="H232" s="70"/>
      <c r="I232" s="71">
        <f>SUM(I230:I231)</f>
        <v>0.27</v>
      </c>
      <c r="J232" s="72"/>
    </row>
    <row r="234" spans="1:18" x14ac:dyDescent="0.3">
      <c r="A234" s="4" t="s">
        <v>1018</v>
      </c>
      <c r="B234" s="4" t="s">
        <v>138</v>
      </c>
      <c r="C234" s="4" t="s">
        <v>139</v>
      </c>
      <c r="D234" s="4" t="s">
        <v>21</v>
      </c>
      <c r="E234" s="4" t="s">
        <v>140</v>
      </c>
      <c r="F234" s="4" t="s">
        <v>506</v>
      </c>
      <c r="G234" s="34" t="s">
        <v>1019</v>
      </c>
      <c r="H234" s="35"/>
      <c r="I234" s="34" t="s">
        <v>15</v>
      </c>
      <c r="J234" s="35"/>
    </row>
    <row r="235" spans="1:18" x14ac:dyDescent="0.3">
      <c r="A235" s="15" t="s">
        <v>1093</v>
      </c>
      <c r="B235" s="15">
        <v>88264</v>
      </c>
      <c r="C235" s="15" t="str">
        <f>VLOOKUP(B235,S!$A:$G,2,FALSE)</f>
        <v>SINAPI</v>
      </c>
      <c r="D235" s="22" t="str">
        <f>VLOOKUP(B235,S!$A:$G,3,FALSE)</f>
        <v>ELETRICISTA COM ENCARGOS COMPLEMENTARES</v>
      </c>
      <c r="E235" s="15" t="str">
        <f>VLOOKUP(B235,S!$A:$G,4,FALSE)</f>
        <v>H</v>
      </c>
      <c r="F235" s="15"/>
      <c r="G235" s="73">
        <f>I244</f>
        <v>27.74</v>
      </c>
      <c r="H235" s="74"/>
      <c r="I235" s="73"/>
      <c r="J235" s="74"/>
      <c r="K235" s="16">
        <f>VLOOKUP(B235,S!A:G,5,FALSE)</f>
        <v>27.74</v>
      </c>
      <c r="L235" s="15" t="str">
        <f>IF(K235=G235,"OK, CONFORME TABELA",IF(G235&gt;K235,"ACIMA DA TABELA: ","ABAIXO DA TABELA: ")&amp;TRUNC((G235*100)/K235,2)&amp;" %")</f>
        <v>OK, CONFORME TABELA</v>
      </c>
    </row>
    <row r="236" spans="1:18" ht="30" customHeight="1" x14ac:dyDescent="0.3">
      <c r="A236" s="23" t="s">
        <v>1025</v>
      </c>
      <c r="B236" s="23">
        <v>43484</v>
      </c>
      <c r="C236" s="23" t="str">
        <f>VLOOKUP(B236,IF(A236="COMPOSICAO",S!$A:$E,I!$A:$E),2,FALSE)</f>
        <v>SINAPI</v>
      </c>
      <c r="D236" s="24" t="str">
        <f>VLOOKUP(B236,IF(A236="COMPOSICAO",S!$A:$E,I!$A:$E),3,FALSE)</f>
        <v>EPI - FAMILIA ELETRICISTA - HORISTA (ENCARGOS COMPLEMENTARES - COLETADO CAIXA)</v>
      </c>
      <c r="E236" s="23" t="str">
        <f>VLOOKUP(B236,IF(A236="COMPOSICAO",S!$A:$E,I!$A:$E),4,FALSE)</f>
        <v>H</v>
      </c>
      <c r="F236" s="23">
        <v>1</v>
      </c>
      <c r="G236" s="71">
        <f>IF(A236="COMPOSICAO",VLOOKUP("TOTAL SEM BDI - "&amp;B236,CPUAUX4!$A:$J,9,FALSE),VLOOKUP(B236,I!$A:$E,5,FALSE))</f>
        <v>1.26</v>
      </c>
      <c r="H236" s="72"/>
      <c r="I236" s="71">
        <f t="shared" ref="I236:I243" si="24">TRUNC(F236*G236,2)</f>
        <v>1.26</v>
      </c>
      <c r="J236" s="72"/>
      <c r="M236" s="23">
        <f t="shared" ref="M236:M243" si="25">B236</f>
        <v>43484</v>
      </c>
      <c r="N236" s="23">
        <f>SUMIF(CPUAUX2!M:M,B235,CPUAUX2!O:O)</f>
        <v>3.07</v>
      </c>
      <c r="O236" s="23">
        <f t="shared" ref="O236:O243" si="26">F236*N236</f>
        <v>3.07</v>
      </c>
      <c r="Q236" s="23">
        <f ca="1">SUMIF(CPUAUX2!M:M,B235,CPUAUX2!R:R)</f>
        <v>1.228</v>
      </c>
      <c r="R236" s="23">
        <f t="shared" ref="R236:R243" ca="1" si="27">F236*Q236</f>
        <v>1.228</v>
      </c>
    </row>
    <row r="237" spans="1:18" ht="30" customHeight="1" x14ac:dyDescent="0.3">
      <c r="A237" s="23" t="s">
        <v>1025</v>
      </c>
      <c r="B237" s="23">
        <v>43460</v>
      </c>
      <c r="C237" s="23" t="str">
        <f>VLOOKUP(B237,IF(A237="COMPOSICAO",S!$A:$E,I!$A:$E),2,FALSE)</f>
        <v>SINAPI</v>
      </c>
      <c r="D237" s="24" t="str">
        <f>VLOOKUP(B237,IF(A237="COMPOSICAO",S!$A:$E,I!$A:$E),3,FALSE)</f>
        <v>FERRAMENTAS - FAMILIA ELETRICISTA - HORISTA (ENCARGOS COMPLEMENTARES - COLETADO CAIXA)</v>
      </c>
      <c r="E237" s="23" t="str">
        <f>VLOOKUP(B237,IF(A237="COMPOSICAO",S!$A:$E,I!$A:$E),4,FALSE)</f>
        <v>H</v>
      </c>
      <c r="F237" s="23">
        <v>1</v>
      </c>
      <c r="G237" s="71">
        <f>IF(A237="COMPOSICAO",VLOOKUP("TOTAL SEM BDI - "&amp;B237,CPUAUX4!$A:$J,9,FALSE),VLOOKUP(B237,I!$A:$E,5,FALSE))</f>
        <v>0.86</v>
      </c>
      <c r="H237" s="72"/>
      <c r="I237" s="71">
        <f t="shared" si="24"/>
        <v>0.86</v>
      </c>
      <c r="J237" s="72"/>
      <c r="M237" s="23">
        <f t="shared" si="25"/>
        <v>43460</v>
      </c>
      <c r="N237" s="23">
        <f>SUMIF(CPUAUX2!M:M,B235,CPUAUX2!O:O)</f>
        <v>3.07</v>
      </c>
      <c r="O237" s="23">
        <f t="shared" si="26"/>
        <v>3.07</v>
      </c>
      <c r="Q237" s="23">
        <f ca="1">SUMIF(CPUAUX2!M:M,B235,CPUAUX2!R:R)</f>
        <v>1.228</v>
      </c>
      <c r="R237" s="23">
        <f t="shared" ca="1" si="27"/>
        <v>1.228</v>
      </c>
    </row>
    <row r="238" spans="1:18" ht="30" customHeight="1" x14ac:dyDescent="0.3">
      <c r="A238" s="23" t="s">
        <v>1025</v>
      </c>
      <c r="B238" s="23">
        <v>37373</v>
      </c>
      <c r="C238" s="23" t="str">
        <f>VLOOKUP(B238,IF(A238="COMPOSICAO",S!$A:$E,I!$A:$E),2,FALSE)</f>
        <v>SINAPI</v>
      </c>
      <c r="D238" s="24" t="str">
        <f>VLOOKUP(B238,IF(A238="COMPOSICAO",S!$A:$E,I!$A:$E),3,FALSE)</f>
        <v>SEGURO - HORISTA (COLETADO CAIXA - ENCARGOS COMPLEMENTARES)</v>
      </c>
      <c r="E238" s="23" t="str">
        <f>VLOOKUP(B238,IF(A238="COMPOSICAO",S!$A:$E,I!$A:$E),4,FALSE)</f>
        <v>H</v>
      </c>
      <c r="F238" s="23">
        <v>1</v>
      </c>
      <c r="G238" s="71">
        <f>IF(A238="COMPOSICAO",VLOOKUP("TOTAL SEM BDI - "&amp;B238,CPUAUX4!$A:$J,9,FALSE),VLOOKUP(B238,I!$A:$E,5,FALSE))</f>
        <v>0.08</v>
      </c>
      <c r="H238" s="72"/>
      <c r="I238" s="71">
        <f t="shared" si="24"/>
        <v>0.08</v>
      </c>
      <c r="J238" s="72"/>
      <c r="M238" s="23">
        <f t="shared" si="25"/>
        <v>37373</v>
      </c>
      <c r="N238" s="23">
        <f>SUMIF(CPUAUX2!M:M,B235,CPUAUX2!O:O)</f>
        <v>3.07</v>
      </c>
      <c r="O238" s="23">
        <f t="shared" si="26"/>
        <v>3.07</v>
      </c>
      <c r="Q238" s="23">
        <f ca="1">SUMIF(CPUAUX2!M:M,B235,CPUAUX2!R:R)</f>
        <v>1.228</v>
      </c>
      <c r="R238" s="23">
        <f t="shared" ca="1" si="27"/>
        <v>1.228</v>
      </c>
    </row>
    <row r="239" spans="1:18" ht="30" customHeight="1" x14ac:dyDescent="0.3">
      <c r="A239" s="23" t="s">
        <v>1025</v>
      </c>
      <c r="B239" s="23">
        <v>37372</v>
      </c>
      <c r="C239" s="23" t="str">
        <f>VLOOKUP(B239,IF(A239="COMPOSICAO",S!$A:$E,I!$A:$E),2,FALSE)</f>
        <v>SINAPI</v>
      </c>
      <c r="D239" s="24" t="str">
        <f>VLOOKUP(B239,IF(A239="COMPOSICAO",S!$A:$E,I!$A:$E),3,FALSE)</f>
        <v>EXAMES - HORISTA (COLETADO CAIXA - ENCARGOS COMPLEMENTARES)</v>
      </c>
      <c r="E239" s="23" t="str">
        <f>VLOOKUP(B239,IF(A239="COMPOSICAO",S!$A:$E,I!$A:$E),4,FALSE)</f>
        <v>H</v>
      </c>
      <c r="F239" s="23">
        <v>1</v>
      </c>
      <c r="G239" s="71">
        <f>IF(A239="COMPOSICAO",VLOOKUP("TOTAL SEM BDI - "&amp;B239,CPUAUX4!$A:$J,9,FALSE),VLOOKUP(B239,I!$A:$E,5,FALSE))</f>
        <v>1.43</v>
      </c>
      <c r="H239" s="72"/>
      <c r="I239" s="71">
        <f t="shared" si="24"/>
        <v>1.43</v>
      </c>
      <c r="J239" s="72"/>
      <c r="M239" s="23">
        <f t="shared" si="25"/>
        <v>37372</v>
      </c>
      <c r="N239" s="23">
        <f>SUMIF(CPUAUX2!M:M,B235,CPUAUX2!O:O)</f>
        <v>3.07</v>
      </c>
      <c r="O239" s="23">
        <f t="shared" si="26"/>
        <v>3.07</v>
      </c>
      <c r="Q239" s="23">
        <f ca="1">SUMIF(CPUAUX2!M:M,B235,CPUAUX2!R:R)</f>
        <v>1.228</v>
      </c>
      <c r="R239" s="23">
        <f t="shared" ca="1" si="27"/>
        <v>1.228</v>
      </c>
    </row>
    <row r="240" spans="1:18" ht="30" customHeight="1" x14ac:dyDescent="0.3">
      <c r="A240" s="23" t="s">
        <v>1025</v>
      </c>
      <c r="B240" s="23">
        <v>37371</v>
      </c>
      <c r="C240" s="23" t="str">
        <f>VLOOKUP(B240,IF(A240="COMPOSICAO",S!$A:$E,I!$A:$E),2,FALSE)</f>
        <v>SINAPI</v>
      </c>
      <c r="D240" s="24" t="str">
        <f>VLOOKUP(B240,IF(A240="COMPOSICAO",S!$A:$E,I!$A:$E),3,FALSE)</f>
        <v>TRANSPORTE - HORISTA (COLETADO CAIXA - ENCARGOS COMPLEMENTARES)</v>
      </c>
      <c r="E240" s="23" t="str">
        <f>VLOOKUP(B240,IF(A240="COMPOSICAO",S!$A:$E,I!$A:$E),4,FALSE)</f>
        <v>H</v>
      </c>
      <c r="F240" s="23">
        <v>1</v>
      </c>
      <c r="G240" s="71">
        <f>IF(A240="COMPOSICAO",VLOOKUP("TOTAL SEM BDI - "&amp;B240,CPUAUX4!$A:$J,9,FALSE),VLOOKUP(B240,I!$A:$E,5,FALSE))</f>
        <v>0.56999999999999995</v>
      </c>
      <c r="H240" s="72"/>
      <c r="I240" s="71">
        <f t="shared" si="24"/>
        <v>0.56999999999999995</v>
      </c>
      <c r="J240" s="72"/>
      <c r="M240" s="23">
        <f t="shared" si="25"/>
        <v>37371</v>
      </c>
      <c r="N240" s="23">
        <f>SUMIF(CPUAUX2!M:M,B235,CPUAUX2!O:O)</f>
        <v>3.07</v>
      </c>
      <c r="O240" s="23">
        <f t="shared" si="26"/>
        <v>3.07</v>
      </c>
      <c r="Q240" s="23">
        <f ca="1">SUMIF(CPUAUX2!M:M,B235,CPUAUX2!R:R)</f>
        <v>1.228</v>
      </c>
      <c r="R240" s="23">
        <f t="shared" ca="1" si="27"/>
        <v>1.228</v>
      </c>
    </row>
    <row r="241" spans="1:18" ht="30" customHeight="1" x14ac:dyDescent="0.3">
      <c r="A241" s="23" t="s">
        <v>1025</v>
      </c>
      <c r="B241" s="23">
        <v>37370</v>
      </c>
      <c r="C241" s="23" t="str">
        <f>VLOOKUP(B241,IF(A241="COMPOSICAO",S!$A:$E,I!$A:$E),2,FALSE)</f>
        <v>SINAPI</v>
      </c>
      <c r="D241" s="24" t="str">
        <f>VLOOKUP(B241,IF(A241="COMPOSICAO",S!$A:$E,I!$A:$E),3,FALSE)</f>
        <v>ALIMENTACAO - HORISTA (COLETADO CAIXA - ENCARGOS COMPLEMENTARES)</v>
      </c>
      <c r="E241" s="23" t="str">
        <f>VLOOKUP(B241,IF(A241="COMPOSICAO",S!$A:$E,I!$A:$E),4,FALSE)</f>
        <v>H</v>
      </c>
      <c r="F241" s="23">
        <v>1</v>
      </c>
      <c r="G241" s="71">
        <f>IF(A241="COMPOSICAO",VLOOKUP("TOTAL SEM BDI - "&amp;B241,CPUAUX4!$A:$J,9,FALSE),VLOOKUP(B241,I!$A:$E,5,FALSE))</f>
        <v>2.46</v>
      </c>
      <c r="H241" s="72"/>
      <c r="I241" s="71">
        <f t="shared" si="24"/>
        <v>2.46</v>
      </c>
      <c r="J241" s="72"/>
      <c r="M241" s="23">
        <f t="shared" si="25"/>
        <v>37370</v>
      </c>
      <c r="N241" s="23">
        <f>SUMIF(CPUAUX2!M:M,B235,CPUAUX2!O:O)</f>
        <v>3.07</v>
      </c>
      <c r="O241" s="23">
        <f t="shared" si="26"/>
        <v>3.07</v>
      </c>
      <c r="Q241" s="23">
        <f ca="1">SUMIF(CPUAUX2!M:M,B235,CPUAUX2!R:R)</f>
        <v>1.228</v>
      </c>
      <c r="R241" s="23">
        <f t="shared" ca="1" si="27"/>
        <v>1.228</v>
      </c>
    </row>
    <row r="242" spans="1:18" x14ac:dyDescent="0.3">
      <c r="A242" s="23" t="s">
        <v>1025</v>
      </c>
      <c r="B242" s="23">
        <v>2436</v>
      </c>
      <c r="C242" s="23" t="str">
        <f>VLOOKUP(B242,IF(A242="COMPOSICAO",S!$A:$E,I!$A:$E),2,FALSE)</f>
        <v>SINAPI</v>
      </c>
      <c r="D242" s="24" t="str">
        <f>VLOOKUP(B242,IF(A242="COMPOSICAO",S!$A:$E,I!$A:$E),3,FALSE)</f>
        <v>ELETRICISTA (HORISTA)</v>
      </c>
      <c r="E242" s="23" t="str">
        <f>VLOOKUP(B242,IF(A242="COMPOSICAO",S!$A:$E,I!$A:$E),4,FALSE)</f>
        <v>H</v>
      </c>
      <c r="F242" s="23">
        <v>1</v>
      </c>
      <c r="G242" s="71">
        <f>IF(A242="COMPOSICAO",VLOOKUP("TOTAL SEM BDI - "&amp;B242,CPUAUX4!$A:$J,9,FALSE),VLOOKUP(B242,I!$A:$E,5,FALSE))</f>
        <v>20.329999999999998</v>
      </c>
      <c r="H242" s="72"/>
      <c r="I242" s="71">
        <f t="shared" si="24"/>
        <v>20.329999999999998</v>
      </c>
      <c r="J242" s="72"/>
      <c r="M242" s="23">
        <f t="shared" si="25"/>
        <v>2436</v>
      </c>
      <c r="N242" s="23">
        <f>SUMIF(CPUAUX2!M:M,B235,CPUAUX2!O:O)</f>
        <v>3.07</v>
      </c>
      <c r="O242" s="23">
        <f t="shared" si="26"/>
        <v>3.07</v>
      </c>
      <c r="Q242" s="23">
        <f ca="1">SUMIF(CPUAUX2!M:M,B235,CPUAUX2!R:R)</f>
        <v>1.228</v>
      </c>
      <c r="R242" s="23">
        <f t="shared" ca="1" si="27"/>
        <v>1.228</v>
      </c>
    </row>
    <row r="243" spans="1:18" ht="30" customHeight="1" x14ac:dyDescent="0.3">
      <c r="A243" s="23" t="s">
        <v>1022</v>
      </c>
      <c r="B243" s="23">
        <v>95332</v>
      </c>
      <c r="C243" s="23" t="str">
        <f>VLOOKUP(B243,IF(A243="COMPOSICAO",S!$A:$E,I!$A:$E),2,FALSE)</f>
        <v>SINAPI</v>
      </c>
      <c r="D243" s="24" t="str">
        <f>VLOOKUP(B243,IF(A243="COMPOSICAO",S!$A:$E,I!$A:$E),3,FALSE)</f>
        <v>CURSO DE CAPACITAÇÃO PARA ELETRICISTA (ENCARGOS COMPLEMENTARES) - HORISTA</v>
      </c>
      <c r="E243" s="23" t="str">
        <f>VLOOKUP(B243,IF(A243="COMPOSICAO",S!$A:$E,I!$A:$E),4,FALSE)</f>
        <v>H</v>
      </c>
      <c r="F243" s="23">
        <v>1</v>
      </c>
      <c r="G243" s="71">
        <f>IF(A243="COMPOSICAO",VLOOKUP("TOTAL SEM BDI - "&amp;B243,CPUAUX4!$A:$J,9,FALSE),VLOOKUP(B243,I!$A:$E,5,FALSE))</f>
        <v>0.75</v>
      </c>
      <c r="H243" s="72"/>
      <c r="I243" s="71">
        <f t="shared" si="24"/>
        <v>0.75</v>
      </c>
      <c r="J243" s="72"/>
      <c r="M243" s="23">
        <f t="shared" si="25"/>
        <v>95332</v>
      </c>
      <c r="N243" s="23">
        <f>SUMIF(CPUAUX2!M:M,B235,CPUAUX2!O:O)</f>
        <v>3.07</v>
      </c>
      <c r="O243" s="23">
        <f t="shared" si="26"/>
        <v>3.07</v>
      </c>
      <c r="Q243" s="23">
        <f ca="1">SUMIF(CPUAUX2!M:M,B235,CPUAUX2!R:R)</f>
        <v>1.228</v>
      </c>
      <c r="R243" s="23">
        <f t="shared" ca="1" si="27"/>
        <v>1.228</v>
      </c>
    </row>
    <row r="244" spans="1:18" x14ac:dyDescent="0.3">
      <c r="A244" s="68" t="str">
        <f>"TOTAL SEM BDI - "&amp;B235</f>
        <v>TOTAL SEM BDI - 88264</v>
      </c>
      <c r="B244" s="69"/>
      <c r="C244" s="69"/>
      <c r="D244" s="69"/>
      <c r="E244" s="69"/>
      <c r="F244" s="69"/>
      <c r="G244" s="69"/>
      <c r="H244" s="70"/>
      <c r="I244" s="71">
        <f>SUM(I235:I243)</f>
        <v>27.74</v>
      </c>
      <c r="J244" s="72"/>
    </row>
    <row r="246" spans="1:18" x14ac:dyDescent="0.3">
      <c r="A246" s="4" t="s">
        <v>1018</v>
      </c>
      <c r="B246" s="4" t="s">
        <v>138</v>
      </c>
      <c r="C246" s="4" t="s">
        <v>139</v>
      </c>
      <c r="D246" s="4" t="s">
        <v>21</v>
      </c>
      <c r="E246" s="4" t="s">
        <v>140</v>
      </c>
      <c r="F246" s="4" t="s">
        <v>506</v>
      </c>
      <c r="G246" s="34" t="s">
        <v>1019</v>
      </c>
      <c r="H246" s="35"/>
      <c r="I246" s="34" t="s">
        <v>15</v>
      </c>
      <c r="J246" s="35"/>
    </row>
    <row r="247" spans="1:18" ht="30" customHeight="1" x14ac:dyDescent="0.3">
      <c r="A247" s="15" t="s">
        <v>1093</v>
      </c>
      <c r="B247" s="15">
        <v>88247</v>
      </c>
      <c r="C247" s="15" t="str">
        <f>VLOOKUP(B247,S!$A:$G,2,FALSE)</f>
        <v>SINAPI</v>
      </c>
      <c r="D247" s="22" t="str">
        <f>VLOOKUP(B247,S!$A:$G,3,FALSE)</f>
        <v>AUXILIAR DE ELETRICISTA COM ENCARGOS COMPLEMENTARES</v>
      </c>
      <c r="E247" s="15" t="str">
        <f>VLOOKUP(B247,S!$A:$G,4,FALSE)</f>
        <v>H</v>
      </c>
      <c r="F247" s="15"/>
      <c r="G247" s="73">
        <f>I256</f>
        <v>22.81</v>
      </c>
      <c r="H247" s="74"/>
      <c r="I247" s="73"/>
      <c r="J247" s="74"/>
      <c r="K247" s="16">
        <f>VLOOKUP(B247,S!A:G,5,FALSE)</f>
        <v>22.81</v>
      </c>
      <c r="L247" s="15" t="str">
        <f>IF(K247=G247,"OK, CONFORME TABELA",IF(G247&gt;K247,"ACIMA DA TABELA: ","ABAIXO DA TABELA: ")&amp;TRUNC((G247*100)/K247,2)&amp;" %")</f>
        <v>OK, CONFORME TABELA</v>
      </c>
    </row>
    <row r="248" spans="1:18" ht="30" customHeight="1" x14ac:dyDescent="0.3">
      <c r="A248" s="23" t="s">
        <v>1025</v>
      </c>
      <c r="B248" s="23">
        <v>43484</v>
      </c>
      <c r="C248" s="23" t="str">
        <f>VLOOKUP(B248,IF(A248="COMPOSICAO",S!$A:$E,I!$A:$E),2,FALSE)</f>
        <v>SINAPI</v>
      </c>
      <c r="D248" s="24" t="str">
        <f>VLOOKUP(B248,IF(A248="COMPOSICAO",S!$A:$E,I!$A:$E),3,FALSE)</f>
        <v>EPI - FAMILIA ELETRICISTA - HORISTA (ENCARGOS COMPLEMENTARES - COLETADO CAIXA)</v>
      </c>
      <c r="E248" s="23" t="str">
        <f>VLOOKUP(B248,IF(A248="COMPOSICAO",S!$A:$E,I!$A:$E),4,FALSE)</f>
        <v>H</v>
      </c>
      <c r="F248" s="23">
        <v>1</v>
      </c>
      <c r="G248" s="71">
        <f>IF(A248="COMPOSICAO",VLOOKUP("TOTAL SEM BDI - "&amp;B248,CPUAUX4!$A:$J,9,FALSE),VLOOKUP(B248,I!$A:$E,5,FALSE))</f>
        <v>1.26</v>
      </c>
      <c r="H248" s="72"/>
      <c r="I248" s="71">
        <f t="shared" ref="I248:I255" si="28">TRUNC(F248*G248,2)</f>
        <v>1.26</v>
      </c>
      <c r="J248" s="72"/>
      <c r="M248" s="23">
        <f t="shared" ref="M248:M255" si="29">B248</f>
        <v>43484</v>
      </c>
      <c r="N248" s="23">
        <f>SUMIF(CPUAUX2!M:M,B247,CPUAUX2!O:O)</f>
        <v>3.07</v>
      </c>
      <c r="O248" s="23">
        <f t="shared" ref="O248:O255" si="30">F248*N248</f>
        <v>3.07</v>
      </c>
      <c r="Q248" s="23">
        <f ca="1">SUMIF(CPUAUX2!M:M,B247,CPUAUX2!R:R)</f>
        <v>1.228</v>
      </c>
      <c r="R248" s="23">
        <f t="shared" ref="R248:R255" ca="1" si="31">F248*Q248</f>
        <v>1.228</v>
      </c>
    </row>
    <row r="249" spans="1:18" ht="30" customHeight="1" x14ac:dyDescent="0.3">
      <c r="A249" s="23" t="s">
        <v>1025</v>
      </c>
      <c r="B249" s="23">
        <v>43460</v>
      </c>
      <c r="C249" s="23" t="str">
        <f>VLOOKUP(B249,IF(A249="COMPOSICAO",S!$A:$E,I!$A:$E),2,FALSE)</f>
        <v>SINAPI</v>
      </c>
      <c r="D249" s="24" t="str">
        <f>VLOOKUP(B249,IF(A249="COMPOSICAO",S!$A:$E,I!$A:$E),3,FALSE)</f>
        <v>FERRAMENTAS - FAMILIA ELETRICISTA - HORISTA (ENCARGOS COMPLEMENTARES - COLETADO CAIXA)</v>
      </c>
      <c r="E249" s="23" t="str">
        <f>VLOOKUP(B249,IF(A249="COMPOSICAO",S!$A:$E,I!$A:$E),4,FALSE)</f>
        <v>H</v>
      </c>
      <c r="F249" s="23">
        <v>1</v>
      </c>
      <c r="G249" s="71">
        <f>IF(A249="COMPOSICAO",VLOOKUP("TOTAL SEM BDI - "&amp;B249,CPUAUX4!$A:$J,9,FALSE),VLOOKUP(B249,I!$A:$E,5,FALSE))</f>
        <v>0.86</v>
      </c>
      <c r="H249" s="72"/>
      <c r="I249" s="71">
        <f t="shared" si="28"/>
        <v>0.86</v>
      </c>
      <c r="J249" s="72"/>
      <c r="M249" s="23">
        <f t="shared" si="29"/>
        <v>43460</v>
      </c>
      <c r="N249" s="23">
        <f>SUMIF(CPUAUX2!M:M,B247,CPUAUX2!O:O)</f>
        <v>3.07</v>
      </c>
      <c r="O249" s="23">
        <f t="shared" si="30"/>
        <v>3.07</v>
      </c>
      <c r="Q249" s="23">
        <f ca="1">SUMIF(CPUAUX2!M:M,B247,CPUAUX2!R:R)</f>
        <v>1.228</v>
      </c>
      <c r="R249" s="23">
        <f t="shared" ca="1" si="31"/>
        <v>1.228</v>
      </c>
    </row>
    <row r="250" spans="1:18" ht="30" customHeight="1" x14ac:dyDescent="0.3">
      <c r="A250" s="23" t="s">
        <v>1025</v>
      </c>
      <c r="B250" s="23">
        <v>37373</v>
      </c>
      <c r="C250" s="23" t="str">
        <f>VLOOKUP(B250,IF(A250="COMPOSICAO",S!$A:$E,I!$A:$E),2,FALSE)</f>
        <v>SINAPI</v>
      </c>
      <c r="D250" s="24" t="str">
        <f>VLOOKUP(B250,IF(A250="COMPOSICAO",S!$A:$E,I!$A:$E),3,FALSE)</f>
        <v>SEGURO - HORISTA (COLETADO CAIXA - ENCARGOS COMPLEMENTARES)</v>
      </c>
      <c r="E250" s="23" t="str">
        <f>VLOOKUP(B250,IF(A250="COMPOSICAO",S!$A:$E,I!$A:$E),4,FALSE)</f>
        <v>H</v>
      </c>
      <c r="F250" s="23">
        <v>1</v>
      </c>
      <c r="G250" s="71">
        <f>IF(A250="COMPOSICAO",VLOOKUP("TOTAL SEM BDI - "&amp;B250,CPUAUX4!$A:$J,9,FALSE),VLOOKUP(B250,I!$A:$E,5,FALSE))</f>
        <v>0.08</v>
      </c>
      <c r="H250" s="72"/>
      <c r="I250" s="71">
        <f t="shared" si="28"/>
        <v>0.08</v>
      </c>
      <c r="J250" s="72"/>
      <c r="M250" s="23">
        <f t="shared" si="29"/>
        <v>37373</v>
      </c>
      <c r="N250" s="23">
        <f>SUMIF(CPUAUX2!M:M,B247,CPUAUX2!O:O)</f>
        <v>3.07</v>
      </c>
      <c r="O250" s="23">
        <f t="shared" si="30"/>
        <v>3.07</v>
      </c>
      <c r="Q250" s="23">
        <f ca="1">SUMIF(CPUAUX2!M:M,B247,CPUAUX2!R:R)</f>
        <v>1.228</v>
      </c>
      <c r="R250" s="23">
        <f t="shared" ca="1" si="31"/>
        <v>1.228</v>
      </c>
    </row>
    <row r="251" spans="1:18" ht="30" customHeight="1" x14ac:dyDescent="0.3">
      <c r="A251" s="23" t="s">
        <v>1025</v>
      </c>
      <c r="B251" s="23">
        <v>37372</v>
      </c>
      <c r="C251" s="23" t="str">
        <f>VLOOKUP(B251,IF(A251="COMPOSICAO",S!$A:$E,I!$A:$E),2,FALSE)</f>
        <v>SINAPI</v>
      </c>
      <c r="D251" s="24" t="str">
        <f>VLOOKUP(B251,IF(A251="COMPOSICAO",S!$A:$E,I!$A:$E),3,FALSE)</f>
        <v>EXAMES - HORISTA (COLETADO CAIXA - ENCARGOS COMPLEMENTARES)</v>
      </c>
      <c r="E251" s="23" t="str">
        <f>VLOOKUP(B251,IF(A251="COMPOSICAO",S!$A:$E,I!$A:$E),4,FALSE)</f>
        <v>H</v>
      </c>
      <c r="F251" s="23">
        <v>1</v>
      </c>
      <c r="G251" s="71">
        <f>IF(A251="COMPOSICAO",VLOOKUP("TOTAL SEM BDI - "&amp;B251,CPUAUX4!$A:$J,9,FALSE),VLOOKUP(B251,I!$A:$E,5,FALSE))</f>
        <v>1.43</v>
      </c>
      <c r="H251" s="72"/>
      <c r="I251" s="71">
        <f t="shared" si="28"/>
        <v>1.43</v>
      </c>
      <c r="J251" s="72"/>
      <c r="M251" s="23">
        <f t="shared" si="29"/>
        <v>37372</v>
      </c>
      <c r="N251" s="23">
        <f>SUMIF(CPUAUX2!M:M,B247,CPUAUX2!O:O)</f>
        <v>3.07</v>
      </c>
      <c r="O251" s="23">
        <f t="shared" si="30"/>
        <v>3.07</v>
      </c>
      <c r="Q251" s="23">
        <f ca="1">SUMIF(CPUAUX2!M:M,B247,CPUAUX2!R:R)</f>
        <v>1.228</v>
      </c>
      <c r="R251" s="23">
        <f t="shared" ca="1" si="31"/>
        <v>1.228</v>
      </c>
    </row>
    <row r="252" spans="1:18" ht="30" customHeight="1" x14ac:dyDescent="0.3">
      <c r="A252" s="23" t="s">
        <v>1025</v>
      </c>
      <c r="B252" s="23">
        <v>37371</v>
      </c>
      <c r="C252" s="23" t="str">
        <f>VLOOKUP(B252,IF(A252="COMPOSICAO",S!$A:$E,I!$A:$E),2,FALSE)</f>
        <v>SINAPI</v>
      </c>
      <c r="D252" s="24" t="str">
        <f>VLOOKUP(B252,IF(A252="COMPOSICAO",S!$A:$E,I!$A:$E),3,FALSE)</f>
        <v>TRANSPORTE - HORISTA (COLETADO CAIXA - ENCARGOS COMPLEMENTARES)</v>
      </c>
      <c r="E252" s="23" t="str">
        <f>VLOOKUP(B252,IF(A252="COMPOSICAO",S!$A:$E,I!$A:$E),4,FALSE)</f>
        <v>H</v>
      </c>
      <c r="F252" s="23">
        <v>1</v>
      </c>
      <c r="G252" s="71">
        <f>IF(A252="COMPOSICAO",VLOOKUP("TOTAL SEM BDI - "&amp;B252,CPUAUX4!$A:$J,9,FALSE),VLOOKUP(B252,I!$A:$E,5,FALSE))</f>
        <v>0.56999999999999995</v>
      </c>
      <c r="H252" s="72"/>
      <c r="I252" s="71">
        <f t="shared" si="28"/>
        <v>0.56999999999999995</v>
      </c>
      <c r="J252" s="72"/>
      <c r="M252" s="23">
        <f t="shared" si="29"/>
        <v>37371</v>
      </c>
      <c r="N252" s="23">
        <f>SUMIF(CPUAUX2!M:M,B247,CPUAUX2!O:O)</f>
        <v>3.07</v>
      </c>
      <c r="O252" s="23">
        <f t="shared" si="30"/>
        <v>3.07</v>
      </c>
      <c r="Q252" s="23">
        <f ca="1">SUMIF(CPUAUX2!M:M,B247,CPUAUX2!R:R)</f>
        <v>1.228</v>
      </c>
      <c r="R252" s="23">
        <f t="shared" ca="1" si="31"/>
        <v>1.228</v>
      </c>
    </row>
    <row r="253" spans="1:18" ht="30" customHeight="1" x14ac:dyDescent="0.3">
      <c r="A253" s="23" t="s">
        <v>1025</v>
      </c>
      <c r="B253" s="23">
        <v>37370</v>
      </c>
      <c r="C253" s="23" t="str">
        <f>VLOOKUP(B253,IF(A253="COMPOSICAO",S!$A:$E,I!$A:$E),2,FALSE)</f>
        <v>SINAPI</v>
      </c>
      <c r="D253" s="24" t="str">
        <f>VLOOKUP(B253,IF(A253="COMPOSICAO",S!$A:$E,I!$A:$E),3,FALSE)</f>
        <v>ALIMENTACAO - HORISTA (COLETADO CAIXA - ENCARGOS COMPLEMENTARES)</v>
      </c>
      <c r="E253" s="23" t="str">
        <f>VLOOKUP(B253,IF(A253="COMPOSICAO",S!$A:$E,I!$A:$E),4,FALSE)</f>
        <v>H</v>
      </c>
      <c r="F253" s="23">
        <v>1</v>
      </c>
      <c r="G253" s="71">
        <f>IF(A253="COMPOSICAO",VLOOKUP("TOTAL SEM BDI - "&amp;B253,CPUAUX4!$A:$J,9,FALSE),VLOOKUP(B253,I!$A:$E,5,FALSE))</f>
        <v>2.46</v>
      </c>
      <c r="H253" s="72"/>
      <c r="I253" s="71">
        <f t="shared" si="28"/>
        <v>2.46</v>
      </c>
      <c r="J253" s="72"/>
      <c r="M253" s="23">
        <f t="shared" si="29"/>
        <v>37370</v>
      </c>
      <c r="N253" s="23">
        <f>SUMIF(CPUAUX2!M:M,B247,CPUAUX2!O:O)</f>
        <v>3.07</v>
      </c>
      <c r="O253" s="23">
        <f t="shared" si="30"/>
        <v>3.07</v>
      </c>
      <c r="Q253" s="23">
        <f ca="1">SUMIF(CPUAUX2!M:M,B247,CPUAUX2!R:R)</f>
        <v>1.228</v>
      </c>
      <c r="R253" s="23">
        <f t="shared" ca="1" si="31"/>
        <v>1.228</v>
      </c>
    </row>
    <row r="254" spans="1:18" x14ac:dyDescent="0.3">
      <c r="A254" s="23" t="s">
        <v>1025</v>
      </c>
      <c r="B254" s="23">
        <v>247</v>
      </c>
      <c r="C254" s="23" t="str">
        <f>VLOOKUP(B254,IF(A254="COMPOSICAO",S!$A:$E,I!$A:$E),2,FALSE)</f>
        <v>SINAPI</v>
      </c>
      <c r="D254" s="24" t="str">
        <f>VLOOKUP(B254,IF(A254="COMPOSICAO",S!$A:$E,I!$A:$E),3,FALSE)</f>
        <v>AJUDANTE DE ELETRICISTA (HORISTA)</v>
      </c>
      <c r="E254" s="23" t="str">
        <f>VLOOKUP(B254,IF(A254="COMPOSICAO",S!$A:$E,I!$A:$E),4,FALSE)</f>
        <v>H</v>
      </c>
      <c r="F254" s="23">
        <v>1</v>
      </c>
      <c r="G254" s="71">
        <f>IF(A254="COMPOSICAO",VLOOKUP("TOTAL SEM BDI - "&amp;B254,CPUAUX4!$A:$J,9,FALSE),VLOOKUP(B254,I!$A:$E,5,FALSE))</f>
        <v>15.57</v>
      </c>
      <c r="H254" s="72"/>
      <c r="I254" s="71">
        <f t="shared" si="28"/>
        <v>15.57</v>
      </c>
      <c r="J254" s="72"/>
      <c r="M254" s="23">
        <f t="shared" si="29"/>
        <v>247</v>
      </c>
      <c r="N254" s="23">
        <f>SUMIF(CPUAUX2!M:M,B247,CPUAUX2!O:O)</f>
        <v>3.07</v>
      </c>
      <c r="O254" s="23">
        <f t="shared" si="30"/>
        <v>3.07</v>
      </c>
      <c r="Q254" s="23">
        <f ca="1">SUMIF(CPUAUX2!M:M,B247,CPUAUX2!R:R)</f>
        <v>1.228</v>
      </c>
      <c r="R254" s="23">
        <f t="shared" ca="1" si="31"/>
        <v>1.228</v>
      </c>
    </row>
    <row r="255" spans="1:18" ht="30" customHeight="1" x14ac:dyDescent="0.3">
      <c r="A255" s="23" t="s">
        <v>1022</v>
      </c>
      <c r="B255" s="23">
        <v>95316</v>
      </c>
      <c r="C255" s="23" t="str">
        <f>VLOOKUP(B255,IF(A255="COMPOSICAO",S!$A:$E,I!$A:$E),2,FALSE)</f>
        <v>SINAPI</v>
      </c>
      <c r="D255" s="24" t="str">
        <f>VLOOKUP(B255,IF(A255="COMPOSICAO",S!$A:$E,I!$A:$E),3,FALSE)</f>
        <v>CURSO DE CAPACITAÇÃO PARA AUXILIAR DE ELETRICISTA (ENCARGOS COMPLEMENTARES) - HORISTA</v>
      </c>
      <c r="E255" s="23" t="str">
        <f>VLOOKUP(B255,IF(A255="COMPOSICAO",S!$A:$E,I!$A:$E),4,FALSE)</f>
        <v>H</v>
      </c>
      <c r="F255" s="23">
        <v>1</v>
      </c>
      <c r="G255" s="71">
        <f>IF(A255="COMPOSICAO",VLOOKUP("TOTAL SEM BDI - "&amp;B255,CPUAUX4!$A:$J,9,FALSE),VLOOKUP(B255,I!$A:$E,5,FALSE))</f>
        <v>0.57999999999999996</v>
      </c>
      <c r="H255" s="72"/>
      <c r="I255" s="71">
        <f t="shared" si="28"/>
        <v>0.57999999999999996</v>
      </c>
      <c r="J255" s="72"/>
      <c r="M255" s="23">
        <f t="shared" si="29"/>
        <v>95316</v>
      </c>
      <c r="N255" s="23">
        <f>SUMIF(CPUAUX2!M:M,B247,CPUAUX2!O:O)</f>
        <v>3.07</v>
      </c>
      <c r="O255" s="23">
        <f t="shared" si="30"/>
        <v>3.07</v>
      </c>
      <c r="Q255" s="23">
        <f ca="1">SUMIF(CPUAUX2!M:M,B247,CPUAUX2!R:R)</f>
        <v>1.228</v>
      </c>
      <c r="R255" s="23">
        <f t="shared" ca="1" si="31"/>
        <v>1.228</v>
      </c>
    </row>
    <row r="256" spans="1:18" x14ac:dyDescent="0.3">
      <c r="A256" s="68" t="str">
        <f>"TOTAL SEM BDI - "&amp;B247</f>
        <v>TOTAL SEM BDI - 88247</v>
      </c>
      <c r="B256" s="69"/>
      <c r="C256" s="69"/>
      <c r="D256" s="69"/>
      <c r="E256" s="69"/>
      <c r="F256" s="69"/>
      <c r="G256" s="69"/>
      <c r="H256" s="70"/>
      <c r="I256" s="71">
        <f>SUM(I247:I255)</f>
        <v>22.81</v>
      </c>
      <c r="J256" s="72"/>
    </row>
    <row r="258" spans="1:18" x14ac:dyDescent="0.3">
      <c r="A258" s="4" t="s">
        <v>1018</v>
      </c>
      <c r="B258" s="4" t="s">
        <v>138</v>
      </c>
      <c r="C258" s="4" t="s">
        <v>139</v>
      </c>
      <c r="D258" s="4" t="s">
        <v>21</v>
      </c>
      <c r="E258" s="4" t="s">
        <v>140</v>
      </c>
      <c r="F258" s="4" t="s">
        <v>506</v>
      </c>
      <c r="G258" s="34" t="s">
        <v>1019</v>
      </c>
      <c r="H258" s="35"/>
      <c r="I258" s="34" t="s">
        <v>15</v>
      </c>
      <c r="J258" s="35"/>
    </row>
    <row r="259" spans="1:18" ht="60" customHeight="1" x14ac:dyDescent="0.3">
      <c r="A259" s="15" t="s">
        <v>1141</v>
      </c>
      <c r="B259" s="15">
        <v>93296</v>
      </c>
      <c r="C259" s="15" t="str">
        <f>VLOOKUP(B259,S!$A:$G,2,FALSE)</f>
        <v>SINAPI</v>
      </c>
      <c r="D259" s="22" t="str">
        <f>VLOOKUP(B259,S!$A:$G,3,FALSE)</f>
        <v>GUINDASTE HIDRÁULICO AUTOPROPELIDO, COM LANÇA TELESCÓPICA 40 M, CAPACIDADE MÁXIMA 60 T, POTÊNCIA 260 KW - IMPOSTOS E SEGUROS. AF_03/2016</v>
      </c>
      <c r="E259" s="15" t="str">
        <f>VLOOKUP(B259,S!$A:$G,4,FALSE)</f>
        <v>H</v>
      </c>
      <c r="F259" s="15"/>
      <c r="G259" s="73">
        <f>I261</f>
        <v>14.19</v>
      </c>
      <c r="H259" s="74"/>
      <c r="I259" s="73"/>
      <c r="J259" s="74"/>
      <c r="K259" s="16">
        <f>VLOOKUP(B259,S!A:G,5,FALSE)</f>
        <v>14.19</v>
      </c>
      <c r="L259" s="15" t="str">
        <f>IF(K259=G259,"OK, CONFORME TABELA",IF(G259&gt;K259,"ACIMA DA TABELA: ","ABAIXO DA TABELA: ")&amp;TRUNC((G259*100)/K259,2)&amp;" %")</f>
        <v>OK, CONFORME TABELA</v>
      </c>
    </row>
    <row r="260" spans="1:18" ht="45" customHeight="1" x14ac:dyDescent="0.3">
      <c r="A260" s="23" t="s">
        <v>1025</v>
      </c>
      <c r="B260" s="23">
        <v>44474</v>
      </c>
      <c r="C260" s="23" t="str">
        <f>VLOOKUP(B260,IF(A260="COMPOSICAO",S!$A:$E,I!$A:$E),2,FALSE)</f>
        <v>SINAPI</v>
      </c>
      <c r="D260" s="24" t="str">
        <f>VLOOKUP(B260,IF(A260="COMPOSICAO",S!$A:$E,I!$A:$E),3,FALSE)</f>
        <v>GUINDASTE HIDRAULICO AUTOPROPELIDO, COM LANCA TELESCOPICA 40 M, CAPACIDADE MAXIMA 60 T, POTENCIA 260 KW, TRACAO 6 X 6</v>
      </c>
      <c r="E260" s="23" t="str">
        <f>VLOOKUP(B260,IF(A260="COMPOSICAO",S!$A:$E,I!$A:$E),4,FALSE)</f>
        <v>UN</v>
      </c>
      <c r="F260" s="23">
        <v>5.6999999999999996E-6</v>
      </c>
      <c r="G260" s="71">
        <f>IF(A260="COMPOSICAO",VLOOKUP("TOTAL SEM BDI - "&amp;B260,CPUAUX4!$A:$J,9,FALSE),VLOOKUP(B260,I!$A:$E,5,FALSE))</f>
        <v>2491030.2799999998</v>
      </c>
      <c r="H260" s="72"/>
      <c r="I260" s="71">
        <f>TRUNC(F260*G260,2)</f>
        <v>14.19</v>
      </c>
      <c r="J260" s="72"/>
      <c r="M260" s="23">
        <f>B260</f>
        <v>44474</v>
      </c>
      <c r="N260" s="23">
        <f>SUMIF(CPUAUX2!M:M,B259,CPUAUX2!O:O)</f>
        <v>13.1225</v>
      </c>
      <c r="O260" s="23">
        <f>F260*N260</f>
        <v>7.4798250000000002E-5</v>
      </c>
      <c r="Q260" s="23">
        <f ca="1">SUMIF(CPUAUX2!M:M,B259,CPUAUX2!R:R)</f>
        <v>5.2489999999999997</v>
      </c>
      <c r="R260" s="23">
        <f ca="1">F260*Q260</f>
        <v>2.9919299999999997E-5</v>
      </c>
    </row>
    <row r="261" spans="1:18" x14ac:dyDescent="0.3">
      <c r="A261" s="68" t="str">
        <f>"TOTAL SEM BDI - "&amp;B259</f>
        <v>TOTAL SEM BDI - 93296</v>
      </c>
      <c r="B261" s="69"/>
      <c r="C261" s="69"/>
      <c r="D261" s="69"/>
      <c r="E261" s="69"/>
      <c r="F261" s="69"/>
      <c r="G261" s="69"/>
      <c r="H261" s="70"/>
      <c r="I261" s="71">
        <f>SUM(I259:I260)</f>
        <v>14.19</v>
      </c>
      <c r="J261" s="72"/>
    </row>
    <row r="263" spans="1:18" x14ac:dyDescent="0.3">
      <c r="A263" s="4" t="s">
        <v>1018</v>
      </c>
      <c r="B263" s="4" t="s">
        <v>138</v>
      </c>
      <c r="C263" s="4" t="s">
        <v>139</v>
      </c>
      <c r="D263" s="4" t="s">
        <v>21</v>
      </c>
      <c r="E263" s="4" t="s">
        <v>140</v>
      </c>
      <c r="F263" s="4" t="s">
        <v>506</v>
      </c>
      <c r="G263" s="34" t="s">
        <v>1019</v>
      </c>
      <c r="H263" s="35"/>
      <c r="I263" s="34" t="s">
        <v>15</v>
      </c>
      <c r="J263" s="35"/>
    </row>
    <row r="264" spans="1:18" ht="45" customHeight="1" x14ac:dyDescent="0.3">
      <c r="A264" s="15" t="s">
        <v>1141</v>
      </c>
      <c r="B264" s="15">
        <v>93284</v>
      </c>
      <c r="C264" s="15" t="str">
        <f>VLOOKUP(B264,S!$A:$G,2,FALSE)</f>
        <v>SINAPI</v>
      </c>
      <c r="D264" s="22" t="str">
        <f>VLOOKUP(B264,S!$A:$G,3,FALSE)</f>
        <v>GUINDASTE HIDRÁULICO AUTOPROPELIDO, COM LANÇA TELESCÓPICA 40 M, CAPACIDADE MÁXIMA 60 T, POTÊNCIA 260 KW - JUROS. AF_03/2016</v>
      </c>
      <c r="E264" s="15" t="str">
        <f>VLOOKUP(B264,S!$A:$G,4,FALSE)</f>
        <v>H</v>
      </c>
      <c r="F264" s="15"/>
      <c r="G264" s="73">
        <f>I266</f>
        <v>35.119999999999997</v>
      </c>
      <c r="H264" s="74"/>
      <c r="I264" s="73"/>
      <c r="J264" s="74"/>
      <c r="K264" s="16">
        <f>VLOOKUP(B264,S!A:G,5,FALSE)</f>
        <v>35.119999999999997</v>
      </c>
      <c r="L264" s="15" t="str">
        <f>IF(K264=G264,"OK, CONFORME TABELA",IF(G264&gt;K264,"ACIMA DA TABELA: ","ABAIXO DA TABELA: ")&amp;TRUNC((G264*100)/K264,2)&amp;" %")</f>
        <v>OK, CONFORME TABELA</v>
      </c>
    </row>
    <row r="265" spans="1:18" ht="45" customHeight="1" x14ac:dyDescent="0.3">
      <c r="A265" s="23" t="s">
        <v>1025</v>
      </c>
      <c r="B265" s="23">
        <v>44474</v>
      </c>
      <c r="C265" s="23" t="str">
        <f>VLOOKUP(B265,IF(A265="COMPOSICAO",S!$A:$E,I!$A:$E),2,FALSE)</f>
        <v>SINAPI</v>
      </c>
      <c r="D265" s="24" t="str">
        <f>VLOOKUP(B265,IF(A265="COMPOSICAO",S!$A:$E,I!$A:$E),3,FALSE)</f>
        <v>GUINDASTE HIDRAULICO AUTOPROPELIDO, COM LANCA TELESCOPICA 40 M, CAPACIDADE MAXIMA 60 T, POTENCIA 260 KW, TRACAO 6 X 6</v>
      </c>
      <c r="E265" s="23" t="str">
        <f>VLOOKUP(B265,IF(A265="COMPOSICAO",S!$A:$E,I!$A:$E),4,FALSE)</f>
        <v>UN</v>
      </c>
      <c r="F265" s="23">
        <v>1.4100000000000001E-5</v>
      </c>
      <c r="G265" s="71">
        <f>IF(A265="COMPOSICAO",VLOOKUP("TOTAL SEM BDI - "&amp;B265,CPUAUX4!$A:$J,9,FALSE),VLOOKUP(B265,I!$A:$E,5,FALSE))</f>
        <v>2491030.2799999998</v>
      </c>
      <c r="H265" s="72"/>
      <c r="I265" s="71">
        <f>TRUNC(F265*G265,2)</f>
        <v>35.119999999999997</v>
      </c>
      <c r="J265" s="72"/>
      <c r="M265" s="23">
        <f>B265</f>
        <v>44474</v>
      </c>
      <c r="N265" s="23">
        <f>SUMIF(CPUAUX2!M:M,B264,CPUAUX2!O:O)</f>
        <v>13.1225</v>
      </c>
      <c r="O265" s="23">
        <f>F265*N265</f>
        <v>1.8502725000000002E-4</v>
      </c>
      <c r="Q265" s="23">
        <f ca="1">SUMIF(CPUAUX2!M:M,B264,CPUAUX2!R:R)</f>
        <v>5.2489999999999997</v>
      </c>
      <c r="R265" s="23">
        <f ca="1">F265*Q265</f>
        <v>7.40109E-5</v>
      </c>
    </row>
    <row r="266" spans="1:18" x14ac:dyDescent="0.3">
      <c r="A266" s="68" t="str">
        <f>"TOTAL SEM BDI - "&amp;B264</f>
        <v>TOTAL SEM BDI - 93284</v>
      </c>
      <c r="B266" s="69"/>
      <c r="C266" s="69"/>
      <c r="D266" s="69"/>
      <c r="E266" s="69"/>
      <c r="F266" s="69"/>
      <c r="G266" s="69"/>
      <c r="H266" s="70"/>
      <c r="I266" s="71">
        <f>SUM(I264:I265)</f>
        <v>35.119999999999997</v>
      </c>
      <c r="J266" s="72"/>
    </row>
    <row r="268" spans="1:18" x14ac:dyDescent="0.3">
      <c r="A268" s="4" t="s">
        <v>1018</v>
      </c>
      <c r="B268" s="4" t="s">
        <v>138</v>
      </c>
      <c r="C268" s="4" t="s">
        <v>139</v>
      </c>
      <c r="D268" s="4" t="s">
        <v>21</v>
      </c>
      <c r="E268" s="4" t="s">
        <v>140</v>
      </c>
      <c r="F268" s="4" t="s">
        <v>506</v>
      </c>
      <c r="G268" s="34" t="s">
        <v>1019</v>
      </c>
      <c r="H268" s="35"/>
      <c r="I268" s="34" t="s">
        <v>15</v>
      </c>
      <c r="J268" s="35"/>
    </row>
    <row r="269" spans="1:18" ht="60" customHeight="1" x14ac:dyDescent="0.3">
      <c r="A269" s="15" t="s">
        <v>1141</v>
      </c>
      <c r="B269" s="15">
        <v>93283</v>
      </c>
      <c r="C269" s="15" t="str">
        <f>VLOOKUP(B269,S!$A:$G,2,FALSE)</f>
        <v>SINAPI</v>
      </c>
      <c r="D269" s="22" t="str">
        <f>VLOOKUP(B269,S!$A:$G,3,FALSE)</f>
        <v>GUINDASTE HIDRÁULICO AUTOPROPELIDO, COM LANÇA TELESCÓPICA 40 M, CAPACIDADE MÁXIMA 60 T, POTÊNCIA 260 KW - DEPRECIAÇÃO. AF_03/2016</v>
      </c>
      <c r="E269" s="15" t="str">
        <f>VLOOKUP(B269,S!$A:$G,4,FALSE)</f>
        <v>H</v>
      </c>
      <c r="F269" s="15"/>
      <c r="G269" s="73">
        <f>I271</f>
        <v>99.64</v>
      </c>
      <c r="H269" s="74"/>
      <c r="I269" s="73"/>
      <c r="J269" s="74"/>
      <c r="K269" s="16">
        <f>VLOOKUP(B269,S!A:G,5,FALSE)</f>
        <v>99.64</v>
      </c>
      <c r="L269" s="15" t="str">
        <f>IF(K269=G269,"OK, CONFORME TABELA",IF(G269&gt;K269,"ACIMA DA TABELA: ","ABAIXO DA TABELA: ")&amp;TRUNC((G269*100)/K269,2)&amp;" %")</f>
        <v>OK, CONFORME TABELA</v>
      </c>
    </row>
    <row r="270" spans="1:18" ht="45" customHeight="1" x14ac:dyDescent="0.3">
      <c r="A270" s="23" t="s">
        <v>1025</v>
      </c>
      <c r="B270" s="23">
        <v>44474</v>
      </c>
      <c r="C270" s="23" t="str">
        <f>VLOOKUP(B270,IF(A270="COMPOSICAO",S!$A:$E,I!$A:$E),2,FALSE)</f>
        <v>SINAPI</v>
      </c>
      <c r="D270" s="24" t="str">
        <f>VLOOKUP(B270,IF(A270="COMPOSICAO",S!$A:$E,I!$A:$E),3,FALSE)</f>
        <v>GUINDASTE HIDRAULICO AUTOPROPELIDO, COM LANCA TELESCOPICA 40 M, CAPACIDADE MAXIMA 60 T, POTENCIA 260 KW, TRACAO 6 X 6</v>
      </c>
      <c r="E270" s="23" t="str">
        <f>VLOOKUP(B270,IF(A270="COMPOSICAO",S!$A:$E,I!$A:$E),4,FALSE)</f>
        <v>UN</v>
      </c>
      <c r="F270" s="23">
        <v>4.0000000000000003E-5</v>
      </c>
      <c r="G270" s="71">
        <f>IF(A270="COMPOSICAO",VLOOKUP("TOTAL SEM BDI - "&amp;B270,CPUAUX4!$A:$J,9,FALSE),VLOOKUP(B270,I!$A:$E,5,FALSE))</f>
        <v>2491030.2799999998</v>
      </c>
      <c r="H270" s="72"/>
      <c r="I270" s="71">
        <f>TRUNC(F270*G270,2)</f>
        <v>99.64</v>
      </c>
      <c r="J270" s="72"/>
      <c r="M270" s="23">
        <f>B270</f>
        <v>44474</v>
      </c>
      <c r="N270" s="23">
        <f>SUMIF(CPUAUX2!M:M,B269,CPUAUX2!O:O)</f>
        <v>13.1225</v>
      </c>
      <c r="O270" s="23">
        <f>F270*N270</f>
        <v>5.2490000000000002E-4</v>
      </c>
      <c r="Q270" s="23">
        <f ca="1">SUMIF(CPUAUX2!M:M,B269,CPUAUX2!R:R)</f>
        <v>5.2489999999999997</v>
      </c>
      <c r="R270" s="23">
        <f ca="1">F270*Q270</f>
        <v>2.0996E-4</v>
      </c>
    </row>
    <row r="271" spans="1:18" x14ac:dyDescent="0.3">
      <c r="A271" s="68" t="str">
        <f>"TOTAL SEM BDI - "&amp;B269</f>
        <v>TOTAL SEM BDI - 93283</v>
      </c>
      <c r="B271" s="69"/>
      <c r="C271" s="69"/>
      <c r="D271" s="69"/>
      <c r="E271" s="69"/>
      <c r="F271" s="69"/>
      <c r="G271" s="69"/>
      <c r="H271" s="70"/>
      <c r="I271" s="71">
        <f>SUM(I269:I270)</f>
        <v>99.64</v>
      </c>
      <c r="J271" s="72"/>
    </row>
    <row r="273" spans="1:18" x14ac:dyDescent="0.3">
      <c r="A273" s="4" t="s">
        <v>1018</v>
      </c>
      <c r="B273" s="4" t="s">
        <v>138</v>
      </c>
      <c r="C273" s="4" t="s">
        <v>139</v>
      </c>
      <c r="D273" s="4" t="s">
        <v>21</v>
      </c>
      <c r="E273" s="4" t="s">
        <v>140</v>
      </c>
      <c r="F273" s="4" t="s">
        <v>506</v>
      </c>
      <c r="G273" s="34" t="s">
        <v>1019</v>
      </c>
      <c r="H273" s="35"/>
      <c r="I273" s="34" t="s">
        <v>15</v>
      </c>
      <c r="J273" s="35"/>
    </row>
    <row r="274" spans="1:18" ht="30" customHeight="1" x14ac:dyDescent="0.3">
      <c r="A274" s="15" t="s">
        <v>1093</v>
      </c>
      <c r="B274" s="15">
        <v>88296</v>
      </c>
      <c r="C274" s="15" t="str">
        <f>VLOOKUP(B274,S!$A:$G,2,FALSE)</f>
        <v>SINAPI</v>
      </c>
      <c r="D274" s="22" t="str">
        <f>VLOOKUP(B274,S!$A:$G,3,FALSE)</f>
        <v>OPERADOR DE GUINDASTE COM ENCARGOS COMPLEMENTARES</v>
      </c>
      <c r="E274" s="15" t="str">
        <f>VLOOKUP(B274,S!$A:$G,4,FALSE)</f>
        <v>H</v>
      </c>
      <c r="F274" s="15"/>
      <c r="G274" s="73">
        <f>I283</f>
        <v>35.07</v>
      </c>
      <c r="H274" s="74"/>
      <c r="I274" s="73"/>
      <c r="J274" s="74"/>
      <c r="K274" s="16">
        <f>VLOOKUP(B274,S!A:G,5,FALSE)</f>
        <v>35.07</v>
      </c>
      <c r="L274" s="15" t="str">
        <f>IF(K274=G274,"OK, CONFORME TABELA",IF(G274&gt;K274,"ACIMA DA TABELA: ","ABAIXO DA TABELA: ")&amp;TRUNC((G274*100)/K274,2)&amp;" %")</f>
        <v>OK, CONFORME TABELA</v>
      </c>
    </row>
    <row r="275" spans="1:18" ht="30" customHeight="1" x14ac:dyDescent="0.3">
      <c r="A275" s="23" t="s">
        <v>1025</v>
      </c>
      <c r="B275" s="23">
        <v>43488</v>
      </c>
      <c r="C275" s="23" t="str">
        <f>VLOOKUP(B275,IF(A275="COMPOSICAO",S!$A:$E,I!$A:$E),2,FALSE)</f>
        <v>SINAPI</v>
      </c>
      <c r="D275" s="24" t="str">
        <f>VLOOKUP(B275,IF(A275="COMPOSICAO",S!$A:$E,I!$A:$E),3,FALSE)</f>
        <v>EPI - FAMILIA OPERADOR ESCAVADEIRA - HORISTA (ENCARGOS COMPLEMENTARES - COLETADO CAIXA)</v>
      </c>
      <c r="E275" s="23" t="str">
        <f>VLOOKUP(B275,IF(A275="COMPOSICAO",S!$A:$E,I!$A:$E),4,FALSE)</f>
        <v>H</v>
      </c>
      <c r="F275" s="23">
        <v>1</v>
      </c>
      <c r="G275" s="71">
        <f>IF(A275="COMPOSICAO",VLOOKUP("TOTAL SEM BDI - "&amp;B275,CPUAUX4!$A:$J,9,FALSE),VLOOKUP(B275,I!$A:$E,5,FALSE))</f>
        <v>0.89</v>
      </c>
      <c r="H275" s="72"/>
      <c r="I275" s="71">
        <f t="shared" ref="I275:I282" si="32">TRUNC(F275*G275,2)</f>
        <v>0.89</v>
      </c>
      <c r="J275" s="72"/>
      <c r="M275" s="23">
        <f t="shared" ref="M275:M282" si="33">B275</f>
        <v>43488</v>
      </c>
      <c r="N275" s="23">
        <f>SUMIF(CPUAUX2!M:M,B274,CPUAUX2!O:O)</f>
        <v>13.1225</v>
      </c>
      <c r="O275" s="23">
        <f t="shared" ref="O275:O282" si="34">F275*N275</f>
        <v>13.1225</v>
      </c>
      <c r="Q275" s="23">
        <f ca="1">SUMIF(CPUAUX2!M:M,B274,CPUAUX2!R:R)</f>
        <v>5.2489999999999997</v>
      </c>
      <c r="R275" s="23">
        <f t="shared" ref="R275:R282" ca="1" si="35">F275*Q275</f>
        <v>5.2489999999999997</v>
      </c>
    </row>
    <row r="276" spans="1:18" ht="45" customHeight="1" x14ac:dyDescent="0.3">
      <c r="A276" s="23" t="s">
        <v>1025</v>
      </c>
      <c r="B276" s="23">
        <v>43464</v>
      </c>
      <c r="C276" s="23" t="str">
        <f>VLOOKUP(B276,IF(A276="COMPOSICAO",S!$A:$E,I!$A:$E),2,FALSE)</f>
        <v>SINAPI</v>
      </c>
      <c r="D276" s="24" t="str">
        <f>VLOOKUP(B276,IF(A276="COMPOSICAO",S!$A:$E,I!$A:$E),3,FALSE)</f>
        <v>FERRAMENTAS - FAMILIA OPERADOR ESCAVADEIRA - HORISTA (ENCARGOS COMPLEMENTARES - COLETADO CAIXA)</v>
      </c>
      <c r="E276" s="23" t="str">
        <f>VLOOKUP(B276,IF(A276="COMPOSICAO",S!$A:$E,I!$A:$E),4,FALSE)</f>
        <v>H</v>
      </c>
      <c r="F276" s="23">
        <v>1</v>
      </c>
      <c r="G276" s="71">
        <f>IF(A276="COMPOSICAO",VLOOKUP("TOTAL SEM BDI - "&amp;B276,CPUAUX4!$A:$J,9,FALSE),VLOOKUP(B276,I!$A:$E,5,FALSE))</f>
        <v>0.01</v>
      </c>
      <c r="H276" s="72"/>
      <c r="I276" s="71">
        <f t="shared" si="32"/>
        <v>0.01</v>
      </c>
      <c r="J276" s="72"/>
      <c r="M276" s="23">
        <f t="shared" si="33"/>
        <v>43464</v>
      </c>
      <c r="N276" s="23">
        <f>SUMIF(CPUAUX2!M:M,B274,CPUAUX2!O:O)</f>
        <v>13.1225</v>
      </c>
      <c r="O276" s="23">
        <f t="shared" si="34"/>
        <v>13.1225</v>
      </c>
      <c r="Q276" s="23">
        <f ca="1">SUMIF(CPUAUX2!M:M,B274,CPUAUX2!R:R)</f>
        <v>5.2489999999999997</v>
      </c>
      <c r="R276" s="23">
        <f t="shared" ca="1" si="35"/>
        <v>5.2489999999999997</v>
      </c>
    </row>
    <row r="277" spans="1:18" ht="30" customHeight="1" x14ac:dyDescent="0.3">
      <c r="A277" s="23" t="s">
        <v>1025</v>
      </c>
      <c r="B277" s="23">
        <v>37373</v>
      </c>
      <c r="C277" s="23" t="str">
        <f>VLOOKUP(B277,IF(A277="COMPOSICAO",S!$A:$E,I!$A:$E),2,FALSE)</f>
        <v>SINAPI</v>
      </c>
      <c r="D277" s="24" t="str">
        <f>VLOOKUP(B277,IF(A277="COMPOSICAO",S!$A:$E,I!$A:$E),3,FALSE)</f>
        <v>SEGURO - HORISTA (COLETADO CAIXA - ENCARGOS COMPLEMENTARES)</v>
      </c>
      <c r="E277" s="23" t="str">
        <f>VLOOKUP(B277,IF(A277="COMPOSICAO",S!$A:$E,I!$A:$E),4,FALSE)</f>
        <v>H</v>
      </c>
      <c r="F277" s="23">
        <v>1</v>
      </c>
      <c r="G277" s="71">
        <f>IF(A277="COMPOSICAO",VLOOKUP("TOTAL SEM BDI - "&amp;B277,CPUAUX4!$A:$J,9,FALSE),VLOOKUP(B277,I!$A:$E,5,FALSE))</f>
        <v>0.08</v>
      </c>
      <c r="H277" s="72"/>
      <c r="I277" s="71">
        <f t="shared" si="32"/>
        <v>0.08</v>
      </c>
      <c r="J277" s="72"/>
      <c r="M277" s="23">
        <f t="shared" si="33"/>
        <v>37373</v>
      </c>
      <c r="N277" s="23">
        <f>SUMIF(CPUAUX2!M:M,B274,CPUAUX2!O:O)</f>
        <v>13.1225</v>
      </c>
      <c r="O277" s="23">
        <f t="shared" si="34"/>
        <v>13.1225</v>
      </c>
      <c r="Q277" s="23">
        <f ca="1">SUMIF(CPUAUX2!M:M,B274,CPUAUX2!R:R)</f>
        <v>5.2489999999999997</v>
      </c>
      <c r="R277" s="23">
        <f t="shared" ca="1" si="35"/>
        <v>5.2489999999999997</v>
      </c>
    </row>
    <row r="278" spans="1:18" ht="30" customHeight="1" x14ac:dyDescent="0.3">
      <c r="A278" s="23" t="s">
        <v>1025</v>
      </c>
      <c r="B278" s="23">
        <v>37372</v>
      </c>
      <c r="C278" s="23" t="str">
        <f>VLOOKUP(B278,IF(A278="COMPOSICAO",S!$A:$E,I!$A:$E),2,FALSE)</f>
        <v>SINAPI</v>
      </c>
      <c r="D278" s="24" t="str">
        <f>VLOOKUP(B278,IF(A278="COMPOSICAO",S!$A:$E,I!$A:$E),3,FALSE)</f>
        <v>EXAMES - HORISTA (COLETADO CAIXA - ENCARGOS COMPLEMENTARES)</v>
      </c>
      <c r="E278" s="23" t="str">
        <f>VLOOKUP(B278,IF(A278="COMPOSICAO",S!$A:$E,I!$A:$E),4,FALSE)</f>
        <v>H</v>
      </c>
      <c r="F278" s="23">
        <v>1</v>
      </c>
      <c r="G278" s="71">
        <f>IF(A278="COMPOSICAO",VLOOKUP("TOTAL SEM BDI - "&amp;B278,CPUAUX4!$A:$J,9,FALSE),VLOOKUP(B278,I!$A:$E,5,FALSE))</f>
        <v>1.43</v>
      </c>
      <c r="H278" s="72"/>
      <c r="I278" s="71">
        <f t="shared" si="32"/>
        <v>1.43</v>
      </c>
      <c r="J278" s="72"/>
      <c r="M278" s="23">
        <f t="shared" si="33"/>
        <v>37372</v>
      </c>
      <c r="N278" s="23">
        <f>SUMIF(CPUAUX2!M:M,B274,CPUAUX2!O:O)</f>
        <v>13.1225</v>
      </c>
      <c r="O278" s="23">
        <f t="shared" si="34"/>
        <v>13.1225</v>
      </c>
      <c r="Q278" s="23">
        <f ca="1">SUMIF(CPUAUX2!M:M,B274,CPUAUX2!R:R)</f>
        <v>5.2489999999999997</v>
      </c>
      <c r="R278" s="23">
        <f t="shared" ca="1" si="35"/>
        <v>5.2489999999999997</v>
      </c>
    </row>
    <row r="279" spans="1:18" ht="30" customHeight="1" x14ac:dyDescent="0.3">
      <c r="A279" s="23" t="s">
        <v>1025</v>
      </c>
      <c r="B279" s="23">
        <v>37371</v>
      </c>
      <c r="C279" s="23" t="str">
        <f>VLOOKUP(B279,IF(A279="COMPOSICAO",S!$A:$E,I!$A:$E),2,FALSE)</f>
        <v>SINAPI</v>
      </c>
      <c r="D279" s="24" t="str">
        <f>VLOOKUP(B279,IF(A279="COMPOSICAO",S!$A:$E,I!$A:$E),3,FALSE)</f>
        <v>TRANSPORTE - HORISTA (COLETADO CAIXA - ENCARGOS COMPLEMENTARES)</v>
      </c>
      <c r="E279" s="23" t="str">
        <f>VLOOKUP(B279,IF(A279="COMPOSICAO",S!$A:$E,I!$A:$E),4,FALSE)</f>
        <v>H</v>
      </c>
      <c r="F279" s="23">
        <v>1</v>
      </c>
      <c r="G279" s="71">
        <f>IF(A279="COMPOSICAO",VLOOKUP("TOTAL SEM BDI - "&amp;B279,CPUAUX4!$A:$J,9,FALSE),VLOOKUP(B279,I!$A:$E,5,FALSE))</f>
        <v>0.56999999999999995</v>
      </c>
      <c r="H279" s="72"/>
      <c r="I279" s="71">
        <f t="shared" si="32"/>
        <v>0.56999999999999995</v>
      </c>
      <c r="J279" s="72"/>
      <c r="M279" s="23">
        <f t="shared" si="33"/>
        <v>37371</v>
      </c>
      <c r="N279" s="23">
        <f>SUMIF(CPUAUX2!M:M,B274,CPUAUX2!O:O)</f>
        <v>13.1225</v>
      </c>
      <c r="O279" s="23">
        <f t="shared" si="34"/>
        <v>13.1225</v>
      </c>
      <c r="Q279" s="23">
        <f ca="1">SUMIF(CPUAUX2!M:M,B274,CPUAUX2!R:R)</f>
        <v>5.2489999999999997</v>
      </c>
      <c r="R279" s="23">
        <f t="shared" ca="1" si="35"/>
        <v>5.2489999999999997</v>
      </c>
    </row>
    <row r="280" spans="1:18" ht="30" customHeight="1" x14ac:dyDescent="0.3">
      <c r="A280" s="23" t="s">
        <v>1025</v>
      </c>
      <c r="B280" s="23">
        <v>37370</v>
      </c>
      <c r="C280" s="23" t="str">
        <f>VLOOKUP(B280,IF(A280="COMPOSICAO",S!$A:$E,I!$A:$E),2,FALSE)</f>
        <v>SINAPI</v>
      </c>
      <c r="D280" s="24" t="str">
        <f>VLOOKUP(B280,IF(A280="COMPOSICAO",S!$A:$E,I!$A:$E),3,FALSE)</f>
        <v>ALIMENTACAO - HORISTA (COLETADO CAIXA - ENCARGOS COMPLEMENTARES)</v>
      </c>
      <c r="E280" s="23" t="str">
        <f>VLOOKUP(B280,IF(A280="COMPOSICAO",S!$A:$E,I!$A:$E),4,FALSE)</f>
        <v>H</v>
      </c>
      <c r="F280" s="23">
        <v>1</v>
      </c>
      <c r="G280" s="71">
        <f>IF(A280="COMPOSICAO",VLOOKUP("TOTAL SEM BDI - "&amp;B280,CPUAUX4!$A:$J,9,FALSE),VLOOKUP(B280,I!$A:$E,5,FALSE))</f>
        <v>2.46</v>
      </c>
      <c r="H280" s="72"/>
      <c r="I280" s="71">
        <f t="shared" si="32"/>
        <v>2.46</v>
      </c>
      <c r="J280" s="72"/>
      <c r="M280" s="23">
        <f t="shared" si="33"/>
        <v>37370</v>
      </c>
      <c r="N280" s="23">
        <f>SUMIF(CPUAUX2!M:M,B274,CPUAUX2!O:O)</f>
        <v>13.1225</v>
      </c>
      <c r="O280" s="23">
        <f t="shared" si="34"/>
        <v>13.1225</v>
      </c>
      <c r="Q280" s="23">
        <f ca="1">SUMIF(CPUAUX2!M:M,B274,CPUAUX2!R:R)</f>
        <v>5.2489999999999997</v>
      </c>
      <c r="R280" s="23">
        <f t="shared" ca="1" si="35"/>
        <v>5.2489999999999997</v>
      </c>
    </row>
    <row r="281" spans="1:18" x14ac:dyDescent="0.3">
      <c r="A281" s="23" t="s">
        <v>1025</v>
      </c>
      <c r="B281" s="23">
        <v>4254</v>
      </c>
      <c r="C281" s="23" t="str">
        <f>VLOOKUP(B281,IF(A281="COMPOSICAO",S!$A:$E,I!$A:$E),2,FALSE)</f>
        <v>SINAPI</v>
      </c>
      <c r="D281" s="24" t="str">
        <f>VLOOKUP(B281,IF(A281="COMPOSICAO",S!$A:$E,I!$A:$E),3,FALSE)</f>
        <v>OPERADOR DE GUINDASTE (HORISTA)</v>
      </c>
      <c r="E281" s="23" t="str">
        <f>VLOOKUP(B281,IF(A281="COMPOSICAO",S!$A:$E,I!$A:$E),4,FALSE)</f>
        <v>H</v>
      </c>
      <c r="F281" s="23">
        <v>1</v>
      </c>
      <c r="G281" s="71">
        <f>IF(A281="COMPOSICAO",VLOOKUP("TOTAL SEM BDI - "&amp;B281,CPUAUX4!$A:$J,9,FALSE),VLOOKUP(B281,I!$A:$E,5,FALSE))</f>
        <v>29.16</v>
      </c>
      <c r="H281" s="72"/>
      <c r="I281" s="71">
        <f t="shared" si="32"/>
        <v>29.16</v>
      </c>
      <c r="J281" s="72"/>
      <c r="M281" s="23">
        <f t="shared" si="33"/>
        <v>4254</v>
      </c>
      <c r="N281" s="23">
        <f>SUMIF(CPUAUX2!M:M,B274,CPUAUX2!O:O)</f>
        <v>13.1225</v>
      </c>
      <c r="O281" s="23">
        <f t="shared" si="34"/>
        <v>13.1225</v>
      </c>
      <c r="Q281" s="23">
        <f ca="1">SUMIF(CPUAUX2!M:M,B274,CPUAUX2!R:R)</f>
        <v>5.2489999999999997</v>
      </c>
      <c r="R281" s="23">
        <f t="shared" ca="1" si="35"/>
        <v>5.2489999999999997</v>
      </c>
    </row>
    <row r="282" spans="1:18" ht="30" customHeight="1" x14ac:dyDescent="0.3">
      <c r="A282" s="23" t="s">
        <v>1022</v>
      </c>
      <c r="B282" s="23">
        <v>95359</v>
      </c>
      <c r="C282" s="23" t="str">
        <f>VLOOKUP(B282,IF(A282="COMPOSICAO",S!$A:$E,I!$A:$E),2,FALSE)</f>
        <v>SINAPI</v>
      </c>
      <c r="D282" s="24" t="str">
        <f>VLOOKUP(B282,IF(A282="COMPOSICAO",S!$A:$E,I!$A:$E),3,FALSE)</f>
        <v>CURSO DE CAPACITAÇÃO PARA OPERADOR DE GUINDASTE (ENCARGOS COMPLEMENTARES) - HORISTA</v>
      </c>
      <c r="E282" s="23" t="str">
        <f>VLOOKUP(B282,IF(A282="COMPOSICAO",S!$A:$E,I!$A:$E),4,FALSE)</f>
        <v>H</v>
      </c>
      <c r="F282" s="23">
        <v>1</v>
      </c>
      <c r="G282" s="71">
        <f>IF(A282="COMPOSICAO",VLOOKUP("TOTAL SEM BDI - "&amp;B282,CPUAUX4!$A:$J,9,FALSE),VLOOKUP(B282,I!$A:$E,5,FALSE))</f>
        <v>0.47</v>
      </c>
      <c r="H282" s="72"/>
      <c r="I282" s="71">
        <f t="shared" si="32"/>
        <v>0.47</v>
      </c>
      <c r="J282" s="72"/>
      <c r="M282" s="23">
        <f t="shared" si="33"/>
        <v>95359</v>
      </c>
      <c r="N282" s="23">
        <f>SUMIF(CPUAUX2!M:M,B274,CPUAUX2!O:O)</f>
        <v>13.1225</v>
      </c>
      <c r="O282" s="23">
        <f t="shared" si="34"/>
        <v>13.1225</v>
      </c>
      <c r="Q282" s="23">
        <f ca="1">SUMIF(CPUAUX2!M:M,B274,CPUAUX2!R:R)</f>
        <v>5.2489999999999997</v>
      </c>
      <c r="R282" s="23">
        <f t="shared" ca="1" si="35"/>
        <v>5.2489999999999997</v>
      </c>
    </row>
    <row r="283" spans="1:18" x14ac:dyDescent="0.3">
      <c r="A283" s="68" t="str">
        <f>"TOTAL SEM BDI - "&amp;B274</f>
        <v>TOTAL SEM BDI - 88296</v>
      </c>
      <c r="B283" s="69"/>
      <c r="C283" s="69"/>
      <c r="D283" s="69"/>
      <c r="E283" s="69"/>
      <c r="F283" s="69"/>
      <c r="G283" s="69"/>
      <c r="H283" s="70"/>
      <c r="I283" s="71">
        <f>SUM(I274:I282)</f>
        <v>35.07</v>
      </c>
      <c r="J283" s="72"/>
    </row>
    <row r="285" spans="1:18" x14ac:dyDescent="0.3">
      <c r="A285" s="4" t="s">
        <v>1018</v>
      </c>
      <c r="B285" s="4" t="s">
        <v>138</v>
      </c>
      <c r="C285" s="4" t="s">
        <v>139</v>
      </c>
      <c r="D285" s="4" t="s">
        <v>21</v>
      </c>
      <c r="E285" s="4" t="s">
        <v>140</v>
      </c>
      <c r="F285" s="4" t="s">
        <v>506</v>
      </c>
      <c r="G285" s="34" t="s">
        <v>1019</v>
      </c>
      <c r="H285" s="35"/>
      <c r="I285" s="34" t="s">
        <v>15</v>
      </c>
      <c r="J285" s="35"/>
    </row>
    <row r="286" spans="1:18" ht="60" customHeight="1" x14ac:dyDescent="0.3">
      <c r="A286" s="15" t="s">
        <v>1141</v>
      </c>
      <c r="B286" s="15">
        <v>93286</v>
      </c>
      <c r="C286" s="15" t="str">
        <f>VLOOKUP(B286,S!$A:$G,2,FALSE)</f>
        <v>SINAPI</v>
      </c>
      <c r="D286" s="22" t="str">
        <f>VLOOKUP(B286,S!$A:$G,3,FALSE)</f>
        <v>GUINDASTE HIDRÁULICO AUTOPROPELIDO, COM LANÇA TELESCÓPICA 40 M, CAPACIDADE MÁXIMA 60 T, POTÊNCIA 260 KW - MATERIAIS NA OPERAÇÃO. AF_03/2016</v>
      </c>
      <c r="E286" s="15" t="str">
        <f>VLOOKUP(B286,S!$A:$G,4,FALSE)</f>
        <v>H</v>
      </c>
      <c r="F286" s="15"/>
      <c r="G286" s="73">
        <f>I288</f>
        <v>14.3</v>
      </c>
      <c r="H286" s="74"/>
      <c r="I286" s="73"/>
      <c r="J286" s="74"/>
      <c r="K286" s="16">
        <f>VLOOKUP(B286,S!A:G,5,FALSE)</f>
        <v>14.3</v>
      </c>
      <c r="L286" s="15" t="str">
        <f>IF(K286=G286,"OK, CONFORME TABELA",IF(G286&gt;K286,"ACIMA DA TABELA: ","ABAIXO DA TABELA: ")&amp;TRUNC((G286*100)/K286,2)&amp;" %")</f>
        <v>OK, CONFORME TABELA</v>
      </c>
    </row>
    <row r="287" spans="1:18" ht="30" customHeight="1" x14ac:dyDescent="0.3">
      <c r="A287" s="23" t="s">
        <v>1025</v>
      </c>
      <c r="B287" s="23">
        <v>2705</v>
      </c>
      <c r="C287" s="23" t="str">
        <f>VLOOKUP(B287,IF(A287="COMPOSICAO",S!$A:$E,I!$A:$E),2,FALSE)</f>
        <v>SINAPI</v>
      </c>
      <c r="D287" s="24" t="str">
        <f>VLOOKUP(B287,IF(A287="COMPOSICAO",S!$A:$E,I!$A:$E),3,FALSE)</f>
        <v>ENERGIA ELETRICA ATE 2000 KWH INDUSTRIAL, SEM DEMANDA</v>
      </c>
      <c r="E287" s="23" t="str">
        <f>VLOOKUP(B287,IF(A287="COMPOSICAO",S!$A:$E,I!$A:$E),4,FALSE)</f>
        <v>KWH</v>
      </c>
      <c r="F287" s="23">
        <v>13</v>
      </c>
      <c r="G287" s="71">
        <f>IF(A287="COMPOSICAO",VLOOKUP("TOTAL SEM BDI - "&amp;B287,CPUAUX4!$A:$J,9,FALSE),VLOOKUP(B287,I!$A:$E,5,FALSE))</f>
        <v>1.1000000000000001</v>
      </c>
      <c r="H287" s="72"/>
      <c r="I287" s="71">
        <f>TRUNC(F287*G287,2)</f>
        <v>14.3</v>
      </c>
      <c r="J287" s="72"/>
      <c r="M287" s="23">
        <f>B287</f>
        <v>2705</v>
      </c>
      <c r="N287" s="23">
        <f>SUMIF(CPUAUX2!M:M,B286,CPUAUX2!O:O)</f>
        <v>1.3170000000000002</v>
      </c>
      <c r="O287" s="23">
        <f>F287*N287</f>
        <v>17.121000000000002</v>
      </c>
      <c r="Q287" s="23">
        <f ca="1">SUMIF(CPUAUX2!M:M,B286,CPUAUX2!R:R)</f>
        <v>0.52680000000000005</v>
      </c>
      <c r="R287" s="23">
        <f ca="1">F287*Q287</f>
        <v>6.8484000000000007</v>
      </c>
    </row>
    <row r="288" spans="1:18" x14ac:dyDescent="0.3">
      <c r="A288" s="68" t="str">
        <f>"TOTAL SEM BDI - "&amp;B286</f>
        <v>TOTAL SEM BDI - 93286</v>
      </c>
      <c r="B288" s="69"/>
      <c r="C288" s="69"/>
      <c r="D288" s="69"/>
      <c r="E288" s="69"/>
      <c r="F288" s="69"/>
      <c r="G288" s="69"/>
      <c r="H288" s="70"/>
      <c r="I288" s="71">
        <f>SUM(I286:I287)</f>
        <v>14.3</v>
      </c>
      <c r="J288" s="72"/>
    </row>
    <row r="290" spans="1:18" x14ac:dyDescent="0.3">
      <c r="A290" s="4" t="s">
        <v>1018</v>
      </c>
      <c r="B290" s="4" t="s">
        <v>138</v>
      </c>
      <c r="C290" s="4" t="s">
        <v>139</v>
      </c>
      <c r="D290" s="4" t="s">
        <v>21</v>
      </c>
      <c r="E290" s="4" t="s">
        <v>140</v>
      </c>
      <c r="F290" s="4" t="s">
        <v>506</v>
      </c>
      <c r="G290" s="34" t="s">
        <v>1019</v>
      </c>
      <c r="H290" s="35"/>
      <c r="I290" s="34" t="s">
        <v>15</v>
      </c>
      <c r="J290" s="35"/>
    </row>
    <row r="291" spans="1:18" ht="45" customHeight="1" x14ac:dyDescent="0.3">
      <c r="A291" s="15" t="s">
        <v>1141</v>
      </c>
      <c r="B291" s="15">
        <v>93285</v>
      </c>
      <c r="C291" s="15" t="str">
        <f>VLOOKUP(B291,S!$A:$G,2,FALSE)</f>
        <v>SINAPI</v>
      </c>
      <c r="D291" s="22" t="str">
        <f>VLOOKUP(B291,S!$A:$G,3,FALSE)</f>
        <v>GUINDASTE HIDRÁULICO AUTOPROPELIDO, COM LANÇA TELESCÓPICA 40 M, CAPACIDADE MÁXIMA 60 T, POTÊNCIA 260 KW - MANUTENÇÃO. AF_03/2016</v>
      </c>
      <c r="E291" s="15" t="str">
        <f>VLOOKUP(B291,S!$A:$G,4,FALSE)</f>
        <v>H</v>
      </c>
      <c r="F291" s="15"/>
      <c r="G291" s="73">
        <f>I293</f>
        <v>160.16999999999999</v>
      </c>
      <c r="H291" s="74"/>
      <c r="I291" s="73"/>
      <c r="J291" s="74"/>
      <c r="K291" s="16">
        <f>VLOOKUP(B291,S!A:G,5,FALSE)</f>
        <v>160.16999999999999</v>
      </c>
      <c r="L291" s="15" t="str">
        <f>IF(K291=G291,"OK, CONFORME TABELA",IF(G291&gt;K291,"ACIMA DA TABELA: ","ABAIXO DA TABELA: ")&amp;TRUNC((G291*100)/K291,2)&amp;" %")</f>
        <v>OK, CONFORME TABELA</v>
      </c>
    </row>
    <row r="292" spans="1:18" ht="45" customHeight="1" x14ac:dyDescent="0.3">
      <c r="A292" s="23" t="s">
        <v>1025</v>
      </c>
      <c r="B292" s="23">
        <v>44474</v>
      </c>
      <c r="C292" s="23" t="str">
        <f>VLOOKUP(B292,IF(A292="COMPOSICAO",S!$A:$E,I!$A:$E),2,FALSE)</f>
        <v>SINAPI</v>
      </c>
      <c r="D292" s="24" t="str">
        <f>VLOOKUP(B292,IF(A292="COMPOSICAO",S!$A:$E,I!$A:$E),3,FALSE)</f>
        <v>GUINDASTE HIDRAULICO AUTOPROPELIDO, COM LANCA TELESCOPICA 40 M, CAPACIDADE MAXIMA 60 T, POTENCIA 260 KW, TRACAO 6 X 6</v>
      </c>
      <c r="E292" s="23" t="str">
        <f>VLOOKUP(B292,IF(A292="COMPOSICAO",S!$A:$E,I!$A:$E),4,FALSE)</f>
        <v>UN</v>
      </c>
      <c r="F292" s="23">
        <v>6.4300000000000004E-5</v>
      </c>
      <c r="G292" s="71">
        <f>IF(A292="COMPOSICAO",VLOOKUP("TOTAL SEM BDI - "&amp;B292,CPUAUX4!$A:$J,9,FALSE),VLOOKUP(B292,I!$A:$E,5,FALSE))</f>
        <v>2491030.2799999998</v>
      </c>
      <c r="H292" s="72"/>
      <c r="I292" s="71">
        <f>TRUNC(F292*G292,2)</f>
        <v>160.16999999999999</v>
      </c>
      <c r="J292" s="72"/>
      <c r="M292" s="23">
        <f>B292</f>
        <v>44474</v>
      </c>
      <c r="N292" s="23">
        <f>SUMIF(CPUAUX2!M:M,B291,CPUAUX2!O:O)</f>
        <v>1.3170000000000002</v>
      </c>
      <c r="O292" s="23">
        <f>F292*N292</f>
        <v>8.4683100000000023E-5</v>
      </c>
      <c r="Q292" s="23">
        <f ca="1">SUMIF(CPUAUX2!M:M,B291,CPUAUX2!R:R)</f>
        <v>0.52680000000000005</v>
      </c>
      <c r="R292" s="23">
        <f ca="1">F292*Q292</f>
        <v>3.3873240000000002E-5</v>
      </c>
    </row>
    <row r="293" spans="1:18" x14ac:dyDescent="0.3">
      <c r="A293" s="68" t="str">
        <f>"TOTAL SEM BDI - "&amp;B291</f>
        <v>TOTAL SEM BDI - 93285</v>
      </c>
      <c r="B293" s="69"/>
      <c r="C293" s="69"/>
      <c r="D293" s="69"/>
      <c r="E293" s="69"/>
      <c r="F293" s="69"/>
      <c r="G293" s="69"/>
      <c r="H293" s="70"/>
      <c r="I293" s="71">
        <f>SUM(I291:I292)</f>
        <v>160.16999999999999</v>
      </c>
      <c r="J293" s="72"/>
    </row>
    <row r="295" spans="1:18" x14ac:dyDescent="0.3">
      <c r="A295" s="4" t="s">
        <v>1018</v>
      </c>
      <c r="B295" s="4" t="s">
        <v>138</v>
      </c>
      <c r="C295" s="4" t="s">
        <v>139</v>
      </c>
      <c r="D295" s="4" t="s">
        <v>21</v>
      </c>
      <c r="E295" s="4" t="s">
        <v>140</v>
      </c>
      <c r="F295" s="4" t="s">
        <v>506</v>
      </c>
      <c r="G295" s="34" t="s">
        <v>1019</v>
      </c>
      <c r="H295" s="35"/>
      <c r="I295" s="34" t="s">
        <v>15</v>
      </c>
      <c r="J295" s="35"/>
    </row>
    <row r="296" spans="1:18" ht="30" customHeight="1" x14ac:dyDescent="0.3">
      <c r="A296" s="15" t="s">
        <v>1093</v>
      </c>
      <c r="B296" s="15">
        <v>95372</v>
      </c>
      <c r="C296" s="15" t="str">
        <f>VLOOKUP(B296,S!$A:$G,2,FALSE)</f>
        <v>SINAPI</v>
      </c>
      <c r="D296" s="22" t="str">
        <f>VLOOKUP(B296,S!$A:$G,3,FALSE)</f>
        <v>CURSO DE CAPACITAÇÃO PARA PINTOR (ENCARGOS COMPLEMENTARES) - HORISTA</v>
      </c>
      <c r="E296" s="15" t="str">
        <f>VLOOKUP(B296,S!$A:$G,4,FALSE)</f>
        <v>H</v>
      </c>
      <c r="F296" s="15"/>
      <c r="G296" s="73">
        <f>I298</f>
        <v>0.3</v>
      </c>
      <c r="H296" s="74"/>
      <c r="I296" s="73"/>
      <c r="J296" s="74"/>
      <c r="K296" s="16">
        <f>VLOOKUP(B296,S!A:G,5,FALSE)</f>
        <v>0.3</v>
      </c>
      <c r="L296" s="15" t="str">
        <f>IF(K296=G296,"OK, CONFORME TABELA",IF(G296&gt;K296,"ACIMA DA TABELA: ","ABAIXO DA TABELA: ")&amp;TRUNC((G296*100)/K296,2)&amp;" %")</f>
        <v>OK, CONFORME TABELA</v>
      </c>
    </row>
    <row r="297" spans="1:18" x14ac:dyDescent="0.3">
      <c r="A297" s="23" t="s">
        <v>1025</v>
      </c>
      <c r="B297" s="23">
        <v>4783</v>
      </c>
      <c r="C297" s="23" t="str">
        <f>VLOOKUP(B297,IF(A297="COMPOSICAO",S!$A:$E,I!$A:$E),2,FALSE)</f>
        <v>SINAPI</v>
      </c>
      <c r="D297" s="24" t="str">
        <f>VLOOKUP(B297,IF(A297="COMPOSICAO",S!$A:$E,I!$A:$E),3,FALSE)</f>
        <v>PINTOR (HORISTA)</v>
      </c>
      <c r="E297" s="23" t="str">
        <f>VLOOKUP(B297,IF(A297="COMPOSICAO",S!$A:$E,I!$A:$E),4,FALSE)</f>
        <v>H</v>
      </c>
      <c r="F297" s="23">
        <v>1.4760000000000001E-2</v>
      </c>
      <c r="G297" s="71">
        <f>IF(A297="COMPOSICAO",VLOOKUP("TOTAL SEM BDI - "&amp;B297,CPUAUX4!$A:$J,9,FALSE),VLOOKUP(B297,I!$A:$E,5,FALSE))</f>
        <v>20.329999999999998</v>
      </c>
      <c r="H297" s="72"/>
      <c r="I297" s="71">
        <f>TRUNC(F297*G297,2)</f>
        <v>0.3</v>
      </c>
      <c r="J297" s="72"/>
      <c r="M297" s="23">
        <f>B297</f>
        <v>4783</v>
      </c>
      <c r="N297" s="23">
        <f>SUMIF(CPUAUX2!M:M,B296,CPUAUX2!O:O)</f>
        <v>10</v>
      </c>
      <c r="O297" s="23">
        <f>F297*N297</f>
        <v>0.14760000000000001</v>
      </c>
      <c r="Q297" s="23">
        <f ca="1">SUMIF(CPUAUX2!M:M,B296,CPUAUX2!R:R)</f>
        <v>4</v>
      </c>
      <c r="R297" s="23">
        <f ca="1">F297*Q297</f>
        <v>5.9040000000000002E-2</v>
      </c>
    </row>
    <row r="298" spans="1:18" x14ac:dyDescent="0.3">
      <c r="A298" s="68" t="str">
        <f>"TOTAL SEM BDI - "&amp;B296</f>
        <v>TOTAL SEM BDI - 95372</v>
      </c>
      <c r="B298" s="69"/>
      <c r="C298" s="69"/>
      <c r="D298" s="69"/>
      <c r="E298" s="69"/>
      <c r="F298" s="69"/>
      <c r="G298" s="69"/>
      <c r="H298" s="70"/>
      <c r="I298" s="71">
        <f>SUM(I296:I297)</f>
        <v>0.3</v>
      </c>
      <c r="J298" s="72"/>
    </row>
    <row r="300" spans="1:18" x14ac:dyDescent="0.3">
      <c r="A300" s="4" t="s">
        <v>1018</v>
      </c>
      <c r="B300" s="4" t="s">
        <v>138</v>
      </c>
      <c r="C300" s="4" t="s">
        <v>139</v>
      </c>
      <c r="D300" s="4" t="s">
        <v>21</v>
      </c>
      <c r="E300" s="4" t="s">
        <v>140</v>
      </c>
      <c r="F300" s="4" t="s">
        <v>506</v>
      </c>
      <c r="G300" s="34" t="s">
        <v>1019</v>
      </c>
      <c r="H300" s="35"/>
      <c r="I300" s="34" t="s">
        <v>15</v>
      </c>
      <c r="J300" s="35"/>
    </row>
    <row r="301" spans="1:18" x14ac:dyDescent="0.3">
      <c r="A301" s="15" t="s">
        <v>516</v>
      </c>
      <c r="B301" s="15" t="s">
        <v>1076</v>
      </c>
      <c r="C301" s="15" t="str">
        <f>VLOOKUP(B301,S!$A:$G,2,FALSE)</f>
        <v>ORSE</v>
      </c>
      <c r="D301" s="22" t="str">
        <f>VLOOKUP(B301,S!$A:$G,3,FALSE)</f>
        <v>ENCARGOS COMPLEMENTARES - SERVENTE</v>
      </c>
      <c r="E301" s="15" t="str">
        <f>VLOOKUP(B301,S!$A:$G,4,FALSE)</f>
        <v>H</v>
      </c>
      <c r="F301" s="15"/>
      <c r="G301" s="73">
        <f>I320</f>
        <v>3.9599999999999991</v>
      </c>
      <c r="H301" s="74"/>
      <c r="I301" s="73"/>
      <c r="J301" s="74"/>
      <c r="K301" s="16">
        <f>VLOOKUP(B301,S!A:G,5,FALSE)</f>
        <v>3.98</v>
      </c>
      <c r="L301" s="15" t="str">
        <f>IF(K301=G301,"OK, CONFORME TABELA",IF(G301&gt;K301,"ACIMA DA TABELA: ","ABAIXO DA TABELA: ")&amp;TRUNC((G301*100)/K301,2)&amp;" %")</f>
        <v>ABAIXO DA TABELA: 99,49 %</v>
      </c>
    </row>
    <row r="302" spans="1:18" x14ac:dyDescent="0.3">
      <c r="A302" s="23" t="s">
        <v>1025</v>
      </c>
      <c r="B302" s="23" t="s">
        <v>1104</v>
      </c>
      <c r="C302" s="23" t="str">
        <f>VLOOKUP(B302,IF(A302="COMPOSICAO",S!$A:$E,I!$A:$E),2,FALSE)</f>
        <v>ORSE</v>
      </c>
      <c r="D302" s="24" t="str">
        <f>VLOOKUP(B302,IF(A302="COMPOSICAO",S!$A:$E,I!$A:$E),3,FALSE)</f>
        <v>ALMOÇO (PARTICIPAÇÃO DO EMPREGADOR)</v>
      </c>
      <c r="E302" s="23" t="str">
        <f>VLOOKUP(B302,IF(A302="COMPOSICAO",S!$A:$E,I!$A:$E),4,FALSE)</f>
        <v>UN</v>
      </c>
      <c r="F302" s="23">
        <v>0.1018</v>
      </c>
      <c r="G302" s="71">
        <f>IF(A302="COMPOSICAO",VLOOKUP("TOTAL SEM BDI - "&amp;B302,CPUAUX4!$A:$J,9,FALSE),VLOOKUP(B302,I!$A:$E,5,FALSE))</f>
        <v>14</v>
      </c>
      <c r="H302" s="72"/>
      <c r="I302" s="71">
        <f t="shared" ref="I302:I319" si="36">TRUNC(F302*G302,2)</f>
        <v>1.42</v>
      </c>
      <c r="J302" s="72"/>
      <c r="M302" s="23" t="str">
        <f t="shared" ref="M302:M319" si="37">B302</f>
        <v>00158/ORSE</v>
      </c>
      <c r="N302" s="23">
        <f>SUMIF(CPUAUX2!M:M,B301,CPUAUX2!O:O)</f>
        <v>9.9060000000000006</v>
      </c>
      <c r="O302" s="23">
        <f t="shared" ref="O302:O319" si="38">F302*N302</f>
        <v>1.0084308000000002</v>
      </c>
      <c r="Q302" s="23">
        <f ca="1">SUMIF(CPUAUX2!M:M,B301,CPUAUX2!R:R)</f>
        <v>3.9624000000000001</v>
      </c>
      <c r="R302" s="23">
        <f t="shared" ref="R302:R319" ca="1" si="39">F302*Q302</f>
        <v>0.40337232000000001</v>
      </c>
    </row>
    <row r="303" spans="1:18" x14ac:dyDescent="0.3">
      <c r="A303" s="23" t="s">
        <v>1025</v>
      </c>
      <c r="B303" s="23" t="s">
        <v>1105</v>
      </c>
      <c r="C303" s="23" t="str">
        <f>VLOOKUP(B303,IF(A303="COMPOSICAO",S!$A:$E,I!$A:$E),2,FALSE)</f>
        <v>ORSE</v>
      </c>
      <c r="D303" s="24" t="str">
        <f>VLOOKUP(B303,IF(A303="COMPOSICAO",S!$A:$E,I!$A:$E),3,FALSE)</f>
        <v>FARDAMENTO COM MANGAS CURTA</v>
      </c>
      <c r="E303" s="23" t="str">
        <f>VLOOKUP(B303,IF(A303="COMPOSICAO",S!$A:$E,I!$A:$E),4,FALSE)</f>
        <v>UN</v>
      </c>
      <c r="F303" s="23">
        <v>1.5E-3</v>
      </c>
      <c r="G303" s="71">
        <f>IF(A303="COMPOSICAO",VLOOKUP("TOTAL SEM BDI - "&amp;B303,CPUAUX4!$A:$J,9,FALSE),VLOOKUP(B303,I!$A:$E,5,FALSE))</f>
        <v>196.71</v>
      </c>
      <c r="H303" s="72"/>
      <c r="I303" s="71">
        <f t="shared" si="36"/>
        <v>0.28999999999999998</v>
      </c>
      <c r="J303" s="72"/>
      <c r="M303" s="23" t="str">
        <f t="shared" si="37"/>
        <v>00941/ORSE</v>
      </c>
      <c r="N303" s="23">
        <f>SUMIF(CPUAUX2!M:M,B301,CPUAUX2!O:O)</f>
        <v>9.9060000000000006</v>
      </c>
      <c r="O303" s="23">
        <f t="shared" si="38"/>
        <v>1.4859000000000001E-2</v>
      </c>
      <c r="Q303" s="23">
        <f ca="1">SUMIF(CPUAUX2!M:M,B301,CPUAUX2!R:R)</f>
        <v>3.9624000000000001</v>
      </c>
      <c r="R303" s="23">
        <f t="shared" ca="1" si="39"/>
        <v>5.9436000000000003E-3</v>
      </c>
    </row>
    <row r="304" spans="1:18" x14ac:dyDescent="0.3">
      <c r="A304" s="23" t="s">
        <v>1025</v>
      </c>
      <c r="B304" s="23" t="s">
        <v>1106</v>
      </c>
      <c r="C304" s="23" t="str">
        <f>VLOOKUP(B304,IF(A304="COMPOSICAO",S!$A:$E,I!$A:$E),2,FALSE)</f>
        <v>ORSE</v>
      </c>
      <c r="D304" s="24" t="str">
        <f>VLOOKUP(B304,IF(A304="COMPOSICAO",S!$A:$E,I!$A:$E),3,FALSE)</f>
        <v>ÓCULOS BRANCO PROTEÇÃO</v>
      </c>
      <c r="E304" s="23" t="str">
        <f>VLOOKUP(B304,IF(A304="COMPOSICAO",S!$A:$E,I!$A:$E),4,FALSE)</f>
        <v>PR</v>
      </c>
      <c r="F304" s="23">
        <v>8.0000000000000004E-4</v>
      </c>
      <c r="G304" s="71">
        <f>IF(A304="COMPOSICAO",VLOOKUP("TOTAL SEM BDI - "&amp;B304,CPUAUX4!$A:$J,9,FALSE),VLOOKUP(B304,I!$A:$E,5,FALSE))</f>
        <v>7</v>
      </c>
      <c r="H304" s="72"/>
      <c r="I304" s="71">
        <f t="shared" si="36"/>
        <v>0</v>
      </c>
      <c r="J304" s="72"/>
      <c r="M304" s="23" t="str">
        <f t="shared" si="37"/>
        <v>01651/ORSE</v>
      </c>
      <c r="N304" s="23">
        <f>SUMIF(CPUAUX2!M:M,B301,CPUAUX2!O:O)</f>
        <v>9.9060000000000006</v>
      </c>
      <c r="O304" s="23">
        <f t="shared" si="38"/>
        <v>7.9248000000000009E-3</v>
      </c>
      <c r="Q304" s="23">
        <f ca="1">SUMIF(CPUAUX2!M:M,B301,CPUAUX2!R:R)</f>
        <v>3.9624000000000001</v>
      </c>
      <c r="R304" s="23">
        <f t="shared" ca="1" si="39"/>
        <v>3.1699200000000001E-3</v>
      </c>
    </row>
    <row r="305" spans="1:18" x14ac:dyDescent="0.3">
      <c r="A305" s="23" t="s">
        <v>1025</v>
      </c>
      <c r="B305" s="23" t="s">
        <v>1107</v>
      </c>
      <c r="C305" s="23" t="str">
        <f>VLOOKUP(B305,IF(A305="COMPOSICAO",S!$A:$E,I!$A:$E),2,FALSE)</f>
        <v>ORSE</v>
      </c>
      <c r="D305" s="24" t="str">
        <f>VLOOKUP(B305,IF(A305="COMPOSICAO",S!$A:$E,I!$A:$E),3,FALSE)</f>
        <v>VALE TRANSPORTE</v>
      </c>
      <c r="E305" s="23" t="str">
        <f>VLOOKUP(B305,IF(A305="COMPOSICAO",S!$A:$E,I!$A:$E),4,FALSE)</f>
        <v>UN</v>
      </c>
      <c r="F305" s="23">
        <v>9.4100000000000003E-2</v>
      </c>
      <c r="G305" s="71">
        <f>IF(A305="COMPOSICAO",VLOOKUP("TOTAL SEM BDI - "&amp;B305,CPUAUX4!$A:$J,9,FALSE),VLOOKUP(B305,I!$A:$E,5,FALSE))</f>
        <v>4.5</v>
      </c>
      <c r="H305" s="72"/>
      <c r="I305" s="71">
        <f t="shared" si="36"/>
        <v>0.42</v>
      </c>
      <c r="J305" s="72"/>
      <c r="M305" s="23" t="str">
        <f t="shared" si="37"/>
        <v>02378/ORSE</v>
      </c>
      <c r="N305" s="23">
        <f>SUMIF(CPUAUX2!M:M,B301,CPUAUX2!O:O)</f>
        <v>9.9060000000000006</v>
      </c>
      <c r="O305" s="23">
        <f t="shared" si="38"/>
        <v>0.93215460000000006</v>
      </c>
      <c r="Q305" s="23">
        <f ca="1">SUMIF(CPUAUX2!M:M,B301,CPUAUX2!R:R)</f>
        <v>3.9624000000000001</v>
      </c>
      <c r="R305" s="23">
        <f t="shared" ca="1" si="39"/>
        <v>0.37286184</v>
      </c>
    </row>
    <row r="306" spans="1:18" x14ac:dyDescent="0.3">
      <c r="A306" s="23" t="s">
        <v>1025</v>
      </c>
      <c r="B306" s="23" t="s">
        <v>1108</v>
      </c>
      <c r="C306" s="23" t="str">
        <f>VLOOKUP(B306,IF(A306="COMPOSICAO",S!$A:$E,I!$A:$E),2,FALSE)</f>
        <v>ORSE</v>
      </c>
      <c r="D306" s="24" t="str">
        <f>VLOOKUP(B306,IF(A306="COMPOSICAO",S!$A:$E,I!$A:$E),3,FALSE)</f>
        <v>TALHADEIRA CHATA 10"</v>
      </c>
      <c r="E306" s="23" t="str">
        <f>VLOOKUP(B306,IF(A306="COMPOSICAO",S!$A:$E,I!$A:$E),4,FALSE)</f>
        <v>UN</v>
      </c>
      <c r="F306" s="23">
        <v>2.9999999999999997E-4</v>
      </c>
      <c r="G306" s="71">
        <f>IF(A306="COMPOSICAO",VLOOKUP("TOTAL SEM BDI - "&amp;B306,CPUAUX4!$A:$J,9,FALSE),VLOOKUP(B306,I!$A:$E,5,FALSE))</f>
        <v>18.579999999999998</v>
      </c>
      <c r="H306" s="72"/>
      <c r="I306" s="71">
        <f t="shared" si="36"/>
        <v>0</v>
      </c>
      <c r="J306" s="72"/>
      <c r="M306" s="23" t="str">
        <f t="shared" si="37"/>
        <v>04728/ORSE</v>
      </c>
      <c r="N306" s="23">
        <f>SUMIF(CPUAUX2!M:M,B301,CPUAUX2!O:O)</f>
        <v>9.9060000000000006</v>
      </c>
      <c r="O306" s="23">
        <f t="shared" si="38"/>
        <v>2.9717999999999997E-3</v>
      </c>
      <c r="Q306" s="23">
        <f ca="1">SUMIF(CPUAUX2!M:M,B301,CPUAUX2!R:R)</f>
        <v>3.9624000000000001</v>
      </c>
      <c r="R306" s="23">
        <f t="shared" ca="1" si="39"/>
        <v>1.1887199999999999E-3</v>
      </c>
    </row>
    <row r="307" spans="1:18" x14ac:dyDescent="0.3">
      <c r="A307" s="23" t="s">
        <v>1025</v>
      </c>
      <c r="B307" s="23" t="s">
        <v>1109</v>
      </c>
      <c r="C307" s="23" t="str">
        <f>VLOOKUP(B307,IF(A307="COMPOSICAO",S!$A:$E,I!$A:$E),2,FALSE)</f>
        <v>ORSE</v>
      </c>
      <c r="D307" s="24" t="str">
        <f>VLOOKUP(B307,IF(A307="COMPOSICAO",S!$A:$E,I!$A:$E),3,FALSE)</f>
        <v>MARRETA 1 KG COM CABO</v>
      </c>
      <c r="E307" s="23" t="str">
        <f>VLOOKUP(B307,IF(A307="COMPOSICAO",S!$A:$E,I!$A:$E),4,FALSE)</f>
        <v>UN</v>
      </c>
      <c r="F307" s="23">
        <v>1E-4</v>
      </c>
      <c r="G307" s="71">
        <f>IF(A307="COMPOSICAO",VLOOKUP("TOTAL SEM BDI - "&amp;B307,CPUAUX4!$A:$J,9,FALSE),VLOOKUP(B307,I!$A:$E,5,FALSE))</f>
        <v>37.799999999999997</v>
      </c>
      <c r="H307" s="72"/>
      <c r="I307" s="71">
        <f t="shared" si="36"/>
        <v>0</v>
      </c>
      <c r="J307" s="72"/>
      <c r="M307" s="23" t="str">
        <f t="shared" si="37"/>
        <v>04729/ORSE</v>
      </c>
      <c r="N307" s="23">
        <f>SUMIF(CPUAUX2!M:M,B301,CPUAUX2!O:O)</f>
        <v>9.9060000000000006</v>
      </c>
      <c r="O307" s="23">
        <f t="shared" si="38"/>
        <v>9.9060000000000012E-4</v>
      </c>
      <c r="Q307" s="23">
        <f ca="1">SUMIF(CPUAUX2!M:M,B301,CPUAUX2!R:R)</f>
        <v>3.9624000000000001</v>
      </c>
      <c r="R307" s="23">
        <f t="shared" ca="1" si="39"/>
        <v>3.9624000000000001E-4</v>
      </c>
    </row>
    <row r="308" spans="1:18" x14ac:dyDescent="0.3">
      <c r="A308" s="23" t="s">
        <v>1025</v>
      </c>
      <c r="B308" s="23" t="s">
        <v>1110</v>
      </c>
      <c r="C308" s="23" t="str">
        <f>VLOOKUP(B308,IF(A308="COMPOSICAO",S!$A:$E,I!$A:$E),2,FALSE)</f>
        <v>ORSE</v>
      </c>
      <c r="D308" s="24" t="str">
        <f>VLOOKUP(B308,IF(A308="COMPOSICAO",S!$A:$E,I!$A:$E),3,FALSE)</f>
        <v>SEGURO DE VIDA E ACIDENTE EM GRUPO</v>
      </c>
      <c r="E308" s="23" t="str">
        <f>VLOOKUP(B308,IF(A308="COMPOSICAO",S!$A:$E,I!$A:$E),4,FALSE)</f>
        <v>UN</v>
      </c>
      <c r="F308" s="23">
        <v>4.4999999999999997E-3</v>
      </c>
      <c r="G308" s="71">
        <f>IF(A308="COMPOSICAO",VLOOKUP("TOTAL SEM BDI - "&amp;B308,CPUAUX4!$A:$J,9,FALSE),VLOOKUP(B308,I!$A:$E,5,FALSE))</f>
        <v>12.54</v>
      </c>
      <c r="H308" s="72"/>
      <c r="I308" s="71">
        <f t="shared" si="36"/>
        <v>0.05</v>
      </c>
      <c r="J308" s="72"/>
      <c r="M308" s="23" t="str">
        <f t="shared" si="37"/>
        <v>10362/ORSE</v>
      </c>
      <c r="N308" s="23">
        <f>SUMIF(CPUAUX2!M:M,B301,CPUAUX2!O:O)</f>
        <v>9.9060000000000006</v>
      </c>
      <c r="O308" s="23">
        <f t="shared" si="38"/>
        <v>4.4576999999999999E-2</v>
      </c>
      <c r="Q308" s="23">
        <f ca="1">SUMIF(CPUAUX2!M:M,B301,CPUAUX2!R:R)</f>
        <v>3.9624000000000001</v>
      </c>
      <c r="R308" s="23">
        <f t="shared" ca="1" si="39"/>
        <v>1.7830800000000001E-2</v>
      </c>
    </row>
    <row r="309" spans="1:18" x14ac:dyDescent="0.3">
      <c r="A309" s="23" t="s">
        <v>1025</v>
      </c>
      <c r="B309" s="23" t="s">
        <v>1111</v>
      </c>
      <c r="C309" s="23" t="str">
        <f>VLOOKUP(B309,IF(A309="COMPOSICAO",S!$A:$E,I!$A:$E),2,FALSE)</f>
        <v>ORSE</v>
      </c>
      <c r="D309" s="24" t="str">
        <f>VLOOKUP(B309,IF(A309="COMPOSICAO",S!$A:$E,I!$A:$E),3,FALSE)</f>
        <v>CESTA BÁSICA</v>
      </c>
      <c r="E309" s="23" t="str">
        <f>VLOOKUP(B309,IF(A309="COMPOSICAO",S!$A:$E,I!$A:$E),4,FALSE)</f>
        <v>UN</v>
      </c>
      <c r="F309" s="23">
        <v>4.4999999999999997E-3</v>
      </c>
      <c r="G309" s="71">
        <f>IF(A309="COMPOSICAO",VLOOKUP("TOTAL SEM BDI - "&amp;B309,CPUAUX4!$A:$J,9,FALSE),VLOOKUP(B309,I!$A:$E,5,FALSE))</f>
        <v>205</v>
      </c>
      <c r="H309" s="72"/>
      <c r="I309" s="71">
        <f t="shared" si="36"/>
        <v>0.92</v>
      </c>
      <c r="J309" s="72"/>
      <c r="M309" s="23" t="str">
        <f t="shared" si="37"/>
        <v>10492/ORSE</v>
      </c>
      <c r="N309" s="23">
        <f>SUMIF(CPUAUX2!M:M,B301,CPUAUX2!O:O)</f>
        <v>9.9060000000000006</v>
      </c>
      <c r="O309" s="23">
        <f t="shared" si="38"/>
        <v>4.4576999999999999E-2</v>
      </c>
      <c r="Q309" s="23">
        <f ca="1">SUMIF(CPUAUX2!M:M,B301,CPUAUX2!R:R)</f>
        <v>3.9624000000000001</v>
      </c>
      <c r="R309" s="23">
        <f t="shared" ca="1" si="39"/>
        <v>1.7830800000000001E-2</v>
      </c>
    </row>
    <row r="310" spans="1:18" x14ac:dyDescent="0.3">
      <c r="A310" s="23" t="s">
        <v>1025</v>
      </c>
      <c r="B310" s="23" t="s">
        <v>1112</v>
      </c>
      <c r="C310" s="23" t="str">
        <f>VLOOKUP(B310,IF(A310="COMPOSICAO",S!$A:$E,I!$A:$E),2,FALSE)</f>
        <v>ORSE</v>
      </c>
      <c r="D310" s="24" t="str">
        <f>VLOOKUP(B310,IF(A310="COMPOSICAO",S!$A:$E,I!$A:$E),3,FALSE)</f>
        <v>EXAMES ADMISSIONAIS/DEMISSIONAIS (CHECKUP)</v>
      </c>
      <c r="E310" s="23" t="str">
        <f>VLOOKUP(B310,IF(A310="COMPOSICAO",S!$A:$E,I!$A:$E),4,FALSE)</f>
        <v>CJ</v>
      </c>
      <c r="F310" s="23">
        <v>4.0000000000000002E-4</v>
      </c>
      <c r="G310" s="71">
        <f>IF(A310="COMPOSICAO",VLOOKUP("TOTAL SEM BDI - "&amp;B310,CPUAUX4!$A:$J,9,FALSE),VLOOKUP(B310,I!$A:$E,5,FALSE))</f>
        <v>300</v>
      </c>
      <c r="H310" s="72"/>
      <c r="I310" s="71">
        <f t="shared" si="36"/>
        <v>0.12</v>
      </c>
      <c r="J310" s="72"/>
      <c r="M310" s="23" t="str">
        <f t="shared" si="37"/>
        <v>10517/ORSE</v>
      </c>
      <c r="N310" s="23">
        <f>SUMIF(CPUAUX2!M:M,B301,CPUAUX2!O:O)</f>
        <v>9.9060000000000006</v>
      </c>
      <c r="O310" s="23">
        <f t="shared" si="38"/>
        <v>3.9624000000000005E-3</v>
      </c>
      <c r="Q310" s="23">
        <f ca="1">SUMIF(CPUAUX2!M:M,B301,CPUAUX2!R:R)</f>
        <v>3.9624000000000001</v>
      </c>
      <c r="R310" s="23">
        <f t="shared" ca="1" si="39"/>
        <v>1.5849600000000001E-3</v>
      </c>
    </row>
    <row r="311" spans="1:18" x14ac:dyDescent="0.3">
      <c r="A311" s="23" t="s">
        <v>1025</v>
      </c>
      <c r="B311" s="23" t="s">
        <v>1113</v>
      </c>
      <c r="C311" s="23" t="str">
        <f>VLOOKUP(B311,IF(A311="COMPOSICAO",S!$A:$E,I!$A:$E),2,FALSE)</f>
        <v>ORSE</v>
      </c>
      <c r="D311" s="24" t="str">
        <f>VLOOKUP(B311,IF(A311="COMPOSICAO",S!$A:$E,I!$A:$E),3,FALSE)</f>
        <v>PROTETOR AURICULAR</v>
      </c>
      <c r="E311" s="23" t="str">
        <f>VLOOKUP(B311,IF(A311="COMPOSICAO",S!$A:$E,I!$A:$E),4,FALSE)</f>
        <v>UN</v>
      </c>
      <c r="F311" s="23">
        <v>4.4999999999999997E-3</v>
      </c>
      <c r="G311" s="71">
        <f>IF(A311="COMPOSICAO",VLOOKUP("TOTAL SEM BDI - "&amp;B311,CPUAUX4!$A:$J,9,FALSE),VLOOKUP(B311,I!$A:$E,5,FALSE))</f>
        <v>4.9000000000000004</v>
      </c>
      <c r="H311" s="72"/>
      <c r="I311" s="71">
        <f t="shared" si="36"/>
        <v>0.02</v>
      </c>
      <c r="J311" s="72"/>
      <c r="M311" s="23" t="str">
        <f t="shared" si="37"/>
        <v>10596/ORSE</v>
      </c>
      <c r="N311" s="23">
        <f>SUMIF(CPUAUX2!M:M,B301,CPUAUX2!O:O)</f>
        <v>9.9060000000000006</v>
      </c>
      <c r="O311" s="23">
        <f t="shared" si="38"/>
        <v>4.4576999999999999E-2</v>
      </c>
      <c r="Q311" s="23">
        <f ca="1">SUMIF(CPUAUX2!M:M,B301,CPUAUX2!R:R)</f>
        <v>3.9624000000000001</v>
      </c>
      <c r="R311" s="23">
        <f t="shared" ca="1" si="39"/>
        <v>1.7830800000000001E-2</v>
      </c>
    </row>
    <row r="312" spans="1:18" x14ac:dyDescent="0.3">
      <c r="A312" s="23" t="s">
        <v>1025</v>
      </c>
      <c r="B312" s="23" t="s">
        <v>1114</v>
      </c>
      <c r="C312" s="23" t="str">
        <f>VLOOKUP(B312,IF(A312="COMPOSICAO",S!$A:$E,I!$A:$E),2,FALSE)</f>
        <v>ORSE</v>
      </c>
      <c r="D312" s="24" t="str">
        <f>VLOOKUP(B312,IF(A312="COMPOSICAO",S!$A:$E,I!$A:$E),3,FALSE)</f>
        <v>PROTETOR SOLAR FPS 30 COM 120ML</v>
      </c>
      <c r="E312" s="23" t="str">
        <f>VLOOKUP(B312,IF(A312="COMPOSICAO",S!$A:$E,I!$A:$E),4,FALSE)</f>
        <v>UN</v>
      </c>
      <c r="F312" s="23">
        <v>1.8E-3</v>
      </c>
      <c r="G312" s="71">
        <f>IF(A312="COMPOSICAO",VLOOKUP("TOTAL SEM BDI - "&amp;B312,CPUAUX4!$A:$J,9,FALSE),VLOOKUP(B312,I!$A:$E,5,FALSE))</f>
        <v>18</v>
      </c>
      <c r="H312" s="72"/>
      <c r="I312" s="71">
        <f t="shared" si="36"/>
        <v>0.03</v>
      </c>
      <c r="J312" s="72"/>
      <c r="M312" s="23" t="str">
        <f t="shared" si="37"/>
        <v>10599/ORSE</v>
      </c>
      <c r="N312" s="23">
        <f>SUMIF(CPUAUX2!M:M,B301,CPUAUX2!O:O)</f>
        <v>9.9060000000000006</v>
      </c>
      <c r="O312" s="23">
        <f t="shared" si="38"/>
        <v>1.7830800000000001E-2</v>
      </c>
      <c r="Q312" s="23">
        <f ca="1">SUMIF(CPUAUX2!M:M,B301,CPUAUX2!R:R)</f>
        <v>3.9624000000000001</v>
      </c>
      <c r="R312" s="23">
        <f t="shared" ca="1" si="39"/>
        <v>7.1323200000000002E-3</v>
      </c>
    </row>
    <row r="313" spans="1:18" ht="30" customHeight="1" x14ac:dyDescent="0.3">
      <c r="A313" s="23" t="s">
        <v>1025</v>
      </c>
      <c r="B313" s="23" t="s">
        <v>1115</v>
      </c>
      <c r="C313" s="23" t="str">
        <f>VLOOKUP(B313,IF(A313="COMPOSICAO",S!$A:$E,I!$A:$E),2,FALSE)</f>
        <v>ORSE</v>
      </c>
      <c r="D313" s="24" t="str">
        <f>VLOOKUP(B313,IF(A313="COMPOSICAO",S!$A:$E,I!$A:$E),3,FALSE)</f>
        <v>REFEIÇÃO - CAFÉ DA MANHÃ ( CAFÉ COM LEITE E DOIS PÃES COM MANTEIGA)</v>
      </c>
      <c r="E313" s="23" t="str">
        <f>VLOOKUP(B313,IF(A313="COMPOSICAO",S!$A:$E,I!$A:$E),4,FALSE)</f>
        <v>UN</v>
      </c>
      <c r="F313" s="23">
        <v>0.1018</v>
      </c>
      <c r="G313" s="71">
        <f>IF(A313="COMPOSICAO",VLOOKUP("TOTAL SEM BDI - "&amp;B313,CPUAUX4!$A:$J,9,FALSE),VLOOKUP(B313,I!$A:$E,5,FALSE))</f>
        <v>5</v>
      </c>
      <c r="H313" s="72"/>
      <c r="I313" s="71">
        <f t="shared" si="36"/>
        <v>0.5</v>
      </c>
      <c r="J313" s="72"/>
      <c r="M313" s="23" t="str">
        <f t="shared" si="37"/>
        <v>10761/ORSE</v>
      </c>
      <c r="N313" s="23">
        <f>SUMIF(CPUAUX2!M:M,B301,CPUAUX2!O:O)</f>
        <v>9.9060000000000006</v>
      </c>
      <c r="O313" s="23">
        <f t="shared" si="38"/>
        <v>1.0084308000000002</v>
      </c>
      <c r="Q313" s="23">
        <f ca="1">SUMIF(CPUAUX2!M:M,B301,CPUAUX2!R:R)</f>
        <v>3.9624000000000001</v>
      </c>
      <c r="R313" s="23">
        <f t="shared" ca="1" si="39"/>
        <v>0.40337232000000001</v>
      </c>
    </row>
    <row r="314" spans="1:18" x14ac:dyDescent="0.3">
      <c r="A314" s="23" t="s">
        <v>1025</v>
      </c>
      <c r="B314" s="23" t="s">
        <v>1116</v>
      </c>
      <c r="C314" s="23" t="str">
        <f>VLOOKUP(B314,IF(A314="COMPOSICAO",S!$A:$E,I!$A:$E),2,FALSE)</f>
        <v>ORSE</v>
      </c>
      <c r="D314" s="24" t="str">
        <f>VLOOKUP(B314,IF(A314="COMPOSICAO",S!$A:$E,I!$A:$E),3,FALSE)</f>
        <v>PÁ QUADRADA</v>
      </c>
      <c r="E314" s="23" t="str">
        <f>VLOOKUP(B314,IF(A314="COMPOSICAO",S!$A:$E,I!$A:$E),4,FALSE)</f>
        <v>UN</v>
      </c>
      <c r="F314" s="23">
        <v>2.0000000000000001E-4</v>
      </c>
      <c r="G314" s="71">
        <f>IF(A314="COMPOSICAO",VLOOKUP("TOTAL SEM BDI - "&amp;B314,CPUAUX4!$A:$J,9,FALSE),VLOOKUP(B314,I!$A:$E,5,FALSE))</f>
        <v>36.9</v>
      </c>
      <c r="H314" s="72"/>
      <c r="I314" s="71">
        <f t="shared" si="36"/>
        <v>0</v>
      </c>
      <c r="J314" s="72"/>
      <c r="M314" s="23" t="str">
        <f t="shared" si="37"/>
        <v>10788/ORSE</v>
      </c>
      <c r="N314" s="23">
        <f>SUMIF(CPUAUX2!M:M,B301,CPUAUX2!O:O)</f>
        <v>9.9060000000000006</v>
      </c>
      <c r="O314" s="23">
        <f t="shared" si="38"/>
        <v>1.9812000000000002E-3</v>
      </c>
      <c r="Q314" s="23">
        <f ca="1">SUMIF(CPUAUX2!M:M,B301,CPUAUX2!R:R)</f>
        <v>3.9624000000000001</v>
      </c>
      <c r="R314" s="23">
        <f t="shared" ca="1" si="39"/>
        <v>7.9248000000000003E-4</v>
      </c>
    </row>
    <row r="315" spans="1:18" ht="30" customHeight="1" x14ac:dyDescent="0.3">
      <c r="A315" s="23" t="s">
        <v>1025</v>
      </c>
      <c r="B315" s="23">
        <v>2711</v>
      </c>
      <c r="C315" s="23" t="str">
        <f>VLOOKUP(B315,IF(A315="COMPOSICAO",S!$A:$E,I!$A:$E),2,FALSE)</f>
        <v>SINAPI</v>
      </c>
      <c r="D315" s="24" t="str">
        <f>VLOOKUP(B315,IF(A315="COMPOSICAO",S!$A:$E,I!$A:$E),3,FALSE)</f>
        <v>CARRINHO DE MAO, EM ACO, COM CAPACIDADE DE *45 A 65* L / *100* KG, PNEU COM CAMARA</v>
      </c>
      <c r="E315" s="23" t="str">
        <f>VLOOKUP(B315,IF(A315="COMPOSICAO",S!$A:$E,I!$A:$E),4,FALSE)</f>
        <v>UN</v>
      </c>
      <c r="F315" s="23">
        <v>2.0000000000000001E-4</v>
      </c>
      <c r="G315" s="71">
        <f>IF(A315="COMPOSICAO",VLOOKUP("TOTAL SEM BDI - "&amp;B315,CPUAUX4!$A:$J,9,FALSE),VLOOKUP(B315,I!$A:$E,5,FALSE))</f>
        <v>369</v>
      </c>
      <c r="H315" s="72"/>
      <c r="I315" s="71">
        <f t="shared" si="36"/>
        <v>7.0000000000000007E-2</v>
      </c>
      <c r="J315" s="72"/>
      <c r="M315" s="23">
        <f t="shared" si="37"/>
        <v>2711</v>
      </c>
      <c r="N315" s="23">
        <f>SUMIF(CPUAUX2!M:M,B301,CPUAUX2!O:O)</f>
        <v>9.9060000000000006</v>
      </c>
      <c r="O315" s="23">
        <f t="shared" si="38"/>
        <v>1.9812000000000002E-3</v>
      </c>
      <c r="Q315" s="23">
        <f ca="1">SUMIF(CPUAUX2!M:M,B301,CPUAUX2!R:R)</f>
        <v>3.9624000000000001</v>
      </c>
      <c r="R315" s="23">
        <f t="shared" ca="1" si="39"/>
        <v>7.9248000000000003E-4</v>
      </c>
    </row>
    <row r="316" spans="1:18" ht="30" customHeight="1" x14ac:dyDescent="0.3">
      <c r="A316" s="23" t="s">
        <v>1025</v>
      </c>
      <c r="B316" s="23">
        <v>12892</v>
      </c>
      <c r="C316" s="23" t="str">
        <f>VLOOKUP(B316,IF(A316="COMPOSICAO",S!$A:$E,I!$A:$E),2,FALSE)</f>
        <v>SINAPI</v>
      </c>
      <c r="D316" s="24" t="str">
        <f>VLOOKUP(B316,IF(A316="COMPOSICAO",S!$A:$E,I!$A:$E),3,FALSE)</f>
        <v>LUVA RASPA DE COURO, CANO CURTO (PUNHO *7* CM)</v>
      </c>
      <c r="E316" s="23" t="str">
        <f>VLOOKUP(B316,IF(A316="COMPOSICAO",S!$A:$E,I!$A:$E),4,FALSE)</f>
        <v>PAR</v>
      </c>
      <c r="F316" s="23">
        <v>2.3E-3</v>
      </c>
      <c r="G316" s="71">
        <f>IF(A316="COMPOSICAO",VLOOKUP("TOTAL SEM BDI - "&amp;B316,CPUAUX4!$A:$J,9,FALSE),VLOOKUP(B316,I!$A:$E,5,FALSE))</f>
        <v>15.21</v>
      </c>
      <c r="H316" s="72"/>
      <c r="I316" s="71">
        <f t="shared" si="36"/>
        <v>0.03</v>
      </c>
      <c r="J316" s="72"/>
      <c r="M316" s="23">
        <f t="shared" si="37"/>
        <v>12892</v>
      </c>
      <c r="N316" s="23">
        <f>SUMIF(CPUAUX2!M:M,B301,CPUAUX2!O:O)</f>
        <v>9.9060000000000006</v>
      </c>
      <c r="O316" s="23">
        <f t="shared" si="38"/>
        <v>2.27838E-2</v>
      </c>
      <c r="Q316" s="23">
        <f ca="1">SUMIF(CPUAUX2!M:M,B301,CPUAUX2!R:R)</f>
        <v>3.9624000000000001</v>
      </c>
      <c r="R316" s="23">
        <f t="shared" ca="1" si="39"/>
        <v>9.11352E-3</v>
      </c>
    </row>
    <row r="317" spans="1:18" ht="30" customHeight="1" x14ac:dyDescent="0.3">
      <c r="A317" s="23" t="s">
        <v>1025</v>
      </c>
      <c r="B317" s="23">
        <v>12893</v>
      </c>
      <c r="C317" s="23" t="str">
        <f>VLOOKUP(B317,IF(A317="COMPOSICAO",S!$A:$E,I!$A:$E),2,FALSE)</f>
        <v>SINAPI</v>
      </c>
      <c r="D317" s="24" t="str">
        <f>VLOOKUP(B317,IF(A317="COMPOSICAO",S!$A:$E,I!$A:$E),3,FALSE)</f>
        <v>BOTA DE SEGURANCA COM BIQUEIRA DE ACO E COLARINHO ACOLCHOADO</v>
      </c>
      <c r="E317" s="23" t="str">
        <f>VLOOKUP(B317,IF(A317="COMPOSICAO",S!$A:$E,I!$A:$E),4,FALSE)</f>
        <v>PAR</v>
      </c>
      <c r="F317" s="23">
        <v>8.0000000000000004E-4</v>
      </c>
      <c r="G317" s="71">
        <f>IF(A317="COMPOSICAO",VLOOKUP("TOTAL SEM BDI - "&amp;B317,CPUAUX4!$A:$J,9,FALSE),VLOOKUP(B317,I!$A:$E,5,FALSE))</f>
        <v>103.39</v>
      </c>
      <c r="H317" s="72"/>
      <c r="I317" s="71">
        <f t="shared" si="36"/>
        <v>0.08</v>
      </c>
      <c r="J317" s="72"/>
      <c r="M317" s="23">
        <f t="shared" si="37"/>
        <v>12893</v>
      </c>
      <c r="N317" s="23">
        <f>SUMIF(CPUAUX2!M:M,B301,CPUAUX2!O:O)</f>
        <v>9.9060000000000006</v>
      </c>
      <c r="O317" s="23">
        <f t="shared" si="38"/>
        <v>7.9248000000000009E-3</v>
      </c>
      <c r="Q317" s="23">
        <f ca="1">SUMIF(CPUAUX2!M:M,B301,CPUAUX2!R:R)</f>
        <v>3.9624000000000001</v>
      </c>
      <c r="R317" s="23">
        <f t="shared" ca="1" si="39"/>
        <v>3.1699200000000001E-3</v>
      </c>
    </row>
    <row r="318" spans="1:18" ht="30" customHeight="1" x14ac:dyDescent="0.3">
      <c r="A318" s="23" t="s">
        <v>1025</v>
      </c>
      <c r="B318" s="23">
        <v>12894</v>
      </c>
      <c r="C318" s="23" t="str">
        <f>VLOOKUP(B318,IF(A318="COMPOSICAO",S!$A:$E,I!$A:$E),2,FALSE)</f>
        <v>SINAPI</v>
      </c>
      <c r="D318" s="24" t="str">
        <f>VLOOKUP(B318,IF(A318="COMPOSICAO",S!$A:$E,I!$A:$E),3,FALSE)</f>
        <v>CAPA PARA CHUVA EM PVC COM FORRO DE POLIESTER, COM CAPUZ (AMARELA OU AZUL)</v>
      </c>
      <c r="E318" s="23" t="str">
        <f>VLOOKUP(B318,IF(A318="COMPOSICAO",S!$A:$E,I!$A:$E),4,FALSE)</f>
        <v>UN</v>
      </c>
      <c r="F318" s="23">
        <v>2.0000000000000001E-4</v>
      </c>
      <c r="G318" s="71">
        <f>IF(A318="COMPOSICAO",VLOOKUP("TOTAL SEM BDI - "&amp;B318,CPUAUX4!$A:$J,9,FALSE),VLOOKUP(B318,I!$A:$E,5,FALSE))</f>
        <v>28.12</v>
      </c>
      <c r="H318" s="72"/>
      <c r="I318" s="71">
        <f t="shared" si="36"/>
        <v>0</v>
      </c>
      <c r="J318" s="72"/>
      <c r="M318" s="23">
        <f t="shared" si="37"/>
        <v>12894</v>
      </c>
      <c r="N318" s="23">
        <f>SUMIF(CPUAUX2!M:M,B301,CPUAUX2!O:O)</f>
        <v>9.9060000000000006</v>
      </c>
      <c r="O318" s="23">
        <f t="shared" si="38"/>
        <v>1.9812000000000002E-3</v>
      </c>
      <c r="Q318" s="23">
        <f ca="1">SUMIF(CPUAUX2!M:M,B301,CPUAUX2!R:R)</f>
        <v>3.9624000000000001</v>
      </c>
      <c r="R318" s="23">
        <f t="shared" ca="1" si="39"/>
        <v>7.9248000000000003E-4</v>
      </c>
    </row>
    <row r="319" spans="1:18" ht="30" customHeight="1" x14ac:dyDescent="0.3">
      <c r="A319" s="23" t="s">
        <v>1025</v>
      </c>
      <c r="B319" s="23">
        <v>12895</v>
      </c>
      <c r="C319" s="23" t="str">
        <f>VLOOKUP(B319,IF(A319="COMPOSICAO",S!$A:$E,I!$A:$E),2,FALSE)</f>
        <v>SINAPI</v>
      </c>
      <c r="D319" s="24" t="str">
        <f>VLOOKUP(B319,IF(A319="COMPOSICAO",S!$A:$E,I!$A:$E),3,FALSE)</f>
        <v>CAPACETE DE SEGURANCA ABA FRONTAL COM SUSPENSAO DE POLIETILENO, SEM JUGULAR (CLASSE B)</v>
      </c>
      <c r="E319" s="23" t="str">
        <f>VLOOKUP(B319,IF(A319="COMPOSICAO",S!$A:$E,I!$A:$E),4,FALSE)</f>
        <v>UN</v>
      </c>
      <c r="F319" s="23">
        <v>5.9999999999999995E-4</v>
      </c>
      <c r="G319" s="71">
        <f>IF(A319="COMPOSICAO",VLOOKUP("TOTAL SEM BDI - "&amp;B319,CPUAUX4!$A:$J,9,FALSE),VLOOKUP(B319,I!$A:$E,5,FALSE))</f>
        <v>18.88</v>
      </c>
      <c r="H319" s="72"/>
      <c r="I319" s="71">
        <f t="shared" si="36"/>
        <v>0.01</v>
      </c>
      <c r="J319" s="72"/>
      <c r="M319" s="23">
        <f t="shared" si="37"/>
        <v>12895</v>
      </c>
      <c r="N319" s="23">
        <f>SUMIF(CPUAUX2!M:M,B301,CPUAUX2!O:O)</f>
        <v>9.9060000000000006</v>
      </c>
      <c r="O319" s="23">
        <f t="shared" si="38"/>
        <v>5.9435999999999994E-3</v>
      </c>
      <c r="Q319" s="23">
        <f ca="1">SUMIF(CPUAUX2!M:M,B301,CPUAUX2!R:R)</f>
        <v>3.9624000000000001</v>
      </c>
      <c r="R319" s="23">
        <f t="shared" ca="1" si="39"/>
        <v>2.3774399999999998E-3</v>
      </c>
    </row>
    <row r="320" spans="1:18" x14ac:dyDescent="0.3">
      <c r="A320" s="68" t="str">
        <f>"TOTAL SEM BDI - "&amp;B301</f>
        <v>TOTAL SEM BDI - 10549/ORSE</v>
      </c>
      <c r="B320" s="69"/>
      <c r="C320" s="69"/>
      <c r="D320" s="69"/>
      <c r="E320" s="69"/>
      <c r="F320" s="69"/>
      <c r="G320" s="69"/>
      <c r="H320" s="70"/>
      <c r="I320" s="71">
        <f>SUM(I301:I319)</f>
        <v>3.9599999999999991</v>
      </c>
      <c r="J320" s="72"/>
    </row>
    <row r="322" spans="1:18" x14ac:dyDescent="0.3">
      <c r="A322" s="4" t="s">
        <v>1018</v>
      </c>
      <c r="B322" s="4" t="s">
        <v>138</v>
      </c>
      <c r="C322" s="4" t="s">
        <v>139</v>
      </c>
      <c r="D322" s="4" t="s">
        <v>21</v>
      </c>
      <c r="E322" s="4" t="s">
        <v>140</v>
      </c>
      <c r="F322" s="4" t="s">
        <v>506</v>
      </c>
      <c r="G322" s="34" t="s">
        <v>1019</v>
      </c>
      <c r="H322" s="35"/>
      <c r="I322" s="34" t="s">
        <v>15</v>
      </c>
      <c r="J322" s="35"/>
    </row>
    <row r="323" spans="1:18" x14ac:dyDescent="0.3">
      <c r="A323" s="15" t="s">
        <v>516</v>
      </c>
      <c r="B323" s="15" t="s">
        <v>1147</v>
      </c>
      <c r="C323" s="15" t="str">
        <f>VLOOKUP(B323,S!$A:$G,2,FALSE)</f>
        <v>ORSE</v>
      </c>
      <c r="D323" s="22" t="str">
        <f>VLOOKUP(B323,S!$A:$G,3,FALSE)</f>
        <v>ENCARGOS COMPLEMENTARES - PEDREIRO</v>
      </c>
      <c r="E323" s="15" t="str">
        <f>VLOOKUP(B323,S!$A:$G,4,FALSE)</f>
        <v>H</v>
      </c>
      <c r="F323" s="15"/>
      <c r="G323" s="73">
        <f>I349</f>
        <v>3.7899999999999991</v>
      </c>
      <c r="H323" s="74"/>
      <c r="I323" s="73"/>
      <c r="J323" s="74"/>
      <c r="K323" s="16">
        <f>VLOOKUP(B323,S!A:G,5,FALSE)</f>
        <v>3.88</v>
      </c>
      <c r="L323" s="15" t="str">
        <f>IF(K323=G323,"OK, CONFORME TABELA",IF(G323&gt;K323,"ACIMA DA TABELA: ","ABAIXO DA TABELA: ")&amp;TRUNC((G323*100)/K323,2)&amp;" %")</f>
        <v>ABAIXO DA TABELA: 97,68 %</v>
      </c>
    </row>
    <row r="324" spans="1:18" x14ac:dyDescent="0.3">
      <c r="A324" s="23" t="s">
        <v>1025</v>
      </c>
      <c r="B324" s="23" t="s">
        <v>1104</v>
      </c>
      <c r="C324" s="23" t="str">
        <f>VLOOKUP(B324,IF(A324="COMPOSICAO",S!$A:$E,I!$A:$E),2,FALSE)</f>
        <v>ORSE</v>
      </c>
      <c r="D324" s="24" t="str">
        <f>VLOOKUP(B324,IF(A324="COMPOSICAO",S!$A:$E,I!$A:$E),3,FALSE)</f>
        <v>ALMOÇO (PARTICIPAÇÃO DO EMPREGADOR)</v>
      </c>
      <c r="E324" s="23" t="str">
        <f>VLOOKUP(B324,IF(A324="COMPOSICAO",S!$A:$E,I!$A:$E),4,FALSE)</f>
        <v>UN</v>
      </c>
      <c r="F324" s="23">
        <v>0.1018</v>
      </c>
      <c r="G324" s="71">
        <f>IF(A324="COMPOSICAO",VLOOKUP("TOTAL SEM BDI - "&amp;B324,CPUAUX4!$A:$J,9,FALSE),VLOOKUP(B324,I!$A:$E,5,FALSE))</f>
        <v>14</v>
      </c>
      <c r="H324" s="72"/>
      <c r="I324" s="71">
        <f t="shared" ref="I324:I348" si="40">TRUNC(F324*G324,2)</f>
        <v>1.42</v>
      </c>
      <c r="J324" s="72"/>
      <c r="M324" s="23" t="str">
        <f t="shared" ref="M324:M348" si="41">B324</f>
        <v>00158/ORSE</v>
      </c>
      <c r="N324" s="23">
        <f>SUMIF(CPUAUX2!M:M,B323,CPUAUX2!O:O)</f>
        <v>0.46799999999999997</v>
      </c>
      <c r="O324" s="23">
        <f t="shared" ref="O324:O348" si="42">F324*N324</f>
        <v>4.7642399999999994E-2</v>
      </c>
      <c r="Q324" s="23">
        <f ca="1">SUMIF(CPUAUX2!M:M,B323,CPUAUX2!R:R)</f>
        <v>0.18720000000000001</v>
      </c>
      <c r="R324" s="23">
        <f t="shared" ref="R324:R348" ca="1" si="43">F324*Q324</f>
        <v>1.9056960000000001E-2</v>
      </c>
    </row>
    <row r="325" spans="1:18" x14ac:dyDescent="0.3">
      <c r="A325" s="23" t="s">
        <v>1025</v>
      </c>
      <c r="B325" s="23" t="s">
        <v>1105</v>
      </c>
      <c r="C325" s="23" t="str">
        <f>VLOOKUP(B325,IF(A325="COMPOSICAO",S!$A:$E,I!$A:$E),2,FALSE)</f>
        <v>ORSE</v>
      </c>
      <c r="D325" s="24" t="str">
        <f>VLOOKUP(B325,IF(A325="COMPOSICAO",S!$A:$E,I!$A:$E),3,FALSE)</f>
        <v>FARDAMENTO COM MANGAS CURTA</v>
      </c>
      <c r="E325" s="23" t="str">
        <f>VLOOKUP(B325,IF(A325="COMPOSICAO",S!$A:$E,I!$A:$E),4,FALSE)</f>
        <v>UN</v>
      </c>
      <c r="F325" s="23">
        <v>1.5E-3</v>
      </c>
      <c r="G325" s="71">
        <f>IF(A325="COMPOSICAO",VLOOKUP("TOTAL SEM BDI - "&amp;B325,CPUAUX4!$A:$J,9,FALSE),VLOOKUP(B325,I!$A:$E,5,FALSE))</f>
        <v>196.71</v>
      </c>
      <c r="H325" s="72"/>
      <c r="I325" s="71">
        <f t="shared" si="40"/>
        <v>0.28999999999999998</v>
      </c>
      <c r="J325" s="72"/>
      <c r="M325" s="23" t="str">
        <f t="shared" si="41"/>
        <v>00941/ORSE</v>
      </c>
      <c r="N325" s="23">
        <f>SUMIF(CPUAUX2!M:M,B323,CPUAUX2!O:O)</f>
        <v>0.46799999999999997</v>
      </c>
      <c r="O325" s="23">
        <f t="shared" si="42"/>
        <v>7.0199999999999993E-4</v>
      </c>
      <c r="Q325" s="23">
        <f ca="1">SUMIF(CPUAUX2!M:M,B323,CPUAUX2!R:R)</f>
        <v>0.18720000000000001</v>
      </c>
      <c r="R325" s="23">
        <f t="shared" ca="1" si="43"/>
        <v>2.8079999999999999E-4</v>
      </c>
    </row>
    <row r="326" spans="1:18" x14ac:dyDescent="0.3">
      <c r="A326" s="23" t="s">
        <v>1025</v>
      </c>
      <c r="B326" s="23" t="s">
        <v>1106</v>
      </c>
      <c r="C326" s="23" t="str">
        <f>VLOOKUP(B326,IF(A326="COMPOSICAO",S!$A:$E,I!$A:$E),2,FALSE)</f>
        <v>ORSE</v>
      </c>
      <c r="D326" s="24" t="str">
        <f>VLOOKUP(B326,IF(A326="COMPOSICAO",S!$A:$E,I!$A:$E),3,FALSE)</f>
        <v>ÓCULOS BRANCO PROTEÇÃO</v>
      </c>
      <c r="E326" s="23" t="str">
        <f>VLOOKUP(B326,IF(A326="COMPOSICAO",S!$A:$E,I!$A:$E),4,FALSE)</f>
        <v>PR</v>
      </c>
      <c r="F326" s="23">
        <v>8.0000000000000004E-4</v>
      </c>
      <c r="G326" s="71">
        <f>IF(A326="COMPOSICAO",VLOOKUP("TOTAL SEM BDI - "&amp;B326,CPUAUX4!$A:$J,9,FALSE),VLOOKUP(B326,I!$A:$E,5,FALSE))</f>
        <v>7</v>
      </c>
      <c r="H326" s="72"/>
      <c r="I326" s="71">
        <f t="shared" si="40"/>
        <v>0</v>
      </c>
      <c r="J326" s="72"/>
      <c r="M326" s="23" t="str">
        <f t="shared" si="41"/>
        <v>01651/ORSE</v>
      </c>
      <c r="N326" s="23">
        <f>SUMIF(CPUAUX2!M:M,B323,CPUAUX2!O:O)</f>
        <v>0.46799999999999997</v>
      </c>
      <c r="O326" s="23">
        <f t="shared" si="42"/>
        <v>3.7439999999999999E-4</v>
      </c>
      <c r="Q326" s="23">
        <f ca="1">SUMIF(CPUAUX2!M:M,B323,CPUAUX2!R:R)</f>
        <v>0.18720000000000001</v>
      </c>
      <c r="R326" s="23">
        <f t="shared" ca="1" si="43"/>
        <v>1.4976E-4</v>
      </c>
    </row>
    <row r="327" spans="1:18" x14ac:dyDescent="0.3">
      <c r="A327" s="23" t="s">
        <v>1025</v>
      </c>
      <c r="B327" s="23" t="s">
        <v>1107</v>
      </c>
      <c r="C327" s="23" t="str">
        <f>VLOOKUP(B327,IF(A327="COMPOSICAO",S!$A:$E,I!$A:$E),2,FALSE)</f>
        <v>ORSE</v>
      </c>
      <c r="D327" s="24" t="str">
        <f>VLOOKUP(B327,IF(A327="COMPOSICAO",S!$A:$E,I!$A:$E),3,FALSE)</f>
        <v>VALE TRANSPORTE</v>
      </c>
      <c r="E327" s="23" t="str">
        <f>VLOOKUP(B327,IF(A327="COMPOSICAO",S!$A:$E,I!$A:$E),4,FALSE)</f>
        <v>UN</v>
      </c>
      <c r="F327" s="23">
        <v>6.54E-2</v>
      </c>
      <c r="G327" s="71">
        <f>IF(A327="COMPOSICAO",VLOOKUP("TOTAL SEM BDI - "&amp;B327,CPUAUX4!$A:$J,9,FALSE),VLOOKUP(B327,I!$A:$E,5,FALSE))</f>
        <v>4.5</v>
      </c>
      <c r="H327" s="72"/>
      <c r="I327" s="71">
        <f t="shared" si="40"/>
        <v>0.28999999999999998</v>
      </c>
      <c r="J327" s="72"/>
      <c r="M327" s="23" t="str">
        <f t="shared" si="41"/>
        <v>02378/ORSE</v>
      </c>
      <c r="N327" s="23">
        <f>SUMIF(CPUAUX2!M:M,B323,CPUAUX2!O:O)</f>
        <v>0.46799999999999997</v>
      </c>
      <c r="O327" s="23">
        <f t="shared" si="42"/>
        <v>3.0607199999999998E-2</v>
      </c>
      <c r="Q327" s="23">
        <f ca="1">SUMIF(CPUAUX2!M:M,B323,CPUAUX2!R:R)</f>
        <v>0.18720000000000001</v>
      </c>
      <c r="R327" s="23">
        <f t="shared" ca="1" si="43"/>
        <v>1.2242880000000001E-2</v>
      </c>
    </row>
    <row r="328" spans="1:18" ht="30" customHeight="1" x14ac:dyDescent="0.3">
      <c r="A328" s="23" t="s">
        <v>1025</v>
      </c>
      <c r="B328" s="23" t="s">
        <v>1151</v>
      </c>
      <c r="C328" s="23" t="str">
        <f>VLOOKUP(B328,IF(A328="COMPOSICAO",S!$A:$E,I!$A:$E),2,FALSE)</f>
        <v>ORSE</v>
      </c>
      <c r="D328" s="24" t="str">
        <f>VLOOKUP(B328,IF(A328="COMPOSICAO",S!$A:$E,I!$A:$E),3,FALSE)</f>
        <v>DESEMPENADEIRA DE AÇO LISA, CABO MADEIRA, REF:143, ATLAS OU SIMILAR</v>
      </c>
      <c r="E328" s="23" t="str">
        <f>VLOOKUP(B328,IF(A328="COMPOSICAO",S!$A:$E,I!$A:$E),4,FALSE)</f>
        <v>UN</v>
      </c>
      <c r="F328" s="23">
        <v>5.0000000000000001E-4</v>
      </c>
      <c r="G328" s="71">
        <f>IF(A328="COMPOSICAO",VLOOKUP("TOTAL SEM BDI - "&amp;B328,CPUAUX4!$A:$J,9,FALSE),VLOOKUP(B328,I!$A:$E,5,FALSE))</f>
        <v>12</v>
      </c>
      <c r="H328" s="72"/>
      <c r="I328" s="71">
        <f t="shared" si="40"/>
        <v>0</v>
      </c>
      <c r="J328" s="72"/>
      <c r="M328" s="23" t="str">
        <f t="shared" si="41"/>
        <v>04174/ORSE</v>
      </c>
      <c r="N328" s="23">
        <f>SUMIF(CPUAUX2!M:M,B323,CPUAUX2!O:O)</f>
        <v>0.46799999999999997</v>
      </c>
      <c r="O328" s="23">
        <f t="shared" si="42"/>
        <v>2.34E-4</v>
      </c>
      <c r="Q328" s="23">
        <f ca="1">SUMIF(CPUAUX2!M:M,B323,CPUAUX2!R:R)</f>
        <v>0.18720000000000001</v>
      </c>
      <c r="R328" s="23">
        <f t="shared" ca="1" si="43"/>
        <v>9.3599999999999998E-5</v>
      </c>
    </row>
    <row r="329" spans="1:18" x14ac:dyDescent="0.3">
      <c r="A329" s="23" t="s">
        <v>1025</v>
      </c>
      <c r="B329" s="23" t="s">
        <v>1152</v>
      </c>
      <c r="C329" s="23" t="str">
        <f>VLOOKUP(B329,IF(A329="COMPOSICAO",S!$A:$E,I!$A:$E),2,FALSE)</f>
        <v>ORSE</v>
      </c>
      <c r="D329" s="24" t="str">
        <f>VLOOKUP(B329,IF(A329="COMPOSICAO",S!$A:$E,I!$A:$E),3,FALSE)</f>
        <v>COLHER DE PEDREIRO</v>
      </c>
      <c r="E329" s="23" t="str">
        <f>VLOOKUP(B329,IF(A329="COMPOSICAO",S!$A:$E,I!$A:$E),4,FALSE)</f>
        <v>UN</v>
      </c>
      <c r="F329" s="23">
        <v>4.0000000000000002E-4</v>
      </c>
      <c r="G329" s="71">
        <f>IF(A329="COMPOSICAO",VLOOKUP("TOTAL SEM BDI - "&amp;B329,CPUAUX4!$A:$J,9,FALSE),VLOOKUP(B329,I!$A:$E,5,FALSE))</f>
        <v>18.8</v>
      </c>
      <c r="H329" s="72"/>
      <c r="I329" s="71">
        <f t="shared" si="40"/>
        <v>0</v>
      </c>
      <c r="J329" s="72"/>
      <c r="M329" s="23" t="str">
        <f t="shared" si="41"/>
        <v>04722/ORSE</v>
      </c>
      <c r="N329" s="23">
        <f>SUMIF(CPUAUX2!M:M,B323,CPUAUX2!O:O)</f>
        <v>0.46799999999999997</v>
      </c>
      <c r="O329" s="23">
        <f t="shared" si="42"/>
        <v>1.872E-4</v>
      </c>
      <c r="Q329" s="23">
        <f ca="1">SUMIF(CPUAUX2!M:M,B323,CPUAUX2!R:R)</f>
        <v>0.18720000000000001</v>
      </c>
      <c r="R329" s="23">
        <f t="shared" ca="1" si="43"/>
        <v>7.4880000000000001E-5</v>
      </c>
    </row>
    <row r="330" spans="1:18" x14ac:dyDescent="0.3">
      <c r="A330" s="23" t="s">
        <v>1025</v>
      </c>
      <c r="B330" s="23" t="s">
        <v>1153</v>
      </c>
      <c r="C330" s="23" t="str">
        <f>VLOOKUP(B330,IF(A330="COMPOSICAO",S!$A:$E,I!$A:$E),2,FALSE)</f>
        <v>ORSE</v>
      </c>
      <c r="D330" s="24" t="str">
        <f>VLOOKUP(B330,IF(A330="COMPOSICAO",S!$A:$E,I!$A:$E),3,FALSE)</f>
        <v>REGUA DE ALUMÍNIO C/ 2,00M (PARA PEDREIRO)</v>
      </c>
      <c r="E330" s="23" t="str">
        <f>VLOOKUP(B330,IF(A330="COMPOSICAO",S!$A:$E,I!$A:$E),4,FALSE)</f>
        <v>UN</v>
      </c>
      <c r="F330" s="23">
        <v>2.0000000000000001E-4</v>
      </c>
      <c r="G330" s="71">
        <f>IF(A330="COMPOSICAO",VLOOKUP("TOTAL SEM BDI - "&amp;B330,CPUAUX4!$A:$J,9,FALSE),VLOOKUP(B330,I!$A:$E,5,FALSE))</f>
        <v>44</v>
      </c>
      <c r="H330" s="72"/>
      <c r="I330" s="71">
        <f t="shared" si="40"/>
        <v>0</v>
      </c>
      <c r="J330" s="72"/>
      <c r="M330" s="23" t="str">
        <f t="shared" si="41"/>
        <v>10282/ORSE</v>
      </c>
      <c r="N330" s="23">
        <f>SUMIF(CPUAUX2!M:M,B323,CPUAUX2!O:O)</f>
        <v>0.46799999999999997</v>
      </c>
      <c r="O330" s="23">
        <f t="shared" si="42"/>
        <v>9.3599999999999998E-5</v>
      </c>
      <c r="Q330" s="23">
        <f ca="1">SUMIF(CPUAUX2!M:M,B323,CPUAUX2!R:R)</f>
        <v>0.18720000000000001</v>
      </c>
      <c r="R330" s="23">
        <f t="shared" ca="1" si="43"/>
        <v>3.7440000000000001E-5</v>
      </c>
    </row>
    <row r="331" spans="1:18" x14ac:dyDescent="0.3">
      <c r="A331" s="23" t="s">
        <v>1025</v>
      </c>
      <c r="B331" s="23" t="s">
        <v>1110</v>
      </c>
      <c r="C331" s="23" t="str">
        <f>VLOOKUP(B331,IF(A331="COMPOSICAO",S!$A:$E,I!$A:$E),2,FALSE)</f>
        <v>ORSE</v>
      </c>
      <c r="D331" s="24" t="str">
        <f>VLOOKUP(B331,IF(A331="COMPOSICAO",S!$A:$E,I!$A:$E),3,FALSE)</f>
        <v>SEGURO DE VIDA E ACIDENTE EM GRUPO</v>
      </c>
      <c r="E331" s="23" t="str">
        <f>VLOOKUP(B331,IF(A331="COMPOSICAO",S!$A:$E,I!$A:$E),4,FALSE)</f>
        <v>UN</v>
      </c>
      <c r="F331" s="23">
        <v>4.4999999999999997E-3</v>
      </c>
      <c r="G331" s="71">
        <f>IF(A331="COMPOSICAO",VLOOKUP("TOTAL SEM BDI - "&amp;B331,CPUAUX4!$A:$J,9,FALSE),VLOOKUP(B331,I!$A:$E,5,FALSE))</f>
        <v>12.54</v>
      </c>
      <c r="H331" s="72"/>
      <c r="I331" s="71">
        <f t="shared" si="40"/>
        <v>0.05</v>
      </c>
      <c r="J331" s="72"/>
      <c r="M331" s="23" t="str">
        <f t="shared" si="41"/>
        <v>10362/ORSE</v>
      </c>
      <c r="N331" s="23">
        <f>SUMIF(CPUAUX2!M:M,B323,CPUAUX2!O:O)</f>
        <v>0.46799999999999997</v>
      </c>
      <c r="O331" s="23">
        <f t="shared" si="42"/>
        <v>2.1059999999999998E-3</v>
      </c>
      <c r="Q331" s="23">
        <f ca="1">SUMIF(CPUAUX2!M:M,B323,CPUAUX2!R:R)</f>
        <v>0.18720000000000001</v>
      </c>
      <c r="R331" s="23">
        <f t="shared" ca="1" si="43"/>
        <v>8.4239999999999998E-4</v>
      </c>
    </row>
    <row r="332" spans="1:18" x14ac:dyDescent="0.3">
      <c r="A332" s="23" t="s">
        <v>1025</v>
      </c>
      <c r="B332" s="23" t="s">
        <v>1111</v>
      </c>
      <c r="C332" s="23" t="str">
        <f>VLOOKUP(B332,IF(A332="COMPOSICAO",S!$A:$E,I!$A:$E),2,FALSE)</f>
        <v>ORSE</v>
      </c>
      <c r="D332" s="24" t="str">
        <f>VLOOKUP(B332,IF(A332="COMPOSICAO",S!$A:$E,I!$A:$E),3,FALSE)</f>
        <v>CESTA BÁSICA</v>
      </c>
      <c r="E332" s="23" t="str">
        <f>VLOOKUP(B332,IF(A332="COMPOSICAO",S!$A:$E,I!$A:$E),4,FALSE)</f>
        <v>UN</v>
      </c>
      <c r="F332" s="23">
        <v>4.4999999999999997E-3</v>
      </c>
      <c r="G332" s="71">
        <f>IF(A332="COMPOSICAO",VLOOKUP("TOTAL SEM BDI - "&amp;B332,CPUAUX4!$A:$J,9,FALSE),VLOOKUP(B332,I!$A:$E,5,FALSE))</f>
        <v>205</v>
      </c>
      <c r="H332" s="72"/>
      <c r="I332" s="71">
        <f t="shared" si="40"/>
        <v>0.92</v>
      </c>
      <c r="J332" s="72"/>
      <c r="M332" s="23" t="str">
        <f t="shared" si="41"/>
        <v>10492/ORSE</v>
      </c>
      <c r="N332" s="23">
        <f>SUMIF(CPUAUX2!M:M,B323,CPUAUX2!O:O)</f>
        <v>0.46799999999999997</v>
      </c>
      <c r="O332" s="23">
        <f t="shared" si="42"/>
        <v>2.1059999999999998E-3</v>
      </c>
      <c r="Q332" s="23">
        <f ca="1">SUMIF(CPUAUX2!M:M,B323,CPUAUX2!R:R)</f>
        <v>0.18720000000000001</v>
      </c>
      <c r="R332" s="23">
        <f t="shared" ca="1" si="43"/>
        <v>8.4239999999999998E-4</v>
      </c>
    </row>
    <row r="333" spans="1:18" x14ac:dyDescent="0.3">
      <c r="A333" s="23" t="s">
        <v>1025</v>
      </c>
      <c r="B333" s="23" t="s">
        <v>1112</v>
      </c>
      <c r="C333" s="23" t="str">
        <f>VLOOKUP(B333,IF(A333="COMPOSICAO",S!$A:$E,I!$A:$E),2,FALSE)</f>
        <v>ORSE</v>
      </c>
      <c r="D333" s="24" t="str">
        <f>VLOOKUP(B333,IF(A333="COMPOSICAO",S!$A:$E,I!$A:$E),3,FALSE)</f>
        <v>EXAMES ADMISSIONAIS/DEMISSIONAIS (CHECKUP)</v>
      </c>
      <c r="E333" s="23" t="str">
        <f>VLOOKUP(B333,IF(A333="COMPOSICAO",S!$A:$E,I!$A:$E),4,FALSE)</f>
        <v>CJ</v>
      </c>
      <c r="F333" s="23">
        <v>4.0000000000000002E-4</v>
      </c>
      <c r="G333" s="71">
        <f>IF(A333="COMPOSICAO",VLOOKUP("TOTAL SEM BDI - "&amp;B333,CPUAUX4!$A:$J,9,FALSE),VLOOKUP(B333,I!$A:$E,5,FALSE))</f>
        <v>300</v>
      </c>
      <c r="H333" s="72"/>
      <c r="I333" s="71">
        <f t="shared" si="40"/>
        <v>0.12</v>
      </c>
      <c r="J333" s="72"/>
      <c r="M333" s="23" t="str">
        <f t="shared" si="41"/>
        <v>10517/ORSE</v>
      </c>
      <c r="N333" s="23">
        <f>SUMIF(CPUAUX2!M:M,B323,CPUAUX2!O:O)</f>
        <v>0.46799999999999997</v>
      </c>
      <c r="O333" s="23">
        <f t="shared" si="42"/>
        <v>1.872E-4</v>
      </c>
      <c r="Q333" s="23">
        <f ca="1">SUMIF(CPUAUX2!M:M,B323,CPUAUX2!R:R)</f>
        <v>0.18720000000000001</v>
      </c>
      <c r="R333" s="23">
        <f t="shared" ca="1" si="43"/>
        <v>7.4880000000000001E-5</v>
      </c>
    </row>
    <row r="334" spans="1:18" x14ac:dyDescent="0.3">
      <c r="A334" s="23" t="s">
        <v>1025</v>
      </c>
      <c r="B334" s="23" t="s">
        <v>1113</v>
      </c>
      <c r="C334" s="23" t="str">
        <f>VLOOKUP(B334,IF(A334="COMPOSICAO",S!$A:$E,I!$A:$E),2,FALSE)</f>
        <v>ORSE</v>
      </c>
      <c r="D334" s="24" t="str">
        <f>VLOOKUP(B334,IF(A334="COMPOSICAO",S!$A:$E,I!$A:$E),3,FALSE)</f>
        <v>PROTETOR AURICULAR</v>
      </c>
      <c r="E334" s="23" t="str">
        <f>VLOOKUP(B334,IF(A334="COMPOSICAO",S!$A:$E,I!$A:$E),4,FALSE)</f>
        <v>UN</v>
      </c>
      <c r="F334" s="23">
        <v>4.4999999999999997E-3</v>
      </c>
      <c r="G334" s="71">
        <f>IF(A334="COMPOSICAO",VLOOKUP("TOTAL SEM BDI - "&amp;B334,CPUAUX4!$A:$J,9,FALSE),VLOOKUP(B334,I!$A:$E,5,FALSE))</f>
        <v>4.9000000000000004</v>
      </c>
      <c r="H334" s="72"/>
      <c r="I334" s="71">
        <f t="shared" si="40"/>
        <v>0.02</v>
      </c>
      <c r="J334" s="72"/>
      <c r="M334" s="23" t="str">
        <f t="shared" si="41"/>
        <v>10596/ORSE</v>
      </c>
      <c r="N334" s="23">
        <f>SUMIF(CPUAUX2!M:M,B323,CPUAUX2!O:O)</f>
        <v>0.46799999999999997</v>
      </c>
      <c r="O334" s="23">
        <f t="shared" si="42"/>
        <v>2.1059999999999998E-3</v>
      </c>
      <c r="Q334" s="23">
        <f ca="1">SUMIF(CPUAUX2!M:M,B323,CPUAUX2!R:R)</f>
        <v>0.18720000000000001</v>
      </c>
      <c r="R334" s="23">
        <f t="shared" ca="1" si="43"/>
        <v>8.4239999999999998E-4</v>
      </c>
    </row>
    <row r="335" spans="1:18" x14ac:dyDescent="0.3">
      <c r="A335" s="23" t="s">
        <v>1025</v>
      </c>
      <c r="B335" s="23" t="s">
        <v>1114</v>
      </c>
      <c r="C335" s="23" t="str">
        <f>VLOOKUP(B335,IF(A335="COMPOSICAO",S!$A:$E,I!$A:$E),2,FALSE)</f>
        <v>ORSE</v>
      </c>
      <c r="D335" s="24" t="str">
        <f>VLOOKUP(B335,IF(A335="COMPOSICAO",S!$A:$E,I!$A:$E),3,FALSE)</f>
        <v>PROTETOR SOLAR FPS 30 COM 120ML</v>
      </c>
      <c r="E335" s="23" t="str">
        <f>VLOOKUP(B335,IF(A335="COMPOSICAO",S!$A:$E,I!$A:$E),4,FALSE)</f>
        <v>UN</v>
      </c>
      <c r="F335" s="23">
        <v>1.8E-3</v>
      </c>
      <c r="G335" s="71">
        <f>IF(A335="COMPOSICAO",VLOOKUP("TOTAL SEM BDI - "&amp;B335,CPUAUX4!$A:$J,9,FALSE),VLOOKUP(B335,I!$A:$E,5,FALSE))</f>
        <v>18</v>
      </c>
      <c r="H335" s="72"/>
      <c r="I335" s="71">
        <f t="shared" si="40"/>
        <v>0.03</v>
      </c>
      <c r="J335" s="72"/>
      <c r="M335" s="23" t="str">
        <f t="shared" si="41"/>
        <v>10599/ORSE</v>
      </c>
      <c r="N335" s="23">
        <f>SUMIF(CPUAUX2!M:M,B323,CPUAUX2!O:O)</f>
        <v>0.46799999999999997</v>
      </c>
      <c r="O335" s="23">
        <f t="shared" si="42"/>
        <v>8.4239999999999988E-4</v>
      </c>
      <c r="Q335" s="23">
        <f ca="1">SUMIF(CPUAUX2!M:M,B323,CPUAUX2!R:R)</f>
        <v>0.18720000000000001</v>
      </c>
      <c r="R335" s="23">
        <f t="shared" ca="1" si="43"/>
        <v>3.3696000000000003E-4</v>
      </c>
    </row>
    <row r="336" spans="1:18" ht="30" customHeight="1" x14ac:dyDescent="0.3">
      <c r="A336" s="23" t="s">
        <v>1025</v>
      </c>
      <c r="B336" s="23" t="s">
        <v>1115</v>
      </c>
      <c r="C336" s="23" t="str">
        <f>VLOOKUP(B336,IF(A336="COMPOSICAO",S!$A:$E,I!$A:$E),2,FALSE)</f>
        <v>ORSE</v>
      </c>
      <c r="D336" s="24" t="str">
        <f>VLOOKUP(B336,IF(A336="COMPOSICAO",S!$A:$E,I!$A:$E),3,FALSE)</f>
        <v>REFEIÇÃO - CAFÉ DA MANHÃ ( CAFÉ COM LEITE E DOIS PÃES COM MANTEIGA)</v>
      </c>
      <c r="E336" s="23" t="str">
        <f>VLOOKUP(B336,IF(A336="COMPOSICAO",S!$A:$E,I!$A:$E),4,FALSE)</f>
        <v>UN</v>
      </c>
      <c r="F336" s="23">
        <v>0.1018</v>
      </c>
      <c r="G336" s="71">
        <f>IF(A336="COMPOSICAO",VLOOKUP("TOTAL SEM BDI - "&amp;B336,CPUAUX4!$A:$J,9,FALSE),VLOOKUP(B336,I!$A:$E,5,FALSE))</f>
        <v>5</v>
      </c>
      <c r="H336" s="72"/>
      <c r="I336" s="71">
        <f t="shared" si="40"/>
        <v>0.5</v>
      </c>
      <c r="J336" s="72"/>
      <c r="M336" s="23" t="str">
        <f t="shared" si="41"/>
        <v>10761/ORSE</v>
      </c>
      <c r="N336" s="23">
        <f>SUMIF(CPUAUX2!M:M,B323,CPUAUX2!O:O)</f>
        <v>0.46799999999999997</v>
      </c>
      <c r="O336" s="23">
        <f t="shared" si="42"/>
        <v>4.7642399999999994E-2</v>
      </c>
      <c r="Q336" s="23">
        <f ca="1">SUMIF(CPUAUX2!M:M,B323,CPUAUX2!R:R)</f>
        <v>0.18720000000000001</v>
      </c>
      <c r="R336" s="23">
        <f t="shared" ca="1" si="43"/>
        <v>1.9056960000000001E-2</v>
      </c>
    </row>
    <row r="337" spans="1:18" x14ac:dyDescent="0.3">
      <c r="A337" s="23" t="s">
        <v>1025</v>
      </c>
      <c r="B337" s="23" t="s">
        <v>1154</v>
      </c>
      <c r="C337" s="23" t="str">
        <f>VLOOKUP(B337,IF(A337="COMPOSICAO",S!$A:$E,I!$A:$E),2,FALSE)</f>
        <v>ORSE</v>
      </c>
      <c r="D337" s="24" t="str">
        <f>VLOOKUP(B337,IF(A337="COMPOSICAO",S!$A:$E,I!$A:$E),3,FALSE)</f>
        <v>NÍVEL DE BOLHA DE MADEIRA</v>
      </c>
      <c r="E337" s="23" t="str">
        <f>VLOOKUP(B337,IF(A337="COMPOSICAO",S!$A:$E,I!$A:$E),4,FALSE)</f>
        <v>UN</v>
      </c>
      <c r="F337" s="23">
        <v>2.0000000000000001E-4</v>
      </c>
      <c r="G337" s="71">
        <f>IF(A337="COMPOSICAO",VLOOKUP("TOTAL SEM BDI - "&amp;B337,CPUAUX4!$A:$J,9,FALSE),VLOOKUP(B337,I!$A:$E,5,FALSE))</f>
        <v>15.4</v>
      </c>
      <c r="H337" s="72"/>
      <c r="I337" s="71">
        <f t="shared" si="40"/>
        <v>0</v>
      </c>
      <c r="J337" s="72"/>
      <c r="M337" s="23" t="str">
        <f t="shared" si="41"/>
        <v>10789/ORSE</v>
      </c>
      <c r="N337" s="23">
        <f>SUMIF(CPUAUX2!M:M,B323,CPUAUX2!O:O)</f>
        <v>0.46799999999999997</v>
      </c>
      <c r="O337" s="23">
        <f t="shared" si="42"/>
        <v>9.3599999999999998E-5</v>
      </c>
      <c r="Q337" s="23">
        <f ca="1">SUMIF(CPUAUX2!M:M,B323,CPUAUX2!R:R)</f>
        <v>0.18720000000000001</v>
      </c>
      <c r="R337" s="23">
        <f t="shared" ca="1" si="43"/>
        <v>3.7440000000000001E-5</v>
      </c>
    </row>
    <row r="338" spans="1:18" x14ac:dyDescent="0.3">
      <c r="A338" s="23" t="s">
        <v>1025</v>
      </c>
      <c r="B338" s="23" t="s">
        <v>1155</v>
      </c>
      <c r="C338" s="23" t="str">
        <f>VLOOKUP(B338,IF(A338="COMPOSICAO",S!$A:$E,I!$A:$E),2,FALSE)</f>
        <v>ORSE</v>
      </c>
      <c r="D338" s="24" t="str">
        <f>VLOOKUP(B338,IF(A338="COMPOSICAO",S!$A:$E,I!$A:$E),3,FALSE)</f>
        <v>PRUMO DE FACE</v>
      </c>
      <c r="E338" s="23" t="str">
        <f>VLOOKUP(B338,IF(A338="COMPOSICAO",S!$A:$E,I!$A:$E),4,FALSE)</f>
        <v>UN</v>
      </c>
      <c r="F338" s="23">
        <v>1E-4</v>
      </c>
      <c r="G338" s="71">
        <f>IF(A338="COMPOSICAO",VLOOKUP("TOTAL SEM BDI - "&amp;B338,CPUAUX4!$A:$J,9,FALSE),VLOOKUP(B338,I!$A:$E,5,FALSE))</f>
        <v>25.95</v>
      </c>
      <c r="H338" s="72"/>
      <c r="I338" s="71">
        <f t="shared" si="40"/>
        <v>0</v>
      </c>
      <c r="J338" s="72"/>
      <c r="M338" s="23" t="str">
        <f t="shared" si="41"/>
        <v>10790/ORSE</v>
      </c>
      <c r="N338" s="23">
        <f>SUMIF(CPUAUX2!M:M,B323,CPUAUX2!O:O)</f>
        <v>0.46799999999999997</v>
      </c>
      <c r="O338" s="23">
        <f t="shared" si="42"/>
        <v>4.6799999999999999E-5</v>
      </c>
      <c r="Q338" s="23">
        <f ca="1">SUMIF(CPUAUX2!M:M,B323,CPUAUX2!R:R)</f>
        <v>0.18720000000000001</v>
      </c>
      <c r="R338" s="23">
        <f t="shared" ca="1" si="43"/>
        <v>1.872E-5</v>
      </c>
    </row>
    <row r="339" spans="1:18" x14ac:dyDescent="0.3">
      <c r="A339" s="23" t="s">
        <v>1025</v>
      </c>
      <c r="B339" s="23" t="s">
        <v>1156</v>
      </c>
      <c r="C339" s="23" t="str">
        <f>VLOOKUP(B339,IF(A339="COMPOSICAO",S!$A:$E,I!$A:$E),2,FALSE)</f>
        <v>ORSE</v>
      </c>
      <c r="D339" s="24" t="str">
        <f>VLOOKUP(B339,IF(A339="COMPOSICAO",S!$A:$E,I!$A:$E),3,FALSE)</f>
        <v>MARTELO SEM UNHA</v>
      </c>
      <c r="E339" s="23" t="str">
        <f>VLOOKUP(B339,IF(A339="COMPOSICAO",S!$A:$E,I!$A:$E),4,FALSE)</f>
        <v>UN</v>
      </c>
      <c r="F339" s="23">
        <v>1E-4</v>
      </c>
      <c r="G339" s="71">
        <f>IF(A339="COMPOSICAO",VLOOKUP("TOTAL SEM BDI - "&amp;B339,CPUAUX4!$A:$J,9,FALSE),VLOOKUP(B339,I!$A:$E,5,FALSE))</f>
        <v>28</v>
      </c>
      <c r="H339" s="72"/>
      <c r="I339" s="71">
        <f t="shared" si="40"/>
        <v>0</v>
      </c>
      <c r="J339" s="72"/>
      <c r="M339" s="23" t="str">
        <f t="shared" si="41"/>
        <v>11243/ORSE</v>
      </c>
      <c r="N339" s="23">
        <f>SUMIF(CPUAUX2!M:M,B323,CPUAUX2!O:O)</f>
        <v>0.46799999999999997</v>
      </c>
      <c r="O339" s="23">
        <f t="shared" si="42"/>
        <v>4.6799999999999999E-5</v>
      </c>
      <c r="Q339" s="23">
        <f ca="1">SUMIF(CPUAUX2!M:M,B323,CPUAUX2!R:R)</f>
        <v>0.18720000000000001</v>
      </c>
      <c r="R339" s="23">
        <f t="shared" ca="1" si="43"/>
        <v>1.872E-5</v>
      </c>
    </row>
    <row r="340" spans="1:18" x14ac:dyDescent="0.3">
      <c r="A340" s="23" t="s">
        <v>1025</v>
      </c>
      <c r="B340" s="23" t="s">
        <v>1157</v>
      </c>
      <c r="C340" s="23" t="str">
        <f>VLOOKUP(B340,IF(A340="COMPOSICAO",S!$A:$E,I!$A:$E),2,FALSE)</f>
        <v>ORSE</v>
      </c>
      <c r="D340" s="24" t="str">
        <f>VLOOKUP(B340,IF(A340="COMPOSICAO",S!$A:$E,I!$A:$E),3,FALSE)</f>
        <v>DESEMPOLADEIRA DE MADEIRA 12X22</v>
      </c>
      <c r="E340" s="23" t="str">
        <f>VLOOKUP(B340,IF(A340="COMPOSICAO",S!$A:$E,I!$A:$E),4,FALSE)</f>
        <v>UN</v>
      </c>
      <c r="F340" s="23">
        <v>6.9999999999999999E-4</v>
      </c>
      <c r="G340" s="71">
        <f>IF(A340="COMPOSICAO",VLOOKUP("TOTAL SEM BDI - "&amp;B340,CPUAUX4!$A:$J,9,FALSE),VLOOKUP(B340,I!$A:$E,5,FALSE))</f>
        <v>11.6</v>
      </c>
      <c r="H340" s="72"/>
      <c r="I340" s="71">
        <f t="shared" si="40"/>
        <v>0</v>
      </c>
      <c r="J340" s="72"/>
      <c r="M340" s="23" t="str">
        <f t="shared" si="41"/>
        <v>11245/ORSE</v>
      </c>
      <c r="N340" s="23">
        <f>SUMIF(CPUAUX2!M:M,B323,CPUAUX2!O:O)</f>
        <v>0.46799999999999997</v>
      </c>
      <c r="O340" s="23">
        <f t="shared" si="42"/>
        <v>3.2759999999999999E-4</v>
      </c>
      <c r="Q340" s="23">
        <f ca="1">SUMIF(CPUAUX2!M:M,B323,CPUAUX2!R:R)</f>
        <v>0.18720000000000001</v>
      </c>
      <c r="R340" s="23">
        <f t="shared" ca="1" si="43"/>
        <v>1.3103999999999999E-4</v>
      </c>
    </row>
    <row r="341" spans="1:18" x14ac:dyDescent="0.3">
      <c r="A341" s="23" t="s">
        <v>1025</v>
      </c>
      <c r="B341" s="23" t="s">
        <v>1158</v>
      </c>
      <c r="C341" s="23" t="str">
        <f>VLOOKUP(B341,IF(A341="COMPOSICAO",S!$A:$E,I!$A:$E),2,FALSE)</f>
        <v>ORSE</v>
      </c>
      <c r="D341" s="24" t="str">
        <f>VLOOKUP(B341,IF(A341="COMPOSICAO",S!$A:$E,I!$A:$E),3,FALSE)</f>
        <v>ESCALA MÉTRICA DE BAMBÚ</v>
      </c>
      <c r="E341" s="23" t="str">
        <f>VLOOKUP(B341,IF(A341="COMPOSICAO",S!$A:$E,I!$A:$E),4,FALSE)</f>
        <v>UN</v>
      </c>
      <c r="F341" s="23">
        <v>6.9999999999999999E-4</v>
      </c>
      <c r="G341" s="71">
        <f>IF(A341="COMPOSICAO",VLOOKUP("TOTAL SEM BDI - "&amp;B341,CPUAUX4!$A:$J,9,FALSE),VLOOKUP(B341,I!$A:$E,5,FALSE))</f>
        <v>10.220000000000001</v>
      </c>
      <c r="H341" s="72"/>
      <c r="I341" s="71">
        <f t="shared" si="40"/>
        <v>0</v>
      </c>
      <c r="J341" s="72"/>
      <c r="M341" s="23" t="str">
        <f t="shared" si="41"/>
        <v>11246/ORSE</v>
      </c>
      <c r="N341" s="23">
        <f>SUMIF(CPUAUX2!M:M,B323,CPUAUX2!O:O)</f>
        <v>0.46799999999999997</v>
      </c>
      <c r="O341" s="23">
        <f t="shared" si="42"/>
        <v>3.2759999999999999E-4</v>
      </c>
      <c r="Q341" s="23">
        <f ca="1">SUMIF(CPUAUX2!M:M,B323,CPUAUX2!R:R)</f>
        <v>0.18720000000000001</v>
      </c>
      <c r="R341" s="23">
        <f t="shared" ca="1" si="43"/>
        <v>1.3103999999999999E-4</v>
      </c>
    </row>
    <row r="342" spans="1:18" x14ac:dyDescent="0.3">
      <c r="A342" s="23" t="s">
        <v>1025</v>
      </c>
      <c r="B342" s="23" t="s">
        <v>1159</v>
      </c>
      <c r="C342" s="23" t="str">
        <f>VLOOKUP(B342,IF(A342="COMPOSICAO",S!$A:$E,I!$A:$E),2,FALSE)</f>
        <v>ORSE</v>
      </c>
      <c r="D342" s="24" t="str">
        <f>VLOOKUP(B342,IF(A342="COMPOSICAO",S!$A:$E,I!$A:$E),3,FALSE)</f>
        <v>SERRA MÁRMORE</v>
      </c>
      <c r="E342" s="23" t="str">
        <f>VLOOKUP(B342,IF(A342="COMPOSICAO",S!$A:$E,I!$A:$E),4,FALSE)</f>
        <v>UN</v>
      </c>
      <c r="F342" s="23">
        <v>1E-4</v>
      </c>
      <c r="G342" s="71">
        <f>IF(A342="COMPOSICAO",VLOOKUP("TOTAL SEM BDI - "&amp;B342,CPUAUX4!$A:$J,9,FALSE),VLOOKUP(B342,I!$A:$E,5,FALSE))</f>
        <v>327.8</v>
      </c>
      <c r="H342" s="72"/>
      <c r="I342" s="71">
        <f t="shared" si="40"/>
        <v>0.03</v>
      </c>
      <c r="J342" s="72"/>
      <c r="M342" s="23" t="str">
        <f t="shared" si="41"/>
        <v>11247/ORSE</v>
      </c>
      <c r="N342" s="23">
        <f>SUMIF(CPUAUX2!M:M,B323,CPUAUX2!O:O)</f>
        <v>0.46799999999999997</v>
      </c>
      <c r="O342" s="23">
        <f t="shared" si="42"/>
        <v>4.6799999999999999E-5</v>
      </c>
      <c r="Q342" s="23">
        <f ca="1">SUMIF(CPUAUX2!M:M,B323,CPUAUX2!R:R)</f>
        <v>0.18720000000000001</v>
      </c>
      <c r="R342" s="23">
        <f t="shared" ca="1" si="43"/>
        <v>1.872E-5</v>
      </c>
    </row>
    <row r="343" spans="1:18" x14ac:dyDescent="0.3">
      <c r="A343" s="23" t="s">
        <v>1025</v>
      </c>
      <c r="B343" s="23" t="s">
        <v>1160</v>
      </c>
      <c r="C343" s="23" t="str">
        <f>VLOOKUP(B343,IF(A343="COMPOSICAO",S!$A:$E,I!$A:$E),2,FALSE)</f>
        <v>ORSE</v>
      </c>
      <c r="D343" s="24" t="str">
        <f>VLOOKUP(B343,IF(A343="COMPOSICAO",S!$A:$E,I!$A:$E),3,FALSE)</f>
        <v>MARRETA DE 1/2 KG COM CABO</v>
      </c>
      <c r="E343" s="23" t="str">
        <f>VLOOKUP(B343,IF(A343="COMPOSICAO",S!$A:$E,I!$A:$E),4,FALSE)</f>
        <v>UN</v>
      </c>
      <c r="F343" s="23">
        <v>2.0000000000000001E-4</v>
      </c>
      <c r="G343" s="71">
        <f>IF(A343="COMPOSICAO",VLOOKUP("TOTAL SEM BDI - "&amp;B343,CPUAUX4!$A:$J,9,FALSE),VLOOKUP(B343,I!$A:$E,5,FALSE))</f>
        <v>13.52</v>
      </c>
      <c r="H343" s="72"/>
      <c r="I343" s="71">
        <f t="shared" si="40"/>
        <v>0</v>
      </c>
      <c r="J343" s="72"/>
      <c r="M343" s="23" t="str">
        <f t="shared" si="41"/>
        <v>11264/ORSE</v>
      </c>
      <c r="N343" s="23">
        <f>SUMIF(CPUAUX2!M:M,B323,CPUAUX2!O:O)</f>
        <v>0.46799999999999997</v>
      </c>
      <c r="O343" s="23">
        <f t="shared" si="42"/>
        <v>9.3599999999999998E-5</v>
      </c>
      <c r="Q343" s="23">
        <f ca="1">SUMIF(CPUAUX2!M:M,B323,CPUAUX2!R:R)</f>
        <v>0.18720000000000001</v>
      </c>
      <c r="R343" s="23">
        <f t="shared" ca="1" si="43"/>
        <v>3.7440000000000001E-5</v>
      </c>
    </row>
    <row r="344" spans="1:18" x14ac:dyDescent="0.3">
      <c r="A344" s="23" t="s">
        <v>1025</v>
      </c>
      <c r="B344" s="23" t="s">
        <v>1161</v>
      </c>
      <c r="C344" s="23" t="str">
        <f>VLOOKUP(B344,IF(A344="COMPOSICAO",S!$A:$E,I!$A:$E),2,FALSE)</f>
        <v>ORSE</v>
      </c>
      <c r="D344" s="24" t="str">
        <f>VLOOKUP(B344,IF(A344="COMPOSICAO",S!$A:$E,I!$A:$E),3,FALSE)</f>
        <v>MARTELO DE BORRACHA COM CABO</v>
      </c>
      <c r="E344" s="23" t="str">
        <f>VLOOKUP(B344,IF(A344="COMPOSICAO",S!$A:$E,I!$A:$E),4,FALSE)</f>
        <v>UN</v>
      </c>
      <c r="F344" s="23">
        <v>4.0000000000000002E-4</v>
      </c>
      <c r="G344" s="71">
        <f>IF(A344="COMPOSICAO",VLOOKUP("TOTAL SEM BDI - "&amp;B344,CPUAUX4!$A:$J,9,FALSE),VLOOKUP(B344,I!$A:$E,5,FALSE))</f>
        <v>18.75</v>
      </c>
      <c r="H344" s="72"/>
      <c r="I344" s="71">
        <f t="shared" si="40"/>
        <v>0</v>
      </c>
      <c r="J344" s="72"/>
      <c r="M344" s="23" t="str">
        <f t="shared" si="41"/>
        <v>11265/ORSE</v>
      </c>
      <c r="N344" s="23">
        <f>SUMIF(CPUAUX2!M:M,B323,CPUAUX2!O:O)</f>
        <v>0.46799999999999997</v>
      </c>
      <c r="O344" s="23">
        <f t="shared" si="42"/>
        <v>1.872E-4</v>
      </c>
      <c r="Q344" s="23">
        <f ca="1">SUMIF(CPUAUX2!M:M,B323,CPUAUX2!R:R)</f>
        <v>0.18720000000000001</v>
      </c>
      <c r="R344" s="23">
        <f t="shared" ca="1" si="43"/>
        <v>7.4880000000000001E-5</v>
      </c>
    </row>
    <row r="345" spans="1:18" ht="30" customHeight="1" x14ac:dyDescent="0.3">
      <c r="A345" s="23" t="s">
        <v>1025</v>
      </c>
      <c r="B345" s="23">
        <v>12892</v>
      </c>
      <c r="C345" s="23" t="str">
        <f>VLOOKUP(B345,IF(A345="COMPOSICAO",S!$A:$E,I!$A:$E),2,FALSE)</f>
        <v>SINAPI</v>
      </c>
      <c r="D345" s="24" t="str">
        <f>VLOOKUP(B345,IF(A345="COMPOSICAO",S!$A:$E,I!$A:$E),3,FALSE)</f>
        <v>LUVA RASPA DE COURO, CANO CURTO (PUNHO *7* CM)</v>
      </c>
      <c r="E345" s="23" t="str">
        <f>VLOOKUP(B345,IF(A345="COMPOSICAO",S!$A:$E,I!$A:$E),4,FALSE)</f>
        <v>PAR</v>
      </c>
      <c r="F345" s="23">
        <v>2.3E-3</v>
      </c>
      <c r="G345" s="71">
        <f>IF(A345="COMPOSICAO",VLOOKUP("TOTAL SEM BDI - "&amp;B345,CPUAUX4!$A:$J,9,FALSE),VLOOKUP(B345,I!$A:$E,5,FALSE))</f>
        <v>15.21</v>
      </c>
      <c r="H345" s="72"/>
      <c r="I345" s="71">
        <f t="shared" si="40"/>
        <v>0.03</v>
      </c>
      <c r="J345" s="72"/>
      <c r="M345" s="23">
        <f t="shared" si="41"/>
        <v>12892</v>
      </c>
      <c r="N345" s="23">
        <f>SUMIF(CPUAUX2!M:M,B323,CPUAUX2!O:O)</f>
        <v>0.46799999999999997</v>
      </c>
      <c r="O345" s="23">
        <f t="shared" si="42"/>
        <v>1.0763999999999999E-3</v>
      </c>
      <c r="Q345" s="23">
        <f ca="1">SUMIF(CPUAUX2!M:M,B323,CPUAUX2!R:R)</f>
        <v>0.18720000000000001</v>
      </c>
      <c r="R345" s="23">
        <f t="shared" ca="1" si="43"/>
        <v>4.3056000000000002E-4</v>
      </c>
    </row>
    <row r="346" spans="1:18" ht="30" customHeight="1" x14ac:dyDescent="0.3">
      <c r="A346" s="23" t="s">
        <v>1025</v>
      </c>
      <c r="B346" s="23">
        <v>12893</v>
      </c>
      <c r="C346" s="23" t="str">
        <f>VLOOKUP(B346,IF(A346="COMPOSICAO",S!$A:$E,I!$A:$E),2,FALSE)</f>
        <v>SINAPI</v>
      </c>
      <c r="D346" s="24" t="str">
        <f>VLOOKUP(B346,IF(A346="COMPOSICAO",S!$A:$E,I!$A:$E),3,FALSE)</f>
        <v>BOTA DE SEGURANCA COM BIQUEIRA DE ACO E COLARINHO ACOLCHOADO</v>
      </c>
      <c r="E346" s="23" t="str">
        <f>VLOOKUP(B346,IF(A346="COMPOSICAO",S!$A:$E,I!$A:$E),4,FALSE)</f>
        <v>PAR</v>
      </c>
      <c r="F346" s="23">
        <v>8.0000000000000004E-4</v>
      </c>
      <c r="G346" s="71">
        <f>IF(A346="COMPOSICAO",VLOOKUP("TOTAL SEM BDI - "&amp;B346,CPUAUX4!$A:$J,9,FALSE),VLOOKUP(B346,I!$A:$E,5,FALSE))</f>
        <v>103.39</v>
      </c>
      <c r="H346" s="72"/>
      <c r="I346" s="71">
        <f t="shared" si="40"/>
        <v>0.08</v>
      </c>
      <c r="J346" s="72"/>
      <c r="M346" s="23">
        <f t="shared" si="41"/>
        <v>12893</v>
      </c>
      <c r="N346" s="23">
        <f>SUMIF(CPUAUX2!M:M,B323,CPUAUX2!O:O)</f>
        <v>0.46799999999999997</v>
      </c>
      <c r="O346" s="23">
        <f t="shared" si="42"/>
        <v>3.7439999999999999E-4</v>
      </c>
      <c r="Q346" s="23">
        <f ca="1">SUMIF(CPUAUX2!M:M,B323,CPUAUX2!R:R)</f>
        <v>0.18720000000000001</v>
      </c>
      <c r="R346" s="23">
        <f t="shared" ca="1" si="43"/>
        <v>1.4976E-4</v>
      </c>
    </row>
    <row r="347" spans="1:18" ht="30" customHeight="1" x14ac:dyDescent="0.3">
      <c r="A347" s="23" t="s">
        <v>1025</v>
      </c>
      <c r="B347" s="23">
        <v>12894</v>
      </c>
      <c r="C347" s="23" t="str">
        <f>VLOOKUP(B347,IF(A347="COMPOSICAO",S!$A:$E,I!$A:$E),2,FALSE)</f>
        <v>SINAPI</v>
      </c>
      <c r="D347" s="24" t="str">
        <f>VLOOKUP(B347,IF(A347="COMPOSICAO",S!$A:$E,I!$A:$E),3,FALSE)</f>
        <v>CAPA PARA CHUVA EM PVC COM FORRO DE POLIESTER, COM CAPUZ (AMARELA OU AZUL)</v>
      </c>
      <c r="E347" s="23" t="str">
        <f>VLOOKUP(B347,IF(A347="COMPOSICAO",S!$A:$E,I!$A:$E),4,FALSE)</f>
        <v>UN</v>
      </c>
      <c r="F347" s="23">
        <v>2.0000000000000001E-4</v>
      </c>
      <c r="G347" s="71">
        <f>IF(A347="COMPOSICAO",VLOOKUP("TOTAL SEM BDI - "&amp;B347,CPUAUX4!$A:$J,9,FALSE),VLOOKUP(B347,I!$A:$E,5,FALSE))</f>
        <v>28.12</v>
      </c>
      <c r="H347" s="72"/>
      <c r="I347" s="71">
        <f t="shared" si="40"/>
        <v>0</v>
      </c>
      <c r="J347" s="72"/>
      <c r="M347" s="23">
        <f t="shared" si="41"/>
        <v>12894</v>
      </c>
      <c r="N347" s="23">
        <f>SUMIF(CPUAUX2!M:M,B323,CPUAUX2!O:O)</f>
        <v>0.46799999999999997</v>
      </c>
      <c r="O347" s="23">
        <f t="shared" si="42"/>
        <v>9.3599999999999998E-5</v>
      </c>
      <c r="Q347" s="23">
        <f ca="1">SUMIF(CPUAUX2!M:M,B323,CPUAUX2!R:R)</f>
        <v>0.18720000000000001</v>
      </c>
      <c r="R347" s="23">
        <f t="shared" ca="1" si="43"/>
        <v>3.7440000000000001E-5</v>
      </c>
    </row>
    <row r="348" spans="1:18" ht="30" customHeight="1" x14ac:dyDescent="0.3">
      <c r="A348" s="23" t="s">
        <v>1025</v>
      </c>
      <c r="B348" s="23">
        <v>12895</v>
      </c>
      <c r="C348" s="23" t="str">
        <f>VLOOKUP(B348,IF(A348="COMPOSICAO",S!$A:$E,I!$A:$E),2,FALSE)</f>
        <v>SINAPI</v>
      </c>
      <c r="D348" s="24" t="str">
        <f>VLOOKUP(B348,IF(A348="COMPOSICAO",S!$A:$E,I!$A:$E),3,FALSE)</f>
        <v>CAPACETE DE SEGURANCA ABA FRONTAL COM SUSPENSAO DE POLIETILENO, SEM JUGULAR (CLASSE B)</v>
      </c>
      <c r="E348" s="23" t="str">
        <f>VLOOKUP(B348,IF(A348="COMPOSICAO",S!$A:$E,I!$A:$E),4,FALSE)</f>
        <v>UN</v>
      </c>
      <c r="F348" s="23">
        <v>5.9999999999999995E-4</v>
      </c>
      <c r="G348" s="71">
        <f>IF(A348="COMPOSICAO",VLOOKUP("TOTAL SEM BDI - "&amp;B348,CPUAUX4!$A:$J,9,FALSE),VLOOKUP(B348,I!$A:$E,5,FALSE))</f>
        <v>18.88</v>
      </c>
      <c r="H348" s="72"/>
      <c r="I348" s="71">
        <f t="shared" si="40"/>
        <v>0.01</v>
      </c>
      <c r="J348" s="72"/>
      <c r="M348" s="23">
        <f t="shared" si="41"/>
        <v>12895</v>
      </c>
      <c r="N348" s="23">
        <f>SUMIF(CPUAUX2!M:M,B323,CPUAUX2!O:O)</f>
        <v>0.46799999999999997</v>
      </c>
      <c r="O348" s="23">
        <f t="shared" si="42"/>
        <v>2.8079999999999994E-4</v>
      </c>
      <c r="Q348" s="23">
        <f ca="1">SUMIF(CPUAUX2!M:M,B323,CPUAUX2!R:R)</f>
        <v>0.18720000000000001</v>
      </c>
      <c r="R348" s="23">
        <f t="shared" ca="1" si="43"/>
        <v>1.1232E-4</v>
      </c>
    </row>
    <row r="349" spans="1:18" x14ac:dyDescent="0.3">
      <c r="A349" s="68" t="str">
        <f>"TOTAL SEM BDI - "&amp;B323</f>
        <v>TOTAL SEM BDI - 10550/ORSE</v>
      </c>
      <c r="B349" s="69"/>
      <c r="C349" s="69"/>
      <c r="D349" s="69"/>
      <c r="E349" s="69"/>
      <c r="F349" s="69"/>
      <c r="G349" s="69"/>
      <c r="H349" s="70"/>
      <c r="I349" s="71">
        <f>SUM(I323:I348)</f>
        <v>3.7899999999999991</v>
      </c>
      <c r="J349" s="72"/>
    </row>
    <row r="351" spans="1:18" x14ac:dyDescent="0.3">
      <c r="A351" s="4" t="s">
        <v>1018</v>
      </c>
      <c r="B351" s="4" t="s">
        <v>138</v>
      </c>
      <c r="C351" s="4" t="s">
        <v>139</v>
      </c>
      <c r="D351" s="4" t="s">
        <v>21</v>
      </c>
      <c r="E351" s="4" t="s">
        <v>140</v>
      </c>
      <c r="F351" s="4" t="s">
        <v>506</v>
      </c>
      <c r="G351" s="34" t="s">
        <v>1019</v>
      </c>
      <c r="H351" s="35"/>
      <c r="I351" s="34" t="s">
        <v>15</v>
      </c>
      <c r="J351" s="35"/>
    </row>
    <row r="352" spans="1:18" x14ac:dyDescent="0.3">
      <c r="A352" s="15" t="s">
        <v>516</v>
      </c>
      <c r="B352" s="15" t="s">
        <v>1135</v>
      </c>
      <c r="C352" s="15" t="str">
        <f>VLOOKUP(B352,S!$A:$G,2,FALSE)</f>
        <v>ORSE</v>
      </c>
      <c r="D352" s="22" t="str">
        <f>VLOOKUP(B352,S!$A:$G,3,FALSE)</f>
        <v>ENCARGOS COMPLEMENTARES - CARPINTEIRO</v>
      </c>
      <c r="E352" s="15" t="str">
        <f>VLOOKUP(B352,S!$A:$G,4,FALSE)</f>
        <v>H</v>
      </c>
      <c r="F352" s="15"/>
      <c r="G352" s="73">
        <f>I373</f>
        <v>3.8299999999999992</v>
      </c>
      <c r="H352" s="74"/>
      <c r="I352" s="73"/>
      <c r="J352" s="74"/>
      <c r="K352" s="16">
        <f>VLOOKUP(B352,S!A:G,5,FALSE)</f>
        <v>3.87</v>
      </c>
      <c r="L352" s="15" t="str">
        <f>IF(K352=G352,"OK, CONFORME TABELA",IF(G352&gt;K352,"ACIMA DA TABELA: ","ABAIXO DA TABELA: ")&amp;TRUNC((G352*100)/K352,2)&amp;" %")</f>
        <v>ABAIXO DA TABELA: 98,96 %</v>
      </c>
    </row>
    <row r="353" spans="1:18" x14ac:dyDescent="0.3">
      <c r="A353" s="23" t="s">
        <v>1025</v>
      </c>
      <c r="B353" s="23" t="s">
        <v>1104</v>
      </c>
      <c r="C353" s="23" t="str">
        <f>VLOOKUP(B353,IF(A353="COMPOSICAO",S!$A:$E,I!$A:$E),2,FALSE)</f>
        <v>ORSE</v>
      </c>
      <c r="D353" s="24" t="str">
        <f>VLOOKUP(B353,IF(A353="COMPOSICAO",S!$A:$E,I!$A:$E),3,FALSE)</f>
        <v>ALMOÇO (PARTICIPAÇÃO DO EMPREGADOR)</v>
      </c>
      <c r="E353" s="23" t="str">
        <f>VLOOKUP(B353,IF(A353="COMPOSICAO",S!$A:$E,I!$A:$E),4,FALSE)</f>
        <v>UN</v>
      </c>
      <c r="F353" s="23">
        <v>0.1018</v>
      </c>
      <c r="G353" s="71">
        <f>IF(A353="COMPOSICAO",VLOOKUP("TOTAL SEM BDI - "&amp;B353,CPUAUX4!$A:$J,9,FALSE),VLOOKUP(B353,I!$A:$E,5,FALSE))</f>
        <v>14</v>
      </c>
      <c r="H353" s="72"/>
      <c r="I353" s="71">
        <f t="shared" ref="I353:I372" si="44">TRUNC(F353*G353,2)</f>
        <v>1.42</v>
      </c>
      <c r="J353" s="72"/>
      <c r="M353" s="23" t="str">
        <f t="shared" ref="M353:M372" si="45">B353</f>
        <v>00158/ORSE</v>
      </c>
      <c r="N353" s="23">
        <f>SUMIF(CPUAUX2!M:M,B352,CPUAUX2!O:O)</f>
        <v>0.46799999999999997</v>
      </c>
      <c r="O353" s="23">
        <f t="shared" ref="O353:O372" si="46">F353*N353</f>
        <v>4.7642399999999994E-2</v>
      </c>
      <c r="Q353" s="23">
        <f ca="1">SUMIF(CPUAUX2!M:M,B352,CPUAUX2!R:R)</f>
        <v>0.18720000000000001</v>
      </c>
      <c r="R353" s="23">
        <f t="shared" ref="R353:R372" ca="1" si="47">F353*Q353</f>
        <v>1.9056960000000001E-2</v>
      </c>
    </row>
    <row r="354" spans="1:18" x14ac:dyDescent="0.3">
      <c r="A354" s="23" t="s">
        <v>1025</v>
      </c>
      <c r="B354" s="23" t="s">
        <v>1105</v>
      </c>
      <c r="C354" s="23" t="str">
        <f>VLOOKUP(B354,IF(A354="COMPOSICAO",S!$A:$E,I!$A:$E),2,FALSE)</f>
        <v>ORSE</v>
      </c>
      <c r="D354" s="24" t="str">
        <f>VLOOKUP(B354,IF(A354="COMPOSICAO",S!$A:$E,I!$A:$E),3,FALSE)</f>
        <v>FARDAMENTO COM MANGAS CURTA</v>
      </c>
      <c r="E354" s="23" t="str">
        <f>VLOOKUP(B354,IF(A354="COMPOSICAO",S!$A:$E,I!$A:$E),4,FALSE)</f>
        <v>UN</v>
      </c>
      <c r="F354" s="23">
        <v>1.5E-3</v>
      </c>
      <c r="G354" s="71">
        <f>IF(A354="COMPOSICAO",VLOOKUP("TOTAL SEM BDI - "&amp;B354,CPUAUX4!$A:$J,9,FALSE),VLOOKUP(B354,I!$A:$E,5,FALSE))</f>
        <v>196.71</v>
      </c>
      <c r="H354" s="72"/>
      <c r="I354" s="71">
        <f t="shared" si="44"/>
        <v>0.28999999999999998</v>
      </c>
      <c r="J354" s="72"/>
      <c r="M354" s="23" t="str">
        <f t="shared" si="45"/>
        <v>00941/ORSE</v>
      </c>
      <c r="N354" s="23">
        <f>SUMIF(CPUAUX2!M:M,B352,CPUAUX2!O:O)</f>
        <v>0.46799999999999997</v>
      </c>
      <c r="O354" s="23">
        <f t="shared" si="46"/>
        <v>7.0199999999999993E-4</v>
      </c>
      <c r="Q354" s="23">
        <f ca="1">SUMIF(CPUAUX2!M:M,B352,CPUAUX2!R:R)</f>
        <v>0.18720000000000001</v>
      </c>
      <c r="R354" s="23">
        <f t="shared" ca="1" si="47"/>
        <v>2.8079999999999999E-4</v>
      </c>
    </row>
    <row r="355" spans="1:18" x14ac:dyDescent="0.3">
      <c r="A355" s="23" t="s">
        <v>1025</v>
      </c>
      <c r="B355" s="23" t="s">
        <v>1106</v>
      </c>
      <c r="C355" s="23" t="str">
        <f>VLOOKUP(B355,IF(A355="COMPOSICAO",S!$A:$E,I!$A:$E),2,FALSE)</f>
        <v>ORSE</v>
      </c>
      <c r="D355" s="24" t="str">
        <f>VLOOKUP(B355,IF(A355="COMPOSICAO",S!$A:$E,I!$A:$E),3,FALSE)</f>
        <v>ÓCULOS BRANCO PROTEÇÃO</v>
      </c>
      <c r="E355" s="23" t="str">
        <f>VLOOKUP(B355,IF(A355="COMPOSICAO",S!$A:$E,I!$A:$E),4,FALSE)</f>
        <v>PR</v>
      </c>
      <c r="F355" s="23">
        <v>6.9999999999999999E-4</v>
      </c>
      <c r="G355" s="71">
        <f>IF(A355="COMPOSICAO",VLOOKUP("TOTAL SEM BDI - "&amp;B355,CPUAUX4!$A:$J,9,FALSE),VLOOKUP(B355,I!$A:$E,5,FALSE))</f>
        <v>7</v>
      </c>
      <c r="H355" s="72"/>
      <c r="I355" s="71">
        <f t="shared" si="44"/>
        <v>0</v>
      </c>
      <c r="J355" s="72"/>
      <c r="M355" s="23" t="str">
        <f t="shared" si="45"/>
        <v>01651/ORSE</v>
      </c>
      <c r="N355" s="23">
        <f>SUMIF(CPUAUX2!M:M,B352,CPUAUX2!O:O)</f>
        <v>0.46799999999999997</v>
      </c>
      <c r="O355" s="23">
        <f t="shared" si="46"/>
        <v>3.2759999999999999E-4</v>
      </c>
      <c r="Q355" s="23">
        <f ca="1">SUMIF(CPUAUX2!M:M,B352,CPUAUX2!R:R)</f>
        <v>0.18720000000000001</v>
      </c>
      <c r="R355" s="23">
        <f t="shared" ca="1" si="47"/>
        <v>1.3103999999999999E-4</v>
      </c>
    </row>
    <row r="356" spans="1:18" x14ac:dyDescent="0.3">
      <c r="A356" s="23" t="s">
        <v>1025</v>
      </c>
      <c r="B356" s="23" t="s">
        <v>1107</v>
      </c>
      <c r="C356" s="23" t="str">
        <f>VLOOKUP(B356,IF(A356="COMPOSICAO",S!$A:$E,I!$A:$E),2,FALSE)</f>
        <v>ORSE</v>
      </c>
      <c r="D356" s="24" t="str">
        <f>VLOOKUP(B356,IF(A356="COMPOSICAO",S!$A:$E,I!$A:$E),3,FALSE)</f>
        <v>VALE TRANSPORTE</v>
      </c>
      <c r="E356" s="23" t="str">
        <f>VLOOKUP(B356,IF(A356="COMPOSICAO",S!$A:$E,I!$A:$E),4,FALSE)</f>
        <v>UN</v>
      </c>
      <c r="F356" s="23">
        <v>6.54E-2</v>
      </c>
      <c r="G356" s="71">
        <f>IF(A356="COMPOSICAO",VLOOKUP("TOTAL SEM BDI - "&amp;B356,CPUAUX4!$A:$J,9,FALSE),VLOOKUP(B356,I!$A:$E,5,FALSE))</f>
        <v>4.5</v>
      </c>
      <c r="H356" s="72"/>
      <c r="I356" s="71">
        <f t="shared" si="44"/>
        <v>0.28999999999999998</v>
      </c>
      <c r="J356" s="72"/>
      <c r="M356" s="23" t="str">
        <f t="shared" si="45"/>
        <v>02378/ORSE</v>
      </c>
      <c r="N356" s="23">
        <f>SUMIF(CPUAUX2!M:M,B352,CPUAUX2!O:O)</f>
        <v>0.46799999999999997</v>
      </c>
      <c r="O356" s="23">
        <f t="shared" si="46"/>
        <v>3.0607199999999998E-2</v>
      </c>
      <c r="Q356" s="23">
        <f ca="1">SUMIF(CPUAUX2!M:M,B352,CPUAUX2!R:R)</f>
        <v>0.18720000000000001</v>
      </c>
      <c r="R356" s="23">
        <f t="shared" ca="1" si="47"/>
        <v>1.2242880000000001E-2</v>
      </c>
    </row>
    <row r="357" spans="1:18" x14ac:dyDescent="0.3">
      <c r="A357" s="23" t="s">
        <v>1025</v>
      </c>
      <c r="B357" s="23" t="s">
        <v>1110</v>
      </c>
      <c r="C357" s="23" t="str">
        <f>VLOOKUP(B357,IF(A357="COMPOSICAO",S!$A:$E,I!$A:$E),2,FALSE)</f>
        <v>ORSE</v>
      </c>
      <c r="D357" s="24" t="str">
        <f>VLOOKUP(B357,IF(A357="COMPOSICAO",S!$A:$E,I!$A:$E),3,FALSE)</f>
        <v>SEGURO DE VIDA E ACIDENTE EM GRUPO</v>
      </c>
      <c r="E357" s="23" t="str">
        <f>VLOOKUP(B357,IF(A357="COMPOSICAO",S!$A:$E,I!$A:$E),4,FALSE)</f>
        <v>UN</v>
      </c>
      <c r="F357" s="23">
        <v>4.4999999999999997E-3</v>
      </c>
      <c r="G357" s="71">
        <f>IF(A357="COMPOSICAO",VLOOKUP("TOTAL SEM BDI - "&amp;B357,CPUAUX4!$A:$J,9,FALSE),VLOOKUP(B357,I!$A:$E,5,FALSE))</f>
        <v>12.54</v>
      </c>
      <c r="H357" s="72"/>
      <c r="I357" s="71">
        <f t="shared" si="44"/>
        <v>0.05</v>
      </c>
      <c r="J357" s="72"/>
      <c r="M357" s="23" t="str">
        <f t="shared" si="45"/>
        <v>10362/ORSE</v>
      </c>
      <c r="N357" s="23">
        <f>SUMIF(CPUAUX2!M:M,B352,CPUAUX2!O:O)</f>
        <v>0.46799999999999997</v>
      </c>
      <c r="O357" s="23">
        <f t="shared" si="46"/>
        <v>2.1059999999999998E-3</v>
      </c>
      <c r="Q357" s="23">
        <f ca="1">SUMIF(CPUAUX2!M:M,B352,CPUAUX2!R:R)</f>
        <v>0.18720000000000001</v>
      </c>
      <c r="R357" s="23">
        <f t="shared" ca="1" si="47"/>
        <v>8.4239999999999998E-4</v>
      </c>
    </row>
    <row r="358" spans="1:18" x14ac:dyDescent="0.3">
      <c r="A358" s="23" t="s">
        <v>1025</v>
      </c>
      <c r="B358" s="23" t="s">
        <v>1111</v>
      </c>
      <c r="C358" s="23" t="str">
        <f>VLOOKUP(B358,IF(A358="COMPOSICAO",S!$A:$E,I!$A:$E),2,FALSE)</f>
        <v>ORSE</v>
      </c>
      <c r="D358" s="24" t="str">
        <f>VLOOKUP(B358,IF(A358="COMPOSICAO",S!$A:$E,I!$A:$E),3,FALSE)</f>
        <v>CESTA BÁSICA</v>
      </c>
      <c r="E358" s="23" t="str">
        <f>VLOOKUP(B358,IF(A358="COMPOSICAO",S!$A:$E,I!$A:$E),4,FALSE)</f>
        <v>UN</v>
      </c>
      <c r="F358" s="23">
        <v>4.4999999999999997E-3</v>
      </c>
      <c r="G358" s="71">
        <f>IF(A358="COMPOSICAO",VLOOKUP("TOTAL SEM BDI - "&amp;B358,CPUAUX4!$A:$J,9,FALSE),VLOOKUP(B358,I!$A:$E,5,FALSE))</f>
        <v>205</v>
      </c>
      <c r="H358" s="72"/>
      <c r="I358" s="71">
        <f t="shared" si="44"/>
        <v>0.92</v>
      </c>
      <c r="J358" s="72"/>
      <c r="M358" s="23" t="str">
        <f t="shared" si="45"/>
        <v>10492/ORSE</v>
      </c>
      <c r="N358" s="23">
        <f>SUMIF(CPUAUX2!M:M,B352,CPUAUX2!O:O)</f>
        <v>0.46799999999999997</v>
      </c>
      <c r="O358" s="23">
        <f t="shared" si="46"/>
        <v>2.1059999999999998E-3</v>
      </c>
      <c r="Q358" s="23">
        <f ca="1">SUMIF(CPUAUX2!M:M,B352,CPUAUX2!R:R)</f>
        <v>0.18720000000000001</v>
      </c>
      <c r="R358" s="23">
        <f t="shared" ca="1" si="47"/>
        <v>8.4239999999999998E-4</v>
      </c>
    </row>
    <row r="359" spans="1:18" x14ac:dyDescent="0.3">
      <c r="A359" s="23" t="s">
        <v>1025</v>
      </c>
      <c r="B359" s="23" t="s">
        <v>1112</v>
      </c>
      <c r="C359" s="23" t="str">
        <f>VLOOKUP(B359,IF(A359="COMPOSICAO",S!$A:$E,I!$A:$E),2,FALSE)</f>
        <v>ORSE</v>
      </c>
      <c r="D359" s="24" t="str">
        <f>VLOOKUP(B359,IF(A359="COMPOSICAO",S!$A:$E,I!$A:$E),3,FALSE)</f>
        <v>EXAMES ADMISSIONAIS/DEMISSIONAIS (CHECKUP)</v>
      </c>
      <c r="E359" s="23" t="str">
        <f>VLOOKUP(B359,IF(A359="COMPOSICAO",S!$A:$E,I!$A:$E),4,FALSE)</f>
        <v>CJ</v>
      </c>
      <c r="F359" s="23">
        <v>4.0000000000000002E-4</v>
      </c>
      <c r="G359" s="71">
        <f>IF(A359="COMPOSICAO",VLOOKUP("TOTAL SEM BDI - "&amp;B359,CPUAUX4!$A:$J,9,FALSE),VLOOKUP(B359,I!$A:$E,5,FALSE))</f>
        <v>300</v>
      </c>
      <c r="H359" s="72"/>
      <c r="I359" s="71">
        <f t="shared" si="44"/>
        <v>0.12</v>
      </c>
      <c r="J359" s="72"/>
      <c r="M359" s="23" t="str">
        <f t="shared" si="45"/>
        <v>10517/ORSE</v>
      </c>
      <c r="N359" s="23">
        <f>SUMIF(CPUAUX2!M:M,B352,CPUAUX2!O:O)</f>
        <v>0.46799999999999997</v>
      </c>
      <c r="O359" s="23">
        <f t="shared" si="46"/>
        <v>1.872E-4</v>
      </c>
      <c r="Q359" s="23">
        <f ca="1">SUMIF(CPUAUX2!M:M,B352,CPUAUX2!R:R)</f>
        <v>0.18720000000000001</v>
      </c>
      <c r="R359" s="23">
        <f t="shared" ca="1" si="47"/>
        <v>7.4880000000000001E-5</v>
      </c>
    </row>
    <row r="360" spans="1:18" x14ac:dyDescent="0.3">
      <c r="A360" s="23" t="s">
        <v>1025</v>
      </c>
      <c r="B360" s="23" t="s">
        <v>1142</v>
      </c>
      <c r="C360" s="23" t="str">
        <f>VLOOKUP(B360,IF(A360="COMPOSICAO",S!$A:$E,I!$A:$E),2,FALSE)</f>
        <v>ORSE</v>
      </c>
      <c r="D360" s="24" t="str">
        <f>VLOOKUP(B360,IF(A360="COMPOSICAO",S!$A:$E,I!$A:$E),3,FALSE)</f>
        <v>SERROTE 40CM</v>
      </c>
      <c r="E360" s="23" t="str">
        <f>VLOOKUP(B360,IF(A360="COMPOSICAO",S!$A:$E,I!$A:$E),4,FALSE)</f>
        <v>UN</v>
      </c>
      <c r="F360" s="23">
        <v>1E-4</v>
      </c>
      <c r="G360" s="71">
        <f>IF(A360="COMPOSICAO",VLOOKUP("TOTAL SEM BDI - "&amp;B360,CPUAUX4!$A:$J,9,FALSE),VLOOKUP(B360,I!$A:$E,5,FALSE))</f>
        <v>29.9</v>
      </c>
      <c r="H360" s="72"/>
      <c r="I360" s="71">
        <f t="shared" si="44"/>
        <v>0</v>
      </c>
      <c r="J360" s="72"/>
      <c r="M360" s="23" t="str">
        <f t="shared" si="45"/>
        <v>10577/ORSE</v>
      </c>
      <c r="N360" s="23">
        <f>SUMIF(CPUAUX2!M:M,B352,CPUAUX2!O:O)</f>
        <v>0.46799999999999997</v>
      </c>
      <c r="O360" s="23">
        <f t="shared" si="46"/>
        <v>4.6799999999999999E-5</v>
      </c>
      <c r="Q360" s="23">
        <f ca="1">SUMIF(CPUAUX2!M:M,B352,CPUAUX2!R:R)</f>
        <v>0.18720000000000001</v>
      </c>
      <c r="R360" s="23">
        <f t="shared" ca="1" si="47"/>
        <v>1.872E-5</v>
      </c>
    </row>
    <row r="361" spans="1:18" x14ac:dyDescent="0.3">
      <c r="A361" s="23" t="s">
        <v>1025</v>
      </c>
      <c r="B361" s="23" t="s">
        <v>1143</v>
      </c>
      <c r="C361" s="23" t="str">
        <f>VLOOKUP(B361,IF(A361="COMPOSICAO",S!$A:$E,I!$A:$E),2,FALSE)</f>
        <v>ORSE</v>
      </c>
      <c r="D361" s="24" t="str">
        <f>VLOOKUP(B361,IF(A361="COMPOSICAO",S!$A:$E,I!$A:$E),3,FALSE)</f>
        <v>FORMÃO GRANDE</v>
      </c>
      <c r="E361" s="23" t="str">
        <f>VLOOKUP(B361,IF(A361="COMPOSICAO",S!$A:$E,I!$A:$E),4,FALSE)</f>
        <v>UN</v>
      </c>
      <c r="F361" s="23">
        <v>2.0000000000000001E-4</v>
      </c>
      <c r="G361" s="71">
        <f>IF(A361="COMPOSICAO",VLOOKUP("TOTAL SEM BDI - "&amp;B361,CPUAUX4!$A:$J,9,FALSE),VLOOKUP(B361,I!$A:$E,5,FALSE))</f>
        <v>15.15</v>
      </c>
      <c r="H361" s="72"/>
      <c r="I361" s="71">
        <f t="shared" si="44"/>
        <v>0</v>
      </c>
      <c r="J361" s="72"/>
      <c r="M361" s="23" t="str">
        <f t="shared" si="45"/>
        <v>10578/ORSE</v>
      </c>
      <c r="N361" s="23">
        <f>SUMIF(CPUAUX2!M:M,B352,CPUAUX2!O:O)</f>
        <v>0.46799999999999997</v>
      </c>
      <c r="O361" s="23">
        <f t="shared" si="46"/>
        <v>9.3599999999999998E-5</v>
      </c>
      <c r="Q361" s="23">
        <f ca="1">SUMIF(CPUAUX2!M:M,B352,CPUAUX2!R:R)</f>
        <v>0.18720000000000001</v>
      </c>
      <c r="R361" s="23">
        <f t="shared" ca="1" si="47"/>
        <v>3.7440000000000001E-5</v>
      </c>
    </row>
    <row r="362" spans="1:18" x14ac:dyDescent="0.3">
      <c r="A362" s="23" t="s">
        <v>1025</v>
      </c>
      <c r="B362" s="23" t="s">
        <v>1117</v>
      </c>
      <c r="C362" s="23" t="str">
        <f>VLOOKUP(B362,IF(A362="COMPOSICAO",S!$A:$E,I!$A:$E),2,FALSE)</f>
        <v>ORSE</v>
      </c>
      <c r="D362" s="24" t="str">
        <f>VLOOKUP(B362,IF(A362="COMPOSICAO",S!$A:$E,I!$A:$E),3,FALSE)</f>
        <v>CHAVE DE FENDA CHATA 30 CM</v>
      </c>
      <c r="E362" s="23" t="str">
        <f>VLOOKUP(B362,IF(A362="COMPOSICAO",S!$A:$E,I!$A:$E),4,FALSE)</f>
        <v>UN</v>
      </c>
      <c r="F362" s="23">
        <v>2.0000000000000001E-4</v>
      </c>
      <c r="G362" s="71">
        <f>IF(A362="COMPOSICAO",VLOOKUP("TOTAL SEM BDI - "&amp;B362,CPUAUX4!$A:$J,9,FALSE),VLOOKUP(B362,I!$A:$E,5,FALSE))</f>
        <v>26.89</v>
      </c>
      <c r="H362" s="72"/>
      <c r="I362" s="71">
        <f t="shared" si="44"/>
        <v>0</v>
      </c>
      <c r="J362" s="72"/>
      <c r="M362" s="23" t="str">
        <f t="shared" si="45"/>
        <v>10579/ORSE</v>
      </c>
      <c r="N362" s="23">
        <f>SUMIF(CPUAUX2!M:M,B352,CPUAUX2!O:O)</f>
        <v>0.46799999999999997</v>
      </c>
      <c r="O362" s="23">
        <f t="shared" si="46"/>
        <v>9.3599999999999998E-5</v>
      </c>
      <c r="Q362" s="23">
        <f ca="1">SUMIF(CPUAUX2!M:M,B352,CPUAUX2!R:R)</f>
        <v>0.18720000000000001</v>
      </c>
      <c r="R362" s="23">
        <f t="shared" ca="1" si="47"/>
        <v>3.7440000000000001E-5</v>
      </c>
    </row>
    <row r="363" spans="1:18" x14ac:dyDescent="0.3">
      <c r="A363" s="23" t="s">
        <v>1025</v>
      </c>
      <c r="B363" s="23" t="s">
        <v>1113</v>
      </c>
      <c r="C363" s="23" t="str">
        <f>VLOOKUP(B363,IF(A363="COMPOSICAO",S!$A:$E,I!$A:$E),2,FALSE)</f>
        <v>ORSE</v>
      </c>
      <c r="D363" s="24" t="str">
        <f>VLOOKUP(B363,IF(A363="COMPOSICAO",S!$A:$E,I!$A:$E),3,FALSE)</f>
        <v>PROTETOR AURICULAR</v>
      </c>
      <c r="E363" s="23" t="str">
        <f>VLOOKUP(B363,IF(A363="COMPOSICAO",S!$A:$E,I!$A:$E),4,FALSE)</f>
        <v>UN</v>
      </c>
      <c r="F363" s="23">
        <v>4.4999999999999997E-3</v>
      </c>
      <c r="G363" s="71">
        <f>IF(A363="COMPOSICAO",VLOOKUP("TOTAL SEM BDI - "&amp;B363,CPUAUX4!$A:$J,9,FALSE),VLOOKUP(B363,I!$A:$E,5,FALSE))</f>
        <v>4.9000000000000004</v>
      </c>
      <c r="H363" s="72"/>
      <c r="I363" s="71">
        <f t="shared" si="44"/>
        <v>0.02</v>
      </c>
      <c r="J363" s="72"/>
      <c r="M363" s="23" t="str">
        <f t="shared" si="45"/>
        <v>10596/ORSE</v>
      </c>
      <c r="N363" s="23">
        <f>SUMIF(CPUAUX2!M:M,B352,CPUAUX2!O:O)</f>
        <v>0.46799999999999997</v>
      </c>
      <c r="O363" s="23">
        <f t="shared" si="46"/>
        <v>2.1059999999999998E-3</v>
      </c>
      <c r="Q363" s="23">
        <f ca="1">SUMIF(CPUAUX2!M:M,B352,CPUAUX2!R:R)</f>
        <v>0.18720000000000001</v>
      </c>
      <c r="R363" s="23">
        <f t="shared" ca="1" si="47"/>
        <v>8.4239999999999998E-4</v>
      </c>
    </row>
    <row r="364" spans="1:18" x14ac:dyDescent="0.3">
      <c r="A364" s="23" t="s">
        <v>1025</v>
      </c>
      <c r="B364" s="23" t="s">
        <v>1114</v>
      </c>
      <c r="C364" s="23" t="str">
        <f>VLOOKUP(B364,IF(A364="COMPOSICAO",S!$A:$E,I!$A:$E),2,FALSE)</f>
        <v>ORSE</v>
      </c>
      <c r="D364" s="24" t="str">
        <f>VLOOKUP(B364,IF(A364="COMPOSICAO",S!$A:$E,I!$A:$E),3,FALSE)</f>
        <v>PROTETOR SOLAR FPS 30 COM 120ML</v>
      </c>
      <c r="E364" s="23" t="str">
        <f>VLOOKUP(B364,IF(A364="COMPOSICAO",S!$A:$E,I!$A:$E),4,FALSE)</f>
        <v>UN</v>
      </c>
      <c r="F364" s="23">
        <v>1.8E-3</v>
      </c>
      <c r="G364" s="71">
        <f>IF(A364="COMPOSICAO",VLOOKUP("TOTAL SEM BDI - "&amp;B364,CPUAUX4!$A:$J,9,FALSE),VLOOKUP(B364,I!$A:$E,5,FALSE))</f>
        <v>18</v>
      </c>
      <c r="H364" s="72"/>
      <c r="I364" s="71">
        <f t="shared" si="44"/>
        <v>0.03</v>
      </c>
      <c r="J364" s="72"/>
      <c r="M364" s="23" t="str">
        <f t="shared" si="45"/>
        <v>10599/ORSE</v>
      </c>
      <c r="N364" s="23">
        <f>SUMIF(CPUAUX2!M:M,B352,CPUAUX2!O:O)</f>
        <v>0.46799999999999997</v>
      </c>
      <c r="O364" s="23">
        <f t="shared" si="46"/>
        <v>8.4239999999999988E-4</v>
      </c>
      <c r="Q364" s="23">
        <f ca="1">SUMIF(CPUAUX2!M:M,B352,CPUAUX2!R:R)</f>
        <v>0.18720000000000001</v>
      </c>
      <c r="R364" s="23">
        <f t="shared" ca="1" si="47"/>
        <v>3.3696000000000003E-4</v>
      </c>
    </row>
    <row r="365" spans="1:18" ht="30" customHeight="1" x14ac:dyDescent="0.3">
      <c r="A365" s="23" t="s">
        <v>1025</v>
      </c>
      <c r="B365" s="23" t="s">
        <v>1115</v>
      </c>
      <c r="C365" s="23" t="str">
        <f>VLOOKUP(B365,IF(A365="COMPOSICAO",S!$A:$E,I!$A:$E),2,FALSE)</f>
        <v>ORSE</v>
      </c>
      <c r="D365" s="24" t="str">
        <f>VLOOKUP(B365,IF(A365="COMPOSICAO",S!$A:$E,I!$A:$E),3,FALSE)</f>
        <v>REFEIÇÃO - CAFÉ DA MANHÃ ( CAFÉ COM LEITE E DOIS PÃES COM MANTEIGA)</v>
      </c>
      <c r="E365" s="23" t="str">
        <f>VLOOKUP(B365,IF(A365="COMPOSICAO",S!$A:$E,I!$A:$E),4,FALSE)</f>
        <v>UN</v>
      </c>
      <c r="F365" s="23">
        <v>0.1018</v>
      </c>
      <c r="G365" s="71">
        <f>IF(A365="COMPOSICAO",VLOOKUP("TOTAL SEM BDI - "&amp;B365,CPUAUX4!$A:$J,9,FALSE),VLOOKUP(B365,I!$A:$E,5,FALSE))</f>
        <v>5</v>
      </c>
      <c r="H365" s="72"/>
      <c r="I365" s="71">
        <f t="shared" si="44"/>
        <v>0.5</v>
      </c>
      <c r="J365" s="72"/>
      <c r="M365" s="23" t="str">
        <f t="shared" si="45"/>
        <v>10761/ORSE</v>
      </c>
      <c r="N365" s="23">
        <f>SUMIF(CPUAUX2!M:M,B352,CPUAUX2!O:O)</f>
        <v>0.46799999999999997</v>
      </c>
      <c r="O365" s="23">
        <f t="shared" si="46"/>
        <v>4.7642399999999994E-2</v>
      </c>
      <c r="Q365" s="23">
        <f ca="1">SUMIF(CPUAUX2!M:M,B352,CPUAUX2!R:R)</f>
        <v>0.18720000000000001</v>
      </c>
      <c r="R365" s="23">
        <f t="shared" ca="1" si="47"/>
        <v>1.9056960000000001E-2</v>
      </c>
    </row>
    <row r="366" spans="1:18" x14ac:dyDescent="0.3">
      <c r="A366" s="23" t="s">
        <v>1025</v>
      </c>
      <c r="B366" s="23" t="s">
        <v>1144</v>
      </c>
      <c r="C366" s="23" t="str">
        <f>VLOOKUP(B366,IF(A366="COMPOSICAO",S!$A:$E,I!$A:$E),2,FALSE)</f>
        <v>ORSE</v>
      </c>
      <c r="D366" s="24" t="str">
        <f>VLOOKUP(B366,IF(A366="COMPOSICAO",S!$A:$E,I!$A:$E),3,FALSE)</f>
        <v>MARTELO COM UNHA</v>
      </c>
      <c r="E366" s="23" t="str">
        <f>VLOOKUP(B366,IF(A366="COMPOSICAO",S!$A:$E,I!$A:$E),4,FALSE)</f>
        <v>UN</v>
      </c>
      <c r="F366" s="23">
        <v>2.0000000000000001E-4</v>
      </c>
      <c r="G366" s="71">
        <f>IF(A366="COMPOSICAO",VLOOKUP("TOTAL SEM BDI - "&amp;B366,CPUAUX4!$A:$J,9,FALSE),VLOOKUP(B366,I!$A:$E,5,FALSE))</f>
        <v>48.95</v>
      </c>
      <c r="H366" s="72"/>
      <c r="I366" s="71">
        <f t="shared" si="44"/>
        <v>0</v>
      </c>
      <c r="J366" s="72"/>
      <c r="M366" s="23" t="str">
        <f t="shared" si="45"/>
        <v>11244/ORSE</v>
      </c>
      <c r="N366" s="23">
        <f>SUMIF(CPUAUX2!M:M,B352,CPUAUX2!O:O)</f>
        <v>0.46799999999999997</v>
      </c>
      <c r="O366" s="23">
        <f t="shared" si="46"/>
        <v>9.3599999999999998E-5</v>
      </c>
      <c r="Q366" s="23">
        <f ca="1">SUMIF(CPUAUX2!M:M,B352,CPUAUX2!R:R)</f>
        <v>0.18720000000000001</v>
      </c>
      <c r="R366" s="23">
        <f t="shared" ca="1" si="47"/>
        <v>3.7440000000000001E-5</v>
      </c>
    </row>
    <row r="367" spans="1:18" ht="30" customHeight="1" x14ac:dyDescent="0.3">
      <c r="A367" s="23" t="s">
        <v>1025</v>
      </c>
      <c r="B367" s="23" t="s">
        <v>1145</v>
      </c>
      <c r="C367" s="23" t="str">
        <f>VLOOKUP(B367,IF(A367="COMPOSICAO",S!$A:$E,I!$A:$E),2,FALSE)</f>
        <v>ORSE</v>
      </c>
      <c r="D367" s="24" t="str">
        <f>VLOOKUP(B367,IF(A367="COMPOSICAO",S!$A:$E,I!$A:$E),3,FALSE)</f>
        <v>FURADEIRA E PARAFUSADEIRA ELETRICA BOSCH OU SIMILAR PROFISSIONAL</v>
      </c>
      <c r="E367" s="23" t="str">
        <f>VLOOKUP(B367,IF(A367="COMPOSICAO",S!$A:$E,I!$A:$E),4,FALSE)</f>
        <v>UN</v>
      </c>
      <c r="F367" s="23">
        <v>1E-4</v>
      </c>
      <c r="G367" s="71">
        <f>IF(A367="COMPOSICAO",VLOOKUP("TOTAL SEM BDI - "&amp;B367,CPUAUX4!$A:$J,9,FALSE),VLOOKUP(B367,I!$A:$E,5,FALSE))</f>
        <v>246</v>
      </c>
      <c r="H367" s="72"/>
      <c r="I367" s="71">
        <f t="shared" si="44"/>
        <v>0.02</v>
      </c>
      <c r="J367" s="72"/>
      <c r="M367" s="23" t="str">
        <f t="shared" si="45"/>
        <v>11248/ORSE</v>
      </c>
      <c r="N367" s="23">
        <f>SUMIF(CPUAUX2!M:M,B352,CPUAUX2!O:O)</f>
        <v>0.46799999999999997</v>
      </c>
      <c r="O367" s="23">
        <f t="shared" si="46"/>
        <v>4.6799999999999999E-5</v>
      </c>
      <c r="Q367" s="23">
        <f ca="1">SUMIF(CPUAUX2!M:M,B352,CPUAUX2!R:R)</f>
        <v>0.18720000000000001</v>
      </c>
      <c r="R367" s="23">
        <f t="shared" ca="1" si="47"/>
        <v>1.872E-5</v>
      </c>
    </row>
    <row r="368" spans="1:18" x14ac:dyDescent="0.3">
      <c r="A368" s="23" t="s">
        <v>1025</v>
      </c>
      <c r="B368" s="23" t="s">
        <v>1146</v>
      </c>
      <c r="C368" s="23" t="str">
        <f>VLOOKUP(B368,IF(A368="COMPOSICAO",S!$A:$E,I!$A:$E),2,FALSE)</f>
        <v>ORSE</v>
      </c>
      <c r="D368" s="24" t="str">
        <f>VLOOKUP(B368,IF(A368="COMPOSICAO",S!$A:$E,I!$A:$E),3,FALSE)</f>
        <v>SERRA CIRCULAR ELETRICA PORTATIL</v>
      </c>
      <c r="E368" s="23" t="str">
        <f>VLOOKUP(B368,IF(A368="COMPOSICAO",S!$A:$E,I!$A:$E),4,FALSE)</f>
        <v>UN</v>
      </c>
      <c r="F368" s="23">
        <v>1E-4</v>
      </c>
      <c r="G368" s="71">
        <f>IF(A368="COMPOSICAO",VLOOKUP("TOTAL SEM BDI - "&amp;B368,CPUAUX4!$A:$J,9,FALSE),VLOOKUP(B368,I!$A:$E,5,FALSE))</f>
        <v>617.95000000000005</v>
      </c>
      <c r="H368" s="72"/>
      <c r="I368" s="71">
        <f t="shared" si="44"/>
        <v>0.06</v>
      </c>
      <c r="J368" s="72"/>
      <c r="M368" s="23" t="str">
        <f t="shared" si="45"/>
        <v>11249/ORSE</v>
      </c>
      <c r="N368" s="23">
        <f>SUMIF(CPUAUX2!M:M,B352,CPUAUX2!O:O)</f>
        <v>0.46799999999999997</v>
      </c>
      <c r="O368" s="23">
        <f t="shared" si="46"/>
        <v>4.6799999999999999E-5</v>
      </c>
      <c r="Q368" s="23">
        <f ca="1">SUMIF(CPUAUX2!M:M,B352,CPUAUX2!R:R)</f>
        <v>0.18720000000000001</v>
      </c>
      <c r="R368" s="23">
        <f t="shared" ca="1" si="47"/>
        <v>1.872E-5</v>
      </c>
    </row>
    <row r="369" spans="1:18" ht="30" customHeight="1" x14ac:dyDescent="0.3">
      <c r="A369" s="23" t="s">
        <v>1025</v>
      </c>
      <c r="B369" s="23">
        <v>12892</v>
      </c>
      <c r="C369" s="23" t="str">
        <f>VLOOKUP(B369,IF(A369="COMPOSICAO",S!$A:$E,I!$A:$E),2,FALSE)</f>
        <v>SINAPI</v>
      </c>
      <c r="D369" s="24" t="str">
        <f>VLOOKUP(B369,IF(A369="COMPOSICAO",S!$A:$E,I!$A:$E),3,FALSE)</f>
        <v>LUVA RASPA DE COURO, CANO CURTO (PUNHO *7* CM)</v>
      </c>
      <c r="E369" s="23" t="str">
        <f>VLOOKUP(B369,IF(A369="COMPOSICAO",S!$A:$E,I!$A:$E),4,FALSE)</f>
        <v>PAR</v>
      </c>
      <c r="F369" s="23">
        <v>2.3E-3</v>
      </c>
      <c r="G369" s="71">
        <f>IF(A369="COMPOSICAO",VLOOKUP("TOTAL SEM BDI - "&amp;B369,CPUAUX4!$A:$J,9,FALSE),VLOOKUP(B369,I!$A:$E,5,FALSE))</f>
        <v>15.21</v>
      </c>
      <c r="H369" s="72"/>
      <c r="I369" s="71">
        <f t="shared" si="44"/>
        <v>0.03</v>
      </c>
      <c r="J369" s="72"/>
      <c r="M369" s="23">
        <f t="shared" si="45"/>
        <v>12892</v>
      </c>
      <c r="N369" s="23">
        <f>SUMIF(CPUAUX2!M:M,B352,CPUAUX2!O:O)</f>
        <v>0.46799999999999997</v>
      </c>
      <c r="O369" s="23">
        <f t="shared" si="46"/>
        <v>1.0763999999999999E-3</v>
      </c>
      <c r="Q369" s="23">
        <f ca="1">SUMIF(CPUAUX2!M:M,B352,CPUAUX2!R:R)</f>
        <v>0.18720000000000001</v>
      </c>
      <c r="R369" s="23">
        <f t="shared" ca="1" si="47"/>
        <v>4.3056000000000002E-4</v>
      </c>
    </row>
    <row r="370" spans="1:18" ht="30" customHeight="1" x14ac:dyDescent="0.3">
      <c r="A370" s="23" t="s">
        <v>1025</v>
      </c>
      <c r="B370" s="23">
        <v>12893</v>
      </c>
      <c r="C370" s="23" t="str">
        <f>VLOOKUP(B370,IF(A370="COMPOSICAO",S!$A:$E,I!$A:$E),2,FALSE)</f>
        <v>SINAPI</v>
      </c>
      <c r="D370" s="24" t="str">
        <f>VLOOKUP(B370,IF(A370="COMPOSICAO",S!$A:$E,I!$A:$E),3,FALSE)</f>
        <v>BOTA DE SEGURANCA COM BIQUEIRA DE ACO E COLARINHO ACOLCHOADO</v>
      </c>
      <c r="E370" s="23" t="str">
        <f>VLOOKUP(B370,IF(A370="COMPOSICAO",S!$A:$E,I!$A:$E),4,FALSE)</f>
        <v>PAR</v>
      </c>
      <c r="F370" s="23">
        <v>6.9999999999999999E-4</v>
      </c>
      <c r="G370" s="71">
        <f>IF(A370="COMPOSICAO",VLOOKUP("TOTAL SEM BDI - "&amp;B370,CPUAUX4!$A:$J,9,FALSE),VLOOKUP(B370,I!$A:$E,5,FALSE))</f>
        <v>103.39</v>
      </c>
      <c r="H370" s="72"/>
      <c r="I370" s="71">
        <f t="shared" si="44"/>
        <v>7.0000000000000007E-2</v>
      </c>
      <c r="J370" s="72"/>
      <c r="M370" s="23">
        <f t="shared" si="45"/>
        <v>12893</v>
      </c>
      <c r="N370" s="23">
        <f>SUMIF(CPUAUX2!M:M,B352,CPUAUX2!O:O)</f>
        <v>0.46799999999999997</v>
      </c>
      <c r="O370" s="23">
        <f t="shared" si="46"/>
        <v>3.2759999999999999E-4</v>
      </c>
      <c r="Q370" s="23">
        <f ca="1">SUMIF(CPUAUX2!M:M,B352,CPUAUX2!R:R)</f>
        <v>0.18720000000000001</v>
      </c>
      <c r="R370" s="23">
        <f t="shared" ca="1" si="47"/>
        <v>1.3103999999999999E-4</v>
      </c>
    </row>
    <row r="371" spans="1:18" ht="30" customHeight="1" x14ac:dyDescent="0.3">
      <c r="A371" s="23" t="s">
        <v>1025</v>
      </c>
      <c r="B371" s="23">
        <v>12894</v>
      </c>
      <c r="C371" s="23" t="str">
        <f>VLOOKUP(B371,IF(A371="COMPOSICAO",S!$A:$E,I!$A:$E),2,FALSE)</f>
        <v>SINAPI</v>
      </c>
      <c r="D371" s="24" t="str">
        <f>VLOOKUP(B371,IF(A371="COMPOSICAO",S!$A:$E,I!$A:$E),3,FALSE)</f>
        <v>CAPA PARA CHUVA EM PVC COM FORRO DE POLIESTER, COM CAPUZ (AMARELA OU AZUL)</v>
      </c>
      <c r="E371" s="23" t="str">
        <f>VLOOKUP(B371,IF(A371="COMPOSICAO",S!$A:$E,I!$A:$E),4,FALSE)</f>
        <v>UN</v>
      </c>
      <c r="F371" s="23">
        <v>2.0000000000000001E-4</v>
      </c>
      <c r="G371" s="71">
        <f>IF(A371="COMPOSICAO",VLOOKUP("TOTAL SEM BDI - "&amp;B371,CPUAUX4!$A:$J,9,FALSE),VLOOKUP(B371,I!$A:$E,5,FALSE))</f>
        <v>28.12</v>
      </c>
      <c r="H371" s="72"/>
      <c r="I371" s="71">
        <f t="shared" si="44"/>
        <v>0</v>
      </c>
      <c r="J371" s="72"/>
      <c r="M371" s="23">
        <f t="shared" si="45"/>
        <v>12894</v>
      </c>
      <c r="N371" s="23">
        <f>SUMIF(CPUAUX2!M:M,B352,CPUAUX2!O:O)</f>
        <v>0.46799999999999997</v>
      </c>
      <c r="O371" s="23">
        <f t="shared" si="46"/>
        <v>9.3599999999999998E-5</v>
      </c>
      <c r="Q371" s="23">
        <f ca="1">SUMIF(CPUAUX2!M:M,B352,CPUAUX2!R:R)</f>
        <v>0.18720000000000001</v>
      </c>
      <c r="R371" s="23">
        <f t="shared" ca="1" si="47"/>
        <v>3.7440000000000001E-5</v>
      </c>
    </row>
    <row r="372" spans="1:18" ht="30" customHeight="1" x14ac:dyDescent="0.3">
      <c r="A372" s="23" t="s">
        <v>1025</v>
      </c>
      <c r="B372" s="23">
        <v>12895</v>
      </c>
      <c r="C372" s="23" t="str">
        <f>VLOOKUP(B372,IF(A372="COMPOSICAO",S!$A:$E,I!$A:$E),2,FALSE)</f>
        <v>SINAPI</v>
      </c>
      <c r="D372" s="24" t="str">
        <f>VLOOKUP(B372,IF(A372="COMPOSICAO",S!$A:$E,I!$A:$E),3,FALSE)</f>
        <v>CAPACETE DE SEGURANCA ABA FRONTAL COM SUSPENSAO DE POLIETILENO, SEM JUGULAR (CLASSE B)</v>
      </c>
      <c r="E372" s="23" t="str">
        <f>VLOOKUP(B372,IF(A372="COMPOSICAO",S!$A:$E,I!$A:$E),4,FALSE)</f>
        <v>UN</v>
      </c>
      <c r="F372" s="23">
        <v>5.9999999999999995E-4</v>
      </c>
      <c r="G372" s="71">
        <f>IF(A372="COMPOSICAO",VLOOKUP("TOTAL SEM BDI - "&amp;B372,CPUAUX4!$A:$J,9,FALSE),VLOOKUP(B372,I!$A:$E,5,FALSE))</f>
        <v>18.88</v>
      </c>
      <c r="H372" s="72"/>
      <c r="I372" s="71">
        <f t="shared" si="44"/>
        <v>0.01</v>
      </c>
      <c r="J372" s="72"/>
      <c r="M372" s="23">
        <f t="shared" si="45"/>
        <v>12895</v>
      </c>
      <c r="N372" s="23">
        <f>SUMIF(CPUAUX2!M:M,B352,CPUAUX2!O:O)</f>
        <v>0.46799999999999997</v>
      </c>
      <c r="O372" s="23">
        <f t="shared" si="46"/>
        <v>2.8079999999999994E-4</v>
      </c>
      <c r="Q372" s="23">
        <f ca="1">SUMIF(CPUAUX2!M:M,B352,CPUAUX2!R:R)</f>
        <v>0.18720000000000001</v>
      </c>
      <c r="R372" s="23">
        <f t="shared" ca="1" si="47"/>
        <v>1.1232E-4</v>
      </c>
    </row>
    <row r="373" spans="1:18" x14ac:dyDescent="0.3">
      <c r="A373" s="68" t="str">
        <f>"TOTAL SEM BDI - "&amp;B352</f>
        <v>TOTAL SEM BDI - 10551/ORSE</v>
      </c>
      <c r="B373" s="69"/>
      <c r="C373" s="69"/>
      <c r="D373" s="69"/>
      <c r="E373" s="69"/>
      <c r="F373" s="69"/>
      <c r="G373" s="69"/>
      <c r="H373" s="70"/>
      <c r="I373" s="71">
        <f>SUM(I352:I372)</f>
        <v>3.8299999999999992</v>
      </c>
      <c r="J373" s="72"/>
    </row>
    <row r="375" spans="1:18" x14ac:dyDescent="0.3">
      <c r="A375" s="4" t="s">
        <v>1018</v>
      </c>
      <c r="B375" s="4" t="s">
        <v>138</v>
      </c>
      <c r="C375" s="4" t="s">
        <v>139</v>
      </c>
      <c r="D375" s="4" t="s">
        <v>21</v>
      </c>
      <c r="E375" s="4" t="s">
        <v>140</v>
      </c>
      <c r="F375" s="4" t="s">
        <v>506</v>
      </c>
      <c r="G375" s="34" t="s">
        <v>1019</v>
      </c>
      <c r="H375" s="35"/>
      <c r="I375" s="34" t="s">
        <v>15</v>
      </c>
      <c r="J375" s="35"/>
    </row>
    <row r="376" spans="1:18" x14ac:dyDescent="0.3">
      <c r="A376" s="15" t="s">
        <v>516</v>
      </c>
      <c r="B376" s="15" t="s">
        <v>1139</v>
      </c>
      <c r="C376" s="15" t="str">
        <f>VLOOKUP(B376,S!$A:$G,2,FALSE)</f>
        <v>ORSE</v>
      </c>
      <c r="D376" s="22" t="str">
        <f>VLOOKUP(B376,S!$A:$G,3,FALSE)</f>
        <v>ENCARGOS COMPLEMENTARES - ARMADOR</v>
      </c>
      <c r="E376" s="15" t="str">
        <f>VLOOKUP(B376,S!$A:$G,4,FALSE)</f>
        <v>H</v>
      </c>
      <c r="F376" s="15"/>
      <c r="G376" s="73">
        <f>I393</f>
        <v>3.7599999999999993</v>
      </c>
      <c r="H376" s="74"/>
      <c r="I376" s="73"/>
      <c r="J376" s="74"/>
      <c r="K376" s="16">
        <f>VLOOKUP(B376,S!A:G,5,FALSE)</f>
        <v>3.8</v>
      </c>
      <c r="L376" s="15" t="str">
        <f>IF(K376=G376,"OK, CONFORME TABELA",IF(G376&gt;K376,"ACIMA DA TABELA: ","ABAIXO DA TABELA: ")&amp;TRUNC((G376*100)/K376,2)&amp;" %")</f>
        <v>ABAIXO DA TABELA: 98,94 %</v>
      </c>
    </row>
    <row r="377" spans="1:18" x14ac:dyDescent="0.3">
      <c r="A377" s="23" t="s">
        <v>1025</v>
      </c>
      <c r="B377" s="23" t="s">
        <v>1104</v>
      </c>
      <c r="C377" s="23" t="str">
        <f>VLOOKUP(B377,IF(A377="COMPOSICAO",S!$A:$E,I!$A:$E),2,FALSE)</f>
        <v>ORSE</v>
      </c>
      <c r="D377" s="24" t="str">
        <f>VLOOKUP(B377,IF(A377="COMPOSICAO",S!$A:$E,I!$A:$E),3,FALSE)</f>
        <v>ALMOÇO (PARTICIPAÇÃO DO EMPREGADOR)</v>
      </c>
      <c r="E377" s="23" t="str">
        <f>VLOOKUP(B377,IF(A377="COMPOSICAO",S!$A:$E,I!$A:$E),4,FALSE)</f>
        <v>UN</v>
      </c>
      <c r="F377" s="23">
        <v>0.1018</v>
      </c>
      <c r="G377" s="71">
        <f>IF(A377="COMPOSICAO",VLOOKUP("TOTAL SEM BDI - "&amp;B377,CPUAUX4!$A:$J,9,FALSE),VLOOKUP(B377,I!$A:$E,5,FALSE))</f>
        <v>14</v>
      </c>
      <c r="H377" s="72"/>
      <c r="I377" s="71">
        <f t="shared" ref="I377:I392" si="48">TRUNC(F377*G377,2)</f>
        <v>1.42</v>
      </c>
      <c r="J377" s="72"/>
      <c r="M377" s="23" t="str">
        <f t="shared" ref="M377:M392" si="49">B377</f>
        <v>00158/ORSE</v>
      </c>
      <c r="N377" s="23">
        <f>SUMIF(CPUAUX2!M:M,B376,CPUAUX2!O:O)</f>
        <v>0.23399999999999999</v>
      </c>
      <c r="O377" s="23">
        <f t="shared" ref="O377:O392" si="50">F377*N377</f>
        <v>2.3821199999999997E-2</v>
      </c>
      <c r="Q377" s="23">
        <f ca="1">SUMIF(CPUAUX2!M:M,B376,CPUAUX2!R:R)</f>
        <v>9.3600000000000003E-2</v>
      </c>
      <c r="R377" s="23">
        <f t="shared" ref="R377:R392" ca="1" si="51">F377*Q377</f>
        <v>9.5284800000000006E-3</v>
      </c>
    </row>
    <row r="378" spans="1:18" x14ac:dyDescent="0.3">
      <c r="A378" s="23" t="s">
        <v>1025</v>
      </c>
      <c r="B378" s="23" t="s">
        <v>1105</v>
      </c>
      <c r="C378" s="23" t="str">
        <f>VLOOKUP(B378,IF(A378="COMPOSICAO",S!$A:$E,I!$A:$E),2,FALSE)</f>
        <v>ORSE</v>
      </c>
      <c r="D378" s="24" t="str">
        <f>VLOOKUP(B378,IF(A378="COMPOSICAO",S!$A:$E,I!$A:$E),3,FALSE)</f>
        <v>FARDAMENTO COM MANGAS CURTA</v>
      </c>
      <c r="E378" s="23" t="str">
        <f>VLOOKUP(B378,IF(A378="COMPOSICAO",S!$A:$E,I!$A:$E),4,FALSE)</f>
        <v>UN</v>
      </c>
      <c r="F378" s="23">
        <v>1.5E-3</v>
      </c>
      <c r="G378" s="71">
        <f>IF(A378="COMPOSICAO",VLOOKUP("TOTAL SEM BDI - "&amp;B378,CPUAUX4!$A:$J,9,FALSE),VLOOKUP(B378,I!$A:$E,5,FALSE))</f>
        <v>196.71</v>
      </c>
      <c r="H378" s="72"/>
      <c r="I378" s="71">
        <f t="shared" si="48"/>
        <v>0.28999999999999998</v>
      </c>
      <c r="J378" s="72"/>
      <c r="M378" s="23" t="str">
        <f t="shared" si="49"/>
        <v>00941/ORSE</v>
      </c>
      <c r="N378" s="23">
        <f>SUMIF(CPUAUX2!M:M,B376,CPUAUX2!O:O)</f>
        <v>0.23399999999999999</v>
      </c>
      <c r="O378" s="23">
        <f t="shared" si="50"/>
        <v>3.5099999999999997E-4</v>
      </c>
      <c r="Q378" s="23">
        <f ca="1">SUMIF(CPUAUX2!M:M,B376,CPUAUX2!R:R)</f>
        <v>9.3600000000000003E-2</v>
      </c>
      <c r="R378" s="23">
        <f t="shared" ca="1" si="51"/>
        <v>1.404E-4</v>
      </c>
    </row>
    <row r="379" spans="1:18" x14ac:dyDescent="0.3">
      <c r="A379" s="23" t="s">
        <v>1025</v>
      </c>
      <c r="B379" s="23" t="s">
        <v>1106</v>
      </c>
      <c r="C379" s="23" t="str">
        <f>VLOOKUP(B379,IF(A379="COMPOSICAO",S!$A:$E,I!$A:$E),2,FALSE)</f>
        <v>ORSE</v>
      </c>
      <c r="D379" s="24" t="str">
        <f>VLOOKUP(B379,IF(A379="COMPOSICAO",S!$A:$E,I!$A:$E),3,FALSE)</f>
        <v>ÓCULOS BRANCO PROTEÇÃO</v>
      </c>
      <c r="E379" s="23" t="str">
        <f>VLOOKUP(B379,IF(A379="COMPOSICAO",S!$A:$E,I!$A:$E),4,FALSE)</f>
        <v>PR</v>
      </c>
      <c r="F379" s="23">
        <v>8.0000000000000004E-4</v>
      </c>
      <c r="G379" s="71">
        <f>IF(A379="COMPOSICAO",VLOOKUP("TOTAL SEM BDI - "&amp;B379,CPUAUX4!$A:$J,9,FALSE),VLOOKUP(B379,I!$A:$E,5,FALSE))</f>
        <v>7</v>
      </c>
      <c r="H379" s="72"/>
      <c r="I379" s="71">
        <f t="shared" si="48"/>
        <v>0</v>
      </c>
      <c r="J379" s="72"/>
      <c r="M379" s="23" t="str">
        <f t="shared" si="49"/>
        <v>01651/ORSE</v>
      </c>
      <c r="N379" s="23">
        <f>SUMIF(CPUAUX2!M:M,B376,CPUAUX2!O:O)</f>
        <v>0.23399999999999999</v>
      </c>
      <c r="O379" s="23">
        <f t="shared" si="50"/>
        <v>1.872E-4</v>
      </c>
      <c r="Q379" s="23">
        <f ca="1">SUMIF(CPUAUX2!M:M,B376,CPUAUX2!R:R)</f>
        <v>9.3600000000000003E-2</v>
      </c>
      <c r="R379" s="23">
        <f t="shared" ca="1" si="51"/>
        <v>7.4880000000000001E-5</v>
      </c>
    </row>
    <row r="380" spans="1:18" x14ac:dyDescent="0.3">
      <c r="A380" s="23" t="s">
        <v>1025</v>
      </c>
      <c r="B380" s="23" t="s">
        <v>1107</v>
      </c>
      <c r="C380" s="23" t="str">
        <f>VLOOKUP(B380,IF(A380="COMPOSICAO",S!$A:$E,I!$A:$E),2,FALSE)</f>
        <v>ORSE</v>
      </c>
      <c r="D380" s="24" t="str">
        <f>VLOOKUP(B380,IF(A380="COMPOSICAO",S!$A:$E,I!$A:$E),3,FALSE)</f>
        <v>VALE TRANSPORTE</v>
      </c>
      <c r="E380" s="23" t="str">
        <f>VLOOKUP(B380,IF(A380="COMPOSICAO",S!$A:$E,I!$A:$E),4,FALSE)</f>
        <v>UN</v>
      </c>
      <c r="F380" s="23">
        <v>6.54E-2</v>
      </c>
      <c r="G380" s="71">
        <f>IF(A380="COMPOSICAO",VLOOKUP("TOTAL SEM BDI - "&amp;B380,CPUAUX4!$A:$J,9,FALSE),VLOOKUP(B380,I!$A:$E,5,FALSE))</f>
        <v>4.5</v>
      </c>
      <c r="H380" s="72"/>
      <c r="I380" s="71">
        <f t="shared" si="48"/>
        <v>0.28999999999999998</v>
      </c>
      <c r="J380" s="72"/>
      <c r="M380" s="23" t="str">
        <f t="shared" si="49"/>
        <v>02378/ORSE</v>
      </c>
      <c r="N380" s="23">
        <f>SUMIF(CPUAUX2!M:M,B376,CPUAUX2!O:O)</f>
        <v>0.23399999999999999</v>
      </c>
      <c r="O380" s="23">
        <f t="shared" si="50"/>
        <v>1.5303599999999999E-2</v>
      </c>
      <c r="Q380" s="23">
        <f ca="1">SUMIF(CPUAUX2!M:M,B376,CPUAUX2!R:R)</f>
        <v>9.3600000000000003E-2</v>
      </c>
      <c r="R380" s="23">
        <f t="shared" ca="1" si="51"/>
        <v>6.1214400000000006E-3</v>
      </c>
    </row>
    <row r="381" spans="1:18" x14ac:dyDescent="0.3">
      <c r="A381" s="23" t="s">
        <v>1025</v>
      </c>
      <c r="B381" s="23" t="s">
        <v>1110</v>
      </c>
      <c r="C381" s="23" t="str">
        <f>VLOOKUP(B381,IF(A381="COMPOSICAO",S!$A:$E,I!$A:$E),2,FALSE)</f>
        <v>ORSE</v>
      </c>
      <c r="D381" s="24" t="str">
        <f>VLOOKUP(B381,IF(A381="COMPOSICAO",S!$A:$E,I!$A:$E),3,FALSE)</f>
        <v>SEGURO DE VIDA E ACIDENTE EM GRUPO</v>
      </c>
      <c r="E381" s="23" t="str">
        <f>VLOOKUP(B381,IF(A381="COMPOSICAO",S!$A:$E,I!$A:$E),4,FALSE)</f>
        <v>UN</v>
      </c>
      <c r="F381" s="23">
        <v>4.4999999999999997E-3</v>
      </c>
      <c r="G381" s="71">
        <f>IF(A381="COMPOSICAO",VLOOKUP("TOTAL SEM BDI - "&amp;B381,CPUAUX4!$A:$J,9,FALSE),VLOOKUP(B381,I!$A:$E,5,FALSE))</f>
        <v>12.54</v>
      </c>
      <c r="H381" s="72"/>
      <c r="I381" s="71">
        <f t="shared" si="48"/>
        <v>0.05</v>
      </c>
      <c r="J381" s="72"/>
      <c r="M381" s="23" t="str">
        <f t="shared" si="49"/>
        <v>10362/ORSE</v>
      </c>
      <c r="N381" s="23">
        <f>SUMIF(CPUAUX2!M:M,B376,CPUAUX2!O:O)</f>
        <v>0.23399999999999999</v>
      </c>
      <c r="O381" s="23">
        <f t="shared" si="50"/>
        <v>1.0529999999999999E-3</v>
      </c>
      <c r="Q381" s="23">
        <f ca="1">SUMIF(CPUAUX2!M:M,B376,CPUAUX2!R:R)</f>
        <v>9.3600000000000003E-2</v>
      </c>
      <c r="R381" s="23">
        <f t="shared" ca="1" si="51"/>
        <v>4.2119999999999999E-4</v>
      </c>
    </row>
    <row r="382" spans="1:18" x14ac:dyDescent="0.3">
      <c r="A382" s="23" t="s">
        <v>1025</v>
      </c>
      <c r="B382" s="23" t="s">
        <v>1111</v>
      </c>
      <c r="C382" s="23" t="str">
        <f>VLOOKUP(B382,IF(A382="COMPOSICAO",S!$A:$E,I!$A:$E),2,FALSE)</f>
        <v>ORSE</v>
      </c>
      <c r="D382" s="24" t="str">
        <f>VLOOKUP(B382,IF(A382="COMPOSICAO",S!$A:$E,I!$A:$E),3,FALSE)</f>
        <v>CESTA BÁSICA</v>
      </c>
      <c r="E382" s="23" t="str">
        <f>VLOOKUP(B382,IF(A382="COMPOSICAO",S!$A:$E,I!$A:$E),4,FALSE)</f>
        <v>UN</v>
      </c>
      <c r="F382" s="23">
        <v>4.4999999999999997E-3</v>
      </c>
      <c r="G382" s="71">
        <f>IF(A382="COMPOSICAO",VLOOKUP("TOTAL SEM BDI - "&amp;B382,CPUAUX4!$A:$J,9,FALSE),VLOOKUP(B382,I!$A:$E,5,FALSE))</f>
        <v>205</v>
      </c>
      <c r="H382" s="72"/>
      <c r="I382" s="71">
        <f t="shared" si="48"/>
        <v>0.92</v>
      </c>
      <c r="J382" s="72"/>
      <c r="M382" s="23" t="str">
        <f t="shared" si="49"/>
        <v>10492/ORSE</v>
      </c>
      <c r="N382" s="23">
        <f>SUMIF(CPUAUX2!M:M,B376,CPUAUX2!O:O)</f>
        <v>0.23399999999999999</v>
      </c>
      <c r="O382" s="23">
        <f t="shared" si="50"/>
        <v>1.0529999999999999E-3</v>
      </c>
      <c r="Q382" s="23">
        <f ca="1">SUMIF(CPUAUX2!M:M,B376,CPUAUX2!R:R)</f>
        <v>9.3600000000000003E-2</v>
      </c>
      <c r="R382" s="23">
        <f t="shared" ca="1" si="51"/>
        <v>4.2119999999999999E-4</v>
      </c>
    </row>
    <row r="383" spans="1:18" x14ac:dyDescent="0.3">
      <c r="A383" s="23" t="s">
        <v>1025</v>
      </c>
      <c r="B383" s="23" t="s">
        <v>1112</v>
      </c>
      <c r="C383" s="23" t="str">
        <f>VLOOKUP(B383,IF(A383="COMPOSICAO",S!$A:$E,I!$A:$E),2,FALSE)</f>
        <v>ORSE</v>
      </c>
      <c r="D383" s="24" t="str">
        <f>VLOOKUP(B383,IF(A383="COMPOSICAO",S!$A:$E,I!$A:$E),3,FALSE)</f>
        <v>EXAMES ADMISSIONAIS/DEMISSIONAIS (CHECKUP)</v>
      </c>
      <c r="E383" s="23" t="str">
        <f>VLOOKUP(B383,IF(A383="COMPOSICAO",S!$A:$E,I!$A:$E),4,FALSE)</f>
        <v>CJ</v>
      </c>
      <c r="F383" s="23">
        <v>4.0000000000000002E-4</v>
      </c>
      <c r="G383" s="71">
        <f>IF(A383="COMPOSICAO",VLOOKUP("TOTAL SEM BDI - "&amp;B383,CPUAUX4!$A:$J,9,FALSE),VLOOKUP(B383,I!$A:$E,5,FALSE))</f>
        <v>300</v>
      </c>
      <c r="H383" s="72"/>
      <c r="I383" s="71">
        <f t="shared" si="48"/>
        <v>0.12</v>
      </c>
      <c r="J383" s="72"/>
      <c r="M383" s="23" t="str">
        <f t="shared" si="49"/>
        <v>10517/ORSE</v>
      </c>
      <c r="N383" s="23">
        <f>SUMIF(CPUAUX2!M:M,B376,CPUAUX2!O:O)</f>
        <v>0.23399999999999999</v>
      </c>
      <c r="O383" s="23">
        <f t="shared" si="50"/>
        <v>9.3599999999999998E-5</v>
      </c>
      <c r="Q383" s="23">
        <f ca="1">SUMIF(CPUAUX2!M:M,B376,CPUAUX2!R:R)</f>
        <v>9.3600000000000003E-2</v>
      </c>
      <c r="R383" s="23">
        <f t="shared" ca="1" si="51"/>
        <v>3.7440000000000001E-5</v>
      </c>
    </row>
    <row r="384" spans="1:18" x14ac:dyDescent="0.3">
      <c r="A384" s="23" t="s">
        <v>1025</v>
      </c>
      <c r="B384" s="23" t="s">
        <v>1148</v>
      </c>
      <c r="C384" s="23" t="str">
        <f>VLOOKUP(B384,IF(A384="COMPOSICAO",S!$A:$E,I!$A:$E),2,FALSE)</f>
        <v>ORSE</v>
      </c>
      <c r="D384" s="24" t="str">
        <f>VLOOKUP(B384,IF(A384="COMPOSICAO",S!$A:$E,I!$A:$E),3,FALSE)</f>
        <v>ARCO DE SERRA</v>
      </c>
      <c r="E384" s="23" t="str">
        <f>VLOOKUP(B384,IF(A384="COMPOSICAO",S!$A:$E,I!$A:$E),4,FALSE)</f>
        <v>UN</v>
      </c>
      <c r="F384" s="23">
        <v>2.0000000000000001E-4</v>
      </c>
      <c r="G384" s="71">
        <f>IF(A384="COMPOSICAO",VLOOKUP("TOTAL SEM BDI - "&amp;B384,CPUAUX4!$A:$J,9,FALSE),VLOOKUP(B384,I!$A:$E,5,FALSE))</f>
        <v>19.899999999999999</v>
      </c>
      <c r="H384" s="72"/>
      <c r="I384" s="71">
        <f t="shared" si="48"/>
        <v>0</v>
      </c>
      <c r="J384" s="72"/>
      <c r="M384" s="23" t="str">
        <f t="shared" si="49"/>
        <v>10585/ORSE</v>
      </c>
      <c r="N384" s="23">
        <f>SUMIF(CPUAUX2!M:M,B376,CPUAUX2!O:O)</f>
        <v>0.23399999999999999</v>
      </c>
      <c r="O384" s="23">
        <f t="shared" si="50"/>
        <v>4.6799999999999999E-5</v>
      </c>
      <c r="Q384" s="23">
        <f ca="1">SUMIF(CPUAUX2!M:M,B376,CPUAUX2!R:R)</f>
        <v>9.3600000000000003E-2</v>
      </c>
      <c r="R384" s="23">
        <f t="shared" ca="1" si="51"/>
        <v>1.872E-5</v>
      </c>
    </row>
    <row r="385" spans="1:18" x14ac:dyDescent="0.3">
      <c r="A385" s="23" t="s">
        <v>1025</v>
      </c>
      <c r="B385" s="23" t="s">
        <v>1149</v>
      </c>
      <c r="C385" s="23" t="str">
        <f>VLOOKUP(B385,IF(A385="COMPOSICAO",S!$A:$E,I!$A:$E),2,FALSE)</f>
        <v>ORSE</v>
      </c>
      <c r="D385" s="24" t="str">
        <f>VLOOKUP(B385,IF(A385="COMPOSICAO",S!$A:$E,I!$A:$E),3,FALSE)</f>
        <v>TORQUESA</v>
      </c>
      <c r="E385" s="23" t="str">
        <f>VLOOKUP(B385,IF(A385="COMPOSICAO",S!$A:$E,I!$A:$E),4,FALSE)</f>
        <v>UN</v>
      </c>
      <c r="F385" s="23">
        <v>2.0000000000000001E-4</v>
      </c>
      <c r="G385" s="71">
        <f>IF(A385="COMPOSICAO",VLOOKUP("TOTAL SEM BDI - "&amp;B385,CPUAUX4!$A:$J,9,FALSE),VLOOKUP(B385,I!$A:$E,5,FALSE))</f>
        <v>39</v>
      </c>
      <c r="H385" s="72"/>
      <c r="I385" s="71">
        <f t="shared" si="48"/>
        <v>0</v>
      </c>
      <c r="J385" s="72"/>
      <c r="M385" s="23" t="str">
        <f t="shared" si="49"/>
        <v>10586/ORSE</v>
      </c>
      <c r="N385" s="23">
        <f>SUMIF(CPUAUX2!M:M,B376,CPUAUX2!O:O)</f>
        <v>0.23399999999999999</v>
      </c>
      <c r="O385" s="23">
        <f t="shared" si="50"/>
        <v>4.6799999999999999E-5</v>
      </c>
      <c r="Q385" s="23">
        <f ca="1">SUMIF(CPUAUX2!M:M,B376,CPUAUX2!R:R)</f>
        <v>9.3600000000000003E-2</v>
      </c>
      <c r="R385" s="23">
        <f t="shared" ca="1" si="51"/>
        <v>1.872E-5</v>
      </c>
    </row>
    <row r="386" spans="1:18" x14ac:dyDescent="0.3">
      <c r="A386" s="23" t="s">
        <v>1025</v>
      </c>
      <c r="B386" s="23" t="s">
        <v>1113</v>
      </c>
      <c r="C386" s="23" t="str">
        <f>VLOOKUP(B386,IF(A386="COMPOSICAO",S!$A:$E,I!$A:$E),2,FALSE)</f>
        <v>ORSE</v>
      </c>
      <c r="D386" s="24" t="str">
        <f>VLOOKUP(B386,IF(A386="COMPOSICAO",S!$A:$E,I!$A:$E),3,FALSE)</f>
        <v>PROTETOR AURICULAR</v>
      </c>
      <c r="E386" s="23" t="str">
        <f>VLOOKUP(B386,IF(A386="COMPOSICAO",S!$A:$E,I!$A:$E),4,FALSE)</f>
        <v>UN</v>
      </c>
      <c r="F386" s="23">
        <v>4.4999999999999997E-3</v>
      </c>
      <c r="G386" s="71">
        <f>IF(A386="COMPOSICAO",VLOOKUP("TOTAL SEM BDI - "&amp;B386,CPUAUX4!$A:$J,9,FALSE),VLOOKUP(B386,I!$A:$E,5,FALSE))</f>
        <v>4.9000000000000004</v>
      </c>
      <c r="H386" s="72"/>
      <c r="I386" s="71">
        <f t="shared" si="48"/>
        <v>0.02</v>
      </c>
      <c r="J386" s="72"/>
      <c r="M386" s="23" t="str">
        <f t="shared" si="49"/>
        <v>10596/ORSE</v>
      </c>
      <c r="N386" s="23">
        <f>SUMIF(CPUAUX2!M:M,B376,CPUAUX2!O:O)</f>
        <v>0.23399999999999999</v>
      </c>
      <c r="O386" s="23">
        <f t="shared" si="50"/>
        <v>1.0529999999999999E-3</v>
      </c>
      <c r="Q386" s="23">
        <f ca="1">SUMIF(CPUAUX2!M:M,B376,CPUAUX2!R:R)</f>
        <v>9.3600000000000003E-2</v>
      </c>
      <c r="R386" s="23">
        <f t="shared" ca="1" si="51"/>
        <v>4.2119999999999999E-4</v>
      </c>
    </row>
    <row r="387" spans="1:18" x14ac:dyDescent="0.3">
      <c r="A387" s="23" t="s">
        <v>1025</v>
      </c>
      <c r="B387" s="23" t="s">
        <v>1114</v>
      </c>
      <c r="C387" s="23" t="str">
        <f>VLOOKUP(B387,IF(A387="COMPOSICAO",S!$A:$E,I!$A:$E),2,FALSE)</f>
        <v>ORSE</v>
      </c>
      <c r="D387" s="24" t="str">
        <f>VLOOKUP(B387,IF(A387="COMPOSICAO",S!$A:$E,I!$A:$E),3,FALSE)</f>
        <v>PROTETOR SOLAR FPS 30 COM 120ML</v>
      </c>
      <c r="E387" s="23" t="str">
        <f>VLOOKUP(B387,IF(A387="COMPOSICAO",S!$A:$E,I!$A:$E),4,FALSE)</f>
        <v>UN</v>
      </c>
      <c r="F387" s="23">
        <v>1.8E-3</v>
      </c>
      <c r="G387" s="71">
        <f>IF(A387="COMPOSICAO",VLOOKUP("TOTAL SEM BDI - "&amp;B387,CPUAUX4!$A:$J,9,FALSE),VLOOKUP(B387,I!$A:$E,5,FALSE))</f>
        <v>18</v>
      </c>
      <c r="H387" s="72"/>
      <c r="I387" s="71">
        <f t="shared" si="48"/>
        <v>0.03</v>
      </c>
      <c r="J387" s="72"/>
      <c r="M387" s="23" t="str">
        <f t="shared" si="49"/>
        <v>10599/ORSE</v>
      </c>
      <c r="N387" s="23">
        <f>SUMIF(CPUAUX2!M:M,B376,CPUAUX2!O:O)</f>
        <v>0.23399999999999999</v>
      </c>
      <c r="O387" s="23">
        <f t="shared" si="50"/>
        <v>4.2119999999999994E-4</v>
      </c>
      <c r="Q387" s="23">
        <f ca="1">SUMIF(CPUAUX2!M:M,B376,CPUAUX2!R:R)</f>
        <v>9.3600000000000003E-2</v>
      </c>
      <c r="R387" s="23">
        <f t="shared" ca="1" si="51"/>
        <v>1.6848000000000001E-4</v>
      </c>
    </row>
    <row r="388" spans="1:18" ht="30" customHeight="1" x14ac:dyDescent="0.3">
      <c r="A388" s="23" t="s">
        <v>1025</v>
      </c>
      <c r="B388" s="23" t="s">
        <v>1115</v>
      </c>
      <c r="C388" s="23" t="str">
        <f>VLOOKUP(B388,IF(A388="COMPOSICAO",S!$A:$E,I!$A:$E),2,FALSE)</f>
        <v>ORSE</v>
      </c>
      <c r="D388" s="24" t="str">
        <f>VLOOKUP(B388,IF(A388="COMPOSICAO",S!$A:$E,I!$A:$E),3,FALSE)</f>
        <v>REFEIÇÃO - CAFÉ DA MANHÃ ( CAFÉ COM LEITE E DOIS PÃES COM MANTEIGA)</v>
      </c>
      <c r="E388" s="23" t="str">
        <f>VLOOKUP(B388,IF(A388="COMPOSICAO",S!$A:$E,I!$A:$E),4,FALSE)</f>
        <v>UN</v>
      </c>
      <c r="F388" s="23">
        <v>0.1018</v>
      </c>
      <c r="G388" s="71">
        <f>IF(A388="COMPOSICAO",VLOOKUP("TOTAL SEM BDI - "&amp;B388,CPUAUX4!$A:$J,9,FALSE),VLOOKUP(B388,I!$A:$E,5,FALSE))</f>
        <v>5</v>
      </c>
      <c r="H388" s="72"/>
      <c r="I388" s="71">
        <f t="shared" si="48"/>
        <v>0.5</v>
      </c>
      <c r="J388" s="72"/>
      <c r="M388" s="23" t="str">
        <f t="shared" si="49"/>
        <v>10761/ORSE</v>
      </c>
      <c r="N388" s="23">
        <f>SUMIF(CPUAUX2!M:M,B376,CPUAUX2!O:O)</f>
        <v>0.23399999999999999</v>
      </c>
      <c r="O388" s="23">
        <f t="shared" si="50"/>
        <v>2.3821199999999997E-2</v>
      </c>
      <c r="Q388" s="23">
        <f ca="1">SUMIF(CPUAUX2!M:M,B376,CPUAUX2!R:R)</f>
        <v>9.3600000000000003E-2</v>
      </c>
      <c r="R388" s="23">
        <f t="shared" ca="1" si="51"/>
        <v>9.5284800000000006E-3</v>
      </c>
    </row>
    <row r="389" spans="1:18" ht="30" customHeight="1" x14ac:dyDescent="0.3">
      <c r="A389" s="23" t="s">
        <v>1025</v>
      </c>
      <c r="B389" s="23">
        <v>12892</v>
      </c>
      <c r="C389" s="23" t="str">
        <f>VLOOKUP(B389,IF(A389="COMPOSICAO",S!$A:$E,I!$A:$E),2,FALSE)</f>
        <v>SINAPI</v>
      </c>
      <c r="D389" s="24" t="str">
        <f>VLOOKUP(B389,IF(A389="COMPOSICAO",S!$A:$E,I!$A:$E),3,FALSE)</f>
        <v>LUVA RASPA DE COURO, CANO CURTO (PUNHO *7* CM)</v>
      </c>
      <c r="E389" s="23" t="str">
        <f>VLOOKUP(B389,IF(A389="COMPOSICAO",S!$A:$E,I!$A:$E),4,FALSE)</f>
        <v>PAR</v>
      </c>
      <c r="F389" s="23">
        <v>2.3E-3</v>
      </c>
      <c r="G389" s="71">
        <f>IF(A389="COMPOSICAO",VLOOKUP("TOTAL SEM BDI - "&amp;B389,CPUAUX4!$A:$J,9,FALSE),VLOOKUP(B389,I!$A:$E,5,FALSE))</f>
        <v>15.21</v>
      </c>
      <c r="H389" s="72"/>
      <c r="I389" s="71">
        <f t="shared" si="48"/>
        <v>0.03</v>
      </c>
      <c r="J389" s="72"/>
      <c r="M389" s="23">
        <f t="shared" si="49"/>
        <v>12892</v>
      </c>
      <c r="N389" s="23">
        <f>SUMIF(CPUAUX2!M:M,B376,CPUAUX2!O:O)</f>
        <v>0.23399999999999999</v>
      </c>
      <c r="O389" s="23">
        <f t="shared" si="50"/>
        <v>5.3819999999999996E-4</v>
      </c>
      <c r="Q389" s="23">
        <f ca="1">SUMIF(CPUAUX2!M:M,B376,CPUAUX2!R:R)</f>
        <v>9.3600000000000003E-2</v>
      </c>
      <c r="R389" s="23">
        <f t="shared" ca="1" si="51"/>
        <v>2.1528000000000001E-4</v>
      </c>
    </row>
    <row r="390" spans="1:18" ht="30" customHeight="1" x14ac:dyDescent="0.3">
      <c r="A390" s="23" t="s">
        <v>1025</v>
      </c>
      <c r="B390" s="23">
        <v>12893</v>
      </c>
      <c r="C390" s="23" t="str">
        <f>VLOOKUP(B390,IF(A390="COMPOSICAO",S!$A:$E,I!$A:$E),2,FALSE)</f>
        <v>SINAPI</v>
      </c>
      <c r="D390" s="24" t="str">
        <f>VLOOKUP(B390,IF(A390="COMPOSICAO",S!$A:$E,I!$A:$E),3,FALSE)</f>
        <v>BOTA DE SEGURANCA COM BIQUEIRA DE ACO E COLARINHO ACOLCHOADO</v>
      </c>
      <c r="E390" s="23" t="str">
        <f>VLOOKUP(B390,IF(A390="COMPOSICAO",S!$A:$E,I!$A:$E),4,FALSE)</f>
        <v>PAR</v>
      </c>
      <c r="F390" s="23">
        <v>8.0000000000000004E-4</v>
      </c>
      <c r="G390" s="71">
        <f>IF(A390="COMPOSICAO",VLOOKUP("TOTAL SEM BDI - "&amp;B390,CPUAUX4!$A:$J,9,FALSE),VLOOKUP(B390,I!$A:$E,5,FALSE))</f>
        <v>103.39</v>
      </c>
      <c r="H390" s="72"/>
      <c r="I390" s="71">
        <f t="shared" si="48"/>
        <v>0.08</v>
      </c>
      <c r="J390" s="72"/>
      <c r="M390" s="23">
        <f t="shared" si="49"/>
        <v>12893</v>
      </c>
      <c r="N390" s="23">
        <f>SUMIF(CPUAUX2!M:M,B376,CPUAUX2!O:O)</f>
        <v>0.23399999999999999</v>
      </c>
      <c r="O390" s="23">
        <f t="shared" si="50"/>
        <v>1.872E-4</v>
      </c>
      <c r="Q390" s="23">
        <f ca="1">SUMIF(CPUAUX2!M:M,B376,CPUAUX2!R:R)</f>
        <v>9.3600000000000003E-2</v>
      </c>
      <c r="R390" s="23">
        <f t="shared" ca="1" si="51"/>
        <v>7.4880000000000001E-5</v>
      </c>
    </row>
    <row r="391" spans="1:18" ht="30" customHeight="1" x14ac:dyDescent="0.3">
      <c r="A391" s="23" t="s">
        <v>1025</v>
      </c>
      <c r="B391" s="23">
        <v>12894</v>
      </c>
      <c r="C391" s="23" t="str">
        <f>VLOOKUP(B391,IF(A391="COMPOSICAO",S!$A:$E,I!$A:$E),2,FALSE)</f>
        <v>SINAPI</v>
      </c>
      <c r="D391" s="24" t="str">
        <f>VLOOKUP(B391,IF(A391="COMPOSICAO",S!$A:$E,I!$A:$E),3,FALSE)</f>
        <v>CAPA PARA CHUVA EM PVC COM FORRO DE POLIESTER, COM CAPUZ (AMARELA OU AZUL)</v>
      </c>
      <c r="E391" s="23" t="str">
        <f>VLOOKUP(B391,IF(A391="COMPOSICAO",S!$A:$E,I!$A:$E),4,FALSE)</f>
        <v>UN</v>
      </c>
      <c r="F391" s="23">
        <v>2.0000000000000001E-4</v>
      </c>
      <c r="G391" s="71">
        <f>IF(A391="COMPOSICAO",VLOOKUP("TOTAL SEM BDI - "&amp;B391,CPUAUX4!$A:$J,9,FALSE),VLOOKUP(B391,I!$A:$E,5,FALSE))</f>
        <v>28.12</v>
      </c>
      <c r="H391" s="72"/>
      <c r="I391" s="71">
        <f t="shared" si="48"/>
        <v>0</v>
      </c>
      <c r="J391" s="72"/>
      <c r="M391" s="23">
        <f t="shared" si="49"/>
        <v>12894</v>
      </c>
      <c r="N391" s="23">
        <f>SUMIF(CPUAUX2!M:M,B376,CPUAUX2!O:O)</f>
        <v>0.23399999999999999</v>
      </c>
      <c r="O391" s="23">
        <f t="shared" si="50"/>
        <v>4.6799999999999999E-5</v>
      </c>
      <c r="Q391" s="23">
        <f ca="1">SUMIF(CPUAUX2!M:M,B376,CPUAUX2!R:R)</f>
        <v>9.3600000000000003E-2</v>
      </c>
      <c r="R391" s="23">
        <f t="shared" ca="1" si="51"/>
        <v>1.872E-5</v>
      </c>
    </row>
    <row r="392" spans="1:18" ht="30" customHeight="1" x14ac:dyDescent="0.3">
      <c r="A392" s="23" t="s">
        <v>1025</v>
      </c>
      <c r="B392" s="23">
        <v>12895</v>
      </c>
      <c r="C392" s="23" t="str">
        <f>VLOOKUP(B392,IF(A392="COMPOSICAO",S!$A:$E,I!$A:$E),2,FALSE)</f>
        <v>SINAPI</v>
      </c>
      <c r="D392" s="24" t="str">
        <f>VLOOKUP(B392,IF(A392="COMPOSICAO",S!$A:$E,I!$A:$E),3,FALSE)</f>
        <v>CAPACETE DE SEGURANCA ABA FRONTAL COM SUSPENSAO DE POLIETILENO, SEM JUGULAR (CLASSE B)</v>
      </c>
      <c r="E392" s="23" t="str">
        <f>VLOOKUP(B392,IF(A392="COMPOSICAO",S!$A:$E,I!$A:$E),4,FALSE)</f>
        <v>UN</v>
      </c>
      <c r="F392" s="23">
        <v>5.9999999999999995E-4</v>
      </c>
      <c r="G392" s="71">
        <f>IF(A392="COMPOSICAO",VLOOKUP("TOTAL SEM BDI - "&amp;B392,CPUAUX4!$A:$J,9,FALSE),VLOOKUP(B392,I!$A:$E,5,FALSE))</f>
        <v>18.88</v>
      </c>
      <c r="H392" s="72"/>
      <c r="I392" s="71">
        <f t="shared" si="48"/>
        <v>0.01</v>
      </c>
      <c r="J392" s="72"/>
      <c r="M392" s="23">
        <f t="shared" si="49"/>
        <v>12895</v>
      </c>
      <c r="N392" s="23">
        <f>SUMIF(CPUAUX2!M:M,B376,CPUAUX2!O:O)</f>
        <v>0.23399999999999999</v>
      </c>
      <c r="O392" s="23">
        <f t="shared" si="50"/>
        <v>1.4039999999999997E-4</v>
      </c>
      <c r="Q392" s="23">
        <f ca="1">SUMIF(CPUAUX2!M:M,B376,CPUAUX2!R:R)</f>
        <v>9.3600000000000003E-2</v>
      </c>
      <c r="R392" s="23">
        <f t="shared" ca="1" si="51"/>
        <v>5.6159999999999998E-5</v>
      </c>
    </row>
    <row r="393" spans="1:18" x14ac:dyDescent="0.3">
      <c r="A393" s="68" t="str">
        <f>"TOTAL SEM BDI - "&amp;B376</f>
        <v>TOTAL SEM BDI - 10555/ORSE</v>
      </c>
      <c r="B393" s="69"/>
      <c r="C393" s="69"/>
      <c r="D393" s="69"/>
      <c r="E393" s="69"/>
      <c r="F393" s="69"/>
      <c r="G393" s="69"/>
      <c r="H393" s="70"/>
      <c r="I393" s="71">
        <f>SUM(I376:I392)</f>
        <v>3.7599999999999993</v>
      </c>
      <c r="J393" s="72"/>
    </row>
  </sheetData>
  <mergeCells count="685">
    <mergeCell ref="N4:P4"/>
    <mergeCell ref="Q4:S4"/>
    <mergeCell ref="G6:H6"/>
    <mergeCell ref="I6:J6"/>
    <mergeCell ref="G7:H7"/>
    <mergeCell ref="I7:J7"/>
    <mergeCell ref="G8:H8"/>
    <mergeCell ref="I8:J8"/>
    <mergeCell ref="A9:H9"/>
    <mergeCell ref="I9:J9"/>
    <mergeCell ref="A1:J1"/>
    <mergeCell ref="A2:J2"/>
    <mergeCell ref="A3:J3"/>
    <mergeCell ref="A14:H14"/>
    <mergeCell ref="I14:J14"/>
    <mergeCell ref="G16:H16"/>
    <mergeCell ref="I16:J16"/>
    <mergeCell ref="G17:H17"/>
    <mergeCell ref="I17:J17"/>
    <mergeCell ref="G11:H11"/>
    <mergeCell ref="I11:J11"/>
    <mergeCell ref="G12:H12"/>
    <mergeCell ref="I12:J12"/>
    <mergeCell ref="G13:H13"/>
    <mergeCell ref="I13:J13"/>
    <mergeCell ref="G22:H22"/>
    <mergeCell ref="I22:J22"/>
    <mergeCell ref="G23:H23"/>
    <mergeCell ref="I23:J23"/>
    <mergeCell ref="A24:H24"/>
    <mergeCell ref="I24:J24"/>
    <mergeCell ref="G18:H18"/>
    <mergeCell ref="I18:J18"/>
    <mergeCell ref="A19:H19"/>
    <mergeCell ref="I19:J19"/>
    <mergeCell ref="G21:H21"/>
    <mergeCell ref="I21:J21"/>
    <mergeCell ref="A29:H29"/>
    <mergeCell ref="I29:J29"/>
    <mergeCell ref="G31:H31"/>
    <mergeCell ref="I31:J31"/>
    <mergeCell ref="G32:H32"/>
    <mergeCell ref="I32:J32"/>
    <mergeCell ref="G26:H26"/>
    <mergeCell ref="I26:J26"/>
    <mergeCell ref="G27:H27"/>
    <mergeCell ref="I27:J27"/>
    <mergeCell ref="G28:H28"/>
    <mergeCell ref="I28:J28"/>
    <mergeCell ref="G37:H37"/>
    <mergeCell ref="I37:J37"/>
    <mergeCell ref="G38:H38"/>
    <mergeCell ref="I38:J38"/>
    <mergeCell ref="A39:H39"/>
    <mergeCell ref="I39:J39"/>
    <mergeCell ref="G33:H33"/>
    <mergeCell ref="I33:J33"/>
    <mergeCell ref="A34:H34"/>
    <mergeCell ref="I34:J34"/>
    <mergeCell ref="G36:H36"/>
    <mergeCell ref="I36:J36"/>
    <mergeCell ref="A44:H44"/>
    <mergeCell ref="I44:J44"/>
    <mergeCell ref="G46:H46"/>
    <mergeCell ref="I46:J46"/>
    <mergeCell ref="G47:H47"/>
    <mergeCell ref="I47:J47"/>
    <mergeCell ref="G41:H41"/>
    <mergeCell ref="I41:J41"/>
    <mergeCell ref="G42:H42"/>
    <mergeCell ref="I42:J42"/>
    <mergeCell ref="G43:H43"/>
    <mergeCell ref="I43:J43"/>
    <mergeCell ref="G52:H52"/>
    <mergeCell ref="I52:J52"/>
    <mergeCell ref="G53:H53"/>
    <mergeCell ref="I53:J53"/>
    <mergeCell ref="A54:H54"/>
    <mergeCell ref="I54:J54"/>
    <mergeCell ref="G48:H48"/>
    <mergeCell ref="I48:J48"/>
    <mergeCell ref="A49:H49"/>
    <mergeCell ref="I49:J49"/>
    <mergeCell ref="G51:H51"/>
    <mergeCell ref="I51:J51"/>
    <mergeCell ref="A59:H59"/>
    <mergeCell ref="I59:J59"/>
    <mergeCell ref="G61:H61"/>
    <mergeCell ref="I61:J61"/>
    <mergeCell ref="G62:H62"/>
    <mergeCell ref="I62:J62"/>
    <mergeCell ref="G56:H56"/>
    <mergeCell ref="I56:J56"/>
    <mergeCell ref="G57:H57"/>
    <mergeCell ref="I57:J57"/>
    <mergeCell ref="G58:H58"/>
    <mergeCell ref="I58:J58"/>
    <mergeCell ref="G67:H67"/>
    <mergeCell ref="I67:J67"/>
    <mergeCell ref="G68:H68"/>
    <mergeCell ref="I68:J68"/>
    <mergeCell ref="A69:H69"/>
    <mergeCell ref="I69:J69"/>
    <mergeCell ref="G63:H63"/>
    <mergeCell ref="I63:J63"/>
    <mergeCell ref="A64:H64"/>
    <mergeCell ref="I64:J64"/>
    <mergeCell ref="G66:H66"/>
    <mergeCell ref="I66:J66"/>
    <mergeCell ref="A74:H74"/>
    <mergeCell ref="I74:J74"/>
    <mergeCell ref="G76:H76"/>
    <mergeCell ref="I76:J76"/>
    <mergeCell ref="G77:H77"/>
    <mergeCell ref="I77:J77"/>
    <mergeCell ref="G71:H71"/>
    <mergeCell ref="I71:J71"/>
    <mergeCell ref="G72:H72"/>
    <mergeCell ref="I72:J72"/>
    <mergeCell ref="G73:H73"/>
    <mergeCell ref="I73:J73"/>
    <mergeCell ref="G82:H82"/>
    <mergeCell ref="I82:J82"/>
    <mergeCell ref="G83:H83"/>
    <mergeCell ref="I83:J83"/>
    <mergeCell ref="G84:H84"/>
    <mergeCell ref="I84:J84"/>
    <mergeCell ref="G78:H78"/>
    <mergeCell ref="I78:J78"/>
    <mergeCell ref="A79:H79"/>
    <mergeCell ref="I79:J79"/>
    <mergeCell ref="G81:H81"/>
    <mergeCell ref="I81:J81"/>
    <mergeCell ref="G88:H88"/>
    <mergeCell ref="I88:J88"/>
    <mergeCell ref="G89:H89"/>
    <mergeCell ref="I89:J89"/>
    <mergeCell ref="G90:H90"/>
    <mergeCell ref="I90:J90"/>
    <mergeCell ref="G85:H85"/>
    <mergeCell ref="I85:J85"/>
    <mergeCell ref="G86:H86"/>
    <mergeCell ref="I86:J86"/>
    <mergeCell ref="G87:H87"/>
    <mergeCell ref="I87:J87"/>
    <mergeCell ref="G95:H95"/>
    <mergeCell ref="I95:J95"/>
    <mergeCell ref="A96:H96"/>
    <mergeCell ref="I96:J96"/>
    <mergeCell ref="G98:H98"/>
    <mergeCell ref="I98:J98"/>
    <mergeCell ref="A91:H91"/>
    <mergeCell ref="I91:J91"/>
    <mergeCell ref="G93:H93"/>
    <mergeCell ref="I93:J93"/>
    <mergeCell ref="G94:H94"/>
    <mergeCell ref="I94:J94"/>
    <mergeCell ref="G103:H103"/>
    <mergeCell ref="I103:J103"/>
    <mergeCell ref="G104:H104"/>
    <mergeCell ref="I104:J104"/>
    <mergeCell ref="G105:H105"/>
    <mergeCell ref="I105:J105"/>
    <mergeCell ref="G99:H99"/>
    <mergeCell ref="I99:J99"/>
    <mergeCell ref="G100:H100"/>
    <mergeCell ref="I100:J100"/>
    <mergeCell ref="A101:H101"/>
    <mergeCell ref="I101:J101"/>
    <mergeCell ref="G110:H110"/>
    <mergeCell ref="I110:J110"/>
    <mergeCell ref="A111:H111"/>
    <mergeCell ref="I111:J111"/>
    <mergeCell ref="G113:H113"/>
    <mergeCell ref="I113:J113"/>
    <mergeCell ref="A106:H106"/>
    <mergeCell ref="I106:J106"/>
    <mergeCell ref="G108:H108"/>
    <mergeCell ref="I108:J108"/>
    <mergeCell ref="G109:H109"/>
    <mergeCell ref="I109:J109"/>
    <mergeCell ref="G118:H118"/>
    <mergeCell ref="I118:J118"/>
    <mergeCell ref="G119:H119"/>
    <mergeCell ref="I119:J119"/>
    <mergeCell ref="G120:H120"/>
    <mergeCell ref="I120:J120"/>
    <mergeCell ref="G114:H114"/>
    <mergeCell ref="I114:J114"/>
    <mergeCell ref="G115:H115"/>
    <mergeCell ref="I115:J115"/>
    <mergeCell ref="A116:H116"/>
    <mergeCell ref="I116:J116"/>
    <mergeCell ref="G125:H125"/>
    <mergeCell ref="I125:J125"/>
    <mergeCell ref="A126:H126"/>
    <mergeCell ref="I126:J126"/>
    <mergeCell ref="G128:H128"/>
    <mergeCell ref="I128:J128"/>
    <mergeCell ref="A121:H121"/>
    <mergeCell ref="I121:J121"/>
    <mergeCell ref="G123:H123"/>
    <mergeCell ref="I123:J123"/>
    <mergeCell ref="G124:H124"/>
    <mergeCell ref="I124:J124"/>
    <mergeCell ref="G133:H133"/>
    <mergeCell ref="I133:J133"/>
    <mergeCell ref="G134:H134"/>
    <mergeCell ref="I134:J134"/>
    <mergeCell ref="G135:H135"/>
    <mergeCell ref="I135:J135"/>
    <mergeCell ref="G129:H129"/>
    <mergeCell ref="I129:J129"/>
    <mergeCell ref="G130:H130"/>
    <mergeCell ref="I130:J130"/>
    <mergeCell ref="A131:H131"/>
    <mergeCell ref="I131:J131"/>
    <mergeCell ref="G140:H140"/>
    <mergeCell ref="I140:J140"/>
    <mergeCell ref="G141:H141"/>
    <mergeCell ref="I141:J141"/>
    <mergeCell ref="G142:H142"/>
    <mergeCell ref="I142:J142"/>
    <mergeCell ref="A136:H136"/>
    <mergeCell ref="I136:J136"/>
    <mergeCell ref="G138:H138"/>
    <mergeCell ref="I138:J138"/>
    <mergeCell ref="G139:H139"/>
    <mergeCell ref="I139:J139"/>
    <mergeCell ref="G147:H147"/>
    <mergeCell ref="I147:J147"/>
    <mergeCell ref="G148:H148"/>
    <mergeCell ref="I148:J148"/>
    <mergeCell ref="G149:H149"/>
    <mergeCell ref="I149:J149"/>
    <mergeCell ref="A143:H143"/>
    <mergeCell ref="I143:J143"/>
    <mergeCell ref="G145:H145"/>
    <mergeCell ref="I145:J145"/>
    <mergeCell ref="G146:H146"/>
    <mergeCell ref="I146:J146"/>
    <mergeCell ref="G154:H154"/>
    <mergeCell ref="I154:J154"/>
    <mergeCell ref="G155:H155"/>
    <mergeCell ref="I155:J155"/>
    <mergeCell ref="G156:H156"/>
    <mergeCell ref="I156:J156"/>
    <mergeCell ref="G150:H150"/>
    <mergeCell ref="I150:J150"/>
    <mergeCell ref="G151:H151"/>
    <mergeCell ref="I151:J151"/>
    <mergeCell ref="A152:H152"/>
    <mergeCell ref="I152:J152"/>
    <mergeCell ref="G160:H160"/>
    <mergeCell ref="I160:J160"/>
    <mergeCell ref="G161:H161"/>
    <mergeCell ref="I161:J161"/>
    <mergeCell ref="G162:H162"/>
    <mergeCell ref="I162:J162"/>
    <mergeCell ref="G157:H157"/>
    <mergeCell ref="I157:J157"/>
    <mergeCell ref="G158:H158"/>
    <mergeCell ref="I158:J158"/>
    <mergeCell ref="G159:H159"/>
    <mergeCell ref="I159:J159"/>
    <mergeCell ref="G167:H167"/>
    <mergeCell ref="I167:J167"/>
    <mergeCell ref="G168:H168"/>
    <mergeCell ref="I168:J168"/>
    <mergeCell ref="G169:H169"/>
    <mergeCell ref="I169:J169"/>
    <mergeCell ref="G163:H163"/>
    <mergeCell ref="I163:J163"/>
    <mergeCell ref="A164:H164"/>
    <mergeCell ref="I164:J164"/>
    <mergeCell ref="G166:H166"/>
    <mergeCell ref="I166:J166"/>
    <mergeCell ref="G173:H173"/>
    <mergeCell ref="I173:J173"/>
    <mergeCell ref="G174:H174"/>
    <mergeCell ref="I174:J174"/>
    <mergeCell ref="G175:H175"/>
    <mergeCell ref="I175:J175"/>
    <mergeCell ref="G170:H170"/>
    <mergeCell ref="I170:J170"/>
    <mergeCell ref="G171:H171"/>
    <mergeCell ref="I171:J171"/>
    <mergeCell ref="G172:H172"/>
    <mergeCell ref="I172:J172"/>
    <mergeCell ref="G180:H180"/>
    <mergeCell ref="I180:J180"/>
    <mergeCell ref="G181:H181"/>
    <mergeCell ref="I181:J181"/>
    <mergeCell ref="G182:H182"/>
    <mergeCell ref="I182:J182"/>
    <mergeCell ref="A176:H176"/>
    <mergeCell ref="I176:J176"/>
    <mergeCell ref="G178:H178"/>
    <mergeCell ref="I178:J178"/>
    <mergeCell ref="G179:H179"/>
    <mergeCell ref="I179:J179"/>
    <mergeCell ref="G186:H186"/>
    <mergeCell ref="I186:J186"/>
    <mergeCell ref="G187:H187"/>
    <mergeCell ref="I187:J187"/>
    <mergeCell ref="A188:H188"/>
    <mergeCell ref="I188:J188"/>
    <mergeCell ref="G183:H183"/>
    <mergeCell ref="I183:J183"/>
    <mergeCell ref="G184:H184"/>
    <mergeCell ref="I184:J184"/>
    <mergeCell ref="G185:H185"/>
    <mergeCell ref="I185:J185"/>
    <mergeCell ref="G193:H193"/>
    <mergeCell ref="I193:J193"/>
    <mergeCell ref="G194:H194"/>
    <mergeCell ref="I194:J194"/>
    <mergeCell ref="G195:H195"/>
    <mergeCell ref="I195:J195"/>
    <mergeCell ref="G190:H190"/>
    <mergeCell ref="I190:J190"/>
    <mergeCell ref="G191:H191"/>
    <mergeCell ref="I191:J191"/>
    <mergeCell ref="G192:H192"/>
    <mergeCell ref="I192:J192"/>
    <mergeCell ref="G199:H199"/>
    <mergeCell ref="I199:J199"/>
    <mergeCell ref="A200:H200"/>
    <mergeCell ref="I200:J200"/>
    <mergeCell ref="G202:H202"/>
    <mergeCell ref="I202:J202"/>
    <mergeCell ref="G196:H196"/>
    <mergeCell ref="I196:J196"/>
    <mergeCell ref="G197:H197"/>
    <mergeCell ref="I197:J197"/>
    <mergeCell ref="G198:H198"/>
    <mergeCell ref="I198:J198"/>
    <mergeCell ref="G207:H207"/>
    <mergeCell ref="I207:J207"/>
    <mergeCell ref="G208:H208"/>
    <mergeCell ref="I208:J208"/>
    <mergeCell ref="G209:H209"/>
    <mergeCell ref="I209:J209"/>
    <mergeCell ref="G203:H203"/>
    <mergeCell ref="I203:J203"/>
    <mergeCell ref="G204:H204"/>
    <mergeCell ref="I204:J204"/>
    <mergeCell ref="A205:H205"/>
    <mergeCell ref="I205:J205"/>
    <mergeCell ref="G214:H214"/>
    <mergeCell ref="I214:J214"/>
    <mergeCell ref="G215:H215"/>
    <mergeCell ref="I215:J215"/>
    <mergeCell ref="G216:H216"/>
    <mergeCell ref="I216:J216"/>
    <mergeCell ref="A210:H210"/>
    <mergeCell ref="I210:J210"/>
    <mergeCell ref="G212:H212"/>
    <mergeCell ref="I212:J212"/>
    <mergeCell ref="G213:H213"/>
    <mergeCell ref="I213:J213"/>
    <mergeCell ref="G220:H220"/>
    <mergeCell ref="I220:J220"/>
    <mergeCell ref="G221:H221"/>
    <mergeCell ref="I221:J221"/>
    <mergeCell ref="A222:H222"/>
    <mergeCell ref="I222:J222"/>
    <mergeCell ref="G217:H217"/>
    <mergeCell ref="I217:J217"/>
    <mergeCell ref="G218:H218"/>
    <mergeCell ref="I218:J218"/>
    <mergeCell ref="G219:H219"/>
    <mergeCell ref="I219:J219"/>
    <mergeCell ref="A227:H227"/>
    <mergeCell ref="I227:J227"/>
    <mergeCell ref="G229:H229"/>
    <mergeCell ref="I229:J229"/>
    <mergeCell ref="G230:H230"/>
    <mergeCell ref="I230:J230"/>
    <mergeCell ref="G224:H224"/>
    <mergeCell ref="I224:J224"/>
    <mergeCell ref="G225:H225"/>
    <mergeCell ref="I225:J225"/>
    <mergeCell ref="G226:H226"/>
    <mergeCell ref="I226:J226"/>
    <mergeCell ref="G235:H235"/>
    <mergeCell ref="I235:J235"/>
    <mergeCell ref="G236:H236"/>
    <mergeCell ref="I236:J236"/>
    <mergeCell ref="G237:H237"/>
    <mergeCell ref="I237:J237"/>
    <mergeCell ref="G231:H231"/>
    <mergeCell ref="I231:J231"/>
    <mergeCell ref="A232:H232"/>
    <mergeCell ref="I232:J232"/>
    <mergeCell ref="G234:H234"/>
    <mergeCell ref="I234:J234"/>
    <mergeCell ref="G241:H241"/>
    <mergeCell ref="I241:J241"/>
    <mergeCell ref="G242:H242"/>
    <mergeCell ref="I242:J242"/>
    <mergeCell ref="G243:H243"/>
    <mergeCell ref="I243:J243"/>
    <mergeCell ref="G238:H238"/>
    <mergeCell ref="I238:J238"/>
    <mergeCell ref="G239:H239"/>
    <mergeCell ref="I239:J239"/>
    <mergeCell ref="G240:H240"/>
    <mergeCell ref="I240:J240"/>
    <mergeCell ref="G248:H248"/>
    <mergeCell ref="I248:J248"/>
    <mergeCell ref="G249:H249"/>
    <mergeCell ref="I249:J249"/>
    <mergeCell ref="G250:H250"/>
    <mergeCell ref="I250:J250"/>
    <mergeCell ref="A244:H244"/>
    <mergeCell ref="I244:J244"/>
    <mergeCell ref="G246:H246"/>
    <mergeCell ref="I246:J246"/>
    <mergeCell ref="G247:H247"/>
    <mergeCell ref="I247:J247"/>
    <mergeCell ref="G254:H254"/>
    <mergeCell ref="I254:J254"/>
    <mergeCell ref="G255:H255"/>
    <mergeCell ref="I255:J255"/>
    <mergeCell ref="A256:H256"/>
    <mergeCell ref="I256:J256"/>
    <mergeCell ref="G251:H251"/>
    <mergeCell ref="I251:J251"/>
    <mergeCell ref="G252:H252"/>
    <mergeCell ref="I252:J252"/>
    <mergeCell ref="G253:H253"/>
    <mergeCell ref="I253:J253"/>
    <mergeCell ref="A261:H261"/>
    <mergeCell ref="I261:J261"/>
    <mergeCell ref="G263:H263"/>
    <mergeCell ref="I263:J263"/>
    <mergeCell ref="G264:H264"/>
    <mergeCell ref="I264:J264"/>
    <mergeCell ref="G258:H258"/>
    <mergeCell ref="I258:J258"/>
    <mergeCell ref="G259:H259"/>
    <mergeCell ref="I259:J259"/>
    <mergeCell ref="G260:H260"/>
    <mergeCell ref="I260:J260"/>
    <mergeCell ref="G269:H269"/>
    <mergeCell ref="I269:J269"/>
    <mergeCell ref="G270:H270"/>
    <mergeCell ref="I270:J270"/>
    <mergeCell ref="A271:H271"/>
    <mergeCell ref="I271:J271"/>
    <mergeCell ref="G265:H265"/>
    <mergeCell ref="I265:J265"/>
    <mergeCell ref="A266:H266"/>
    <mergeCell ref="I266:J266"/>
    <mergeCell ref="G268:H268"/>
    <mergeCell ref="I268:J268"/>
    <mergeCell ref="G276:H276"/>
    <mergeCell ref="I276:J276"/>
    <mergeCell ref="G277:H277"/>
    <mergeCell ref="I277:J277"/>
    <mergeCell ref="G278:H278"/>
    <mergeCell ref="I278:J278"/>
    <mergeCell ref="G273:H273"/>
    <mergeCell ref="I273:J273"/>
    <mergeCell ref="G274:H274"/>
    <mergeCell ref="I274:J274"/>
    <mergeCell ref="G275:H275"/>
    <mergeCell ref="I275:J275"/>
    <mergeCell ref="G282:H282"/>
    <mergeCell ref="I282:J282"/>
    <mergeCell ref="A283:H283"/>
    <mergeCell ref="I283:J283"/>
    <mergeCell ref="G285:H285"/>
    <mergeCell ref="I285:J285"/>
    <mergeCell ref="G279:H279"/>
    <mergeCell ref="I279:J279"/>
    <mergeCell ref="G280:H280"/>
    <mergeCell ref="I280:J280"/>
    <mergeCell ref="G281:H281"/>
    <mergeCell ref="I281:J281"/>
    <mergeCell ref="G290:H290"/>
    <mergeCell ref="I290:J290"/>
    <mergeCell ref="G291:H291"/>
    <mergeCell ref="I291:J291"/>
    <mergeCell ref="G292:H292"/>
    <mergeCell ref="I292:J292"/>
    <mergeCell ref="G286:H286"/>
    <mergeCell ref="I286:J286"/>
    <mergeCell ref="G287:H287"/>
    <mergeCell ref="I287:J287"/>
    <mergeCell ref="A288:H288"/>
    <mergeCell ref="I288:J288"/>
    <mergeCell ref="G297:H297"/>
    <mergeCell ref="I297:J297"/>
    <mergeCell ref="A298:H298"/>
    <mergeCell ref="I298:J298"/>
    <mergeCell ref="G300:H300"/>
    <mergeCell ref="I300:J300"/>
    <mergeCell ref="A293:H293"/>
    <mergeCell ref="I293:J293"/>
    <mergeCell ref="G295:H295"/>
    <mergeCell ref="I295:J295"/>
    <mergeCell ref="G296:H296"/>
    <mergeCell ref="I296:J296"/>
    <mergeCell ref="G304:H304"/>
    <mergeCell ref="I304:J304"/>
    <mergeCell ref="G305:H305"/>
    <mergeCell ref="I305:J305"/>
    <mergeCell ref="G306:H306"/>
    <mergeCell ref="I306:J306"/>
    <mergeCell ref="G301:H301"/>
    <mergeCell ref="I301:J301"/>
    <mergeCell ref="G302:H302"/>
    <mergeCell ref="I302:J302"/>
    <mergeCell ref="G303:H303"/>
    <mergeCell ref="I303:J303"/>
    <mergeCell ref="G310:H310"/>
    <mergeCell ref="I310:J310"/>
    <mergeCell ref="G311:H311"/>
    <mergeCell ref="I311:J311"/>
    <mergeCell ref="G312:H312"/>
    <mergeCell ref="I312:J312"/>
    <mergeCell ref="G307:H307"/>
    <mergeCell ref="I307:J307"/>
    <mergeCell ref="G308:H308"/>
    <mergeCell ref="I308:J308"/>
    <mergeCell ref="G309:H309"/>
    <mergeCell ref="I309:J309"/>
    <mergeCell ref="G316:H316"/>
    <mergeCell ref="I316:J316"/>
    <mergeCell ref="G317:H317"/>
    <mergeCell ref="I317:J317"/>
    <mergeCell ref="G318:H318"/>
    <mergeCell ref="I318:J318"/>
    <mergeCell ref="G313:H313"/>
    <mergeCell ref="I313:J313"/>
    <mergeCell ref="G314:H314"/>
    <mergeCell ref="I314:J314"/>
    <mergeCell ref="G315:H315"/>
    <mergeCell ref="I315:J315"/>
    <mergeCell ref="G323:H323"/>
    <mergeCell ref="I323:J323"/>
    <mergeCell ref="G324:H324"/>
    <mergeCell ref="I324:J324"/>
    <mergeCell ref="G325:H325"/>
    <mergeCell ref="I325:J325"/>
    <mergeCell ref="G319:H319"/>
    <mergeCell ref="I319:J319"/>
    <mergeCell ref="A320:H320"/>
    <mergeCell ref="I320:J320"/>
    <mergeCell ref="G322:H322"/>
    <mergeCell ref="I322:J322"/>
    <mergeCell ref="G329:H329"/>
    <mergeCell ref="I329:J329"/>
    <mergeCell ref="G330:H330"/>
    <mergeCell ref="I330:J330"/>
    <mergeCell ref="G331:H331"/>
    <mergeCell ref="I331:J331"/>
    <mergeCell ref="G326:H326"/>
    <mergeCell ref="I326:J326"/>
    <mergeCell ref="G327:H327"/>
    <mergeCell ref="I327:J327"/>
    <mergeCell ref="G328:H328"/>
    <mergeCell ref="I328:J328"/>
    <mergeCell ref="G335:H335"/>
    <mergeCell ref="I335:J335"/>
    <mergeCell ref="G336:H336"/>
    <mergeCell ref="I336:J336"/>
    <mergeCell ref="G337:H337"/>
    <mergeCell ref="I337:J337"/>
    <mergeCell ref="G332:H332"/>
    <mergeCell ref="I332:J332"/>
    <mergeCell ref="G333:H333"/>
    <mergeCell ref="I333:J333"/>
    <mergeCell ref="G334:H334"/>
    <mergeCell ref="I334:J334"/>
    <mergeCell ref="G341:H341"/>
    <mergeCell ref="I341:J341"/>
    <mergeCell ref="G342:H342"/>
    <mergeCell ref="I342:J342"/>
    <mergeCell ref="G343:H343"/>
    <mergeCell ref="I343:J343"/>
    <mergeCell ref="G338:H338"/>
    <mergeCell ref="I338:J338"/>
    <mergeCell ref="G339:H339"/>
    <mergeCell ref="I339:J339"/>
    <mergeCell ref="G340:H340"/>
    <mergeCell ref="I340:J340"/>
    <mergeCell ref="G347:H347"/>
    <mergeCell ref="I347:J347"/>
    <mergeCell ref="G348:H348"/>
    <mergeCell ref="I348:J348"/>
    <mergeCell ref="A349:H349"/>
    <mergeCell ref="I349:J349"/>
    <mergeCell ref="G344:H344"/>
    <mergeCell ref="I344:J344"/>
    <mergeCell ref="G345:H345"/>
    <mergeCell ref="I345:J345"/>
    <mergeCell ref="G346:H346"/>
    <mergeCell ref="I346:J346"/>
    <mergeCell ref="G354:H354"/>
    <mergeCell ref="I354:J354"/>
    <mergeCell ref="G355:H355"/>
    <mergeCell ref="I355:J355"/>
    <mergeCell ref="G356:H356"/>
    <mergeCell ref="I356:J356"/>
    <mergeCell ref="G351:H351"/>
    <mergeCell ref="I351:J351"/>
    <mergeCell ref="G352:H352"/>
    <mergeCell ref="I352:J352"/>
    <mergeCell ref="G353:H353"/>
    <mergeCell ref="I353:J353"/>
    <mergeCell ref="G360:H360"/>
    <mergeCell ref="I360:J360"/>
    <mergeCell ref="G361:H361"/>
    <mergeCell ref="I361:J361"/>
    <mergeCell ref="G362:H362"/>
    <mergeCell ref="I362:J362"/>
    <mergeCell ref="G357:H357"/>
    <mergeCell ref="I357:J357"/>
    <mergeCell ref="G358:H358"/>
    <mergeCell ref="I358:J358"/>
    <mergeCell ref="G359:H359"/>
    <mergeCell ref="I359:J359"/>
    <mergeCell ref="G366:H366"/>
    <mergeCell ref="I366:J366"/>
    <mergeCell ref="G367:H367"/>
    <mergeCell ref="I367:J367"/>
    <mergeCell ref="G368:H368"/>
    <mergeCell ref="I368:J368"/>
    <mergeCell ref="G363:H363"/>
    <mergeCell ref="I363:J363"/>
    <mergeCell ref="G364:H364"/>
    <mergeCell ref="I364:J364"/>
    <mergeCell ref="G365:H365"/>
    <mergeCell ref="I365:J365"/>
    <mergeCell ref="G372:H372"/>
    <mergeCell ref="I372:J372"/>
    <mergeCell ref="A373:H373"/>
    <mergeCell ref="I373:J373"/>
    <mergeCell ref="G375:H375"/>
    <mergeCell ref="I375:J375"/>
    <mergeCell ref="G369:H369"/>
    <mergeCell ref="I369:J369"/>
    <mergeCell ref="G370:H370"/>
    <mergeCell ref="I370:J370"/>
    <mergeCell ref="G371:H371"/>
    <mergeCell ref="I371:J371"/>
    <mergeCell ref="G379:H379"/>
    <mergeCell ref="I379:J379"/>
    <mergeCell ref="G380:H380"/>
    <mergeCell ref="I380:J380"/>
    <mergeCell ref="G381:H381"/>
    <mergeCell ref="I381:J381"/>
    <mergeCell ref="G376:H376"/>
    <mergeCell ref="I376:J376"/>
    <mergeCell ref="G377:H377"/>
    <mergeCell ref="I377:J377"/>
    <mergeCell ref="G378:H378"/>
    <mergeCell ref="I378:J378"/>
    <mergeCell ref="G385:H385"/>
    <mergeCell ref="I385:J385"/>
    <mergeCell ref="G386:H386"/>
    <mergeCell ref="I386:J386"/>
    <mergeCell ref="G387:H387"/>
    <mergeCell ref="I387:J387"/>
    <mergeCell ref="G382:H382"/>
    <mergeCell ref="I382:J382"/>
    <mergeCell ref="G383:H383"/>
    <mergeCell ref="I383:J383"/>
    <mergeCell ref="G384:H384"/>
    <mergeCell ref="I384:J384"/>
    <mergeCell ref="G391:H391"/>
    <mergeCell ref="I391:J391"/>
    <mergeCell ref="G392:H392"/>
    <mergeCell ref="I392:J392"/>
    <mergeCell ref="A393:H393"/>
    <mergeCell ref="I393:J393"/>
    <mergeCell ref="G388:H388"/>
    <mergeCell ref="I388:J388"/>
    <mergeCell ref="G389:H389"/>
    <mergeCell ref="I389:J389"/>
    <mergeCell ref="G390:H390"/>
    <mergeCell ref="I390:J390"/>
  </mergeCells>
  <pageMargins left="0.78740157480314965" right="0.39370078740157483" top="1.1811023622047245" bottom="0.78740157480314965" header="0.31496062992125984" footer="0.31496062992125984"/>
  <pageSetup paperSize="9" scale="44" fitToHeight="0" orientation="portrait" r:id="rId1"/>
  <headerFooter>
    <oddHeader>&amp;C&amp;G</oddHead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3BB7C-60B5-4EB9-94C1-0A141C00F319}">
  <sheetPr>
    <pageSetUpPr fitToPage="1"/>
  </sheetPr>
  <dimension ref="A1:S81"/>
  <sheetViews>
    <sheetView showGridLines="0" workbookViewId="0">
      <selection sqref="A1:J1"/>
    </sheetView>
  </sheetViews>
  <sheetFormatPr defaultRowHeight="14.4" x14ac:dyDescent="0.3"/>
  <cols>
    <col min="1" max="3" width="13.88671875" bestFit="1" customWidth="1"/>
    <col min="4" max="4" width="55.5546875" bestFit="1" customWidth="1"/>
    <col min="5" max="10" width="17.5546875" bestFit="1" customWidth="1"/>
    <col min="11" max="11" width="12" bestFit="1" customWidth="1"/>
    <col min="12" max="12" width="33.33203125" bestFit="1" customWidth="1"/>
    <col min="13" max="19" width="14.77734375" bestFit="1" customWidth="1"/>
  </cols>
  <sheetData>
    <row r="1" spans="1:19" x14ac:dyDescent="0.3">
      <c r="A1" s="33" t="str">
        <f>CIDADE</f>
        <v>MUNICÍPIO DE LAGOA DO PIAUI - PI</v>
      </c>
      <c r="B1" s="33"/>
      <c r="C1" s="33"/>
      <c r="D1" s="33"/>
      <c r="E1" s="33"/>
      <c r="F1" s="33"/>
      <c r="G1" s="33"/>
      <c r="H1" s="33"/>
      <c r="I1" s="33"/>
      <c r="J1" s="33"/>
    </row>
    <row r="2" spans="1:19" x14ac:dyDescent="0.3">
      <c r="A2" s="33" t="str">
        <f>OBRA</f>
        <v>IMPLANTAÇÃO DE 5 (CINCO) SISTEMAS SIMPLIFICADOS DE ABASTECIMENTO DE ÁGUA ZONA RURAL DO MUNICÍPIO DE LAGOA DO PIAUÍ-PI</v>
      </c>
      <c r="B2" s="33"/>
      <c r="C2" s="33"/>
      <c r="D2" s="33"/>
      <c r="E2" s="33"/>
      <c r="F2" s="33"/>
      <c r="G2" s="33"/>
      <c r="H2" s="33"/>
      <c r="I2" s="33"/>
      <c r="J2" s="33"/>
    </row>
    <row r="3" spans="1:19" x14ac:dyDescent="0.3">
      <c r="A3" s="33" t="s">
        <v>1162</v>
      </c>
      <c r="B3" s="33"/>
      <c r="C3" s="33"/>
      <c r="D3" s="33"/>
      <c r="E3" s="33"/>
      <c r="F3" s="33"/>
      <c r="G3" s="33"/>
      <c r="H3" s="33"/>
      <c r="I3" s="33"/>
      <c r="J3" s="33"/>
    </row>
    <row r="4" spans="1:19" x14ac:dyDescent="0.3">
      <c r="N4" s="34" t="s">
        <v>1014</v>
      </c>
      <c r="O4" s="36"/>
      <c r="P4" s="35"/>
      <c r="Q4" s="34" t="s">
        <v>1015</v>
      </c>
      <c r="R4" s="36"/>
      <c r="S4" s="35"/>
    </row>
    <row r="5" spans="1:19" x14ac:dyDescent="0.3">
      <c r="A5" s="1" t="s">
        <v>3</v>
      </c>
      <c r="B5" s="7" t="str">
        <f>FONTE&amp;FOLHA</f>
        <v>SINAPI PI 06/2025, SEINFRA CE 28, ORSE SE 05/2025, SEM DESONERAÇÃO</v>
      </c>
      <c r="C5" s="3"/>
      <c r="D5" s="3"/>
      <c r="E5" s="3"/>
      <c r="F5" s="3"/>
      <c r="G5" s="27" t="s">
        <v>10</v>
      </c>
      <c r="H5" s="8">
        <f>LEI</f>
        <v>113.33</v>
      </c>
      <c r="I5" s="1" t="s">
        <v>19</v>
      </c>
      <c r="J5" s="8">
        <f>BDI</f>
        <v>24.84</v>
      </c>
      <c r="M5" s="4" t="s">
        <v>138</v>
      </c>
      <c r="N5" s="4" t="s">
        <v>1016</v>
      </c>
      <c r="O5" s="4" t="s">
        <v>128</v>
      </c>
      <c r="P5" s="4" t="s">
        <v>1017</v>
      </c>
      <c r="Q5" s="4" t="s">
        <v>1016</v>
      </c>
      <c r="R5" s="4" t="s">
        <v>128</v>
      </c>
      <c r="S5" s="4" t="s">
        <v>1017</v>
      </c>
    </row>
    <row r="6" spans="1:19" x14ac:dyDescent="0.3">
      <c r="A6" s="4" t="s">
        <v>1018</v>
      </c>
      <c r="B6" s="4" t="s">
        <v>138</v>
      </c>
      <c r="C6" s="4" t="s">
        <v>139</v>
      </c>
      <c r="D6" s="4" t="s">
        <v>21</v>
      </c>
      <c r="E6" s="4" t="s">
        <v>140</v>
      </c>
      <c r="F6" s="4" t="s">
        <v>506</v>
      </c>
      <c r="G6" s="34" t="s">
        <v>1019</v>
      </c>
      <c r="H6" s="35"/>
      <c r="I6" s="34" t="s">
        <v>15</v>
      </c>
      <c r="J6" s="35"/>
    </row>
    <row r="7" spans="1:19" ht="45" customHeight="1" x14ac:dyDescent="0.3">
      <c r="A7" s="15" t="s">
        <v>1093</v>
      </c>
      <c r="B7" s="15">
        <v>95360</v>
      </c>
      <c r="C7" s="15" t="str">
        <f>VLOOKUP(B7,S!$A:$G,2,FALSE)</f>
        <v>SINAPI</v>
      </c>
      <c r="D7" s="22" t="str">
        <f>VLOOKUP(B7,S!$A:$G,3,FALSE)</f>
        <v>CURSO DE CAPACITAÇÃO PARA OPERADOR DE MÁQUINAS E EQUIPAMENTOS (ENCARGOS COMPLEMENTARES) - HORISTA</v>
      </c>
      <c r="E7" s="15" t="str">
        <f>VLOOKUP(B7,S!$A:$G,4,FALSE)</f>
        <v>H</v>
      </c>
      <c r="F7" s="15"/>
      <c r="G7" s="73">
        <f>I9</f>
        <v>0.24</v>
      </c>
      <c r="H7" s="74"/>
      <c r="I7" s="73"/>
      <c r="J7" s="74"/>
      <c r="K7" s="16">
        <f>VLOOKUP(B7,S!A:G,5,FALSE)</f>
        <v>0.24</v>
      </c>
      <c r="L7" s="15" t="str">
        <f>IF(K7=G7,"OK, CONFORME TABELA",IF(G7&gt;K7,"ACIMA DA TABELA: ","ABAIXO DA TABELA: ")&amp;TRUNC((G7*100)/K7,2)&amp;" %")</f>
        <v>OK, CONFORME TABELA</v>
      </c>
    </row>
    <row r="8" spans="1:19" ht="30" customHeight="1" x14ac:dyDescent="0.3">
      <c r="A8" s="23" t="s">
        <v>1025</v>
      </c>
      <c r="B8" s="23">
        <v>4230</v>
      </c>
      <c r="C8" s="23" t="str">
        <f>VLOOKUP(B8,IF(A8="COMPOSICAO",S!$A:$E,I!$A:$E),2,FALSE)</f>
        <v>SINAPI</v>
      </c>
      <c r="D8" s="24" t="str">
        <f>VLOOKUP(B8,IF(A8="COMPOSICAO",S!$A:$E,I!$A:$E),3,FALSE)</f>
        <v>OPERADOR DE MAQUINAS E TRATORES DIVERSOS - TERRAPLANAGEM (HORISTA)</v>
      </c>
      <c r="E8" s="23" t="str">
        <f>VLOOKUP(B8,IF(A8="COMPOSICAO",S!$A:$E,I!$A:$E),4,FALSE)</f>
        <v>H</v>
      </c>
      <c r="F8" s="23">
        <v>1.154E-2</v>
      </c>
      <c r="G8" s="71">
        <f>IF(A8="COMPOSICAO",VLOOKUP("TOTAL SEM BDI - "&amp;B8,CPUAUX5!$A:$J,9,FALSE),VLOOKUP(B8,I!$A:$E,5,FALSE))</f>
        <v>21.48</v>
      </c>
      <c r="H8" s="72"/>
      <c r="I8" s="71">
        <f>TRUNC(F8*G8,2)</f>
        <v>0.24</v>
      </c>
      <c r="J8" s="72"/>
      <c r="M8" s="23">
        <f>B8</f>
        <v>4230</v>
      </c>
      <c r="N8" s="23">
        <f>SUMIF(CPUAUX3!M:M,B7,CPUAUX3!O:O)</f>
        <v>4.3343999999999996</v>
      </c>
      <c r="O8" s="23">
        <f>F8*N8</f>
        <v>5.0018975999999993E-2</v>
      </c>
      <c r="Q8" s="23">
        <f ca="1">SUMIF(CPUAUX3!M:M,B7,CPUAUX3!R:R)</f>
        <v>1.7337599999999997</v>
      </c>
      <c r="R8" s="23">
        <f ca="1">F8*Q8</f>
        <v>2.0007590399999997E-2</v>
      </c>
    </row>
    <row r="9" spans="1:19" x14ac:dyDescent="0.3">
      <c r="A9" s="68" t="str">
        <f>"TOTAL SEM BDI - "&amp;B7</f>
        <v>TOTAL SEM BDI - 95360</v>
      </c>
      <c r="B9" s="69"/>
      <c r="C9" s="69"/>
      <c r="D9" s="69"/>
      <c r="E9" s="69"/>
      <c r="F9" s="69"/>
      <c r="G9" s="69"/>
      <c r="H9" s="70"/>
      <c r="I9" s="71">
        <f>SUM(I7:I8)</f>
        <v>0.24</v>
      </c>
      <c r="J9" s="72"/>
    </row>
    <row r="11" spans="1:19" x14ac:dyDescent="0.3">
      <c r="A11" s="4" t="s">
        <v>1018</v>
      </c>
      <c r="B11" s="4" t="s">
        <v>138</v>
      </c>
      <c r="C11" s="4" t="s">
        <v>139</v>
      </c>
      <c r="D11" s="4" t="s">
        <v>21</v>
      </c>
      <c r="E11" s="4" t="s">
        <v>140</v>
      </c>
      <c r="F11" s="4" t="s">
        <v>506</v>
      </c>
      <c r="G11" s="34" t="s">
        <v>1019</v>
      </c>
      <c r="H11" s="35"/>
      <c r="I11" s="34" t="s">
        <v>15</v>
      </c>
      <c r="J11" s="35"/>
    </row>
    <row r="12" spans="1:19" ht="45" customHeight="1" x14ac:dyDescent="0.3">
      <c r="A12" s="15" t="s">
        <v>1141</v>
      </c>
      <c r="B12" s="15">
        <v>91689</v>
      </c>
      <c r="C12" s="15" t="str">
        <f>VLOOKUP(B12,S!$A:$G,2,FALSE)</f>
        <v>SINAPI</v>
      </c>
      <c r="D12" s="22" t="str">
        <f>VLOOKUP(B12,S!$A:$G,3,FALSE)</f>
        <v>SERRA CIRCULAR DE BANCADA COM MOTOR ELÉTRICO POTÊNCIA DE 5HP, COM COIFA PARA DISCO 10" - JUROS. AF_08/2015</v>
      </c>
      <c r="E12" s="15" t="str">
        <f>VLOOKUP(B12,S!$A:$G,4,FALSE)</f>
        <v>H</v>
      </c>
      <c r="F12" s="15"/>
      <c r="G12" s="73">
        <f>I14</f>
        <v>0.02</v>
      </c>
      <c r="H12" s="74"/>
      <c r="I12" s="73"/>
      <c r="J12" s="74"/>
      <c r="K12" s="16">
        <f>VLOOKUP(B12,S!A:G,5,FALSE)</f>
        <v>0.02</v>
      </c>
      <c r="L12" s="15" t="str">
        <f>IF(K12=G12,"OK, CONFORME TABELA",IF(G12&gt;K12,"ACIMA DA TABELA: ","ABAIXO DA TABELA: ")&amp;TRUNC((G12*100)/K12,2)&amp;" %")</f>
        <v>OK, CONFORME TABELA</v>
      </c>
    </row>
    <row r="13" spans="1:19" ht="45" customHeight="1" x14ac:dyDescent="0.3">
      <c r="A13" s="23" t="s">
        <v>1025</v>
      </c>
      <c r="B13" s="23">
        <v>14618</v>
      </c>
      <c r="C13" s="23" t="str">
        <f>VLOOKUP(B13,IF(A13="COMPOSICAO",S!$A:$E,I!$A:$E),2,FALSE)</f>
        <v>SINAPI</v>
      </c>
      <c r="D13" s="24" t="str">
        <f>VLOOKUP(B13,IF(A13="COMPOSICAO",S!$A:$E,I!$A:$E),3,FALSE)</f>
        <v>SERRA CIRCULAR DE BANCADA COM MOTOR ELETRICO, POTENCIA DE *1600* W, PARA DISCO DE DIAMETRO DE 10" (250 MM)</v>
      </c>
      <c r="E13" s="23" t="str">
        <f>VLOOKUP(B13,IF(A13="COMPOSICAO",S!$A:$E,I!$A:$E),4,FALSE)</f>
        <v>UN</v>
      </c>
      <c r="F13" s="23">
        <v>1.4800000000000001E-5</v>
      </c>
      <c r="G13" s="71">
        <f>IF(A13="COMPOSICAO",VLOOKUP("TOTAL SEM BDI - "&amp;B13,CPUAUX5!$A:$J,9,FALSE),VLOOKUP(B13,I!$A:$E,5,FALSE))</f>
        <v>1705.61</v>
      </c>
      <c r="H13" s="72"/>
      <c r="I13" s="71">
        <f>TRUNC(F13*G13,2)</f>
        <v>0.02</v>
      </c>
      <c r="J13" s="72"/>
      <c r="M13" s="23">
        <f>B13</f>
        <v>14618</v>
      </c>
      <c r="N13" s="23">
        <f>SUMIF(CPUAUX3!M:M,B12,CPUAUX3!O:O)</f>
        <v>1.6632916569000002</v>
      </c>
      <c r="O13" s="23">
        <f>F13*N13</f>
        <v>2.4616716522120004E-5</v>
      </c>
      <c r="Q13" s="23">
        <f ca="1">SUMIF(CPUAUX3!M:M,B12,CPUAUX3!R:R)</f>
        <v>0.66531666276000001</v>
      </c>
      <c r="R13" s="23">
        <f ca="1">F13*Q13</f>
        <v>9.8466866088480009E-6</v>
      </c>
    </row>
    <row r="14" spans="1:19" x14ac:dyDescent="0.3">
      <c r="A14" s="68" t="str">
        <f>"TOTAL SEM BDI - "&amp;B12</f>
        <v>TOTAL SEM BDI - 91689</v>
      </c>
      <c r="B14" s="69"/>
      <c r="C14" s="69"/>
      <c r="D14" s="69"/>
      <c r="E14" s="69"/>
      <c r="F14" s="69"/>
      <c r="G14" s="69"/>
      <c r="H14" s="70"/>
      <c r="I14" s="71">
        <f>SUM(I12:I13)</f>
        <v>0.02</v>
      </c>
      <c r="J14" s="72"/>
    </row>
    <row r="16" spans="1:19" x14ac:dyDescent="0.3">
      <c r="A16" s="4" t="s">
        <v>1018</v>
      </c>
      <c r="B16" s="4" t="s">
        <v>138</v>
      </c>
      <c r="C16" s="4" t="s">
        <v>139</v>
      </c>
      <c r="D16" s="4" t="s">
        <v>21</v>
      </c>
      <c r="E16" s="4" t="s">
        <v>140</v>
      </c>
      <c r="F16" s="4" t="s">
        <v>506</v>
      </c>
      <c r="G16" s="34" t="s">
        <v>1019</v>
      </c>
      <c r="H16" s="35"/>
      <c r="I16" s="34" t="s">
        <v>15</v>
      </c>
      <c r="J16" s="35"/>
    </row>
    <row r="17" spans="1:18" ht="45" customHeight="1" x14ac:dyDescent="0.3">
      <c r="A17" s="15" t="s">
        <v>1141</v>
      </c>
      <c r="B17" s="15">
        <v>91688</v>
      </c>
      <c r="C17" s="15" t="str">
        <f>VLOOKUP(B17,S!$A:$G,2,FALSE)</f>
        <v>SINAPI</v>
      </c>
      <c r="D17" s="22" t="str">
        <f>VLOOKUP(B17,S!$A:$G,3,FALSE)</f>
        <v>SERRA CIRCULAR DE BANCADA COM MOTOR ELÉTRICO POTÊNCIA DE 5HP, COM COIFA PARA DISCO 10" - DEPRECIAÇÃO. AF_08/2015</v>
      </c>
      <c r="E17" s="15" t="str">
        <f>VLOOKUP(B17,S!$A:$G,4,FALSE)</f>
        <v>H</v>
      </c>
      <c r="F17" s="15"/>
      <c r="G17" s="73">
        <f>I19</f>
        <v>0.12</v>
      </c>
      <c r="H17" s="74"/>
      <c r="I17" s="73"/>
      <c r="J17" s="74"/>
      <c r="K17" s="16">
        <f>VLOOKUP(B17,S!A:G,5,FALSE)</f>
        <v>0.12</v>
      </c>
      <c r="L17" s="15" t="str">
        <f>IF(K17=G17,"OK, CONFORME TABELA",IF(G17&gt;K17,"ACIMA DA TABELA: ","ABAIXO DA TABELA: ")&amp;TRUNC((G17*100)/K17,2)&amp;" %")</f>
        <v>OK, CONFORME TABELA</v>
      </c>
    </row>
    <row r="18" spans="1:18" ht="45" customHeight="1" x14ac:dyDescent="0.3">
      <c r="A18" s="23" t="s">
        <v>1025</v>
      </c>
      <c r="B18" s="23">
        <v>14618</v>
      </c>
      <c r="C18" s="23" t="str">
        <f>VLOOKUP(B18,IF(A18="COMPOSICAO",S!$A:$E,I!$A:$E),2,FALSE)</f>
        <v>SINAPI</v>
      </c>
      <c r="D18" s="24" t="str">
        <f>VLOOKUP(B18,IF(A18="COMPOSICAO",S!$A:$E,I!$A:$E),3,FALSE)</f>
        <v>SERRA CIRCULAR DE BANCADA COM MOTOR ELETRICO, POTENCIA DE *1600* W, PARA DISCO DE DIAMETRO DE 10" (250 MM)</v>
      </c>
      <c r="E18" s="23" t="str">
        <f>VLOOKUP(B18,IF(A18="COMPOSICAO",S!$A:$E,I!$A:$E),4,FALSE)</f>
        <v>UN</v>
      </c>
      <c r="F18" s="23">
        <v>7.2000000000000002E-5</v>
      </c>
      <c r="G18" s="71">
        <f>IF(A18="COMPOSICAO",VLOOKUP("TOTAL SEM BDI - "&amp;B18,CPUAUX5!$A:$J,9,FALSE),VLOOKUP(B18,I!$A:$E,5,FALSE))</f>
        <v>1705.61</v>
      </c>
      <c r="H18" s="72"/>
      <c r="I18" s="71">
        <f>TRUNC(F18*G18,2)</f>
        <v>0.12</v>
      </c>
      <c r="J18" s="72"/>
      <c r="M18" s="23">
        <f>B18</f>
        <v>14618</v>
      </c>
      <c r="N18" s="23">
        <f>SUMIF(CPUAUX3!M:M,B17,CPUAUX3!O:O)</f>
        <v>1.6632916569000002</v>
      </c>
      <c r="O18" s="23">
        <f>F18*N18</f>
        <v>1.1975699929680002E-4</v>
      </c>
      <c r="Q18" s="23">
        <f ca="1">SUMIF(CPUAUX3!M:M,B17,CPUAUX3!R:R)</f>
        <v>0.66531666276000001</v>
      </c>
      <c r="R18" s="23">
        <f ca="1">F18*Q18</f>
        <v>4.7902799718720001E-5</v>
      </c>
    </row>
    <row r="19" spans="1:18" x14ac:dyDescent="0.3">
      <c r="A19" s="68" t="str">
        <f>"TOTAL SEM BDI - "&amp;B17</f>
        <v>TOTAL SEM BDI - 91688</v>
      </c>
      <c r="B19" s="69"/>
      <c r="C19" s="69"/>
      <c r="D19" s="69"/>
      <c r="E19" s="69"/>
      <c r="F19" s="69"/>
      <c r="G19" s="69"/>
      <c r="H19" s="70"/>
      <c r="I19" s="71">
        <f>SUM(I17:I18)</f>
        <v>0.12</v>
      </c>
      <c r="J19" s="72"/>
    </row>
    <row r="21" spans="1:18" x14ac:dyDescent="0.3">
      <c r="A21" s="4" t="s">
        <v>1018</v>
      </c>
      <c r="B21" s="4" t="s">
        <v>138</v>
      </c>
      <c r="C21" s="4" t="s">
        <v>139</v>
      </c>
      <c r="D21" s="4" t="s">
        <v>21</v>
      </c>
      <c r="E21" s="4" t="s">
        <v>140</v>
      </c>
      <c r="F21" s="4" t="s">
        <v>506</v>
      </c>
      <c r="G21" s="34" t="s">
        <v>1019</v>
      </c>
      <c r="H21" s="35"/>
      <c r="I21" s="34" t="s">
        <v>15</v>
      </c>
      <c r="J21" s="35"/>
    </row>
    <row r="22" spans="1:18" ht="30" customHeight="1" x14ac:dyDescent="0.3">
      <c r="A22" s="15" t="s">
        <v>1093</v>
      </c>
      <c r="B22" s="15">
        <v>88297</v>
      </c>
      <c r="C22" s="15" t="str">
        <f>VLOOKUP(B22,S!$A:$G,2,FALSE)</f>
        <v>SINAPI</v>
      </c>
      <c r="D22" s="22" t="str">
        <f>VLOOKUP(B22,S!$A:$G,3,FALSE)</f>
        <v>OPERADOR DE MÁQUINAS E EQUIPAMENTOS COM ENCARGOS COMPLEMENTARES</v>
      </c>
      <c r="E22" s="15" t="str">
        <f>VLOOKUP(B22,S!$A:$G,4,FALSE)</f>
        <v>H</v>
      </c>
      <c r="F22" s="15"/>
      <c r="G22" s="73">
        <f>I31</f>
        <v>27.16</v>
      </c>
      <c r="H22" s="74"/>
      <c r="I22" s="73"/>
      <c r="J22" s="74"/>
      <c r="K22" s="16">
        <f>VLOOKUP(B22,S!A:G,5,FALSE)</f>
        <v>27.16</v>
      </c>
      <c r="L22" s="15" t="str">
        <f>IF(K22=G22,"OK, CONFORME TABELA",IF(G22&gt;K22,"ACIMA DA TABELA: ","ABAIXO DA TABELA: ")&amp;TRUNC((G22*100)/K22,2)&amp;" %")</f>
        <v>OK, CONFORME TABELA</v>
      </c>
    </row>
    <row r="23" spans="1:18" ht="30" customHeight="1" x14ac:dyDescent="0.3">
      <c r="A23" s="23" t="s">
        <v>1025</v>
      </c>
      <c r="B23" s="23">
        <v>43488</v>
      </c>
      <c r="C23" s="23" t="str">
        <f>VLOOKUP(B23,IF(A23="COMPOSICAO",S!$A:$E,I!$A:$E),2,FALSE)</f>
        <v>SINAPI</v>
      </c>
      <c r="D23" s="24" t="str">
        <f>VLOOKUP(B23,IF(A23="COMPOSICAO",S!$A:$E,I!$A:$E),3,FALSE)</f>
        <v>EPI - FAMILIA OPERADOR ESCAVADEIRA - HORISTA (ENCARGOS COMPLEMENTARES - COLETADO CAIXA)</v>
      </c>
      <c r="E23" s="23" t="str">
        <f>VLOOKUP(B23,IF(A23="COMPOSICAO",S!$A:$E,I!$A:$E),4,FALSE)</f>
        <v>H</v>
      </c>
      <c r="F23" s="23">
        <v>1</v>
      </c>
      <c r="G23" s="71">
        <f>IF(A23="COMPOSICAO",VLOOKUP("TOTAL SEM BDI - "&amp;B23,CPUAUX5!$A:$J,9,FALSE),VLOOKUP(B23,I!$A:$E,5,FALSE))</f>
        <v>0.89</v>
      </c>
      <c r="H23" s="72"/>
      <c r="I23" s="71">
        <f t="shared" ref="I23:I30" si="0">TRUNC(F23*G23,2)</f>
        <v>0.89</v>
      </c>
      <c r="J23" s="72"/>
      <c r="M23" s="23">
        <f t="shared" ref="M23:M30" si="1">B23</f>
        <v>43488</v>
      </c>
      <c r="N23" s="23">
        <f>SUMIF(CPUAUX3!M:M,B22,CPUAUX3!O:O)</f>
        <v>1.6632916569000002</v>
      </c>
      <c r="O23" s="23">
        <f t="shared" ref="O23:O30" si="2">F23*N23</f>
        <v>1.6632916569000002</v>
      </c>
      <c r="Q23" s="23">
        <f ca="1">SUMIF(CPUAUX3!M:M,B22,CPUAUX3!R:R)</f>
        <v>0.66531666276000001</v>
      </c>
      <c r="R23" s="23">
        <f t="shared" ref="R23:R30" ca="1" si="3">F23*Q23</f>
        <v>0.66531666276000001</v>
      </c>
    </row>
    <row r="24" spans="1:18" ht="45" customHeight="1" x14ac:dyDescent="0.3">
      <c r="A24" s="23" t="s">
        <v>1025</v>
      </c>
      <c r="B24" s="23">
        <v>43464</v>
      </c>
      <c r="C24" s="23" t="str">
        <f>VLOOKUP(B24,IF(A24="COMPOSICAO",S!$A:$E,I!$A:$E),2,FALSE)</f>
        <v>SINAPI</v>
      </c>
      <c r="D24" s="24" t="str">
        <f>VLOOKUP(B24,IF(A24="COMPOSICAO",S!$A:$E,I!$A:$E),3,FALSE)</f>
        <v>FERRAMENTAS - FAMILIA OPERADOR ESCAVADEIRA - HORISTA (ENCARGOS COMPLEMENTARES - COLETADO CAIXA)</v>
      </c>
      <c r="E24" s="23" t="str">
        <f>VLOOKUP(B24,IF(A24="COMPOSICAO",S!$A:$E,I!$A:$E),4,FALSE)</f>
        <v>H</v>
      </c>
      <c r="F24" s="23">
        <v>1</v>
      </c>
      <c r="G24" s="71">
        <f>IF(A24="COMPOSICAO",VLOOKUP("TOTAL SEM BDI - "&amp;B24,CPUAUX5!$A:$J,9,FALSE),VLOOKUP(B24,I!$A:$E,5,FALSE))</f>
        <v>0.01</v>
      </c>
      <c r="H24" s="72"/>
      <c r="I24" s="71">
        <f t="shared" si="0"/>
        <v>0.01</v>
      </c>
      <c r="J24" s="72"/>
      <c r="M24" s="23">
        <f t="shared" si="1"/>
        <v>43464</v>
      </c>
      <c r="N24" s="23">
        <f>SUMIF(CPUAUX3!M:M,B22,CPUAUX3!O:O)</f>
        <v>1.6632916569000002</v>
      </c>
      <c r="O24" s="23">
        <f t="shared" si="2"/>
        <v>1.6632916569000002</v>
      </c>
      <c r="Q24" s="23">
        <f ca="1">SUMIF(CPUAUX3!M:M,B22,CPUAUX3!R:R)</f>
        <v>0.66531666276000001</v>
      </c>
      <c r="R24" s="23">
        <f t="shared" ca="1" si="3"/>
        <v>0.66531666276000001</v>
      </c>
    </row>
    <row r="25" spans="1:18" ht="30" customHeight="1" x14ac:dyDescent="0.3">
      <c r="A25" s="23" t="s">
        <v>1025</v>
      </c>
      <c r="B25" s="23">
        <v>37373</v>
      </c>
      <c r="C25" s="23" t="str">
        <f>VLOOKUP(B25,IF(A25="COMPOSICAO",S!$A:$E,I!$A:$E),2,FALSE)</f>
        <v>SINAPI</v>
      </c>
      <c r="D25" s="24" t="str">
        <f>VLOOKUP(B25,IF(A25="COMPOSICAO",S!$A:$E,I!$A:$E),3,FALSE)</f>
        <v>SEGURO - HORISTA (COLETADO CAIXA - ENCARGOS COMPLEMENTARES)</v>
      </c>
      <c r="E25" s="23" t="str">
        <f>VLOOKUP(B25,IF(A25="COMPOSICAO",S!$A:$E,I!$A:$E),4,FALSE)</f>
        <v>H</v>
      </c>
      <c r="F25" s="23">
        <v>1</v>
      </c>
      <c r="G25" s="71">
        <f>IF(A25="COMPOSICAO",VLOOKUP("TOTAL SEM BDI - "&amp;B25,CPUAUX5!$A:$J,9,FALSE),VLOOKUP(B25,I!$A:$E,5,FALSE))</f>
        <v>0.08</v>
      </c>
      <c r="H25" s="72"/>
      <c r="I25" s="71">
        <f t="shared" si="0"/>
        <v>0.08</v>
      </c>
      <c r="J25" s="72"/>
      <c r="M25" s="23">
        <f t="shared" si="1"/>
        <v>37373</v>
      </c>
      <c r="N25" s="23">
        <f>SUMIF(CPUAUX3!M:M,B22,CPUAUX3!O:O)</f>
        <v>1.6632916569000002</v>
      </c>
      <c r="O25" s="23">
        <f t="shared" si="2"/>
        <v>1.6632916569000002</v>
      </c>
      <c r="Q25" s="23">
        <f ca="1">SUMIF(CPUAUX3!M:M,B22,CPUAUX3!R:R)</f>
        <v>0.66531666276000001</v>
      </c>
      <c r="R25" s="23">
        <f t="shared" ca="1" si="3"/>
        <v>0.66531666276000001</v>
      </c>
    </row>
    <row r="26" spans="1:18" ht="30" customHeight="1" x14ac:dyDescent="0.3">
      <c r="A26" s="23" t="s">
        <v>1025</v>
      </c>
      <c r="B26" s="23">
        <v>37372</v>
      </c>
      <c r="C26" s="23" t="str">
        <f>VLOOKUP(B26,IF(A26="COMPOSICAO",S!$A:$E,I!$A:$E),2,FALSE)</f>
        <v>SINAPI</v>
      </c>
      <c r="D26" s="24" t="str">
        <f>VLOOKUP(B26,IF(A26="COMPOSICAO",S!$A:$E,I!$A:$E),3,FALSE)</f>
        <v>EXAMES - HORISTA (COLETADO CAIXA - ENCARGOS COMPLEMENTARES)</v>
      </c>
      <c r="E26" s="23" t="str">
        <f>VLOOKUP(B26,IF(A26="COMPOSICAO",S!$A:$E,I!$A:$E),4,FALSE)</f>
        <v>H</v>
      </c>
      <c r="F26" s="23">
        <v>1</v>
      </c>
      <c r="G26" s="71">
        <f>IF(A26="COMPOSICAO",VLOOKUP("TOTAL SEM BDI - "&amp;B26,CPUAUX5!$A:$J,9,FALSE),VLOOKUP(B26,I!$A:$E,5,FALSE))</f>
        <v>1.43</v>
      </c>
      <c r="H26" s="72"/>
      <c r="I26" s="71">
        <f t="shared" si="0"/>
        <v>1.43</v>
      </c>
      <c r="J26" s="72"/>
      <c r="M26" s="23">
        <f t="shared" si="1"/>
        <v>37372</v>
      </c>
      <c r="N26" s="23">
        <f>SUMIF(CPUAUX3!M:M,B22,CPUAUX3!O:O)</f>
        <v>1.6632916569000002</v>
      </c>
      <c r="O26" s="23">
        <f t="shared" si="2"/>
        <v>1.6632916569000002</v>
      </c>
      <c r="Q26" s="23">
        <f ca="1">SUMIF(CPUAUX3!M:M,B22,CPUAUX3!R:R)</f>
        <v>0.66531666276000001</v>
      </c>
      <c r="R26" s="23">
        <f t="shared" ca="1" si="3"/>
        <v>0.66531666276000001</v>
      </c>
    </row>
    <row r="27" spans="1:18" ht="30" customHeight="1" x14ac:dyDescent="0.3">
      <c r="A27" s="23" t="s">
        <v>1025</v>
      </c>
      <c r="B27" s="23">
        <v>37371</v>
      </c>
      <c r="C27" s="23" t="str">
        <f>VLOOKUP(B27,IF(A27="COMPOSICAO",S!$A:$E,I!$A:$E),2,FALSE)</f>
        <v>SINAPI</v>
      </c>
      <c r="D27" s="24" t="str">
        <f>VLOOKUP(B27,IF(A27="COMPOSICAO",S!$A:$E,I!$A:$E),3,FALSE)</f>
        <v>TRANSPORTE - HORISTA (COLETADO CAIXA - ENCARGOS COMPLEMENTARES)</v>
      </c>
      <c r="E27" s="23" t="str">
        <f>VLOOKUP(B27,IF(A27="COMPOSICAO",S!$A:$E,I!$A:$E),4,FALSE)</f>
        <v>H</v>
      </c>
      <c r="F27" s="23">
        <v>1</v>
      </c>
      <c r="G27" s="71">
        <f>IF(A27="COMPOSICAO",VLOOKUP("TOTAL SEM BDI - "&amp;B27,CPUAUX5!$A:$J,9,FALSE),VLOOKUP(B27,I!$A:$E,5,FALSE))</f>
        <v>0.56999999999999995</v>
      </c>
      <c r="H27" s="72"/>
      <c r="I27" s="71">
        <f t="shared" si="0"/>
        <v>0.56999999999999995</v>
      </c>
      <c r="J27" s="72"/>
      <c r="M27" s="23">
        <f t="shared" si="1"/>
        <v>37371</v>
      </c>
      <c r="N27" s="23">
        <f>SUMIF(CPUAUX3!M:M,B22,CPUAUX3!O:O)</f>
        <v>1.6632916569000002</v>
      </c>
      <c r="O27" s="23">
        <f t="shared" si="2"/>
        <v>1.6632916569000002</v>
      </c>
      <c r="Q27" s="23">
        <f ca="1">SUMIF(CPUAUX3!M:M,B22,CPUAUX3!R:R)</f>
        <v>0.66531666276000001</v>
      </c>
      <c r="R27" s="23">
        <f t="shared" ca="1" si="3"/>
        <v>0.66531666276000001</v>
      </c>
    </row>
    <row r="28" spans="1:18" ht="30" customHeight="1" x14ac:dyDescent="0.3">
      <c r="A28" s="23" t="s">
        <v>1025</v>
      </c>
      <c r="B28" s="23">
        <v>37370</v>
      </c>
      <c r="C28" s="23" t="str">
        <f>VLOOKUP(B28,IF(A28="COMPOSICAO",S!$A:$E,I!$A:$E),2,FALSE)</f>
        <v>SINAPI</v>
      </c>
      <c r="D28" s="24" t="str">
        <f>VLOOKUP(B28,IF(A28="COMPOSICAO",S!$A:$E,I!$A:$E),3,FALSE)</f>
        <v>ALIMENTACAO - HORISTA (COLETADO CAIXA - ENCARGOS COMPLEMENTARES)</v>
      </c>
      <c r="E28" s="23" t="str">
        <f>VLOOKUP(B28,IF(A28="COMPOSICAO",S!$A:$E,I!$A:$E),4,FALSE)</f>
        <v>H</v>
      </c>
      <c r="F28" s="23">
        <v>1</v>
      </c>
      <c r="G28" s="71">
        <f>IF(A28="COMPOSICAO",VLOOKUP("TOTAL SEM BDI - "&amp;B28,CPUAUX5!$A:$J,9,FALSE),VLOOKUP(B28,I!$A:$E,5,FALSE))</f>
        <v>2.46</v>
      </c>
      <c r="H28" s="72"/>
      <c r="I28" s="71">
        <f t="shared" si="0"/>
        <v>2.46</v>
      </c>
      <c r="J28" s="72"/>
      <c r="M28" s="23">
        <f t="shared" si="1"/>
        <v>37370</v>
      </c>
      <c r="N28" s="23">
        <f>SUMIF(CPUAUX3!M:M,B22,CPUAUX3!O:O)</f>
        <v>1.6632916569000002</v>
      </c>
      <c r="O28" s="23">
        <f t="shared" si="2"/>
        <v>1.6632916569000002</v>
      </c>
      <c r="Q28" s="23">
        <f ca="1">SUMIF(CPUAUX3!M:M,B22,CPUAUX3!R:R)</f>
        <v>0.66531666276000001</v>
      </c>
      <c r="R28" s="23">
        <f t="shared" ca="1" si="3"/>
        <v>0.66531666276000001</v>
      </c>
    </row>
    <row r="29" spans="1:18" ht="30" customHeight="1" x14ac:dyDescent="0.3">
      <c r="A29" s="23" t="s">
        <v>1025</v>
      </c>
      <c r="B29" s="23">
        <v>4230</v>
      </c>
      <c r="C29" s="23" t="str">
        <f>VLOOKUP(B29,IF(A29="COMPOSICAO",S!$A:$E,I!$A:$E),2,FALSE)</f>
        <v>SINAPI</v>
      </c>
      <c r="D29" s="24" t="str">
        <f>VLOOKUP(B29,IF(A29="COMPOSICAO",S!$A:$E,I!$A:$E),3,FALSE)</f>
        <v>OPERADOR DE MAQUINAS E TRATORES DIVERSOS - TERRAPLANAGEM (HORISTA)</v>
      </c>
      <c r="E29" s="23" t="str">
        <f>VLOOKUP(B29,IF(A29="COMPOSICAO",S!$A:$E,I!$A:$E),4,FALSE)</f>
        <v>H</v>
      </c>
      <c r="F29" s="23">
        <v>1</v>
      </c>
      <c r="G29" s="71">
        <f>IF(A29="COMPOSICAO",VLOOKUP("TOTAL SEM BDI - "&amp;B29,CPUAUX5!$A:$J,9,FALSE),VLOOKUP(B29,I!$A:$E,5,FALSE))</f>
        <v>21.48</v>
      </c>
      <c r="H29" s="72"/>
      <c r="I29" s="71">
        <f t="shared" si="0"/>
        <v>21.48</v>
      </c>
      <c r="J29" s="72"/>
      <c r="M29" s="23">
        <f t="shared" si="1"/>
        <v>4230</v>
      </c>
      <c r="N29" s="23">
        <f>SUMIF(CPUAUX3!M:M,B22,CPUAUX3!O:O)</f>
        <v>1.6632916569000002</v>
      </c>
      <c r="O29" s="23">
        <f t="shared" si="2"/>
        <v>1.6632916569000002</v>
      </c>
      <c r="Q29" s="23">
        <f ca="1">SUMIF(CPUAUX3!M:M,B22,CPUAUX3!R:R)</f>
        <v>0.66531666276000001</v>
      </c>
      <c r="R29" s="23">
        <f t="shared" ca="1" si="3"/>
        <v>0.66531666276000001</v>
      </c>
    </row>
    <row r="30" spans="1:18" ht="45" customHeight="1" x14ac:dyDescent="0.3">
      <c r="A30" s="23" t="s">
        <v>1022</v>
      </c>
      <c r="B30" s="23">
        <v>95360</v>
      </c>
      <c r="C30" s="23" t="str">
        <f>VLOOKUP(B30,IF(A30="COMPOSICAO",S!$A:$E,I!$A:$E),2,FALSE)</f>
        <v>SINAPI</v>
      </c>
      <c r="D30" s="24" t="str">
        <f>VLOOKUP(B30,IF(A30="COMPOSICAO",S!$A:$E,I!$A:$E),3,FALSE)</f>
        <v>CURSO DE CAPACITAÇÃO PARA OPERADOR DE MÁQUINAS E EQUIPAMENTOS (ENCARGOS COMPLEMENTARES) - HORISTA</v>
      </c>
      <c r="E30" s="23" t="str">
        <f>VLOOKUP(B30,IF(A30="COMPOSICAO",S!$A:$E,I!$A:$E),4,FALSE)</f>
        <v>H</v>
      </c>
      <c r="F30" s="23">
        <v>1</v>
      </c>
      <c r="G30" s="71">
        <f>IF(A30="COMPOSICAO",VLOOKUP("TOTAL SEM BDI - "&amp;B30,CPUAUX5!$A:$J,9,FALSE),VLOOKUP(B30,I!$A:$E,5,FALSE))</f>
        <v>0.24</v>
      </c>
      <c r="H30" s="72"/>
      <c r="I30" s="71">
        <f t="shared" si="0"/>
        <v>0.24</v>
      </c>
      <c r="J30" s="72"/>
      <c r="M30" s="23">
        <f t="shared" si="1"/>
        <v>95360</v>
      </c>
      <c r="N30" s="23">
        <f>SUMIF(CPUAUX3!M:M,B22,CPUAUX3!O:O)</f>
        <v>1.6632916569000002</v>
      </c>
      <c r="O30" s="23">
        <f t="shared" si="2"/>
        <v>1.6632916569000002</v>
      </c>
      <c r="Q30" s="23">
        <f ca="1">SUMIF(CPUAUX3!M:M,B22,CPUAUX3!R:R)</f>
        <v>0.66531666276000001</v>
      </c>
      <c r="R30" s="23">
        <f t="shared" ca="1" si="3"/>
        <v>0.66531666276000001</v>
      </c>
    </row>
    <row r="31" spans="1:18" x14ac:dyDescent="0.3">
      <c r="A31" s="68" t="str">
        <f>"TOTAL SEM BDI - "&amp;B22</f>
        <v>TOTAL SEM BDI - 88297</v>
      </c>
      <c r="B31" s="69"/>
      <c r="C31" s="69"/>
      <c r="D31" s="69"/>
      <c r="E31" s="69"/>
      <c r="F31" s="69"/>
      <c r="G31" s="69"/>
      <c r="H31" s="70"/>
      <c r="I31" s="71">
        <f>SUM(I22:I30)</f>
        <v>27.16</v>
      </c>
      <c r="J31" s="72"/>
    </row>
    <row r="33" spans="1:18" x14ac:dyDescent="0.3">
      <c r="A33" s="4" t="s">
        <v>1018</v>
      </c>
      <c r="B33" s="4" t="s">
        <v>138</v>
      </c>
      <c r="C33" s="4" t="s">
        <v>139</v>
      </c>
      <c r="D33" s="4" t="s">
        <v>21</v>
      </c>
      <c r="E33" s="4" t="s">
        <v>140</v>
      </c>
      <c r="F33" s="4" t="s">
        <v>506</v>
      </c>
      <c r="G33" s="34" t="s">
        <v>1019</v>
      </c>
      <c r="H33" s="35"/>
      <c r="I33" s="34" t="s">
        <v>15</v>
      </c>
      <c r="J33" s="35"/>
    </row>
    <row r="34" spans="1:18" ht="45" customHeight="1" x14ac:dyDescent="0.3">
      <c r="A34" s="15" t="s">
        <v>1141</v>
      </c>
      <c r="B34" s="15">
        <v>91691</v>
      </c>
      <c r="C34" s="15" t="str">
        <f>VLOOKUP(B34,S!$A:$G,2,FALSE)</f>
        <v>SINAPI</v>
      </c>
      <c r="D34" s="22" t="str">
        <f>VLOOKUP(B34,S!$A:$G,3,FALSE)</f>
        <v>SERRA CIRCULAR DE BANCADA COM MOTOR ELÉTRICO POTÊNCIA DE 5HP, COM COIFA PARA DISCO 10" - MATERIAIS NA OPERAÇÃO. AF_08/2015</v>
      </c>
      <c r="E34" s="15" t="str">
        <f>VLOOKUP(B34,S!$A:$G,4,FALSE)</f>
        <v>H</v>
      </c>
      <c r="F34" s="15"/>
      <c r="G34" s="73">
        <f>I36</f>
        <v>1.49</v>
      </c>
      <c r="H34" s="74"/>
      <c r="I34" s="73"/>
      <c r="J34" s="74"/>
      <c r="K34" s="16">
        <f>VLOOKUP(B34,S!A:G,5,FALSE)</f>
        <v>1.49</v>
      </c>
      <c r="L34" s="15" t="str">
        <f>IF(K34=G34,"OK, CONFORME TABELA",IF(G34&gt;K34,"ACIMA DA TABELA: ","ABAIXO DA TABELA: ")&amp;TRUNC((G34*100)/K34,2)&amp;" %")</f>
        <v>OK, CONFORME TABELA</v>
      </c>
    </row>
    <row r="35" spans="1:18" ht="30" customHeight="1" x14ac:dyDescent="0.3">
      <c r="A35" s="23" t="s">
        <v>1025</v>
      </c>
      <c r="B35" s="23">
        <v>2705</v>
      </c>
      <c r="C35" s="23" t="str">
        <f>VLOOKUP(B35,IF(A35="COMPOSICAO",S!$A:$E,I!$A:$E),2,FALSE)</f>
        <v>SINAPI</v>
      </c>
      <c r="D35" s="24" t="str">
        <f>VLOOKUP(B35,IF(A35="COMPOSICAO",S!$A:$E,I!$A:$E),3,FALSE)</f>
        <v>ENERGIA ELETRICA ATE 2000 KWH INDUSTRIAL, SEM DEMANDA</v>
      </c>
      <c r="E35" s="23" t="str">
        <f>VLOOKUP(B35,IF(A35="COMPOSICAO",S!$A:$E,I!$A:$E),4,FALSE)</f>
        <v>KWH</v>
      </c>
      <c r="F35" s="23">
        <v>1.36</v>
      </c>
      <c r="G35" s="71">
        <f>IF(A35="COMPOSICAO",VLOOKUP("TOTAL SEM BDI - "&amp;B35,CPUAUX5!$A:$J,9,FALSE),VLOOKUP(B35,I!$A:$E,5,FALSE))</f>
        <v>1.1000000000000001</v>
      </c>
      <c r="H35" s="72"/>
      <c r="I35" s="71">
        <f>TRUNC(F35*G35,2)</f>
        <v>1.49</v>
      </c>
      <c r="J35" s="72"/>
      <c r="M35" s="23">
        <f>B35</f>
        <v>2705</v>
      </c>
      <c r="N35" s="23">
        <f>SUMIF(CPUAUX3!M:M,B34,CPUAUX3!O:O)</f>
        <v>0.31435257915000003</v>
      </c>
      <c r="O35" s="23">
        <f>F35*N35</f>
        <v>0.4275195076440001</v>
      </c>
      <c r="Q35" s="23">
        <f ca="1">SUMIF(CPUAUX3!M:M,B34,CPUAUX3!R:R)</f>
        <v>0.12574103166</v>
      </c>
      <c r="R35" s="23">
        <f ca="1">F35*Q35</f>
        <v>0.17100780305760002</v>
      </c>
    </row>
    <row r="36" spans="1:18" x14ac:dyDescent="0.3">
      <c r="A36" s="68" t="str">
        <f>"TOTAL SEM BDI - "&amp;B34</f>
        <v>TOTAL SEM BDI - 91691</v>
      </c>
      <c r="B36" s="69"/>
      <c r="C36" s="69"/>
      <c r="D36" s="69"/>
      <c r="E36" s="69"/>
      <c r="F36" s="69"/>
      <c r="G36" s="69"/>
      <c r="H36" s="70"/>
      <c r="I36" s="71">
        <f>SUM(I34:I35)</f>
        <v>1.49</v>
      </c>
      <c r="J36" s="72"/>
    </row>
    <row r="38" spans="1:18" x14ac:dyDescent="0.3">
      <c r="A38" s="4" t="s">
        <v>1018</v>
      </c>
      <c r="B38" s="4" t="s">
        <v>138</v>
      </c>
      <c r="C38" s="4" t="s">
        <v>139</v>
      </c>
      <c r="D38" s="4" t="s">
        <v>21</v>
      </c>
      <c r="E38" s="4" t="s">
        <v>140</v>
      </c>
      <c r="F38" s="4" t="s">
        <v>506</v>
      </c>
      <c r="G38" s="34" t="s">
        <v>1019</v>
      </c>
      <c r="H38" s="35"/>
      <c r="I38" s="34" t="s">
        <v>15</v>
      </c>
      <c r="J38" s="35"/>
    </row>
    <row r="39" spans="1:18" ht="45" customHeight="1" x14ac:dyDescent="0.3">
      <c r="A39" s="15" t="s">
        <v>1141</v>
      </c>
      <c r="B39" s="15">
        <v>91690</v>
      </c>
      <c r="C39" s="15" t="str">
        <f>VLOOKUP(B39,S!$A:$G,2,FALSE)</f>
        <v>SINAPI</v>
      </c>
      <c r="D39" s="22" t="str">
        <f>VLOOKUP(B39,S!$A:$G,3,FALSE)</f>
        <v>SERRA CIRCULAR DE BANCADA COM MOTOR ELÉTRICO POTÊNCIA DE 5HP, COM COIFA PARA DISCO 10" - MANUTENÇÃO. AF_08/2015</v>
      </c>
      <c r="E39" s="15" t="str">
        <f>VLOOKUP(B39,S!$A:$G,4,FALSE)</f>
        <v>H</v>
      </c>
      <c r="F39" s="15"/>
      <c r="G39" s="73">
        <f>I41</f>
        <v>0.08</v>
      </c>
      <c r="H39" s="74"/>
      <c r="I39" s="73"/>
      <c r="J39" s="74"/>
      <c r="K39" s="16">
        <f>VLOOKUP(B39,S!A:G,5,FALSE)</f>
        <v>0.08</v>
      </c>
      <c r="L39" s="15" t="str">
        <f>IF(K39=G39,"OK, CONFORME TABELA",IF(G39&gt;K39,"ACIMA DA TABELA: ","ABAIXO DA TABELA: ")&amp;TRUNC((G39*100)/K39,2)&amp;" %")</f>
        <v>OK, CONFORME TABELA</v>
      </c>
    </row>
    <row r="40" spans="1:18" ht="45" customHeight="1" x14ac:dyDescent="0.3">
      <c r="A40" s="23" t="s">
        <v>1025</v>
      </c>
      <c r="B40" s="23">
        <v>14618</v>
      </c>
      <c r="C40" s="23" t="str">
        <f>VLOOKUP(B40,IF(A40="COMPOSICAO",S!$A:$E,I!$A:$E),2,FALSE)</f>
        <v>SINAPI</v>
      </c>
      <c r="D40" s="24" t="str">
        <f>VLOOKUP(B40,IF(A40="COMPOSICAO",S!$A:$E,I!$A:$E),3,FALSE)</f>
        <v>SERRA CIRCULAR DE BANCADA COM MOTOR ELETRICO, POTENCIA DE *1600* W, PARA DISCO DE DIAMETRO DE 10" (250 MM)</v>
      </c>
      <c r="E40" s="23" t="str">
        <f>VLOOKUP(B40,IF(A40="COMPOSICAO",S!$A:$E,I!$A:$E),4,FALSE)</f>
        <v>UN</v>
      </c>
      <c r="F40" s="23">
        <v>5.0000000000000002E-5</v>
      </c>
      <c r="G40" s="71">
        <f>IF(A40="COMPOSICAO",VLOOKUP("TOTAL SEM BDI - "&amp;B40,CPUAUX5!$A:$J,9,FALSE),VLOOKUP(B40,I!$A:$E,5,FALSE))</f>
        <v>1705.61</v>
      </c>
      <c r="H40" s="72"/>
      <c r="I40" s="71">
        <f>TRUNC(F40*G40,2)</f>
        <v>0.08</v>
      </c>
      <c r="J40" s="72"/>
      <c r="M40" s="23">
        <f>B40</f>
        <v>14618</v>
      </c>
      <c r="N40" s="23">
        <f>SUMIF(CPUAUX3!M:M,B39,CPUAUX3!O:O)</f>
        <v>0.31435257915000003</v>
      </c>
      <c r="O40" s="23">
        <f>F40*N40</f>
        <v>1.5717628957500003E-5</v>
      </c>
      <c r="Q40" s="23">
        <f ca="1">SUMIF(CPUAUX3!M:M,B39,CPUAUX3!R:R)</f>
        <v>0.12574103166</v>
      </c>
      <c r="R40" s="23">
        <f ca="1">F40*Q40</f>
        <v>6.2870515830000006E-6</v>
      </c>
    </row>
    <row r="41" spans="1:18" x14ac:dyDescent="0.3">
      <c r="A41" s="68" t="str">
        <f>"TOTAL SEM BDI - "&amp;B39</f>
        <v>TOTAL SEM BDI - 91690</v>
      </c>
      <c r="B41" s="69"/>
      <c r="C41" s="69"/>
      <c r="D41" s="69"/>
      <c r="E41" s="69"/>
      <c r="F41" s="69"/>
      <c r="G41" s="69"/>
      <c r="H41" s="70"/>
      <c r="I41" s="71">
        <f>SUM(I39:I40)</f>
        <v>0.08</v>
      </c>
      <c r="J41" s="72"/>
    </row>
    <row r="43" spans="1:18" x14ac:dyDescent="0.3">
      <c r="A43" s="4" t="s">
        <v>1018</v>
      </c>
      <c r="B43" s="4" t="s">
        <v>138</v>
      </c>
      <c r="C43" s="4" t="s">
        <v>139</v>
      </c>
      <c r="D43" s="4" t="s">
        <v>21</v>
      </c>
      <c r="E43" s="4" t="s">
        <v>140</v>
      </c>
      <c r="F43" s="4" t="s">
        <v>506</v>
      </c>
      <c r="G43" s="34" t="s">
        <v>1019</v>
      </c>
      <c r="H43" s="35"/>
      <c r="I43" s="34" t="s">
        <v>15</v>
      </c>
      <c r="J43" s="35"/>
    </row>
    <row r="44" spans="1:18" ht="30" customHeight="1" x14ac:dyDescent="0.3">
      <c r="A44" s="15" t="s">
        <v>1093</v>
      </c>
      <c r="B44" s="15">
        <v>95330</v>
      </c>
      <c r="C44" s="15" t="str">
        <f>VLOOKUP(B44,S!$A:$G,2,FALSE)</f>
        <v>SINAPI</v>
      </c>
      <c r="D44" s="22" t="str">
        <f>VLOOKUP(B44,S!$A:$G,3,FALSE)</f>
        <v>CURSO DE CAPACITAÇÃO PARA CARPINTEIRO DE FÔRMAS (ENCARGOS COMPLEMENTARES) - HORISTA</v>
      </c>
      <c r="E44" s="15" t="str">
        <f>VLOOKUP(B44,S!$A:$G,4,FALSE)</f>
        <v>H</v>
      </c>
      <c r="F44" s="15"/>
      <c r="G44" s="73">
        <f>I46</f>
        <v>0.23</v>
      </c>
      <c r="H44" s="74"/>
      <c r="I44" s="73"/>
      <c r="J44" s="74"/>
      <c r="K44" s="16">
        <f>VLOOKUP(B44,S!A:G,5,FALSE)</f>
        <v>0.23</v>
      </c>
      <c r="L44" s="15" t="str">
        <f>IF(K44=G44,"OK, CONFORME TABELA",IF(G44&gt;K44,"ACIMA DA TABELA: ","ABAIXO DA TABELA: ")&amp;TRUNC((G44*100)/K44,2)&amp;" %")</f>
        <v>OK, CONFORME TABELA</v>
      </c>
    </row>
    <row r="45" spans="1:18" ht="15" customHeight="1" x14ac:dyDescent="0.3">
      <c r="A45" s="23" t="s">
        <v>1025</v>
      </c>
      <c r="B45" s="23">
        <v>1213</v>
      </c>
      <c r="C45" s="23" t="str">
        <f>VLOOKUP(B45,IF(A45="COMPOSICAO",S!$A:$E,I!$A:$E),2,FALSE)</f>
        <v>SINAPI</v>
      </c>
      <c r="D45" s="24" t="str">
        <f>VLOOKUP(B45,IF(A45="COMPOSICAO",S!$A:$E,I!$A:$E),3,FALSE)</f>
        <v>CARPINTEIRO DE FORMAS PARA CONCRETO (HORISTA)</v>
      </c>
      <c r="E45" s="23" t="str">
        <f>VLOOKUP(B45,IF(A45="COMPOSICAO",S!$A:$E,I!$A:$E),4,FALSE)</f>
        <v>H</v>
      </c>
      <c r="F45" s="23">
        <v>1.154E-2</v>
      </c>
      <c r="G45" s="71">
        <f>IF(A45="COMPOSICAO",VLOOKUP("TOTAL SEM BDI - "&amp;B45,CPUAUX5!$A:$J,9,FALSE),VLOOKUP(B45,I!$A:$E,5,FALSE))</f>
        <v>20.329999999999998</v>
      </c>
      <c r="H45" s="72"/>
      <c r="I45" s="71">
        <f>TRUNC(F45*G45,2)</f>
        <v>0.23</v>
      </c>
      <c r="J45" s="72"/>
      <c r="M45" s="23">
        <f>B45</f>
        <v>1213</v>
      </c>
      <c r="N45" s="23">
        <f>SUMIF(CPUAUX3!M:M,B44,CPUAUX3!O:O)</f>
        <v>3.5117891928000002</v>
      </c>
      <c r="O45" s="23">
        <f>F45*N45</f>
        <v>4.0526047284911999E-2</v>
      </c>
      <c r="Q45" s="23">
        <f ca="1">SUMIF(CPUAUX3!M:M,B44,CPUAUX3!R:R)</f>
        <v>1.4047156771200002</v>
      </c>
      <c r="R45" s="23">
        <f ca="1">F45*Q45</f>
        <v>1.6210418913964804E-2</v>
      </c>
    </row>
    <row r="46" spans="1:18" x14ac:dyDescent="0.3">
      <c r="A46" s="68" t="str">
        <f>"TOTAL SEM BDI - "&amp;B44</f>
        <v>TOTAL SEM BDI - 95330</v>
      </c>
      <c r="B46" s="69"/>
      <c r="C46" s="69"/>
      <c r="D46" s="69"/>
      <c r="E46" s="69"/>
      <c r="F46" s="69"/>
      <c r="G46" s="69"/>
      <c r="H46" s="70"/>
      <c r="I46" s="71">
        <f>SUM(I44:I45)</f>
        <v>0.23</v>
      </c>
      <c r="J46" s="72"/>
    </row>
    <row r="48" spans="1:18" x14ac:dyDescent="0.3">
      <c r="A48" s="4" t="s">
        <v>1018</v>
      </c>
      <c r="B48" s="4" t="s">
        <v>138</v>
      </c>
      <c r="C48" s="4" t="s">
        <v>139</v>
      </c>
      <c r="D48" s="4" t="s">
        <v>21</v>
      </c>
      <c r="E48" s="4" t="s">
        <v>140</v>
      </c>
      <c r="F48" s="4" t="s">
        <v>506</v>
      </c>
      <c r="G48" s="34" t="s">
        <v>1019</v>
      </c>
      <c r="H48" s="35"/>
      <c r="I48" s="34" t="s">
        <v>15</v>
      </c>
      <c r="J48" s="35"/>
    </row>
    <row r="49" spans="1:18" ht="30" customHeight="1" x14ac:dyDescent="0.3">
      <c r="A49" s="15" t="s">
        <v>1093</v>
      </c>
      <c r="B49" s="15">
        <v>95309</v>
      </c>
      <c r="C49" s="15" t="str">
        <f>VLOOKUP(B49,S!$A:$G,2,FALSE)</f>
        <v>SINAPI</v>
      </c>
      <c r="D49" s="22" t="str">
        <f>VLOOKUP(B49,S!$A:$G,3,FALSE)</f>
        <v>CURSO DE CAPACITAÇÃO PARA AJUDANTE DE CARPINTEIRO (ENCARGOS COMPLEMENTARES) - HORISTA</v>
      </c>
      <c r="E49" s="15" t="str">
        <f>VLOOKUP(B49,S!$A:$G,4,FALSE)</f>
        <v>H</v>
      </c>
      <c r="F49" s="15"/>
      <c r="G49" s="73">
        <f>I51</f>
        <v>0.22</v>
      </c>
      <c r="H49" s="74"/>
      <c r="I49" s="73"/>
      <c r="J49" s="74"/>
      <c r="K49" s="16">
        <f>VLOOKUP(B49,S!A:G,5,FALSE)</f>
        <v>0.22</v>
      </c>
      <c r="L49" s="15" t="str">
        <f>IF(K49=G49,"OK, CONFORME TABELA",IF(G49&gt;K49,"ACIMA DA TABELA: ","ABAIXO DA TABELA: ")&amp;TRUNC((G49*100)/K49,2)&amp;" %")</f>
        <v>OK, CONFORME TABELA</v>
      </c>
    </row>
    <row r="50" spans="1:18" x14ac:dyDescent="0.3">
      <c r="A50" s="23" t="s">
        <v>1025</v>
      </c>
      <c r="B50" s="23">
        <v>6117</v>
      </c>
      <c r="C50" s="23" t="str">
        <f>VLOOKUP(B50,IF(A50="COMPOSICAO",S!$A:$E,I!$A:$E),2,FALSE)</f>
        <v>SINAPI</v>
      </c>
      <c r="D50" s="24" t="str">
        <f>VLOOKUP(B50,IF(A50="COMPOSICAO",S!$A:$E,I!$A:$E),3,FALSE)</f>
        <v>CARPINTEIRO AUXILIAR (HORISTA)</v>
      </c>
      <c r="E50" s="23" t="str">
        <f>VLOOKUP(B50,IF(A50="COMPOSICAO",S!$A:$E,I!$A:$E),4,FALSE)</f>
        <v>H</v>
      </c>
      <c r="F50" s="23">
        <v>1.4760000000000001E-2</v>
      </c>
      <c r="G50" s="71">
        <f>IF(A50="COMPOSICAO",VLOOKUP("TOTAL SEM BDI - "&amp;B50,CPUAUX5!$A:$J,9,FALSE),VLOOKUP(B50,I!$A:$E,5,FALSE))</f>
        <v>15.57</v>
      </c>
      <c r="H50" s="72"/>
      <c r="I50" s="71">
        <f>TRUNC(F50*G50,2)</f>
        <v>0.22</v>
      </c>
      <c r="J50" s="72"/>
      <c r="M50" s="23">
        <f>B50</f>
        <v>6117</v>
      </c>
      <c r="N50" s="23">
        <f>SUMIF(CPUAUX3!M:M,B49,CPUAUX3!O:O)</f>
        <v>0.86720131530000022</v>
      </c>
      <c r="O50" s="23">
        <f>F50*N50</f>
        <v>1.2799891413828004E-2</v>
      </c>
      <c r="Q50" s="23">
        <f ca="1">SUMIF(CPUAUX3!M:M,B49,CPUAUX3!R:R)</f>
        <v>0.34688052612000009</v>
      </c>
      <c r="R50" s="23">
        <f ca="1">F50*Q50</f>
        <v>5.1199565655312019E-3</v>
      </c>
    </row>
    <row r="51" spans="1:18" x14ac:dyDescent="0.3">
      <c r="A51" s="68" t="str">
        <f>"TOTAL SEM BDI - "&amp;B49</f>
        <v>TOTAL SEM BDI - 95309</v>
      </c>
      <c r="B51" s="69"/>
      <c r="C51" s="69"/>
      <c r="D51" s="69"/>
      <c r="E51" s="69"/>
      <c r="F51" s="69"/>
      <c r="G51" s="69"/>
      <c r="H51" s="70"/>
      <c r="I51" s="71">
        <f>SUM(I49:I50)</f>
        <v>0.22</v>
      </c>
      <c r="J51" s="72"/>
    </row>
    <row r="53" spans="1:18" x14ac:dyDescent="0.3">
      <c r="A53" s="4" t="s">
        <v>1018</v>
      </c>
      <c r="B53" s="4" t="s">
        <v>138</v>
      </c>
      <c r="C53" s="4" t="s">
        <v>139</v>
      </c>
      <c r="D53" s="4" t="s">
        <v>21</v>
      </c>
      <c r="E53" s="4" t="s">
        <v>140</v>
      </c>
      <c r="F53" s="4" t="s">
        <v>506</v>
      </c>
      <c r="G53" s="34" t="s">
        <v>1019</v>
      </c>
      <c r="H53" s="35"/>
      <c r="I53" s="34" t="s">
        <v>15</v>
      </c>
      <c r="J53" s="35"/>
    </row>
    <row r="54" spans="1:18" ht="30" customHeight="1" x14ac:dyDescent="0.3">
      <c r="A54" s="15" t="s">
        <v>1093</v>
      </c>
      <c r="B54" s="15">
        <v>95314</v>
      </c>
      <c r="C54" s="15" t="str">
        <f>VLOOKUP(B54,S!$A:$G,2,FALSE)</f>
        <v>SINAPI</v>
      </c>
      <c r="D54" s="22" t="str">
        <f>VLOOKUP(B54,S!$A:$G,3,FALSE)</f>
        <v>CURSO DE CAPACITAÇÃO PARA ARMADOR (ENCARGOS COMPLEMENTARES) - HORISTA</v>
      </c>
      <c r="E54" s="15" t="str">
        <f>VLOOKUP(B54,S!$A:$G,4,FALSE)</f>
        <v>H</v>
      </c>
      <c r="F54" s="15"/>
      <c r="G54" s="73">
        <f>I56</f>
        <v>0.23</v>
      </c>
      <c r="H54" s="74"/>
      <c r="I54" s="73"/>
      <c r="J54" s="74"/>
      <c r="K54" s="16">
        <f>VLOOKUP(B54,S!A:G,5,FALSE)</f>
        <v>0.23</v>
      </c>
      <c r="L54" s="15" t="str">
        <f>IF(K54=G54,"OK, CONFORME TABELA",IF(G54&gt;K54,"ACIMA DA TABELA: ","ABAIXO DA TABELA: ")&amp;TRUNC((G54*100)/K54,2)&amp;" %")</f>
        <v>OK, CONFORME TABELA</v>
      </c>
    </row>
    <row r="55" spans="1:18" x14ac:dyDescent="0.3">
      <c r="A55" s="23" t="s">
        <v>1025</v>
      </c>
      <c r="B55" s="23">
        <v>378</v>
      </c>
      <c r="C55" s="23" t="str">
        <f>VLOOKUP(B55,IF(A55="COMPOSICAO",S!$A:$E,I!$A:$E),2,FALSE)</f>
        <v>SINAPI</v>
      </c>
      <c r="D55" s="24" t="str">
        <f>VLOOKUP(B55,IF(A55="COMPOSICAO",S!$A:$E,I!$A:$E),3,FALSE)</f>
        <v>ARMADOR (HORISTA)</v>
      </c>
      <c r="E55" s="23" t="str">
        <f>VLOOKUP(B55,IF(A55="COMPOSICAO",S!$A:$E,I!$A:$E),4,FALSE)</f>
        <v>H</v>
      </c>
      <c r="F55" s="23">
        <v>1.154E-2</v>
      </c>
      <c r="G55" s="71">
        <f>IF(A55="COMPOSICAO",VLOOKUP("TOTAL SEM BDI - "&amp;B55,CPUAUX5!$A:$J,9,FALSE),VLOOKUP(B55,I!$A:$E,5,FALSE))</f>
        <v>20.329999999999998</v>
      </c>
      <c r="H55" s="72"/>
      <c r="I55" s="71">
        <f>TRUNC(F55*G55,2)</f>
        <v>0.23</v>
      </c>
      <c r="J55" s="72"/>
      <c r="M55" s="23">
        <f>B55</f>
        <v>378</v>
      </c>
      <c r="N55" s="23">
        <f>SUMIF(CPUAUX3!M:M,B54,CPUAUX3!O:O)</f>
        <v>0.81584223</v>
      </c>
      <c r="O55" s="23">
        <f>F55*N55</f>
        <v>9.4148193342000006E-3</v>
      </c>
      <c r="Q55" s="23">
        <f ca="1">SUMIF(CPUAUX3!M:M,B54,CPUAUX3!R:R)</f>
        <v>0.3263368920000001</v>
      </c>
      <c r="R55" s="23">
        <f ca="1">F55*Q55</f>
        <v>3.7659277336800009E-3</v>
      </c>
    </row>
    <row r="56" spans="1:18" x14ac:dyDescent="0.3">
      <c r="A56" s="68" t="str">
        <f>"TOTAL SEM BDI - "&amp;B54</f>
        <v>TOTAL SEM BDI - 95314</v>
      </c>
      <c r="B56" s="69"/>
      <c r="C56" s="69"/>
      <c r="D56" s="69"/>
      <c r="E56" s="69"/>
      <c r="F56" s="69"/>
      <c r="G56" s="69"/>
      <c r="H56" s="70"/>
      <c r="I56" s="71">
        <f>SUM(I54:I55)</f>
        <v>0.23</v>
      </c>
      <c r="J56" s="72"/>
    </row>
    <row r="58" spans="1:18" x14ac:dyDescent="0.3">
      <c r="A58" s="4" t="s">
        <v>1018</v>
      </c>
      <c r="B58" s="4" t="s">
        <v>138</v>
      </c>
      <c r="C58" s="4" t="s">
        <v>139</v>
      </c>
      <c r="D58" s="4" t="s">
        <v>21</v>
      </c>
      <c r="E58" s="4" t="s">
        <v>140</v>
      </c>
      <c r="F58" s="4" t="s">
        <v>506</v>
      </c>
      <c r="G58" s="34" t="s">
        <v>1019</v>
      </c>
      <c r="H58" s="35"/>
      <c r="I58" s="34" t="s">
        <v>15</v>
      </c>
      <c r="J58" s="35"/>
    </row>
    <row r="59" spans="1:18" ht="30" customHeight="1" x14ac:dyDescent="0.3">
      <c r="A59" s="15" t="s">
        <v>1093</v>
      </c>
      <c r="B59" s="15">
        <v>95308</v>
      </c>
      <c r="C59" s="15" t="str">
        <f>VLOOKUP(B59,S!$A:$G,2,FALSE)</f>
        <v>SINAPI</v>
      </c>
      <c r="D59" s="22" t="str">
        <f>VLOOKUP(B59,S!$A:$G,3,FALSE)</f>
        <v>CURSO DE CAPACITAÇÃO PARA AJUDANTE DE ARMADOR (ENCARGOS COMPLEMENTARES) - HORISTA</v>
      </c>
      <c r="E59" s="15" t="str">
        <f>VLOOKUP(B59,S!$A:$G,4,FALSE)</f>
        <v>H</v>
      </c>
      <c r="F59" s="15"/>
      <c r="G59" s="73">
        <f>I61</f>
        <v>0.17</v>
      </c>
      <c r="H59" s="74"/>
      <c r="I59" s="73"/>
      <c r="J59" s="74"/>
      <c r="K59" s="16">
        <f>VLOOKUP(B59,S!A:G,5,FALSE)</f>
        <v>0.17</v>
      </c>
      <c r="L59" s="15" t="str">
        <f>IF(K59=G59,"OK, CONFORME TABELA",IF(G59&gt;K59,"ACIMA DA TABELA: ","ABAIXO DA TABELA: ")&amp;TRUNC((G59*100)/K59,2)&amp;" %")</f>
        <v>OK, CONFORME TABELA</v>
      </c>
    </row>
    <row r="60" spans="1:18" x14ac:dyDescent="0.3">
      <c r="A60" s="23" t="s">
        <v>1025</v>
      </c>
      <c r="B60" s="23">
        <v>6114</v>
      </c>
      <c r="C60" s="23" t="str">
        <f>VLOOKUP(B60,IF(A60="COMPOSICAO",S!$A:$E,I!$A:$E),2,FALSE)</f>
        <v>SINAPI</v>
      </c>
      <c r="D60" s="24" t="str">
        <f>VLOOKUP(B60,IF(A60="COMPOSICAO",S!$A:$E,I!$A:$E),3,FALSE)</f>
        <v>AJUDANTE DE ARMADOR (HORISTA)</v>
      </c>
      <c r="E60" s="23" t="str">
        <f>VLOOKUP(B60,IF(A60="COMPOSICAO",S!$A:$E,I!$A:$E),4,FALSE)</f>
        <v>H</v>
      </c>
      <c r="F60" s="23">
        <v>1.154E-2</v>
      </c>
      <c r="G60" s="71">
        <f>IF(A60="COMPOSICAO",VLOOKUP("TOTAL SEM BDI - "&amp;B60,CPUAUX5!$A:$J,9,FALSE),VLOOKUP(B60,I!$A:$E,5,FALSE))</f>
        <v>15.57</v>
      </c>
      <c r="H60" s="72"/>
      <c r="I60" s="71">
        <f>TRUNC(F60*G60,2)</f>
        <v>0.17</v>
      </c>
      <c r="J60" s="72"/>
      <c r="M60" s="23">
        <f>B60</f>
        <v>6114</v>
      </c>
      <c r="N60" s="23">
        <f>SUMIF(CPUAUX3!M:M,B59,CPUAUX3!O:O)</f>
        <v>0.12947851500000002</v>
      </c>
      <c r="O60" s="23">
        <f>F60*N60</f>
        <v>1.4941820631000002E-3</v>
      </c>
      <c r="Q60" s="23">
        <f ca="1">SUMIF(CPUAUX3!M:M,B59,CPUAUX3!R:R)</f>
        <v>5.1791406000000005E-2</v>
      </c>
      <c r="R60" s="23">
        <f ca="1">F60*Q60</f>
        <v>5.9767282524000008E-4</v>
      </c>
    </row>
    <row r="61" spans="1:18" x14ac:dyDescent="0.3">
      <c r="A61" s="68" t="str">
        <f>"TOTAL SEM BDI - "&amp;B59</f>
        <v>TOTAL SEM BDI - 95308</v>
      </c>
      <c r="B61" s="69"/>
      <c r="C61" s="69"/>
      <c r="D61" s="69"/>
      <c r="E61" s="69"/>
      <c r="F61" s="69"/>
      <c r="G61" s="69"/>
      <c r="H61" s="70"/>
      <c r="I61" s="71">
        <f>SUM(I59:I60)</f>
        <v>0.17</v>
      </c>
      <c r="J61" s="72"/>
    </row>
    <row r="63" spans="1:18" x14ac:dyDescent="0.3">
      <c r="A63" s="4" t="s">
        <v>1018</v>
      </c>
      <c r="B63" s="4" t="s">
        <v>138</v>
      </c>
      <c r="C63" s="4" t="s">
        <v>139</v>
      </c>
      <c r="D63" s="4" t="s">
        <v>21</v>
      </c>
      <c r="E63" s="4" t="s">
        <v>140</v>
      </c>
      <c r="F63" s="4" t="s">
        <v>506</v>
      </c>
      <c r="G63" s="34" t="s">
        <v>1019</v>
      </c>
      <c r="H63" s="35"/>
      <c r="I63" s="34" t="s">
        <v>15</v>
      </c>
      <c r="J63" s="35"/>
    </row>
    <row r="64" spans="1:18" ht="30" customHeight="1" x14ac:dyDescent="0.3">
      <c r="A64" s="15" t="s">
        <v>1093</v>
      </c>
      <c r="B64" s="15">
        <v>95378</v>
      </c>
      <c r="C64" s="15" t="str">
        <f>VLOOKUP(B64,S!$A:$G,2,FALSE)</f>
        <v>SINAPI</v>
      </c>
      <c r="D64" s="22" t="str">
        <f>VLOOKUP(B64,S!$A:$G,3,FALSE)</f>
        <v>CURSO DE CAPACITAÇÃO PARA SERVENTE (ENCARGOS COMPLEMENTARES) - HORISTA</v>
      </c>
      <c r="E64" s="15" t="str">
        <f>VLOOKUP(B64,S!$A:$G,4,FALSE)</f>
        <v>H</v>
      </c>
      <c r="F64" s="15"/>
      <c r="G64" s="73">
        <f>I66</f>
        <v>0.31</v>
      </c>
      <c r="H64" s="74"/>
      <c r="I64" s="73"/>
      <c r="J64" s="74"/>
      <c r="K64" s="16">
        <f>VLOOKUP(B64,S!A:G,5,FALSE)</f>
        <v>0.31</v>
      </c>
      <c r="L64" s="15" t="str">
        <f>IF(K64=G64,"OK, CONFORME TABELA",IF(G64&gt;K64,"ACIMA DA TABELA: ","ABAIXO DA TABELA: ")&amp;TRUNC((G64*100)/K64,2)&amp;" %")</f>
        <v>OK, CONFORME TABELA</v>
      </c>
    </row>
    <row r="65" spans="1:18" x14ac:dyDescent="0.3">
      <c r="A65" s="23" t="s">
        <v>1025</v>
      </c>
      <c r="B65" s="23">
        <v>6111</v>
      </c>
      <c r="C65" s="23" t="str">
        <f>VLOOKUP(B65,IF(A65="COMPOSICAO",S!$A:$E,I!$A:$E),2,FALSE)</f>
        <v>SINAPI</v>
      </c>
      <c r="D65" s="24" t="str">
        <f>VLOOKUP(B65,IF(A65="COMPOSICAO",S!$A:$E,I!$A:$E),3,FALSE)</f>
        <v>SERVENTE DE OBRAS (HORISTA)</v>
      </c>
      <c r="E65" s="23" t="str">
        <f>VLOOKUP(B65,IF(A65="COMPOSICAO",S!$A:$E,I!$A:$E),4,FALSE)</f>
        <v>H</v>
      </c>
      <c r="F65" s="23">
        <v>2.12E-2</v>
      </c>
      <c r="G65" s="71">
        <f>IF(A65="COMPOSICAO",VLOOKUP("TOTAL SEM BDI - "&amp;B65,CPUAUX5!$A:$J,9,FALSE),VLOOKUP(B65,I!$A:$E,5,FALSE))</f>
        <v>14.86</v>
      </c>
      <c r="H65" s="72"/>
      <c r="I65" s="71">
        <f>TRUNC(F65*G65,2)</f>
        <v>0.31</v>
      </c>
      <c r="J65" s="72"/>
      <c r="M65" s="23">
        <f>B65</f>
        <v>6111</v>
      </c>
      <c r="N65" s="23">
        <f>SUMIF(CPUAUX3!M:M,B64,CPUAUX3!O:O)</f>
        <v>0.51934200000000008</v>
      </c>
      <c r="O65" s="23">
        <f>F65*N65</f>
        <v>1.1010050400000002E-2</v>
      </c>
      <c r="Q65" s="23">
        <f ca="1">SUMIF(CPUAUX3!M:M,B64,CPUAUX3!R:R)</f>
        <v>0.20773680000000005</v>
      </c>
      <c r="R65" s="23">
        <f ca="1">F65*Q65</f>
        <v>4.4040201600000009E-3</v>
      </c>
    </row>
    <row r="66" spans="1:18" x14ac:dyDescent="0.3">
      <c r="A66" s="68" t="str">
        <f>"TOTAL SEM BDI - "&amp;B64</f>
        <v>TOTAL SEM BDI - 95378</v>
      </c>
      <c r="B66" s="69"/>
      <c r="C66" s="69"/>
      <c r="D66" s="69"/>
      <c r="E66" s="69"/>
      <c r="F66" s="69"/>
      <c r="G66" s="69"/>
      <c r="H66" s="70"/>
      <c r="I66" s="71">
        <f>SUM(I64:I65)</f>
        <v>0.31</v>
      </c>
      <c r="J66" s="72"/>
    </row>
    <row r="68" spans="1:18" x14ac:dyDescent="0.3">
      <c r="A68" s="4" t="s">
        <v>1018</v>
      </c>
      <c r="B68" s="4" t="s">
        <v>138</v>
      </c>
      <c r="C68" s="4" t="s">
        <v>139</v>
      </c>
      <c r="D68" s="4" t="s">
        <v>21</v>
      </c>
      <c r="E68" s="4" t="s">
        <v>140</v>
      </c>
      <c r="F68" s="4" t="s">
        <v>506</v>
      </c>
      <c r="G68" s="34" t="s">
        <v>1019</v>
      </c>
      <c r="H68" s="35"/>
      <c r="I68" s="34" t="s">
        <v>15</v>
      </c>
      <c r="J68" s="35"/>
    </row>
    <row r="69" spans="1:18" ht="30" customHeight="1" x14ac:dyDescent="0.3">
      <c r="A69" s="15" t="s">
        <v>1093</v>
      </c>
      <c r="B69" s="15">
        <v>95332</v>
      </c>
      <c r="C69" s="15" t="str">
        <f>VLOOKUP(B69,S!$A:$G,2,FALSE)</f>
        <v>SINAPI</v>
      </c>
      <c r="D69" s="22" t="str">
        <f>VLOOKUP(B69,S!$A:$G,3,FALSE)</f>
        <v>CURSO DE CAPACITAÇÃO PARA ELETRICISTA (ENCARGOS COMPLEMENTARES) - HORISTA</v>
      </c>
      <c r="E69" s="15" t="str">
        <f>VLOOKUP(B69,S!$A:$G,4,FALSE)</f>
        <v>H</v>
      </c>
      <c r="F69" s="15"/>
      <c r="G69" s="73">
        <f>I71</f>
        <v>0.75</v>
      </c>
      <c r="H69" s="74"/>
      <c r="I69" s="73"/>
      <c r="J69" s="74"/>
      <c r="K69" s="16">
        <f>VLOOKUP(B69,S!A:G,5,FALSE)</f>
        <v>0.75</v>
      </c>
      <c r="L69" s="15" t="str">
        <f>IF(K69=G69,"OK, CONFORME TABELA",IF(G69&gt;K69,"ACIMA DA TABELA: ","ABAIXO DA TABELA: ")&amp;TRUNC((G69*100)/K69,2)&amp;" %")</f>
        <v>OK, CONFORME TABELA</v>
      </c>
    </row>
    <row r="70" spans="1:18" x14ac:dyDescent="0.3">
      <c r="A70" s="23" t="s">
        <v>1025</v>
      </c>
      <c r="B70" s="23">
        <v>2436</v>
      </c>
      <c r="C70" s="23" t="str">
        <f>VLOOKUP(B70,IF(A70="COMPOSICAO",S!$A:$E,I!$A:$E),2,FALSE)</f>
        <v>SINAPI</v>
      </c>
      <c r="D70" s="24" t="str">
        <f>VLOOKUP(B70,IF(A70="COMPOSICAO",S!$A:$E,I!$A:$E),3,FALSE)</f>
        <v>ELETRICISTA (HORISTA)</v>
      </c>
      <c r="E70" s="23" t="str">
        <f>VLOOKUP(B70,IF(A70="COMPOSICAO",S!$A:$E,I!$A:$E),4,FALSE)</f>
        <v>H</v>
      </c>
      <c r="F70" s="23">
        <v>3.7319999999999999E-2</v>
      </c>
      <c r="G70" s="71">
        <f>IF(A70="COMPOSICAO",VLOOKUP("TOTAL SEM BDI - "&amp;B70,CPUAUX5!$A:$J,9,FALSE),VLOOKUP(B70,I!$A:$E,5,FALSE))</f>
        <v>20.329999999999998</v>
      </c>
      <c r="H70" s="72"/>
      <c r="I70" s="71">
        <f>TRUNC(F70*G70,2)</f>
        <v>0.75</v>
      </c>
      <c r="J70" s="72"/>
      <c r="M70" s="23">
        <f>B70</f>
        <v>2436</v>
      </c>
      <c r="N70" s="23">
        <f>SUMIF(CPUAUX3!M:M,B69,CPUAUX3!O:O)</f>
        <v>3.07</v>
      </c>
      <c r="O70" s="23">
        <f>F70*N70</f>
        <v>0.11457239999999999</v>
      </c>
      <c r="Q70" s="23">
        <f ca="1">SUMIF(CPUAUX3!M:M,B69,CPUAUX3!R:R)</f>
        <v>1.228</v>
      </c>
      <c r="R70" s="23">
        <f ca="1">F70*Q70</f>
        <v>4.5828959999999995E-2</v>
      </c>
    </row>
    <row r="71" spans="1:18" x14ac:dyDescent="0.3">
      <c r="A71" s="68" t="str">
        <f>"TOTAL SEM BDI - "&amp;B69</f>
        <v>TOTAL SEM BDI - 95332</v>
      </c>
      <c r="B71" s="69"/>
      <c r="C71" s="69"/>
      <c r="D71" s="69"/>
      <c r="E71" s="69"/>
      <c r="F71" s="69"/>
      <c r="G71" s="69"/>
      <c r="H71" s="70"/>
      <c r="I71" s="71">
        <f>SUM(I69:I70)</f>
        <v>0.75</v>
      </c>
      <c r="J71" s="72"/>
    </row>
    <row r="73" spans="1:18" x14ac:dyDescent="0.3">
      <c r="A73" s="4" t="s">
        <v>1018</v>
      </c>
      <c r="B73" s="4" t="s">
        <v>138</v>
      </c>
      <c r="C73" s="4" t="s">
        <v>139</v>
      </c>
      <c r="D73" s="4" t="s">
        <v>21</v>
      </c>
      <c r="E73" s="4" t="s">
        <v>140</v>
      </c>
      <c r="F73" s="4" t="s">
        <v>506</v>
      </c>
      <c r="G73" s="34" t="s">
        <v>1019</v>
      </c>
      <c r="H73" s="35"/>
      <c r="I73" s="34" t="s">
        <v>15</v>
      </c>
      <c r="J73" s="35"/>
    </row>
    <row r="74" spans="1:18" ht="30" customHeight="1" x14ac:dyDescent="0.3">
      <c r="A74" s="15" t="s">
        <v>1093</v>
      </c>
      <c r="B74" s="15">
        <v>95316</v>
      </c>
      <c r="C74" s="15" t="str">
        <f>VLOOKUP(B74,S!$A:$G,2,FALSE)</f>
        <v>SINAPI</v>
      </c>
      <c r="D74" s="22" t="str">
        <f>VLOOKUP(B74,S!$A:$G,3,FALSE)</f>
        <v>CURSO DE CAPACITAÇÃO PARA AUXILIAR DE ELETRICISTA (ENCARGOS COMPLEMENTARES) - HORISTA</v>
      </c>
      <c r="E74" s="15" t="str">
        <f>VLOOKUP(B74,S!$A:$G,4,FALSE)</f>
        <v>H</v>
      </c>
      <c r="F74" s="15"/>
      <c r="G74" s="73">
        <f>I76</f>
        <v>0.57999999999999996</v>
      </c>
      <c r="H74" s="74"/>
      <c r="I74" s="73"/>
      <c r="J74" s="74"/>
      <c r="K74" s="16">
        <f>VLOOKUP(B74,S!A:G,5,FALSE)</f>
        <v>0.57999999999999996</v>
      </c>
      <c r="L74" s="15" t="str">
        <f>IF(K74=G74,"OK, CONFORME TABELA",IF(G74&gt;K74,"ACIMA DA TABELA: ","ABAIXO DA TABELA: ")&amp;TRUNC((G74*100)/K74,2)&amp;" %")</f>
        <v>OK, CONFORME TABELA</v>
      </c>
    </row>
    <row r="75" spans="1:18" x14ac:dyDescent="0.3">
      <c r="A75" s="23" t="s">
        <v>1025</v>
      </c>
      <c r="B75" s="23">
        <v>247</v>
      </c>
      <c r="C75" s="23" t="str">
        <f>VLOOKUP(B75,IF(A75="COMPOSICAO",S!$A:$E,I!$A:$E),2,FALSE)</f>
        <v>SINAPI</v>
      </c>
      <c r="D75" s="24" t="str">
        <f>VLOOKUP(B75,IF(A75="COMPOSICAO",S!$A:$E,I!$A:$E),3,FALSE)</f>
        <v>AJUDANTE DE ELETRICISTA (HORISTA)</v>
      </c>
      <c r="E75" s="23" t="str">
        <f>VLOOKUP(B75,IF(A75="COMPOSICAO",S!$A:$E,I!$A:$E),4,FALSE)</f>
        <v>H</v>
      </c>
      <c r="F75" s="23">
        <v>3.7319999999999999E-2</v>
      </c>
      <c r="G75" s="71">
        <f>IF(A75="COMPOSICAO",VLOOKUP("TOTAL SEM BDI - "&amp;B75,CPUAUX5!$A:$J,9,FALSE),VLOOKUP(B75,I!$A:$E,5,FALSE))</f>
        <v>15.57</v>
      </c>
      <c r="H75" s="72"/>
      <c r="I75" s="71">
        <f>TRUNC(F75*G75,2)</f>
        <v>0.57999999999999996</v>
      </c>
      <c r="J75" s="72"/>
      <c r="M75" s="23">
        <f>B75</f>
        <v>247</v>
      </c>
      <c r="N75" s="23">
        <f>SUMIF(CPUAUX3!M:M,B74,CPUAUX3!O:O)</f>
        <v>3.07</v>
      </c>
      <c r="O75" s="23">
        <f>F75*N75</f>
        <v>0.11457239999999999</v>
      </c>
      <c r="Q75" s="23">
        <f ca="1">SUMIF(CPUAUX3!M:M,B74,CPUAUX3!R:R)</f>
        <v>1.228</v>
      </c>
      <c r="R75" s="23">
        <f ca="1">F75*Q75</f>
        <v>4.5828959999999995E-2</v>
      </c>
    </row>
    <row r="76" spans="1:18" x14ac:dyDescent="0.3">
      <c r="A76" s="68" t="str">
        <f>"TOTAL SEM BDI - "&amp;B74</f>
        <v>TOTAL SEM BDI - 95316</v>
      </c>
      <c r="B76" s="69"/>
      <c r="C76" s="69"/>
      <c r="D76" s="69"/>
      <c r="E76" s="69"/>
      <c r="F76" s="69"/>
      <c r="G76" s="69"/>
      <c r="H76" s="70"/>
      <c r="I76" s="71">
        <f>SUM(I74:I75)</f>
        <v>0.57999999999999996</v>
      </c>
      <c r="J76" s="72"/>
    </row>
    <row r="78" spans="1:18" x14ac:dyDescent="0.3">
      <c r="A78" s="4" t="s">
        <v>1018</v>
      </c>
      <c r="B78" s="4" t="s">
        <v>138</v>
      </c>
      <c r="C78" s="4" t="s">
        <v>139</v>
      </c>
      <c r="D78" s="4" t="s">
        <v>21</v>
      </c>
      <c r="E78" s="4" t="s">
        <v>140</v>
      </c>
      <c r="F78" s="4" t="s">
        <v>506</v>
      </c>
      <c r="G78" s="34" t="s">
        <v>1019</v>
      </c>
      <c r="H78" s="35"/>
      <c r="I78" s="34" t="s">
        <v>15</v>
      </c>
      <c r="J78" s="35"/>
    </row>
    <row r="79" spans="1:18" ht="30" customHeight="1" x14ac:dyDescent="0.3">
      <c r="A79" s="15" t="s">
        <v>1093</v>
      </c>
      <c r="B79" s="15">
        <v>95359</v>
      </c>
      <c r="C79" s="15" t="str">
        <f>VLOOKUP(B79,S!$A:$G,2,FALSE)</f>
        <v>SINAPI</v>
      </c>
      <c r="D79" s="22" t="str">
        <f>VLOOKUP(B79,S!$A:$G,3,FALSE)</f>
        <v>CURSO DE CAPACITAÇÃO PARA OPERADOR DE GUINDASTE (ENCARGOS COMPLEMENTARES) - HORISTA</v>
      </c>
      <c r="E79" s="15" t="str">
        <f>VLOOKUP(B79,S!$A:$G,4,FALSE)</f>
        <v>H</v>
      </c>
      <c r="F79" s="15"/>
      <c r="G79" s="73">
        <f>I81</f>
        <v>0.47</v>
      </c>
      <c r="H79" s="74"/>
      <c r="I79" s="73"/>
      <c r="J79" s="74"/>
      <c r="K79" s="16">
        <f>VLOOKUP(B79,S!A:G,5,FALSE)</f>
        <v>0.47</v>
      </c>
      <c r="L79" s="15" t="str">
        <f>IF(K79=G79,"OK, CONFORME TABELA",IF(G79&gt;K79,"ACIMA DA TABELA: ","ABAIXO DA TABELA: ")&amp;TRUNC((G79*100)/K79,2)&amp;" %")</f>
        <v>OK, CONFORME TABELA</v>
      </c>
    </row>
    <row r="80" spans="1:18" x14ac:dyDescent="0.3">
      <c r="A80" s="23" t="s">
        <v>1025</v>
      </c>
      <c r="B80" s="23">
        <v>4254</v>
      </c>
      <c r="C80" s="23" t="str">
        <f>VLOOKUP(B80,IF(A80="COMPOSICAO",S!$A:$E,I!$A:$E),2,FALSE)</f>
        <v>SINAPI</v>
      </c>
      <c r="D80" s="24" t="str">
        <f>VLOOKUP(B80,IF(A80="COMPOSICAO",S!$A:$E,I!$A:$E),3,FALSE)</f>
        <v>OPERADOR DE GUINDASTE (HORISTA)</v>
      </c>
      <c r="E80" s="23" t="str">
        <f>VLOOKUP(B80,IF(A80="COMPOSICAO",S!$A:$E,I!$A:$E),4,FALSE)</f>
        <v>H</v>
      </c>
      <c r="F80" s="23">
        <v>1.6369999999999999E-2</v>
      </c>
      <c r="G80" s="71">
        <f>IF(A80="COMPOSICAO",VLOOKUP("TOTAL SEM BDI - "&amp;B80,CPUAUX5!$A:$J,9,FALSE),VLOOKUP(B80,I!$A:$E,5,FALSE))</f>
        <v>29.16</v>
      </c>
      <c r="H80" s="72"/>
      <c r="I80" s="71">
        <f>TRUNC(F80*G80,2)</f>
        <v>0.47</v>
      </c>
      <c r="J80" s="72"/>
      <c r="M80" s="23">
        <f>B80</f>
        <v>4254</v>
      </c>
      <c r="N80" s="23">
        <f>SUMIF(CPUAUX3!M:M,B79,CPUAUX3!O:O)</f>
        <v>13.1225</v>
      </c>
      <c r="O80" s="23">
        <f>F80*N80</f>
        <v>0.214815325</v>
      </c>
      <c r="Q80" s="23">
        <f ca="1">SUMIF(CPUAUX3!M:M,B79,CPUAUX3!R:R)</f>
        <v>5.2489999999999997</v>
      </c>
      <c r="R80" s="23">
        <f ca="1">F80*Q80</f>
        <v>8.5926129999999989E-2</v>
      </c>
    </row>
    <row r="81" spans="1:10" x14ac:dyDescent="0.3">
      <c r="A81" s="68" t="str">
        <f>"TOTAL SEM BDI - "&amp;B79</f>
        <v>TOTAL SEM BDI - 95359</v>
      </c>
      <c r="B81" s="69"/>
      <c r="C81" s="69"/>
      <c r="D81" s="69"/>
      <c r="E81" s="69"/>
      <c r="F81" s="69"/>
      <c r="G81" s="69"/>
      <c r="H81" s="70"/>
      <c r="I81" s="71">
        <f>SUM(I79:I80)</f>
        <v>0.47</v>
      </c>
      <c r="J81" s="72"/>
    </row>
  </sheetData>
  <mergeCells count="131">
    <mergeCell ref="N4:P4"/>
    <mergeCell ref="Q4:S4"/>
    <mergeCell ref="G6:H6"/>
    <mergeCell ref="I6:J6"/>
    <mergeCell ref="G7:H7"/>
    <mergeCell ref="I7:J7"/>
    <mergeCell ref="G8:H8"/>
    <mergeCell ref="I8:J8"/>
    <mergeCell ref="A9:H9"/>
    <mergeCell ref="I9:J9"/>
    <mergeCell ref="A1:J1"/>
    <mergeCell ref="A2:J2"/>
    <mergeCell ref="A3:J3"/>
    <mergeCell ref="A14:H14"/>
    <mergeCell ref="I14:J14"/>
    <mergeCell ref="G16:H16"/>
    <mergeCell ref="I16:J16"/>
    <mergeCell ref="G17:H17"/>
    <mergeCell ref="I17:J17"/>
    <mergeCell ref="G11:H11"/>
    <mergeCell ref="I11:J11"/>
    <mergeCell ref="G12:H12"/>
    <mergeCell ref="I12:J12"/>
    <mergeCell ref="G13:H13"/>
    <mergeCell ref="I13:J13"/>
    <mergeCell ref="G22:H22"/>
    <mergeCell ref="I22:J22"/>
    <mergeCell ref="G23:H23"/>
    <mergeCell ref="I23:J23"/>
    <mergeCell ref="G24:H24"/>
    <mergeCell ref="I24:J24"/>
    <mergeCell ref="G18:H18"/>
    <mergeCell ref="I18:J18"/>
    <mergeCell ref="A19:H19"/>
    <mergeCell ref="I19:J19"/>
    <mergeCell ref="G21:H21"/>
    <mergeCell ref="I21:J21"/>
    <mergeCell ref="G28:H28"/>
    <mergeCell ref="I28:J28"/>
    <mergeCell ref="G29:H29"/>
    <mergeCell ref="I29:J29"/>
    <mergeCell ref="G30:H30"/>
    <mergeCell ref="I30:J30"/>
    <mergeCell ref="G25:H25"/>
    <mergeCell ref="I25:J25"/>
    <mergeCell ref="G26:H26"/>
    <mergeCell ref="I26:J26"/>
    <mergeCell ref="G27:H27"/>
    <mergeCell ref="I27:J27"/>
    <mergeCell ref="G35:H35"/>
    <mergeCell ref="I35:J35"/>
    <mergeCell ref="A36:H36"/>
    <mergeCell ref="I36:J36"/>
    <mergeCell ref="G38:H38"/>
    <mergeCell ref="I38:J38"/>
    <mergeCell ref="A31:H31"/>
    <mergeCell ref="I31:J31"/>
    <mergeCell ref="G33:H33"/>
    <mergeCell ref="I33:J33"/>
    <mergeCell ref="G34:H34"/>
    <mergeCell ref="I34:J34"/>
    <mergeCell ref="G43:H43"/>
    <mergeCell ref="I43:J43"/>
    <mergeCell ref="G44:H44"/>
    <mergeCell ref="I44:J44"/>
    <mergeCell ref="G45:H45"/>
    <mergeCell ref="I45:J45"/>
    <mergeCell ref="G39:H39"/>
    <mergeCell ref="I39:J39"/>
    <mergeCell ref="G40:H40"/>
    <mergeCell ref="I40:J40"/>
    <mergeCell ref="A41:H41"/>
    <mergeCell ref="I41:J41"/>
    <mergeCell ref="G50:H50"/>
    <mergeCell ref="I50:J50"/>
    <mergeCell ref="A51:H51"/>
    <mergeCell ref="I51:J51"/>
    <mergeCell ref="G53:H53"/>
    <mergeCell ref="I53:J53"/>
    <mergeCell ref="A46:H46"/>
    <mergeCell ref="I46:J46"/>
    <mergeCell ref="G48:H48"/>
    <mergeCell ref="I48:J48"/>
    <mergeCell ref="G49:H49"/>
    <mergeCell ref="I49:J49"/>
    <mergeCell ref="G58:H58"/>
    <mergeCell ref="I58:J58"/>
    <mergeCell ref="G59:H59"/>
    <mergeCell ref="I59:J59"/>
    <mergeCell ref="G60:H60"/>
    <mergeCell ref="I60:J60"/>
    <mergeCell ref="G54:H54"/>
    <mergeCell ref="I54:J54"/>
    <mergeCell ref="G55:H55"/>
    <mergeCell ref="I55:J55"/>
    <mergeCell ref="A56:H56"/>
    <mergeCell ref="I56:J56"/>
    <mergeCell ref="G65:H65"/>
    <mergeCell ref="I65:J65"/>
    <mergeCell ref="A66:H66"/>
    <mergeCell ref="I66:J66"/>
    <mergeCell ref="G68:H68"/>
    <mergeCell ref="I68:J68"/>
    <mergeCell ref="A61:H61"/>
    <mergeCell ref="I61:J61"/>
    <mergeCell ref="G63:H63"/>
    <mergeCell ref="I63:J63"/>
    <mergeCell ref="G64:H64"/>
    <mergeCell ref="I64:J64"/>
    <mergeCell ref="G73:H73"/>
    <mergeCell ref="I73:J73"/>
    <mergeCell ref="G74:H74"/>
    <mergeCell ref="I74:J74"/>
    <mergeCell ref="G75:H75"/>
    <mergeCell ref="I75:J75"/>
    <mergeCell ref="G69:H69"/>
    <mergeCell ref="I69:J69"/>
    <mergeCell ref="G70:H70"/>
    <mergeCell ref="I70:J70"/>
    <mergeCell ref="A71:H71"/>
    <mergeCell ref="I71:J71"/>
    <mergeCell ref="G80:H80"/>
    <mergeCell ref="I80:J80"/>
    <mergeCell ref="A81:H81"/>
    <mergeCell ref="I81:J81"/>
    <mergeCell ref="A76:H76"/>
    <mergeCell ref="I76:J76"/>
    <mergeCell ref="G78:H78"/>
    <mergeCell ref="I78:J78"/>
    <mergeCell ref="G79:H79"/>
    <mergeCell ref="I79:J79"/>
  </mergeCells>
  <pageMargins left="0.78740157480314965" right="0.39370078740157483" top="1.1811023622047245" bottom="0.78740157480314965" header="0.31496062992125984" footer="0.31496062992125984"/>
  <pageSetup paperSize="9" scale="44" fitToHeight="0" orientation="portrait" r:id="rId1"/>
  <headerFooter>
    <oddHeader>&amp;C&amp;G</oddHeader>
  </headerFooter>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F94EE6-307F-47DD-8FB7-EB5B5FD89BE5}">
  <sheetPr>
    <pageSetUpPr fitToPage="1"/>
  </sheetPr>
  <dimension ref="A1:S9"/>
  <sheetViews>
    <sheetView showGridLines="0" workbookViewId="0">
      <selection sqref="A1:J1"/>
    </sheetView>
  </sheetViews>
  <sheetFormatPr defaultRowHeight="14.4" x14ac:dyDescent="0.3"/>
  <cols>
    <col min="1" max="3" width="13.88671875" bestFit="1" customWidth="1"/>
    <col min="4" max="4" width="55.5546875" bestFit="1" customWidth="1"/>
    <col min="5" max="10" width="17.5546875" bestFit="1" customWidth="1"/>
    <col min="11" max="11" width="12" bestFit="1" customWidth="1"/>
    <col min="12" max="12" width="33.33203125" bestFit="1" customWidth="1"/>
    <col min="13" max="19" width="14.77734375" bestFit="1" customWidth="1"/>
  </cols>
  <sheetData>
    <row r="1" spans="1:19" x14ac:dyDescent="0.3">
      <c r="A1" s="33" t="str">
        <f>CIDADE</f>
        <v>MUNICÍPIO DE LAGOA DO PIAUI - PI</v>
      </c>
      <c r="B1" s="33"/>
      <c r="C1" s="33"/>
      <c r="D1" s="33"/>
      <c r="E1" s="33"/>
      <c r="F1" s="33"/>
      <c r="G1" s="33"/>
      <c r="H1" s="33"/>
      <c r="I1" s="33"/>
      <c r="J1" s="33"/>
    </row>
    <row r="2" spans="1:19" x14ac:dyDescent="0.3">
      <c r="A2" s="33" t="str">
        <f>OBRA</f>
        <v>IMPLANTAÇÃO DE 5 (CINCO) SISTEMAS SIMPLIFICADOS DE ABASTECIMENTO DE ÁGUA ZONA RURAL DO MUNICÍPIO DE LAGOA DO PIAUÍ-PI</v>
      </c>
      <c r="B2" s="33"/>
      <c r="C2" s="33"/>
      <c r="D2" s="33"/>
      <c r="E2" s="33"/>
      <c r="F2" s="33"/>
      <c r="G2" s="33"/>
      <c r="H2" s="33"/>
      <c r="I2" s="33"/>
      <c r="J2" s="33"/>
    </row>
    <row r="3" spans="1:19" x14ac:dyDescent="0.3">
      <c r="A3" s="33" t="s">
        <v>1163</v>
      </c>
      <c r="B3" s="33"/>
      <c r="C3" s="33"/>
      <c r="D3" s="33"/>
      <c r="E3" s="33"/>
      <c r="F3" s="33"/>
      <c r="G3" s="33"/>
      <c r="H3" s="33"/>
      <c r="I3" s="33"/>
      <c r="J3" s="33"/>
    </row>
    <row r="4" spans="1:19" x14ac:dyDescent="0.3">
      <c r="N4" s="34" t="s">
        <v>1014</v>
      </c>
      <c r="O4" s="36"/>
      <c r="P4" s="35"/>
      <c r="Q4" s="34" t="s">
        <v>1015</v>
      </c>
      <c r="R4" s="36"/>
      <c r="S4" s="35"/>
    </row>
    <row r="5" spans="1:19" x14ac:dyDescent="0.3">
      <c r="A5" s="1" t="s">
        <v>3</v>
      </c>
      <c r="B5" s="7" t="str">
        <f>FONTE&amp;FOLHA</f>
        <v>SINAPI PI 06/2025, SEINFRA CE 28, ORSE SE 05/2025, SEM DESONERAÇÃO</v>
      </c>
      <c r="C5" s="3"/>
      <c r="D5" s="3"/>
      <c r="E5" s="3"/>
      <c r="F5" s="3"/>
      <c r="G5" s="27" t="s">
        <v>10</v>
      </c>
      <c r="H5" s="8">
        <f>LEI</f>
        <v>113.33</v>
      </c>
      <c r="I5" s="1" t="s">
        <v>19</v>
      </c>
      <c r="J5" s="8">
        <f>BDI</f>
        <v>24.84</v>
      </c>
      <c r="M5" s="4" t="s">
        <v>138</v>
      </c>
      <c r="N5" s="4" t="s">
        <v>1016</v>
      </c>
      <c r="O5" s="4" t="s">
        <v>128</v>
      </c>
      <c r="P5" s="4" t="s">
        <v>1017</v>
      </c>
      <c r="Q5" s="4" t="s">
        <v>1016</v>
      </c>
      <c r="R5" s="4" t="s">
        <v>128</v>
      </c>
      <c r="S5" s="4" t="s">
        <v>1017</v>
      </c>
    </row>
    <row r="6" spans="1:19" x14ac:dyDescent="0.3">
      <c r="A6" s="4" t="s">
        <v>1018</v>
      </c>
      <c r="B6" s="4" t="s">
        <v>138</v>
      </c>
      <c r="C6" s="4" t="s">
        <v>139</v>
      </c>
      <c r="D6" s="4" t="s">
        <v>21</v>
      </c>
      <c r="E6" s="4" t="s">
        <v>140</v>
      </c>
      <c r="F6" s="4" t="s">
        <v>506</v>
      </c>
      <c r="G6" s="34" t="s">
        <v>1019</v>
      </c>
      <c r="H6" s="35"/>
      <c r="I6" s="34" t="s">
        <v>15</v>
      </c>
      <c r="J6" s="35"/>
    </row>
    <row r="7" spans="1:19" ht="45" customHeight="1" x14ac:dyDescent="0.3">
      <c r="A7" s="15" t="s">
        <v>1093</v>
      </c>
      <c r="B7" s="15">
        <v>95360</v>
      </c>
      <c r="C7" s="15" t="str">
        <f>VLOOKUP(B7,S!$A:$G,2,FALSE)</f>
        <v>SINAPI</v>
      </c>
      <c r="D7" s="22" t="str">
        <f>VLOOKUP(B7,S!$A:$G,3,FALSE)</f>
        <v>CURSO DE CAPACITAÇÃO PARA OPERADOR DE MÁQUINAS E EQUIPAMENTOS (ENCARGOS COMPLEMENTARES) - HORISTA</v>
      </c>
      <c r="E7" s="15" t="str">
        <f>VLOOKUP(B7,S!$A:$G,4,FALSE)</f>
        <v>H</v>
      </c>
      <c r="F7" s="15"/>
      <c r="G7" s="73">
        <f>I9</f>
        <v>0.24</v>
      </c>
      <c r="H7" s="74"/>
      <c r="I7" s="73"/>
      <c r="J7" s="74"/>
      <c r="K7" s="16">
        <f>VLOOKUP(B7,S!A:G,5,FALSE)</f>
        <v>0.24</v>
      </c>
      <c r="L7" s="15" t="str">
        <f>IF(K7=G7,"OK, CONFORME TABELA",IF(G7&gt;K7,"ACIMA DA TABELA: ","ABAIXO DA TABELA: ")&amp;TRUNC((G7*100)/K7,2)&amp;" %")</f>
        <v>OK, CONFORME TABELA</v>
      </c>
    </row>
    <row r="8" spans="1:19" ht="30" customHeight="1" x14ac:dyDescent="0.3">
      <c r="A8" s="23" t="s">
        <v>1025</v>
      </c>
      <c r="B8" s="23">
        <v>4230</v>
      </c>
      <c r="C8" s="23" t="str">
        <f>VLOOKUP(B8,I!$A:$E,2,FALSE)</f>
        <v>SINAPI</v>
      </c>
      <c r="D8" s="24" t="str">
        <f>VLOOKUP(B8,I!$A:$E,3,FALSE)</f>
        <v>OPERADOR DE MAQUINAS E TRATORES DIVERSOS - TERRAPLANAGEM (HORISTA)</v>
      </c>
      <c r="E8" s="23" t="str">
        <f>VLOOKUP(B8,I!$A:$E,4,FALSE)</f>
        <v>H</v>
      </c>
      <c r="F8" s="23">
        <v>1.154E-2</v>
      </c>
      <c r="G8" s="71">
        <f>VLOOKUP(B8,I!$A:$E,5,FALSE)</f>
        <v>21.48</v>
      </c>
      <c r="H8" s="72"/>
      <c r="I8" s="71">
        <f>TRUNC(F8*G8,2)</f>
        <v>0.24</v>
      </c>
      <c r="J8" s="72"/>
      <c r="M8" s="23">
        <f>B8</f>
        <v>4230</v>
      </c>
      <c r="N8" s="23">
        <f>SUMIF(CPUAUX4!M:M,B7,CPUAUX4!O:O)</f>
        <v>1.6632916569000002</v>
      </c>
      <c r="O8" s="23">
        <f>F8*N8</f>
        <v>1.9194385720626001E-2</v>
      </c>
      <c r="Q8" s="23">
        <f ca="1">SUMIF(CPUAUX4!M:M,B7,CPUAUX4!R:R)</f>
        <v>0.66531666276000001</v>
      </c>
      <c r="R8" s="23">
        <f ca="1">F8*Q8</f>
        <v>7.6777542882504003E-3</v>
      </c>
    </row>
    <row r="9" spans="1:19" x14ac:dyDescent="0.3">
      <c r="A9" s="68" t="str">
        <f>"TOTAL SEM BDI - "&amp;B7</f>
        <v>TOTAL SEM BDI - 95360</v>
      </c>
      <c r="B9" s="69"/>
      <c r="C9" s="69"/>
      <c r="D9" s="69"/>
      <c r="E9" s="69"/>
      <c r="F9" s="69"/>
      <c r="G9" s="69"/>
      <c r="H9" s="70"/>
      <c r="I9" s="71">
        <f>SUM(I7:I8)</f>
        <v>0.24</v>
      </c>
      <c r="J9" s="72"/>
    </row>
  </sheetData>
  <mergeCells count="13">
    <mergeCell ref="G6:H6"/>
    <mergeCell ref="I6:J6"/>
    <mergeCell ref="A1:J1"/>
    <mergeCell ref="A2:J2"/>
    <mergeCell ref="A3:J3"/>
    <mergeCell ref="N4:P4"/>
    <mergeCell ref="Q4:S4"/>
    <mergeCell ref="G7:H7"/>
    <mergeCell ref="I7:J7"/>
    <mergeCell ref="G8:H8"/>
    <mergeCell ref="I8:J8"/>
    <mergeCell ref="A9:H9"/>
    <mergeCell ref="I9:J9"/>
  </mergeCells>
  <pageMargins left="0.78740157480314965" right="0.39370078740157483" top="1.1811023622047245" bottom="0.78740157480314965" header="0.31496062992125984" footer="0.31496062992125984"/>
  <pageSetup paperSize="9" scale="44" fitToHeight="0" orientation="portrait" r:id="rId1"/>
  <headerFooter>
    <oddHeader>&amp;C&amp;G</oddHeader>
  </headerFooter>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7C17BA-2A36-49B4-8148-B04F15F5BC9C}">
  <sheetPr>
    <pageSetUpPr fitToPage="1"/>
  </sheetPr>
  <dimension ref="A1:G44"/>
  <sheetViews>
    <sheetView showGridLines="0" topLeftCell="A21" workbookViewId="0">
      <selection activeCell="A24" sqref="A22:F44"/>
    </sheetView>
  </sheetViews>
  <sheetFormatPr defaultRowHeight="15" customHeight="1" x14ac:dyDescent="0.3"/>
  <cols>
    <col min="1" max="1" width="12" bestFit="1" customWidth="1"/>
    <col min="2" max="2" width="81.44140625" bestFit="1" customWidth="1"/>
    <col min="3" max="3" width="14.77734375" bestFit="1" customWidth="1"/>
    <col min="4" max="4" width="9.21875" bestFit="1" customWidth="1"/>
    <col min="5" max="5" width="11.109375" bestFit="1" customWidth="1"/>
    <col min="6" max="6" width="13" bestFit="1" customWidth="1"/>
    <col min="7" max="7" width="33.33203125" bestFit="1" customWidth="1"/>
  </cols>
  <sheetData>
    <row r="1" spans="1:7" ht="15" customHeight="1" x14ac:dyDescent="0.3">
      <c r="A1" s="33" t="str">
        <f>CIDADE</f>
        <v>MUNICÍPIO DE LAGOA DO PIAUI - PI</v>
      </c>
      <c r="B1" s="33"/>
      <c r="C1" s="33"/>
      <c r="D1" s="33"/>
      <c r="E1" s="33"/>
      <c r="F1" s="33"/>
    </row>
    <row r="2" spans="1:7" ht="15" customHeight="1" x14ac:dyDescent="0.3">
      <c r="A2" s="33" t="str">
        <f>OBRA</f>
        <v>IMPLANTAÇÃO DE 5 (CINCO) SISTEMAS SIMPLIFICADOS DE ABASTECIMENTO DE ÁGUA ZONA RURAL DO MUNICÍPIO DE LAGOA DO PIAUÍ-PI</v>
      </c>
      <c r="B2" s="33"/>
      <c r="C2" s="33"/>
      <c r="D2" s="33"/>
      <c r="E2" s="33"/>
      <c r="F2" s="33"/>
    </row>
    <row r="3" spans="1:7" ht="15" customHeight="1" x14ac:dyDescent="0.3">
      <c r="A3" s="33" t="s">
        <v>1164</v>
      </c>
      <c r="B3" s="33"/>
      <c r="C3" s="33"/>
      <c r="D3" s="33"/>
      <c r="E3" s="33"/>
      <c r="F3" s="33"/>
    </row>
    <row r="5" spans="1:7" ht="15" customHeight="1" x14ac:dyDescent="0.3">
      <c r="A5" s="1" t="s">
        <v>3</v>
      </c>
      <c r="B5" s="7" t="str">
        <f>FONTE&amp;FOLHA</f>
        <v>SINAPI PI 06/2025, SEINFRA CE 28, ORSE SE 05/2025, SEM DESONERAÇÃO</v>
      </c>
      <c r="C5" s="1" t="s">
        <v>10</v>
      </c>
      <c r="D5" s="8">
        <f>LEI</f>
        <v>113.33</v>
      </c>
      <c r="E5" s="1" t="s">
        <v>19</v>
      </c>
      <c r="F5" s="8">
        <f>BDI</f>
        <v>24.84</v>
      </c>
    </row>
    <row r="6" spans="1:7" ht="15" customHeight="1" x14ac:dyDescent="0.3">
      <c r="A6" s="4" t="s">
        <v>20</v>
      </c>
      <c r="B6" s="34" t="s">
        <v>21</v>
      </c>
      <c r="C6" s="36"/>
      <c r="D6" s="36"/>
      <c r="E6" s="35"/>
      <c r="F6" s="4" t="s">
        <v>22</v>
      </c>
      <c r="G6" s="28" t="s">
        <v>1165</v>
      </c>
    </row>
    <row r="7" spans="1:7" ht="15" customHeight="1" x14ac:dyDescent="0.3">
      <c r="A7" s="23" t="s">
        <v>1166</v>
      </c>
      <c r="B7" s="88" t="s">
        <v>1167</v>
      </c>
      <c r="C7" s="89"/>
      <c r="D7" s="89"/>
      <c r="E7" s="90"/>
      <c r="F7" s="29">
        <v>4.9299999999999997E-2</v>
      </c>
      <c r="G7" s="28" t="s">
        <v>1168</v>
      </c>
    </row>
    <row r="8" spans="1:7" ht="15" customHeight="1" x14ac:dyDescent="0.3">
      <c r="A8" s="23" t="s">
        <v>1169</v>
      </c>
      <c r="B8" s="88" t="s">
        <v>1170</v>
      </c>
      <c r="C8" s="89"/>
      <c r="D8" s="89"/>
      <c r="E8" s="90"/>
      <c r="F8" s="29">
        <v>4.8999999999999998E-3</v>
      </c>
      <c r="G8" s="28" t="s">
        <v>1171</v>
      </c>
    </row>
    <row r="9" spans="1:7" ht="15" customHeight="1" x14ac:dyDescent="0.3">
      <c r="A9" s="23" t="s">
        <v>1172</v>
      </c>
      <c r="B9" s="88" t="s">
        <v>1173</v>
      </c>
      <c r="C9" s="89"/>
      <c r="D9" s="89"/>
      <c r="E9" s="90"/>
      <c r="F9" s="29">
        <v>1.3899999999999999E-2</v>
      </c>
      <c r="G9" s="28" t="s">
        <v>1174</v>
      </c>
    </row>
    <row r="10" spans="1:7" ht="15" customHeight="1" x14ac:dyDescent="0.3">
      <c r="A10" s="23" t="s">
        <v>1175</v>
      </c>
      <c r="B10" s="88" t="s">
        <v>1176</v>
      </c>
      <c r="C10" s="89"/>
      <c r="D10" s="89"/>
      <c r="E10" s="90"/>
      <c r="F10" s="29">
        <v>9.9000000000000008E-3</v>
      </c>
      <c r="G10" s="28" t="s">
        <v>1177</v>
      </c>
    </row>
    <row r="11" spans="1:7" ht="15" customHeight="1" x14ac:dyDescent="0.3">
      <c r="A11" s="23" t="s">
        <v>1178</v>
      </c>
      <c r="B11" s="88" t="s">
        <v>1179</v>
      </c>
      <c r="C11" s="89"/>
      <c r="D11" s="89"/>
      <c r="E11" s="90"/>
      <c r="F11" s="29">
        <v>8.0399999999999999E-2</v>
      </c>
      <c r="G11" s="28" t="s">
        <v>1180</v>
      </c>
    </row>
    <row r="12" spans="1:7" ht="15" customHeight="1" x14ac:dyDescent="0.3">
      <c r="A12" s="23" t="s">
        <v>1181</v>
      </c>
      <c r="B12" s="88" t="s">
        <v>1182</v>
      </c>
      <c r="C12" s="89"/>
      <c r="D12" s="89"/>
      <c r="E12" s="90"/>
      <c r="F12" s="29">
        <f>SUM(F13,F14,F15,F18)</f>
        <v>6.6500000000000004E-2</v>
      </c>
    </row>
    <row r="13" spans="1:7" ht="15" customHeight="1" x14ac:dyDescent="0.3">
      <c r="A13" s="23" t="s">
        <v>1183</v>
      </c>
      <c r="B13" s="88" t="s">
        <v>1184</v>
      </c>
      <c r="C13" s="89"/>
      <c r="D13" s="89"/>
      <c r="E13" s="90"/>
      <c r="F13" s="29">
        <v>6.4999999999999997E-3</v>
      </c>
    </row>
    <row r="14" spans="1:7" ht="15" customHeight="1" x14ac:dyDescent="0.3">
      <c r="A14" s="23" t="s">
        <v>1185</v>
      </c>
      <c r="B14" s="88" t="s">
        <v>1186</v>
      </c>
      <c r="C14" s="89"/>
      <c r="D14" s="89"/>
      <c r="E14" s="90"/>
      <c r="F14" s="29">
        <v>0.03</v>
      </c>
    </row>
    <row r="15" spans="1:7" ht="15" customHeight="1" x14ac:dyDescent="0.3">
      <c r="A15" s="85" t="s">
        <v>1187</v>
      </c>
      <c r="B15" s="88" t="str">
        <f>"IMPOSTO SOBRE SERVIÇOS DE QUALQUER NATUREZA ("&amp;F16*100&amp;"% x "&amp;F17*100&amp;"% = "&amp;F15*100&amp;"%)"</f>
        <v>IMPOSTO SOBRE SERVIÇOS DE QUALQUER NATUREZA (5% x 60% = 3%)</v>
      </c>
      <c r="C15" s="89"/>
      <c r="D15" s="89"/>
      <c r="E15" s="90"/>
      <c r="F15" s="29">
        <f>ROUND(F16*F17,4)</f>
        <v>0.03</v>
      </c>
    </row>
    <row r="16" spans="1:7" ht="15" customHeight="1" x14ac:dyDescent="0.3">
      <c r="A16" s="86"/>
      <c r="B16" s="88" t="s">
        <v>1188</v>
      </c>
      <c r="C16" s="89"/>
      <c r="D16" s="89"/>
      <c r="E16" s="90"/>
      <c r="F16" s="29">
        <v>0.05</v>
      </c>
      <c r="G16" s="28" t="s">
        <v>1189</v>
      </c>
    </row>
    <row r="17" spans="1:7" ht="15" customHeight="1" x14ac:dyDescent="0.3">
      <c r="A17" s="87"/>
      <c r="B17" s="88" t="s">
        <v>1190</v>
      </c>
      <c r="C17" s="89"/>
      <c r="D17" s="89"/>
      <c r="E17" s="90"/>
      <c r="F17" s="29">
        <v>0.6</v>
      </c>
      <c r="G17" s="28" t="s">
        <v>1189</v>
      </c>
    </row>
    <row r="18" spans="1:7" ht="15" customHeight="1" x14ac:dyDescent="0.3">
      <c r="A18" s="23" t="s">
        <v>1191</v>
      </c>
      <c r="B18" s="88" t="s">
        <v>1192</v>
      </c>
      <c r="C18" s="89"/>
      <c r="D18" s="89"/>
      <c r="E18" s="90"/>
      <c r="F18" s="29">
        <f>IF(FOLHA="COM DESONERAÇÃO",0.036,0)</f>
        <v>0</v>
      </c>
    </row>
    <row r="19" spans="1:7" ht="15" customHeight="1" x14ac:dyDescent="0.3">
      <c r="A19" s="4" t="s">
        <v>1193</v>
      </c>
      <c r="B19" s="34" t="s">
        <v>1194</v>
      </c>
      <c r="C19" s="36"/>
      <c r="D19" s="36"/>
      <c r="E19" s="35"/>
      <c r="F19" s="19">
        <f>ROUND((((1+F7+F8+F9)*(1+F10)*(1+F11))/(1-F12))-1,4)</f>
        <v>0.24840000000000001</v>
      </c>
      <c r="G19" s="28" t="s">
        <v>1195</v>
      </c>
    </row>
    <row r="21" spans="1:7" ht="15" customHeight="1" x14ac:dyDescent="0.3">
      <c r="A21" s="75" t="s">
        <v>1196</v>
      </c>
      <c r="B21" s="75"/>
      <c r="C21" s="75"/>
      <c r="D21" s="75"/>
      <c r="E21" s="75"/>
      <c r="F21" s="75"/>
    </row>
    <row r="23" spans="1:7" ht="15" customHeight="1" x14ac:dyDescent="0.3">
      <c r="A23" s="34" t="s">
        <v>16</v>
      </c>
      <c r="B23" s="36"/>
      <c r="C23" s="36"/>
      <c r="D23" s="36"/>
      <c r="E23" s="36"/>
      <c r="F23" s="35"/>
    </row>
    <row r="24" spans="1:7" ht="15" customHeight="1" x14ac:dyDescent="0.3">
      <c r="A24" s="76" t="s">
        <v>1197</v>
      </c>
      <c r="B24" s="77"/>
      <c r="C24" s="77"/>
      <c r="D24" s="77"/>
      <c r="E24" s="77"/>
      <c r="F24" s="78"/>
    </row>
    <row r="25" spans="1:7" ht="15" customHeight="1" x14ac:dyDescent="0.3">
      <c r="A25" s="79"/>
      <c r="B25" s="80"/>
      <c r="C25" s="80"/>
      <c r="D25" s="80"/>
      <c r="E25" s="80"/>
      <c r="F25" s="81"/>
    </row>
    <row r="26" spans="1:7" ht="15" customHeight="1" x14ac:dyDescent="0.3">
      <c r="A26" s="79"/>
      <c r="B26" s="80"/>
      <c r="C26" s="80"/>
      <c r="D26" s="80"/>
      <c r="E26" s="80"/>
      <c r="F26" s="81"/>
    </row>
    <row r="27" spans="1:7" ht="15" customHeight="1" x14ac:dyDescent="0.3">
      <c r="A27" s="79"/>
      <c r="B27" s="80"/>
      <c r="C27" s="80"/>
      <c r="D27" s="80"/>
      <c r="E27" s="80"/>
      <c r="F27" s="81"/>
    </row>
    <row r="28" spans="1:7" ht="15" customHeight="1" x14ac:dyDescent="0.3">
      <c r="A28" s="79"/>
      <c r="B28" s="80"/>
      <c r="C28" s="80"/>
      <c r="D28" s="80"/>
      <c r="E28" s="80"/>
      <c r="F28" s="81"/>
    </row>
    <row r="29" spans="1:7" ht="15" customHeight="1" x14ac:dyDescent="0.3">
      <c r="A29" s="79"/>
      <c r="B29" s="80"/>
      <c r="C29" s="80"/>
      <c r="D29" s="80"/>
      <c r="E29" s="80"/>
      <c r="F29" s="81"/>
    </row>
    <row r="30" spans="1:7" ht="15" customHeight="1" x14ac:dyDescent="0.3">
      <c r="A30" s="79"/>
      <c r="B30" s="80"/>
      <c r="C30" s="80"/>
      <c r="D30" s="80"/>
      <c r="E30" s="80"/>
      <c r="F30" s="81"/>
    </row>
    <row r="31" spans="1:7" ht="15" customHeight="1" x14ac:dyDescent="0.3">
      <c r="A31" s="79"/>
      <c r="B31" s="80"/>
      <c r="C31" s="80"/>
      <c r="D31" s="80"/>
      <c r="E31" s="80"/>
      <c r="F31" s="81"/>
    </row>
    <row r="32" spans="1:7" ht="15" customHeight="1" x14ac:dyDescent="0.3">
      <c r="A32" s="79"/>
      <c r="B32" s="80"/>
      <c r="C32" s="80"/>
      <c r="D32" s="80"/>
      <c r="E32" s="80"/>
      <c r="F32" s="81"/>
    </row>
    <row r="33" spans="1:6" ht="15" customHeight="1" x14ac:dyDescent="0.3">
      <c r="A33" s="79"/>
      <c r="B33" s="80"/>
      <c r="C33" s="80"/>
      <c r="D33" s="80"/>
      <c r="E33" s="80"/>
      <c r="F33" s="81"/>
    </row>
    <row r="34" spans="1:6" ht="15" customHeight="1" x14ac:dyDescent="0.3">
      <c r="A34" s="79"/>
      <c r="B34" s="80"/>
      <c r="C34" s="80"/>
      <c r="D34" s="80"/>
      <c r="E34" s="80"/>
      <c r="F34" s="81"/>
    </row>
    <row r="35" spans="1:6" ht="15" customHeight="1" x14ac:dyDescent="0.3">
      <c r="A35" s="79"/>
      <c r="B35" s="80"/>
      <c r="C35" s="80"/>
      <c r="D35" s="80"/>
      <c r="E35" s="80"/>
      <c r="F35" s="81"/>
    </row>
    <row r="36" spans="1:6" ht="15" customHeight="1" x14ac:dyDescent="0.3">
      <c r="A36" s="79"/>
      <c r="B36" s="80"/>
      <c r="C36" s="80"/>
      <c r="D36" s="80"/>
      <c r="E36" s="80"/>
      <c r="F36" s="81"/>
    </row>
    <row r="37" spans="1:6" ht="15" customHeight="1" x14ac:dyDescent="0.3">
      <c r="A37" s="79"/>
      <c r="B37" s="80"/>
      <c r="C37" s="80"/>
      <c r="D37" s="80"/>
      <c r="E37" s="80"/>
      <c r="F37" s="81"/>
    </row>
    <row r="38" spans="1:6" ht="15" customHeight="1" x14ac:dyDescent="0.3">
      <c r="A38" s="79"/>
      <c r="B38" s="80"/>
      <c r="C38" s="80"/>
      <c r="D38" s="80"/>
      <c r="E38" s="80"/>
      <c r="F38" s="81"/>
    </row>
    <row r="39" spans="1:6" ht="15" customHeight="1" x14ac:dyDescent="0.3">
      <c r="A39" s="79"/>
      <c r="B39" s="80"/>
      <c r="C39" s="80"/>
      <c r="D39" s="80"/>
      <c r="E39" s="80"/>
      <c r="F39" s="81"/>
    </row>
    <row r="40" spans="1:6" ht="15" customHeight="1" x14ac:dyDescent="0.3">
      <c r="A40" s="79"/>
      <c r="B40" s="80"/>
      <c r="C40" s="80"/>
      <c r="D40" s="80"/>
      <c r="E40" s="80"/>
      <c r="F40" s="81"/>
    </row>
    <row r="41" spans="1:6" ht="15" customHeight="1" x14ac:dyDescent="0.3">
      <c r="A41" s="79"/>
      <c r="B41" s="80"/>
      <c r="C41" s="80"/>
      <c r="D41" s="80"/>
      <c r="E41" s="80"/>
      <c r="F41" s="81"/>
    </row>
    <row r="42" spans="1:6" ht="15" customHeight="1" x14ac:dyDescent="0.3">
      <c r="A42" s="79"/>
      <c r="B42" s="80"/>
      <c r="C42" s="80"/>
      <c r="D42" s="80"/>
      <c r="E42" s="80"/>
      <c r="F42" s="81"/>
    </row>
    <row r="43" spans="1:6" ht="15" customHeight="1" x14ac:dyDescent="0.3">
      <c r="A43" s="79"/>
      <c r="B43" s="80"/>
      <c r="C43" s="80"/>
      <c r="D43" s="80"/>
      <c r="E43" s="80"/>
      <c r="F43" s="81"/>
    </row>
    <row r="44" spans="1:6" ht="15" customHeight="1" x14ac:dyDescent="0.3">
      <c r="A44" s="82"/>
      <c r="B44" s="83"/>
      <c r="C44" s="83"/>
      <c r="D44" s="83"/>
      <c r="E44" s="83"/>
      <c r="F44" s="84"/>
    </row>
  </sheetData>
  <mergeCells count="21">
    <mergeCell ref="B14:E14"/>
    <mergeCell ref="A1:F1"/>
    <mergeCell ref="A2:F2"/>
    <mergeCell ref="A3:F3"/>
    <mergeCell ref="B6:E6"/>
    <mergeCell ref="B7:E7"/>
    <mergeCell ref="B8:E8"/>
    <mergeCell ref="B9:E9"/>
    <mergeCell ref="B10:E10"/>
    <mergeCell ref="B11:E11"/>
    <mergeCell ref="B12:E12"/>
    <mergeCell ref="B13:E13"/>
    <mergeCell ref="A21:F21"/>
    <mergeCell ref="A23:F23"/>
    <mergeCell ref="A24:F44"/>
    <mergeCell ref="A15:A17"/>
    <mergeCell ref="B15:E15"/>
    <mergeCell ref="B16:E16"/>
    <mergeCell ref="B17:E17"/>
    <mergeCell ref="B18:E18"/>
    <mergeCell ref="B19:E19"/>
  </mergeCells>
  <pageMargins left="0.78740157480314965" right="0.39370078740157483" top="1.1811023622047245" bottom="0.78740157480314965" header="0.31496062992125984" footer="0.31496062992125984"/>
  <pageSetup paperSize="9" scale="63" fitToHeight="0" orientation="portrait" r:id="rId1"/>
  <headerFooter>
    <oddHeader>&amp;C&amp;G</oddHeader>
  </headerFooter>
  <legacyDrawingHF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40D5D7-9BB1-4325-B2E4-BE172CA0E7D4}">
  <sheetPr>
    <pageSetUpPr fitToPage="1"/>
  </sheetPr>
  <dimension ref="A1:F44"/>
  <sheetViews>
    <sheetView showGridLines="0" workbookViewId="0">
      <selection sqref="A1:F1"/>
    </sheetView>
  </sheetViews>
  <sheetFormatPr defaultRowHeight="15" customHeight="1" x14ac:dyDescent="0.3"/>
  <cols>
    <col min="1" max="1" width="12" bestFit="1" customWidth="1"/>
    <col min="2" max="2" width="79.6640625" bestFit="1" customWidth="1"/>
    <col min="3" max="6" width="16.6640625" bestFit="1" customWidth="1"/>
  </cols>
  <sheetData>
    <row r="1" spans="1:6" ht="15" customHeight="1" x14ac:dyDescent="0.3">
      <c r="A1" s="33" t="str">
        <f>CIDADE</f>
        <v>MUNICÍPIO DE LAGOA DO PIAUI - PI</v>
      </c>
      <c r="B1" s="33"/>
      <c r="C1" s="33"/>
      <c r="D1" s="33"/>
      <c r="E1" s="33"/>
      <c r="F1" s="33"/>
    </row>
    <row r="2" spans="1:6" ht="15" customHeight="1" x14ac:dyDescent="0.3">
      <c r="A2" s="33" t="str">
        <f>OBRA</f>
        <v>IMPLANTAÇÃO DE 5 (CINCO) SISTEMAS SIMPLIFICADOS DE ABASTECIMENTO DE ÁGUA ZONA RURAL DO MUNICÍPIO DE LAGOA DO PIAUÍ-PI</v>
      </c>
      <c r="B2" s="33"/>
      <c r="C2" s="33"/>
      <c r="D2" s="33"/>
      <c r="E2" s="33"/>
      <c r="F2" s="33"/>
    </row>
    <row r="3" spans="1:6" ht="15" customHeight="1" x14ac:dyDescent="0.3">
      <c r="A3" s="33" t="s">
        <v>1198</v>
      </c>
      <c r="B3" s="33"/>
      <c r="C3" s="33"/>
      <c r="D3" s="33"/>
      <c r="E3" s="33"/>
      <c r="F3" s="33"/>
    </row>
    <row r="5" spans="1:6" ht="15" customHeight="1" x14ac:dyDescent="0.3">
      <c r="A5" s="1" t="s">
        <v>3</v>
      </c>
      <c r="B5" s="7" t="str">
        <f>FONTE&amp;FOLHA</f>
        <v>SINAPI PI 06/2025, SEINFRA CE 28, ORSE SE 05/2025, SEM DESONERAÇÃO</v>
      </c>
      <c r="C5" s="1" t="s">
        <v>10</v>
      </c>
      <c r="D5" s="8">
        <f>LEI</f>
        <v>113.33</v>
      </c>
      <c r="E5" s="1" t="s">
        <v>19</v>
      </c>
      <c r="F5" s="8">
        <f>BDI</f>
        <v>24.84</v>
      </c>
    </row>
    <row r="6" spans="1:6" ht="15" customHeight="1" x14ac:dyDescent="0.3">
      <c r="A6" s="55" t="s">
        <v>138</v>
      </c>
      <c r="B6" s="55" t="s">
        <v>21</v>
      </c>
      <c r="C6" s="34" t="s">
        <v>1199</v>
      </c>
      <c r="D6" s="35"/>
      <c r="E6" s="34" t="s">
        <v>5</v>
      </c>
      <c r="F6" s="35"/>
    </row>
    <row r="7" spans="1:6" ht="15" customHeight="1" x14ac:dyDescent="0.3">
      <c r="A7" s="56"/>
      <c r="B7" s="56"/>
      <c r="C7" s="4" t="s">
        <v>1200</v>
      </c>
      <c r="D7" s="4" t="s">
        <v>1201</v>
      </c>
      <c r="E7" s="4" t="s">
        <v>1200</v>
      </c>
      <c r="F7" s="4" t="s">
        <v>1201</v>
      </c>
    </row>
    <row r="8" spans="1:6" ht="15" customHeight="1" x14ac:dyDescent="0.3">
      <c r="A8" s="34" t="s">
        <v>1202</v>
      </c>
      <c r="B8" s="36"/>
      <c r="C8" s="36"/>
      <c r="D8" s="36"/>
      <c r="E8" s="36"/>
      <c r="F8" s="35"/>
    </row>
    <row r="9" spans="1:6" ht="15" customHeight="1" x14ac:dyDescent="0.3">
      <c r="A9" s="23" t="s">
        <v>1203</v>
      </c>
      <c r="B9" s="23" t="s">
        <v>1204</v>
      </c>
      <c r="C9" s="25">
        <v>0.05</v>
      </c>
      <c r="D9" s="25">
        <v>0.05</v>
      </c>
      <c r="E9" s="25">
        <v>0.2</v>
      </c>
      <c r="F9" s="25">
        <v>0.2</v>
      </c>
    </row>
    <row r="10" spans="1:6" ht="15" customHeight="1" x14ac:dyDescent="0.3">
      <c r="A10" s="23" t="s">
        <v>1205</v>
      </c>
      <c r="B10" s="23" t="s">
        <v>1206</v>
      </c>
      <c r="C10" s="25">
        <v>1.4999999999999999E-2</v>
      </c>
      <c r="D10" s="25">
        <v>1.4999999999999999E-2</v>
      </c>
      <c r="E10" s="25">
        <v>1.4999999999999999E-2</v>
      </c>
      <c r="F10" s="25">
        <v>1.4999999999999999E-2</v>
      </c>
    </row>
    <row r="11" spans="1:6" ht="15" customHeight="1" x14ac:dyDescent="0.3">
      <c r="A11" s="23" t="s">
        <v>1207</v>
      </c>
      <c r="B11" s="23" t="s">
        <v>1208</v>
      </c>
      <c r="C11" s="25">
        <v>0.01</v>
      </c>
      <c r="D11" s="25">
        <v>0.01</v>
      </c>
      <c r="E11" s="25">
        <v>0.01</v>
      </c>
      <c r="F11" s="25">
        <v>0.01</v>
      </c>
    </row>
    <row r="12" spans="1:6" ht="15" customHeight="1" x14ac:dyDescent="0.3">
      <c r="A12" s="23" t="s">
        <v>1209</v>
      </c>
      <c r="B12" s="23" t="s">
        <v>1210</v>
      </c>
      <c r="C12" s="25">
        <v>2E-3</v>
      </c>
      <c r="D12" s="25">
        <v>2E-3</v>
      </c>
      <c r="E12" s="25">
        <v>2E-3</v>
      </c>
      <c r="F12" s="25">
        <v>2E-3</v>
      </c>
    </row>
    <row r="13" spans="1:6" ht="15" customHeight="1" x14ac:dyDescent="0.3">
      <c r="A13" s="23" t="s">
        <v>1211</v>
      </c>
      <c r="B13" s="23" t="s">
        <v>1212</v>
      </c>
      <c r="C13" s="25">
        <v>6.0000000000000001E-3</v>
      </c>
      <c r="D13" s="25">
        <v>6.0000000000000001E-3</v>
      </c>
      <c r="E13" s="25">
        <v>6.0000000000000001E-3</v>
      </c>
      <c r="F13" s="25">
        <v>6.0000000000000001E-3</v>
      </c>
    </row>
    <row r="14" spans="1:6" ht="15" customHeight="1" x14ac:dyDescent="0.3">
      <c r="A14" s="23" t="s">
        <v>1213</v>
      </c>
      <c r="B14" s="23" t="s">
        <v>1214</v>
      </c>
      <c r="C14" s="25">
        <v>2.5000000000000001E-2</v>
      </c>
      <c r="D14" s="25">
        <v>2.5000000000000001E-2</v>
      </c>
      <c r="E14" s="25">
        <v>2.5000000000000001E-2</v>
      </c>
      <c r="F14" s="25">
        <v>2.5000000000000001E-2</v>
      </c>
    </row>
    <row r="15" spans="1:6" ht="15" customHeight="1" x14ac:dyDescent="0.3">
      <c r="A15" s="23" t="s">
        <v>1215</v>
      </c>
      <c r="B15" s="23" t="s">
        <v>1216</v>
      </c>
      <c r="C15" s="25">
        <v>0.03</v>
      </c>
      <c r="D15" s="25">
        <v>0.03</v>
      </c>
      <c r="E15" s="25">
        <v>0.03</v>
      </c>
      <c r="F15" s="25">
        <v>0.03</v>
      </c>
    </row>
    <row r="16" spans="1:6" ht="15" customHeight="1" x14ac:dyDescent="0.3">
      <c r="A16" s="23" t="s">
        <v>1217</v>
      </c>
      <c r="B16" s="23" t="s">
        <v>1218</v>
      </c>
      <c r="C16" s="25">
        <v>0.08</v>
      </c>
      <c r="D16" s="25">
        <v>0.08</v>
      </c>
      <c r="E16" s="25">
        <v>0.08</v>
      </c>
      <c r="F16" s="25">
        <v>0.08</v>
      </c>
    </row>
    <row r="17" spans="1:6" ht="15" customHeight="1" x14ac:dyDescent="0.3">
      <c r="A17" s="23" t="s">
        <v>1219</v>
      </c>
      <c r="B17" s="23" t="s">
        <v>1220</v>
      </c>
      <c r="C17" s="25">
        <v>0</v>
      </c>
      <c r="D17" s="25">
        <v>0</v>
      </c>
      <c r="E17" s="25">
        <v>0</v>
      </c>
      <c r="F17" s="25">
        <v>0</v>
      </c>
    </row>
    <row r="18" spans="1:6" ht="15" customHeight="1" x14ac:dyDescent="0.3">
      <c r="A18" s="23" t="s">
        <v>1221</v>
      </c>
      <c r="B18" s="23" t="s">
        <v>128</v>
      </c>
      <c r="C18" s="25">
        <f>SUM(C9:C17)</f>
        <v>0.21800000000000003</v>
      </c>
      <c r="D18" s="25">
        <f>SUM(D9:D17)</f>
        <v>0.21800000000000003</v>
      </c>
      <c r="E18" s="25">
        <f>SUM(E9:E17)</f>
        <v>0.36800000000000005</v>
      </c>
      <c r="F18" s="25">
        <f>SUM(F9:F17)</f>
        <v>0.36800000000000005</v>
      </c>
    </row>
    <row r="19" spans="1:6" ht="15" customHeight="1" x14ac:dyDescent="0.3">
      <c r="A19" s="34" t="s">
        <v>1222</v>
      </c>
      <c r="B19" s="36"/>
      <c r="C19" s="36"/>
      <c r="D19" s="36"/>
      <c r="E19" s="36"/>
      <c r="F19" s="35"/>
    </row>
    <row r="20" spans="1:6" ht="15" customHeight="1" x14ac:dyDescent="0.3">
      <c r="A20" s="23" t="s">
        <v>1223</v>
      </c>
      <c r="B20" s="23" t="s">
        <v>1224</v>
      </c>
      <c r="C20" s="25">
        <v>0.1782</v>
      </c>
      <c r="D20" s="23" t="s">
        <v>1225</v>
      </c>
      <c r="E20" s="25">
        <v>0.1782</v>
      </c>
      <c r="F20" s="23" t="s">
        <v>1225</v>
      </c>
    </row>
    <row r="21" spans="1:6" ht="15" customHeight="1" x14ac:dyDescent="0.3">
      <c r="A21" s="23" t="s">
        <v>1226</v>
      </c>
      <c r="B21" s="23" t="s">
        <v>1227</v>
      </c>
      <c r="C21" s="25">
        <v>3.95E-2</v>
      </c>
      <c r="D21" s="23" t="s">
        <v>1225</v>
      </c>
      <c r="E21" s="25">
        <v>3.95E-2</v>
      </c>
      <c r="F21" s="23" t="s">
        <v>1225</v>
      </c>
    </row>
    <row r="22" spans="1:6" ht="15" customHeight="1" x14ac:dyDescent="0.3">
      <c r="A22" s="23" t="s">
        <v>1228</v>
      </c>
      <c r="B22" s="23" t="s">
        <v>1229</v>
      </c>
      <c r="C22" s="25">
        <v>8.6E-3</v>
      </c>
      <c r="D22" s="25">
        <v>6.4999999999999997E-3</v>
      </c>
      <c r="E22" s="25">
        <v>8.6E-3</v>
      </c>
      <c r="F22" s="25">
        <v>6.4999999999999997E-3</v>
      </c>
    </row>
    <row r="23" spans="1:6" ht="15" customHeight="1" x14ac:dyDescent="0.3">
      <c r="A23" s="23" t="s">
        <v>1230</v>
      </c>
      <c r="B23" s="23" t="s">
        <v>1231</v>
      </c>
      <c r="C23" s="25">
        <v>0.1096</v>
      </c>
      <c r="D23" s="25">
        <v>8.3299999999999999E-2</v>
      </c>
      <c r="E23" s="25">
        <v>0.1096</v>
      </c>
      <c r="F23" s="25">
        <v>8.3299999999999999E-2</v>
      </c>
    </row>
    <row r="24" spans="1:6" ht="15" customHeight="1" x14ac:dyDescent="0.3">
      <c r="A24" s="23" t="s">
        <v>1232</v>
      </c>
      <c r="B24" s="23" t="s">
        <v>1233</v>
      </c>
      <c r="C24" s="25">
        <v>6.9999999999999999E-4</v>
      </c>
      <c r="D24" s="25">
        <v>5.0000000000000001E-4</v>
      </c>
      <c r="E24" s="25">
        <v>6.9999999999999999E-4</v>
      </c>
      <c r="F24" s="25">
        <v>5.0000000000000001E-4</v>
      </c>
    </row>
    <row r="25" spans="1:6" ht="15" customHeight="1" x14ac:dyDescent="0.3">
      <c r="A25" s="23" t="s">
        <v>1234</v>
      </c>
      <c r="B25" s="23" t="s">
        <v>1235</v>
      </c>
      <c r="C25" s="25">
        <v>7.3000000000000001E-3</v>
      </c>
      <c r="D25" s="25">
        <v>5.5999999999999999E-3</v>
      </c>
      <c r="E25" s="25">
        <v>7.3000000000000001E-3</v>
      </c>
      <c r="F25" s="25">
        <v>5.5999999999999999E-3</v>
      </c>
    </row>
    <row r="26" spans="1:6" ht="15" customHeight="1" x14ac:dyDescent="0.3">
      <c r="A26" s="23" t="s">
        <v>1236</v>
      </c>
      <c r="B26" s="23" t="s">
        <v>1237</v>
      </c>
      <c r="C26" s="25">
        <v>1.17E-2</v>
      </c>
      <c r="D26" s="23" t="s">
        <v>1225</v>
      </c>
      <c r="E26" s="25">
        <v>1.17E-2</v>
      </c>
      <c r="F26" s="23" t="s">
        <v>1225</v>
      </c>
    </row>
    <row r="27" spans="1:6" ht="15" customHeight="1" x14ac:dyDescent="0.3">
      <c r="A27" s="23" t="s">
        <v>1238</v>
      </c>
      <c r="B27" s="23" t="s">
        <v>1239</v>
      </c>
      <c r="C27" s="25">
        <v>1E-3</v>
      </c>
      <c r="D27" s="25">
        <v>6.9999999999999999E-4</v>
      </c>
      <c r="E27" s="25">
        <v>1E-3</v>
      </c>
      <c r="F27" s="25">
        <v>6.9999999999999999E-4</v>
      </c>
    </row>
    <row r="28" spans="1:6" ht="15" customHeight="1" x14ac:dyDescent="0.3">
      <c r="A28" s="23" t="s">
        <v>1240</v>
      </c>
      <c r="B28" s="23" t="s">
        <v>1241</v>
      </c>
      <c r="C28" s="25">
        <v>0.1171</v>
      </c>
      <c r="D28" s="25">
        <v>8.8999999999999996E-2</v>
      </c>
      <c r="E28" s="25">
        <v>0.1171</v>
      </c>
      <c r="F28" s="25">
        <v>8.8999999999999996E-2</v>
      </c>
    </row>
    <row r="29" spans="1:6" ht="15" customHeight="1" x14ac:dyDescent="0.3">
      <c r="A29" s="23" t="s">
        <v>1242</v>
      </c>
      <c r="B29" s="23" t="s">
        <v>1243</v>
      </c>
      <c r="C29" s="25">
        <v>2.9999999999999997E-4</v>
      </c>
      <c r="D29" s="25">
        <v>2.9999999999999997E-4</v>
      </c>
      <c r="E29" s="25">
        <v>2.9999999999999997E-4</v>
      </c>
      <c r="F29" s="25">
        <v>2.9999999999999997E-4</v>
      </c>
    </row>
    <row r="30" spans="1:6" ht="15" customHeight="1" x14ac:dyDescent="0.3">
      <c r="A30" s="23" t="s">
        <v>1244</v>
      </c>
      <c r="B30" s="23" t="s">
        <v>128</v>
      </c>
      <c r="C30" s="25">
        <f>SUM(C20:C29)</f>
        <v>0.47399999999999992</v>
      </c>
      <c r="D30" s="25">
        <f>SUM(D20:D29)</f>
        <v>0.18589999999999998</v>
      </c>
      <c r="E30" s="25">
        <f>SUM(E20:E29)</f>
        <v>0.47399999999999992</v>
      </c>
      <c r="F30" s="25">
        <f>SUM(F20:F29)</f>
        <v>0.18589999999999998</v>
      </c>
    </row>
    <row r="31" spans="1:6" ht="15" customHeight="1" x14ac:dyDescent="0.3">
      <c r="A31" s="34" t="s">
        <v>1245</v>
      </c>
      <c r="B31" s="36"/>
      <c r="C31" s="36"/>
      <c r="D31" s="36"/>
      <c r="E31" s="36"/>
      <c r="F31" s="35"/>
    </row>
    <row r="32" spans="1:6" ht="15" customHeight="1" x14ac:dyDescent="0.3">
      <c r="A32" s="23" t="s">
        <v>1246</v>
      </c>
      <c r="B32" s="23" t="s">
        <v>1247</v>
      </c>
      <c r="C32" s="25">
        <v>5.2999999999999999E-2</v>
      </c>
      <c r="D32" s="25">
        <v>4.0300000000000002E-2</v>
      </c>
      <c r="E32" s="25">
        <v>5.2999999999999999E-2</v>
      </c>
      <c r="F32" s="25">
        <v>4.0300000000000002E-2</v>
      </c>
    </row>
    <row r="33" spans="1:6" ht="15" customHeight="1" x14ac:dyDescent="0.3">
      <c r="A33" s="23" t="s">
        <v>1248</v>
      </c>
      <c r="B33" s="23" t="s">
        <v>1249</v>
      </c>
      <c r="C33" s="25">
        <v>1.1999999999999999E-3</v>
      </c>
      <c r="D33" s="25">
        <v>8.9999999999999998E-4</v>
      </c>
      <c r="E33" s="25">
        <v>1.1999999999999999E-3</v>
      </c>
      <c r="F33" s="25">
        <v>8.9999999999999998E-4</v>
      </c>
    </row>
    <row r="34" spans="1:6" ht="15" customHeight="1" x14ac:dyDescent="0.3">
      <c r="A34" s="23" t="s">
        <v>1250</v>
      </c>
      <c r="B34" s="23" t="s">
        <v>1251</v>
      </c>
      <c r="C34" s="25">
        <v>2.46E-2</v>
      </c>
      <c r="D34" s="25">
        <v>1.8700000000000001E-2</v>
      </c>
      <c r="E34" s="25">
        <v>2.46E-2</v>
      </c>
      <c r="F34" s="25">
        <v>1.8700000000000001E-2</v>
      </c>
    </row>
    <row r="35" spans="1:6" ht="15" customHeight="1" x14ac:dyDescent="0.3">
      <c r="A35" s="23" t="s">
        <v>1252</v>
      </c>
      <c r="B35" s="23" t="s">
        <v>1253</v>
      </c>
      <c r="C35" s="25">
        <v>2.8899999999999999E-2</v>
      </c>
      <c r="D35" s="25">
        <v>2.1999999999999999E-2</v>
      </c>
      <c r="E35" s="25">
        <v>2.8899999999999999E-2</v>
      </c>
      <c r="F35" s="25">
        <v>2.1999999999999999E-2</v>
      </c>
    </row>
    <row r="36" spans="1:6" ht="15" customHeight="1" x14ac:dyDescent="0.3">
      <c r="A36" s="23" t="s">
        <v>1254</v>
      </c>
      <c r="B36" s="23" t="s">
        <v>1255</v>
      </c>
      <c r="C36" s="25">
        <v>4.4999999999999997E-3</v>
      </c>
      <c r="D36" s="25">
        <v>3.3999999999999998E-3</v>
      </c>
      <c r="E36" s="25">
        <v>4.4999999999999997E-3</v>
      </c>
      <c r="F36" s="25">
        <v>3.3999999999999998E-3</v>
      </c>
    </row>
    <row r="37" spans="1:6" ht="15" customHeight="1" x14ac:dyDescent="0.3">
      <c r="A37" s="23" t="s">
        <v>1256</v>
      </c>
      <c r="B37" s="23" t="s">
        <v>128</v>
      </c>
      <c r="C37" s="25">
        <f>SUM(C32:C36)</f>
        <v>0.11219999999999999</v>
      </c>
      <c r="D37" s="25">
        <f>SUM(D32:D36)</f>
        <v>8.5300000000000001E-2</v>
      </c>
      <c r="E37" s="25">
        <f>SUM(E32:E36)</f>
        <v>0.11219999999999999</v>
      </c>
      <c r="F37" s="25">
        <f>SUM(F32:F36)</f>
        <v>8.5300000000000001E-2</v>
      </c>
    </row>
    <row r="38" spans="1:6" ht="15" customHeight="1" x14ac:dyDescent="0.3">
      <c r="A38" s="34" t="s">
        <v>1257</v>
      </c>
      <c r="B38" s="36"/>
      <c r="C38" s="36"/>
      <c r="D38" s="36"/>
      <c r="E38" s="36"/>
      <c r="F38" s="35"/>
    </row>
    <row r="39" spans="1:6" ht="15" customHeight="1" x14ac:dyDescent="0.3">
      <c r="A39" s="23" t="s">
        <v>1258</v>
      </c>
      <c r="B39" t="s">
        <v>1259</v>
      </c>
      <c r="C39" s="25">
        <v>9.7900000000000001E-2</v>
      </c>
      <c r="D39" s="25">
        <v>3.6400000000000002E-2</v>
      </c>
      <c r="E39" s="25">
        <v>0.1744</v>
      </c>
      <c r="F39" s="25">
        <v>6.8400000000000002E-2</v>
      </c>
    </row>
    <row r="40" spans="1:6" ht="42" customHeight="1" x14ac:dyDescent="0.3">
      <c r="A40" s="23" t="s">
        <v>1260</v>
      </c>
      <c r="B40" s="30" t="s">
        <v>1261</v>
      </c>
      <c r="C40" s="25">
        <v>4.4999999999999997E-3</v>
      </c>
      <c r="D40" s="25">
        <v>3.3999999999999998E-3</v>
      </c>
      <c r="E40" s="25">
        <v>4.7000000000000002E-3</v>
      </c>
      <c r="F40" s="25">
        <v>3.5999999999999999E-3</v>
      </c>
    </row>
    <row r="41" spans="1:6" ht="15" customHeight="1" x14ac:dyDescent="0.3">
      <c r="A41" s="23" t="s">
        <v>1262</v>
      </c>
      <c r="B41" s="23" t="s">
        <v>128</v>
      </c>
      <c r="C41" s="25">
        <f>SUM(C39:C40)</f>
        <v>0.1024</v>
      </c>
      <c r="D41" s="25">
        <f>SUM(D39:D40)</f>
        <v>3.9800000000000002E-2</v>
      </c>
      <c r="E41" s="25">
        <f>SUM(E39:E40)</f>
        <v>0.17910000000000001</v>
      </c>
      <c r="F41" s="25">
        <f>SUM(F39:F40)</f>
        <v>7.2000000000000008E-2</v>
      </c>
    </row>
    <row r="42" spans="1:6" ht="15" customHeight="1" x14ac:dyDescent="0.3">
      <c r="A42" s="34" t="s">
        <v>1263</v>
      </c>
      <c r="B42" s="36"/>
      <c r="C42" s="36"/>
      <c r="D42" s="36"/>
      <c r="E42" s="36"/>
      <c r="F42" s="35"/>
    </row>
    <row r="43" spans="1:6" ht="15" customHeight="1" x14ac:dyDescent="0.3">
      <c r="A43" s="34" t="s">
        <v>128</v>
      </c>
      <c r="B43" s="35"/>
      <c r="C43" s="19">
        <f>SUM(C18,C30,C37,C41)</f>
        <v>0.90659999999999996</v>
      </c>
      <c r="D43" s="19">
        <f>SUM(D18,D30,D37,D41)</f>
        <v>0.52900000000000003</v>
      </c>
      <c r="E43" s="19">
        <f>SUM(E18,E30,E37,E41)</f>
        <v>1.1333</v>
      </c>
      <c r="F43" s="19">
        <f>SUM(F18,F30,F37,F41)</f>
        <v>0.71120000000000005</v>
      </c>
    </row>
    <row r="44" spans="1:6" ht="15" customHeight="1" x14ac:dyDescent="0.3">
      <c r="A44" s="6" t="s">
        <v>1264</v>
      </c>
    </row>
  </sheetData>
  <mergeCells count="13">
    <mergeCell ref="A43:B43"/>
    <mergeCell ref="A1:F1"/>
    <mergeCell ref="A2:F2"/>
    <mergeCell ref="A3:F3"/>
    <mergeCell ref="A6:A7"/>
    <mergeCell ref="B6:B7"/>
    <mergeCell ref="C6:D6"/>
    <mergeCell ref="E6:F6"/>
    <mergeCell ref="A8:F8"/>
    <mergeCell ref="A19:F19"/>
    <mergeCell ref="A31:F31"/>
    <mergeCell ref="A38:F38"/>
    <mergeCell ref="A42:F42"/>
  </mergeCells>
  <pageMargins left="0.78740157480314965" right="0.39370078740157483" top="1.1811023622047245" bottom="0.78740157480314965" header="0.31496062992125984" footer="0.31496062992125984"/>
  <pageSetup paperSize="9" scale="57" fitToHeight="0" orientation="portrait" r:id="rId1"/>
  <headerFooter>
    <oddHeader>&amp;C&amp;G</oddHeader>
  </headerFooter>
  <legacyDrawingHF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775BBE-7A15-44B1-B114-68A6A43686A5}">
  <sheetPr>
    <pageSetUpPr fitToPage="1"/>
  </sheetPr>
  <dimension ref="A1:J75"/>
  <sheetViews>
    <sheetView showGridLines="0" tabSelected="1" topLeftCell="A2" workbookViewId="0">
      <selection activeCell="J17" sqref="J17"/>
    </sheetView>
  </sheetViews>
  <sheetFormatPr defaultRowHeight="14.4" x14ac:dyDescent="0.3"/>
  <cols>
    <col min="1" max="3" width="12" bestFit="1" customWidth="1"/>
    <col min="4" max="4" width="74.109375" bestFit="1" customWidth="1"/>
    <col min="5" max="5" width="9.21875" bestFit="1" customWidth="1"/>
    <col min="6" max="10" width="14.77734375" bestFit="1" customWidth="1"/>
  </cols>
  <sheetData>
    <row r="1" spans="1:10" x14ac:dyDescent="0.3">
      <c r="A1" s="33" t="str">
        <f>CIDADE</f>
        <v>MUNICÍPIO DE LAGOA DO PIAUI - PI</v>
      </c>
      <c r="B1" s="33"/>
      <c r="C1" s="33"/>
      <c r="D1" s="33"/>
      <c r="E1" s="33"/>
      <c r="F1" s="33"/>
      <c r="G1" s="33"/>
      <c r="H1" s="33"/>
      <c r="I1" s="33"/>
    </row>
    <row r="2" spans="1:10" x14ac:dyDescent="0.3">
      <c r="A2" s="33" t="str">
        <f>OBRA</f>
        <v>IMPLANTAÇÃO DE 5 (CINCO) SISTEMAS SIMPLIFICADOS DE ABASTECIMENTO DE ÁGUA ZONA RURAL DO MUNICÍPIO DE LAGOA DO PIAUÍ-PI</v>
      </c>
      <c r="B2" s="33"/>
      <c r="C2" s="33"/>
      <c r="D2" s="33"/>
      <c r="E2" s="33"/>
      <c r="F2" s="33"/>
      <c r="G2" s="33"/>
      <c r="H2" s="33"/>
      <c r="I2" s="33"/>
    </row>
    <row r="3" spans="1:10" x14ac:dyDescent="0.3">
      <c r="A3" s="33" t="s">
        <v>1265</v>
      </c>
      <c r="B3" s="33"/>
      <c r="C3" s="33"/>
      <c r="D3" s="33"/>
      <c r="E3" s="33"/>
      <c r="F3" s="33"/>
      <c r="G3" s="33"/>
      <c r="H3" s="33"/>
      <c r="I3" s="33"/>
    </row>
    <row r="5" spans="1:10" x14ac:dyDescent="0.3">
      <c r="A5" s="1" t="s">
        <v>3</v>
      </c>
      <c r="B5" s="7" t="str">
        <f>FONTE&amp;FOLHA</f>
        <v>SINAPI PI 06/2025, SEINFRA CE 28, ORSE SE 05/2025, SEM DESONERAÇÃO</v>
      </c>
      <c r="C5" s="1"/>
      <c r="D5" s="1"/>
      <c r="E5" s="1"/>
      <c r="F5" s="1" t="s">
        <v>10</v>
      </c>
      <c r="G5" s="8">
        <f>LEI</f>
        <v>113.33</v>
      </c>
      <c r="H5" s="1" t="s">
        <v>19</v>
      </c>
      <c r="I5" s="8">
        <f>BDI</f>
        <v>24.84</v>
      </c>
    </row>
    <row r="6" spans="1:10" x14ac:dyDescent="0.3">
      <c r="A6" s="4" t="s">
        <v>1266</v>
      </c>
      <c r="B6" s="4" t="s">
        <v>138</v>
      </c>
      <c r="C6" s="4" t="s">
        <v>139</v>
      </c>
      <c r="D6" s="4" t="s">
        <v>21</v>
      </c>
      <c r="E6" s="4" t="s">
        <v>140</v>
      </c>
      <c r="F6" s="4" t="s">
        <v>141</v>
      </c>
      <c r="G6" s="4" t="s">
        <v>142</v>
      </c>
      <c r="H6" s="4" t="s">
        <v>143</v>
      </c>
      <c r="I6" s="4" t="s">
        <v>15</v>
      </c>
      <c r="J6" s="94"/>
    </row>
    <row r="7" spans="1:10" x14ac:dyDescent="0.3">
      <c r="A7" s="23">
        <v>1</v>
      </c>
      <c r="B7" s="23" t="s">
        <v>535</v>
      </c>
      <c r="C7" s="23" t="str">
        <f>VLOOKUP(B7,CPU!$B:$J,2,FALSE)</f>
        <v>PRÓPRIA</v>
      </c>
      <c r="D7" s="24" t="str">
        <f>VLOOKUP(B7,CPU!$B:$J,3,FALSE)</f>
        <v>PERFURAÇÃO EM 6'' (SEDIMENTO)</v>
      </c>
      <c r="E7" s="23" t="str">
        <f>VLOOKUP(B7,CPU!$B:$J,4,FALSE)</f>
        <v>M</v>
      </c>
      <c r="F7" s="5">
        <f>SUMIF(ORCAMENTO!B:B,B7,ORCAMENTO!F:F)</f>
        <v>475</v>
      </c>
      <c r="G7" s="5">
        <f>VLOOKUP("TOTAL SEM BDI - "&amp;B7,CPU!$A:$J,9,FALSE)</f>
        <v>231.16</v>
      </c>
      <c r="H7" s="5">
        <f>VLOOKUP("TOTAL COM BDI - "&amp;B7,CPU!$A:$J,9,FALSE)</f>
        <v>288.58</v>
      </c>
      <c r="I7" s="5">
        <f>SUMIF(ORCAMENTO!B:B,B7,ORCAMENTO!I:I)</f>
        <v>137075.5</v>
      </c>
      <c r="J7" s="32"/>
    </row>
    <row r="8" spans="1:10" ht="57.6" x14ac:dyDescent="0.3">
      <c r="A8" s="23">
        <v>2</v>
      </c>
      <c r="B8" s="23" t="s">
        <v>649</v>
      </c>
      <c r="C8" s="23" t="str">
        <f>VLOOKUP(B8,CPU!$B:$J,2,FALSE)</f>
        <v>PRÓPRIA</v>
      </c>
      <c r="D8" s="24" t="str">
        <f>VLOOKUP(B8,CPU!$B:$J,3,FALSE)</f>
        <v>RESERVATÓRIO ELEVADO C/ CAIXA D'AGUA EM FIBRA DE VIDRO DE 10.000 LITROS APOIADO EM ESTRUTURA PRÉ-MOLDADA EM CONCRETO, COMPOSTA DE CAPITEL P/APOIO DA CAIXA E PILAR C/ALTURA ÚTIL = 7,00M, INCLUSO FRETE E MONTAGEM NO LOCAL, EXCETO INST. HIDRÁULICA</v>
      </c>
      <c r="E8" s="23" t="str">
        <f>VLOOKUP(B8,CPU!$B:$J,4,FALSE)</f>
        <v>UND</v>
      </c>
      <c r="F8" s="5">
        <f>SUMIF(ORCAMENTO!B:B,B8,ORCAMENTO!F:F)</f>
        <v>5</v>
      </c>
      <c r="G8" s="5">
        <f>VLOOKUP("TOTAL SEM BDI - "&amp;B8,CPU!$A:$J,9,FALSE)</f>
        <v>16298.96</v>
      </c>
      <c r="H8" s="5">
        <f>VLOOKUP("TOTAL COM BDI - "&amp;B8,CPU!$A:$J,9,FALSE)</f>
        <v>20347.62</v>
      </c>
      <c r="I8" s="5">
        <f>SUMIF(ORCAMENTO!B:B,B8,ORCAMENTO!I:I)</f>
        <v>101738.09999999999</v>
      </c>
      <c r="J8" s="32"/>
    </row>
    <row r="9" spans="1:10" x14ac:dyDescent="0.3">
      <c r="A9" s="23">
        <v>3</v>
      </c>
      <c r="B9" s="23" t="s">
        <v>530</v>
      </c>
      <c r="C9" s="23" t="str">
        <f>VLOOKUP(B9,CPU!$B:$J,2,FALSE)</f>
        <v>PRÓPRIA</v>
      </c>
      <c r="D9" s="24" t="str">
        <f>VLOOKUP(B9,CPU!$B:$J,3,FALSE)</f>
        <v>PERFURAÇÃO EM 10'' (SEDIMENTO)</v>
      </c>
      <c r="E9" s="23" t="str">
        <f>VLOOKUP(B9,CPU!$B:$J,4,FALSE)</f>
        <v>M</v>
      </c>
      <c r="F9" s="5">
        <f>SUMIF(ORCAMENTO!B:B,B9,ORCAMENTO!F:F)</f>
        <v>175</v>
      </c>
      <c r="G9" s="5">
        <f>VLOOKUP("TOTAL SEM BDI - "&amp;B9,CPU!$A:$J,9,FALSE)</f>
        <v>288.94</v>
      </c>
      <c r="H9" s="5">
        <f>VLOOKUP("TOTAL COM BDI - "&amp;B9,CPU!$A:$J,9,FALSE)</f>
        <v>360.71</v>
      </c>
      <c r="I9" s="5">
        <f>SUMIF(ORCAMENTO!B:B,B9,ORCAMENTO!I:I)</f>
        <v>63124.25</v>
      </c>
      <c r="J9" s="32"/>
    </row>
    <row r="10" spans="1:10" x14ac:dyDescent="0.3">
      <c r="A10" s="23">
        <v>4</v>
      </c>
      <c r="B10" s="23" t="s">
        <v>514</v>
      </c>
      <c r="C10" s="23" t="str">
        <f>VLOOKUP(B10,CPU!$B:$J,2,FALSE)</f>
        <v>PRÓPRIA</v>
      </c>
      <c r="D10" s="24" t="str">
        <f>VLOOKUP(B10,CPU!$B:$J,3,FALSE)</f>
        <v>ADMINISTRAÇÃO LOCAL DA OBRA</v>
      </c>
      <c r="E10" s="23" t="str">
        <f>VLOOKUP(B10,CPU!$B:$J,4,FALSE)</f>
        <v>MÊS</v>
      </c>
      <c r="F10" s="5">
        <f>SUMIF(ORCAMENTO!B:B,B10,ORCAMENTO!F:F)</f>
        <v>3</v>
      </c>
      <c r="G10" s="5">
        <f>VLOOKUP("TOTAL SEM BDI - "&amp;B10,CPU!$A:$J,9,FALSE)</f>
        <v>11839.68</v>
      </c>
      <c r="H10" s="5">
        <f>VLOOKUP("TOTAL COM BDI - "&amp;B10,CPU!$A:$J,9,FALSE)</f>
        <v>14780.66</v>
      </c>
      <c r="I10" s="5">
        <f>SUMIF(ORCAMENTO!B:B,B10,ORCAMENTO!I:I)</f>
        <v>44341.98</v>
      </c>
      <c r="J10" s="32"/>
    </row>
    <row r="11" spans="1:10" x14ac:dyDescent="0.3">
      <c r="A11" s="23">
        <v>5</v>
      </c>
      <c r="B11" s="23" t="s">
        <v>553</v>
      </c>
      <c r="C11" s="23" t="str">
        <f>VLOOKUP(B11,CPU!$B:$J,2,FALSE)</f>
        <v>PRÓPRIA</v>
      </c>
      <c r="D11" s="24" t="str">
        <f>VLOOKUP(B11,CPU!$B:$J,3,FALSE)</f>
        <v>FORNECIMENTO E INSTALAÇÃO DE REVESTIMENTO GEOMECÂNICO STANDART DN-154-S</v>
      </c>
      <c r="E11" s="23" t="str">
        <f>VLOOKUP(B11,CPU!$B:$J,4,FALSE)</f>
        <v>M</v>
      </c>
      <c r="F11" s="5">
        <f>SUMIF(ORCAMENTO!B:B,B11,ORCAMENTO!F:F)</f>
        <v>180</v>
      </c>
      <c r="G11" s="5">
        <f>VLOOKUP("TOTAL SEM BDI - "&amp;B11,CPU!$A:$J,9,FALSE)</f>
        <v>170.76</v>
      </c>
      <c r="H11" s="5">
        <f>VLOOKUP("TOTAL COM BDI - "&amp;B11,CPU!$A:$J,9,FALSE)</f>
        <v>213.18</v>
      </c>
      <c r="I11" s="5">
        <f>SUMIF(ORCAMENTO!B:B,B11,ORCAMENTO!I:I)</f>
        <v>38372.399999999994</v>
      </c>
      <c r="J11" s="32"/>
    </row>
    <row r="12" spans="1:10" x14ac:dyDescent="0.3">
      <c r="A12" s="23">
        <v>6</v>
      </c>
      <c r="B12" s="23" t="s">
        <v>562</v>
      </c>
      <c r="C12" s="23" t="str">
        <f>VLOOKUP(B12,CPU!$B:$J,2,FALSE)</f>
        <v>PRÓPRIA</v>
      </c>
      <c r="D12" s="24" t="str">
        <f>VLOOKUP(B12,CPU!$B:$J,3,FALSE)</f>
        <v>FORNECIMENTO E INSTALAÇÃO DE TUBO EDUTOR DE PVC DE 1.1/2'' COM LUVA</v>
      </c>
      <c r="E12" s="23" t="str">
        <f>VLOOKUP(B12,CPU!$B:$J,4,FALSE)</f>
        <v>M</v>
      </c>
      <c r="F12" s="5">
        <f>SUMIF(ORCAMENTO!B:B,B12,ORCAMENTO!F:F)</f>
        <v>550</v>
      </c>
      <c r="G12" s="5">
        <f>VLOOKUP("TOTAL SEM BDI - "&amp;B12,CPU!$A:$J,9,FALSE)</f>
        <v>46.25</v>
      </c>
      <c r="H12" s="5">
        <f>VLOOKUP("TOTAL COM BDI - "&amp;B12,CPU!$A:$J,9,FALSE)</f>
        <v>57.74</v>
      </c>
      <c r="I12" s="5">
        <f>SUMIF(ORCAMENTO!B:B,B12,ORCAMENTO!I:I)</f>
        <v>31757</v>
      </c>
      <c r="J12" s="32"/>
    </row>
    <row r="13" spans="1:10" ht="43.2" x14ac:dyDescent="0.3">
      <c r="A13" s="23">
        <v>7</v>
      </c>
      <c r="B13" s="23">
        <v>101197</v>
      </c>
      <c r="C13" s="23" t="str">
        <f>VLOOKUP(B13,CPU!$B:$J,2,FALSE)</f>
        <v>SINAPI</v>
      </c>
      <c r="D13" s="24" t="str">
        <f>VLOOKUP(B13,CPU!$B:$J,3,FALSE)</f>
        <v>CERCA COM MOURÕES DE CONCRETO, SEÇÃO "T" PONTA INCLINADA, 10X10 CM, ESPAÇAMENTO DE 2,5 M, CRAVADOS 0,5 M, COM 11 FIOS DE ARAME FARPADO Nº 14 - FORNECIMENTO E INSTALAÇÃO. AF_05/2020</v>
      </c>
      <c r="E13" s="23" t="str">
        <f>VLOOKUP(B13,CPU!$B:$J,4,FALSE)</f>
        <v>M</v>
      </c>
      <c r="F13" s="5">
        <f>SUMIF(ORCAMENTO!B:B,B13,ORCAMENTO!F:F)</f>
        <v>185</v>
      </c>
      <c r="G13" s="5">
        <f>VLOOKUP("TOTAL SEM BDI - "&amp;B13,CPU!$A:$J,9,FALSE)</f>
        <v>131.28</v>
      </c>
      <c r="H13" s="5">
        <f>VLOOKUP("TOTAL COM BDI - "&amp;B13,CPU!$A:$J,9,FALSE)</f>
        <v>163.89</v>
      </c>
      <c r="I13" s="5">
        <f>SUMIF(ORCAMENTO!B:B,B13,ORCAMENTO!I:I)</f>
        <v>30319.65</v>
      </c>
      <c r="J13" s="32"/>
    </row>
    <row r="14" spans="1:10" ht="28.8" x14ac:dyDescent="0.3">
      <c r="A14" s="23">
        <v>8</v>
      </c>
      <c r="B14" s="23" t="s">
        <v>558</v>
      </c>
      <c r="C14" s="23" t="str">
        <f>VLOOKUP(B14,CPU!$B:$J,2,FALSE)</f>
        <v>PRÓPRIA</v>
      </c>
      <c r="D14" s="24" t="str">
        <f>VLOOKUP(B14,CPU!$B:$J,3,FALSE)</f>
        <v>FORNECIMENTO E INSTALAÇÃO DE BOMBA SUBMERSA DE 3CV, MONOFÁSICA, 220 V, LEÃO OU SIMILAR</v>
      </c>
      <c r="E14" s="23" t="str">
        <f>VLOOKUP(B14,CPU!$B:$J,4,FALSE)</f>
        <v>UN</v>
      </c>
      <c r="F14" s="5">
        <f>SUMIF(ORCAMENTO!B:B,B14,ORCAMENTO!F:F)</f>
        <v>5</v>
      </c>
      <c r="G14" s="5">
        <f>VLOOKUP("TOTAL SEM BDI - "&amp;B14,CPU!$A:$J,9,FALSE)</f>
        <v>3515.68</v>
      </c>
      <c r="H14" s="5">
        <f>VLOOKUP("TOTAL COM BDI - "&amp;B14,CPU!$A:$J,9,FALSE)</f>
        <v>4388.9699999999993</v>
      </c>
      <c r="I14" s="5">
        <f>SUMIF(ORCAMENTO!B:B,B14,ORCAMENTO!I:I)</f>
        <v>21944.850000000002</v>
      </c>
      <c r="J14" s="32"/>
    </row>
    <row r="15" spans="1:10" x14ac:dyDescent="0.3">
      <c r="A15" s="23">
        <v>9</v>
      </c>
      <c r="B15" s="23" t="s">
        <v>564</v>
      </c>
      <c r="C15" s="23" t="str">
        <f>VLOOKUP(B15,CPU!$B:$J,2,FALSE)</f>
        <v>PRÓPRIA</v>
      </c>
      <c r="D15" s="24" t="str">
        <f>VLOOKUP(B15,CPU!$B:$J,3,FALSE)</f>
        <v>FORNECIMENTO E INSTALAÇÃO DE CABO CHATO SUBMERSO DE 3 X 6 MM²</v>
      </c>
      <c r="E15" s="23" t="str">
        <f>VLOOKUP(B15,CPU!$B:$J,4,FALSE)</f>
        <v>M</v>
      </c>
      <c r="F15" s="5">
        <f>SUMIF(ORCAMENTO!B:B,B15,ORCAMENTO!F:F)</f>
        <v>600</v>
      </c>
      <c r="G15" s="5">
        <f>VLOOKUP("TOTAL SEM BDI - "&amp;B15,CPU!$A:$J,9,FALSE)</f>
        <v>25.98</v>
      </c>
      <c r="H15" s="5">
        <f>VLOOKUP("TOTAL COM BDI - "&amp;B15,CPU!$A:$J,9,FALSE)</f>
        <v>32.43</v>
      </c>
      <c r="I15" s="5">
        <f>SUMIF(ORCAMENTO!B:B,B15,ORCAMENTO!I:I)</f>
        <v>19458</v>
      </c>
      <c r="J15" s="32"/>
    </row>
    <row r="16" spans="1:10" x14ac:dyDescent="0.3">
      <c r="A16" s="23">
        <v>10</v>
      </c>
      <c r="B16" s="23" t="s">
        <v>543</v>
      </c>
      <c r="C16" s="23" t="str">
        <f>VLOOKUP(B16,CPU!$B:$J,2,FALSE)</f>
        <v>PRÓPRIA</v>
      </c>
      <c r="D16" s="24" t="str">
        <f>VLOOKUP(B16,CPU!$B:$J,3,FALSE)</f>
        <v>DESENVOLVIMENTO COM BOMBA SUBMERSA</v>
      </c>
      <c r="E16" s="23" t="str">
        <f>VLOOKUP(B16,CPU!$B:$J,4,FALSE)</f>
        <v>H</v>
      </c>
      <c r="F16" s="5">
        <f>SUMIF(ORCAMENTO!B:B,B16,ORCAMENTO!F:F)</f>
        <v>30</v>
      </c>
      <c r="G16" s="5">
        <f>VLOOKUP("TOTAL SEM BDI - "&amp;B16,CPU!$A:$J,9,FALSE)</f>
        <v>513.45000000000005</v>
      </c>
      <c r="H16" s="5">
        <f>VLOOKUP("TOTAL COM BDI - "&amp;B16,CPU!$A:$J,9,FALSE)</f>
        <v>640.99</v>
      </c>
      <c r="I16" s="5">
        <f>SUMIF(ORCAMENTO!B:B,B16,ORCAMENTO!I:I)</f>
        <v>19229.7</v>
      </c>
    </row>
    <row r="17" spans="1:9" ht="28.8" x14ac:dyDescent="0.3">
      <c r="A17" s="23">
        <v>11</v>
      </c>
      <c r="B17" s="23" t="s">
        <v>614</v>
      </c>
      <c r="C17" s="23" t="str">
        <f>VLOOKUP(B17,CPU!$B:$J,2,FALSE)</f>
        <v>SEINFRA</v>
      </c>
      <c r="D17" s="24" t="str">
        <f>VLOOKUP(B17,CPU!$B:$J,3,FALSE)</f>
        <v>PORTÃO DE METALON E BARRA CHATA DE FERRO C/FECHADURA E DOBRADIÇA, INCLUS. PINTURA ESMALTE SINTÉTICO</v>
      </c>
      <c r="E17" s="23" t="str">
        <f>VLOOKUP(B17,CPU!$B:$J,4,FALSE)</f>
        <v>M2</v>
      </c>
      <c r="F17" s="5">
        <f>SUMIF(ORCAMENTO!B:B,B17,ORCAMENTO!F:F)</f>
        <v>30</v>
      </c>
      <c r="G17" s="5">
        <f>VLOOKUP("TOTAL SEM BDI - "&amp;B17,CPU!$A:$J,9,FALSE)</f>
        <v>491.19000000000005</v>
      </c>
      <c r="H17" s="5">
        <f>VLOOKUP("TOTAL COM BDI - "&amp;B17,CPU!$A:$J,9,FALSE)</f>
        <v>613.20000000000005</v>
      </c>
      <c r="I17" s="5">
        <f>SUMIF(ORCAMENTO!B:B,B17,ORCAMENTO!I:I)</f>
        <v>18396</v>
      </c>
    </row>
    <row r="18" spans="1:9" x14ac:dyDescent="0.3">
      <c r="A18" s="23">
        <v>12</v>
      </c>
      <c r="B18" s="23" t="s">
        <v>528</v>
      </c>
      <c r="C18" s="23" t="str">
        <f>VLOOKUP(B18,CPU!$B:$J,2,FALSE)</f>
        <v>PRÓPRIA</v>
      </c>
      <c r="D18" s="24" t="str">
        <f>VLOOKUP(B18,CPU!$B:$J,3,FALSE)</f>
        <v>PERFILAGEM ÓTICA</v>
      </c>
      <c r="E18" s="23" t="str">
        <f>VLOOKUP(B18,CPU!$B:$J,4,FALSE)</f>
        <v>UN</v>
      </c>
      <c r="F18" s="5">
        <f>SUMIF(ORCAMENTO!B:B,B18,ORCAMENTO!F:F)</f>
        <v>5</v>
      </c>
      <c r="G18" s="5">
        <f>VLOOKUP("TOTAL SEM BDI - "&amp;B18,CPU!$A:$J,9,FALSE)</f>
        <v>2908.88</v>
      </c>
      <c r="H18" s="5">
        <f>VLOOKUP("TOTAL COM BDI - "&amp;B18,CPU!$A:$J,9,FALSE)</f>
        <v>3631.4500000000003</v>
      </c>
      <c r="I18" s="5">
        <f>SUMIF(ORCAMENTO!B:B,B18,ORCAMENTO!I:I)</f>
        <v>18157.25</v>
      </c>
    </row>
    <row r="19" spans="1:9" ht="28.8" x14ac:dyDescent="0.3">
      <c r="A19" s="23">
        <v>13</v>
      </c>
      <c r="B19" s="23">
        <v>99059</v>
      </c>
      <c r="C19" s="23" t="str">
        <f>VLOOKUP(B19,CPU!$B:$J,2,FALSE)</f>
        <v>SINAPI</v>
      </c>
      <c r="D19" s="24" t="str">
        <f>VLOOKUP(B19,CPU!$B:$J,3,FALSE)</f>
        <v>LOCAÇÃO CONVENCIONAL DE OBRA, UTILIZANDO GABARITO DE TÁBUAS CORRIDAS PONTALETADAS A CADA 2,00M - 2 UTILIZAÇÕES. AF_03/2024</v>
      </c>
      <c r="E19" s="23" t="str">
        <f>VLOOKUP(B19,CPU!$B:$J,4,FALSE)</f>
        <v>M</v>
      </c>
      <c r="F19" s="5">
        <f>SUMIF(ORCAMENTO!B:B,B19,ORCAMENTO!F:F)</f>
        <v>220</v>
      </c>
      <c r="G19" s="5">
        <f>VLOOKUP("TOTAL SEM BDI - "&amp;B19,CPU!$A:$J,9,FALSE)</f>
        <v>60.260000000000005</v>
      </c>
      <c r="H19" s="5">
        <f>VLOOKUP("TOTAL COM BDI - "&amp;B19,CPU!$A:$J,9,FALSE)</f>
        <v>75.23</v>
      </c>
      <c r="I19" s="5">
        <f>SUMIF(ORCAMENTO!B:B,B19,ORCAMENTO!I:I)</f>
        <v>16550.599999999999</v>
      </c>
    </row>
    <row r="20" spans="1:9" x14ac:dyDescent="0.3">
      <c r="A20" s="23">
        <v>14</v>
      </c>
      <c r="B20" s="23" t="s">
        <v>545</v>
      </c>
      <c r="C20" s="23" t="str">
        <f>VLOOKUP(B20,CPU!$B:$J,2,FALSE)</f>
        <v>PRÓPRIA</v>
      </c>
      <c r="D20" s="24" t="str">
        <f>VLOOKUP(B20,CPU!$B:$J,3,FALSE)</f>
        <v>TESTE VAZÃO COM BOMBA SUBMERSA</v>
      </c>
      <c r="E20" s="23" t="str">
        <f>VLOOKUP(B20,CPU!$B:$J,4,FALSE)</f>
        <v>H</v>
      </c>
      <c r="F20" s="5">
        <f>SUMIF(ORCAMENTO!B:B,B20,ORCAMENTO!F:F)</f>
        <v>120</v>
      </c>
      <c r="G20" s="5">
        <f>VLOOKUP("TOTAL SEM BDI - "&amp;B20,CPU!$A:$J,9,FALSE)</f>
        <v>95.539999999999992</v>
      </c>
      <c r="H20" s="5">
        <f>VLOOKUP("TOTAL COM BDI - "&amp;B20,CPU!$A:$J,9,FALSE)</f>
        <v>119.27</v>
      </c>
      <c r="I20" s="5">
        <f>SUMIF(ORCAMENTO!B:B,B20,ORCAMENTO!I:I)</f>
        <v>14312.4</v>
      </c>
    </row>
    <row r="21" spans="1:9" x14ac:dyDescent="0.3">
      <c r="A21" s="23">
        <v>15</v>
      </c>
      <c r="B21" s="23" t="s">
        <v>566</v>
      </c>
      <c r="C21" s="23" t="str">
        <f>VLOOKUP(B21,CPU!$B:$J,2,FALSE)</f>
        <v>PRÓPRIA</v>
      </c>
      <c r="D21" s="24" t="str">
        <f>VLOOKUP(B21,CPU!$B:$J,3,FALSE)</f>
        <v>BARRILETE (CURVAS E CONEXÕES)</v>
      </c>
      <c r="E21" s="23" t="str">
        <f>VLOOKUP(B21,CPU!$B:$J,4,FALSE)</f>
        <v>UN</v>
      </c>
      <c r="F21" s="5">
        <f>SUMIF(ORCAMENTO!B:B,B21,ORCAMENTO!F:F)</f>
        <v>5</v>
      </c>
      <c r="G21" s="5">
        <f>VLOOKUP("TOTAL SEM BDI - "&amp;B21,CPU!$A:$J,9,FALSE)</f>
        <v>2135.96</v>
      </c>
      <c r="H21" s="5">
        <f>VLOOKUP("TOTAL COM BDI - "&amp;B21,CPU!$A:$J,9,FALSE)</f>
        <v>2666.53</v>
      </c>
      <c r="I21" s="5">
        <f>SUMIF(ORCAMENTO!B:B,B21,ORCAMENTO!I:I)</f>
        <v>13332.650000000001</v>
      </c>
    </row>
    <row r="22" spans="1:9" ht="43.2" x14ac:dyDescent="0.3">
      <c r="A22" s="23">
        <v>16</v>
      </c>
      <c r="B22" s="23">
        <v>103329</v>
      </c>
      <c r="C22" s="23" t="str">
        <f>VLOOKUP(B22,CPU!$B:$J,2,FALSE)</f>
        <v>SINAPI</v>
      </c>
      <c r="D22" s="24" t="str">
        <f>VLOOKUP(B22,CPU!$B:$J,3,FALSE)</f>
        <v>ALVENARIA DE VEDAÇÃO DE BLOCOS CERÂMICOS FURADOS NA HORIZONTAL DE 9X19X19 CM (ESPESSURA 9 CM) E ARGAMASSA DE ASSENTAMENTO COM PREPARO MANUAL. AF_12/2021</v>
      </c>
      <c r="E22" s="23" t="str">
        <f>VLOOKUP(B22,CPU!$B:$J,4,FALSE)</f>
        <v>M2</v>
      </c>
      <c r="F22" s="5">
        <f>SUMIF(ORCAMENTO!B:B,B22,ORCAMENTO!F:F)</f>
        <v>96.550000000000011</v>
      </c>
      <c r="G22" s="5">
        <f>VLOOKUP("TOTAL SEM BDI - "&amp;B22,CPU!$A:$J,9,FALSE)</f>
        <v>95.08</v>
      </c>
      <c r="H22" s="5">
        <f>VLOOKUP("TOTAL COM BDI - "&amp;B22,CPU!$A:$J,9,FALSE)</f>
        <v>118.7</v>
      </c>
      <c r="I22" s="5">
        <f>SUMIF(ORCAMENTO!B:B,B22,ORCAMENTO!I:I)</f>
        <v>11460.5</v>
      </c>
    </row>
    <row r="23" spans="1:9" x14ac:dyDescent="0.3">
      <c r="A23" s="23">
        <v>17</v>
      </c>
      <c r="B23" s="23" t="s">
        <v>521</v>
      </c>
      <c r="C23" s="23" t="str">
        <f>VLOOKUP(B23,CPU!$B:$J,2,FALSE)</f>
        <v>PRÓPRIA</v>
      </c>
      <c r="D23" s="24" t="str">
        <f>VLOOKUP(B23,CPU!$B:$J,3,FALSE)</f>
        <v>LOCAÇÃO DO POÇO COM ESTUDO GEOLÓGICO/HIDROGEOLÓGICO/GEOFÍSICO</v>
      </c>
      <c r="E23" s="23" t="str">
        <f>VLOOKUP(B23,CPU!$B:$J,4,FALSE)</f>
        <v>UN</v>
      </c>
      <c r="F23" s="5">
        <f>SUMIF(ORCAMENTO!B:B,B23,ORCAMENTO!F:F)</f>
        <v>5</v>
      </c>
      <c r="G23" s="5">
        <f>VLOOKUP("TOTAL SEM BDI - "&amp;B23,CPU!$A:$J,9,FALSE)</f>
        <v>1692.3999999999999</v>
      </c>
      <c r="H23" s="5">
        <f>VLOOKUP("TOTAL COM BDI - "&amp;B23,CPU!$A:$J,9,FALSE)</f>
        <v>2112.79</v>
      </c>
      <c r="I23" s="5">
        <f>SUMIF(ORCAMENTO!B:B,B23,ORCAMENTO!I:I)</f>
        <v>10563.95</v>
      </c>
    </row>
    <row r="24" spans="1:9" ht="43.2" x14ac:dyDescent="0.3">
      <c r="A24" s="23">
        <v>18</v>
      </c>
      <c r="B24" s="23">
        <v>87530</v>
      </c>
      <c r="C24" s="23" t="str">
        <f>VLOOKUP(B24,CPU!$B:$J,2,FALSE)</f>
        <v>SINAPI</v>
      </c>
      <c r="D24" s="24" t="str">
        <f>VLOOKUP(B24,CPU!$B:$J,3,FALSE)</f>
        <v>MASSA ÚNICA, EM ARGAMASSA TRAÇO 1:2:8, PREPARO MANUAL, APLICADA MANUALMENTE EM PAREDES INTERNAS DE AMBIENTES COM ÁREA ENTRE 5M² E 10M², E = 17,5MM, COM TALISCAS. AF_03/2024</v>
      </c>
      <c r="E24" s="23" t="str">
        <f>VLOOKUP(B24,CPU!$B:$J,4,FALSE)</f>
        <v>M2</v>
      </c>
      <c r="F24" s="5">
        <f>SUMIF(ORCAMENTO!B:B,B24,ORCAMENTO!F:F)</f>
        <v>193.1</v>
      </c>
      <c r="G24" s="5">
        <f>VLOOKUP("TOTAL SEM BDI - "&amp;B24,CPU!$A:$J,9,FALSE)</f>
        <v>40.97</v>
      </c>
      <c r="H24" s="5">
        <f>VLOOKUP("TOTAL COM BDI - "&amp;B24,CPU!$A:$J,9,FALSE)</f>
        <v>51.15</v>
      </c>
      <c r="I24" s="5">
        <f>SUMIF(ORCAMENTO!B:B,B24,ORCAMENTO!I:I)</f>
        <v>9877.0500000000011</v>
      </c>
    </row>
    <row r="25" spans="1:9" x14ac:dyDescent="0.3">
      <c r="A25" s="23">
        <v>19</v>
      </c>
      <c r="B25" s="23" t="s">
        <v>549</v>
      </c>
      <c r="C25" s="23" t="str">
        <f>VLOOKUP(B25,CPU!$B:$J,2,FALSE)</f>
        <v>PRÓPRIA</v>
      </c>
      <c r="D25" s="24" t="str">
        <f>VLOOKUP(B25,CPU!$B:$J,3,FALSE)</f>
        <v>RELATÓRIO TÉCNICO</v>
      </c>
      <c r="E25" s="23" t="str">
        <f>VLOOKUP(B25,CPU!$B:$J,4,FALSE)</f>
        <v>UN</v>
      </c>
      <c r="F25" s="5">
        <f>SUMIF(ORCAMENTO!B:B,B25,ORCAMENTO!F:F)</f>
        <v>5</v>
      </c>
      <c r="G25" s="5">
        <f>VLOOKUP("TOTAL SEM BDI - "&amp;B25,CPU!$A:$J,9,FALSE)</f>
        <v>1110.2</v>
      </c>
      <c r="H25" s="5">
        <f>VLOOKUP("TOTAL COM BDI - "&amp;B25,CPU!$A:$J,9,FALSE)</f>
        <v>1385.97</v>
      </c>
      <c r="I25" s="5">
        <f>SUMIF(ORCAMENTO!B:B,B25,ORCAMENTO!I:I)</f>
        <v>6929.85</v>
      </c>
    </row>
    <row r="26" spans="1:9" x14ac:dyDescent="0.3">
      <c r="A26" s="23">
        <v>20</v>
      </c>
      <c r="B26" s="23" t="s">
        <v>568</v>
      </c>
      <c r="C26" s="23" t="str">
        <f>VLOOKUP(B26,CPU!$B:$J,2,FALSE)</f>
        <v>PRÓPRIA</v>
      </c>
      <c r="D26" s="24" t="str">
        <f>VLOOKUP(B26,CPU!$B:$J,3,FALSE)</f>
        <v>AQUISIÇÃO E INSTALAÇÃO DE DOSADOR DE CLORO</v>
      </c>
      <c r="E26" s="23" t="str">
        <f>VLOOKUP(B26,CPU!$B:$J,4,FALSE)</f>
        <v>UND</v>
      </c>
      <c r="F26" s="5">
        <f>SUMIF(ORCAMENTO!B:B,B26,ORCAMENTO!F:F)</f>
        <v>5</v>
      </c>
      <c r="G26" s="5">
        <f>VLOOKUP("TOTAL SEM BDI - "&amp;B26,CPU!$A:$J,9,FALSE)</f>
        <v>1090.75</v>
      </c>
      <c r="H26" s="5">
        <f>VLOOKUP("TOTAL COM BDI - "&amp;B26,CPU!$A:$J,9,FALSE)</f>
        <v>1361.69</v>
      </c>
      <c r="I26" s="5">
        <f>SUMIF(ORCAMENTO!B:B,B26,ORCAMENTO!I:I)</f>
        <v>6808.4500000000007</v>
      </c>
    </row>
    <row r="27" spans="1:9" ht="43.2" x14ac:dyDescent="0.3">
      <c r="A27" s="23">
        <v>21</v>
      </c>
      <c r="B27" s="23" t="s">
        <v>626</v>
      </c>
      <c r="C27" s="23" t="str">
        <f>VLOOKUP(B27,CPU!$B:$J,2,FALSE)</f>
        <v>PRÓPRIA</v>
      </c>
      <c r="D27" s="24" t="str">
        <f>VLOOKUP(B27,CPU!$B:$J,3,FALSE)</f>
        <v>ENTRADA DE ENERGIA ELÉTRICA, AÉREA, MONOFÁSICA, COM CAIXA DE EMBUTIR, CABO DE 10 MM2 E DISJUNTOR DIN 50A (NÃO INCLUSO O POSTE DE CONCRETO). AF_07/2020_PS (REF: 101493-SINAPI-06/2025)</v>
      </c>
      <c r="E27" s="23" t="str">
        <f>VLOOKUP(B27,CPU!$B:$J,4,FALSE)</f>
        <v>UN</v>
      </c>
      <c r="F27" s="5">
        <f>SUMIF(ORCAMENTO!B:B,B27,ORCAMENTO!F:F)</f>
        <v>5</v>
      </c>
      <c r="G27" s="5">
        <f>VLOOKUP("TOTAL SEM BDI - "&amp;B27,CPU!$A:$J,9,FALSE)</f>
        <v>967.24</v>
      </c>
      <c r="H27" s="5">
        <f>VLOOKUP("TOTAL COM BDI - "&amp;B27,CPU!$A:$J,9,FALSE)</f>
        <v>1207.5</v>
      </c>
      <c r="I27" s="5">
        <f>SUMIF(ORCAMENTO!B:B,B27,ORCAMENTO!I:I)</f>
        <v>6037.5</v>
      </c>
    </row>
    <row r="28" spans="1:9" ht="28.8" x14ac:dyDescent="0.3">
      <c r="A28" s="23">
        <v>22</v>
      </c>
      <c r="B28" s="23" t="s">
        <v>645</v>
      </c>
      <c r="C28" s="23" t="str">
        <f>VLOOKUP(B28,CPU!$B:$J,2,FALSE)</f>
        <v>PRÓPRIA</v>
      </c>
      <c r="D28" s="24" t="str">
        <f>VLOOKUP(B28,CPU!$B:$J,3,FALSE)</f>
        <v>AQUISIÇÃO E ASSENTAMENTO DE TUBO RÍGIDO PVC, CLASSE 12, DN 50 MM, INCLUSO CONEXÕES</v>
      </c>
      <c r="E28" s="23" t="str">
        <f>VLOOKUP(B28,CPU!$B:$J,4,FALSE)</f>
        <v>M</v>
      </c>
      <c r="F28" s="5">
        <f>SUMIF(ORCAMENTO!B:B,B28,ORCAMENTO!F:F)</f>
        <v>170</v>
      </c>
      <c r="G28" s="5">
        <f>VLOOKUP("TOTAL SEM BDI - "&amp;B28,CPU!$A:$J,9,FALSE)</f>
        <v>25.79</v>
      </c>
      <c r="H28" s="5">
        <f>VLOOKUP("TOTAL COM BDI - "&amp;B28,CPU!$A:$J,9,FALSE)</f>
        <v>32.200000000000003</v>
      </c>
      <c r="I28" s="5">
        <f>SUMIF(ORCAMENTO!B:B,B28,ORCAMENTO!I:I)</f>
        <v>5474.0000000000009</v>
      </c>
    </row>
    <row r="29" spans="1:9" ht="28.8" x14ac:dyDescent="0.3">
      <c r="A29" s="23">
        <v>23</v>
      </c>
      <c r="B29" s="23" t="s">
        <v>560</v>
      </c>
      <c r="C29" s="23" t="str">
        <f>VLOOKUP(B29,CPU!$B:$J,2,FALSE)</f>
        <v>PRÓPRIA</v>
      </c>
      <c r="D29" s="24" t="str">
        <f>VLOOKUP(B29,CPU!$B:$J,3,FALSE)</f>
        <v>FORNECIMENTO E INSTALAÇÃO DE PAINEL DE COMANDO ELÉTRICO PARA BOMBA 3CV, MONOFÁSICO</v>
      </c>
      <c r="E29" s="23" t="str">
        <f>VLOOKUP(B29,CPU!$B:$J,4,FALSE)</f>
        <v>UN</v>
      </c>
      <c r="F29" s="5">
        <f>SUMIF(ORCAMENTO!B:B,B29,ORCAMENTO!F:F)</f>
        <v>5</v>
      </c>
      <c r="G29" s="5">
        <f>VLOOKUP("TOTAL SEM BDI - "&amp;B29,CPU!$A:$J,9,FALSE)</f>
        <v>773.3</v>
      </c>
      <c r="H29" s="5">
        <f>VLOOKUP("TOTAL COM BDI - "&amp;B29,CPU!$A:$J,9,FALSE)</f>
        <v>965.39</v>
      </c>
      <c r="I29" s="5">
        <f>SUMIF(ORCAMENTO!B:B,B29,ORCAMENTO!I:I)</f>
        <v>4826.95</v>
      </c>
    </row>
    <row r="30" spans="1:9" x14ac:dyDescent="0.3">
      <c r="A30" s="23">
        <v>24</v>
      </c>
      <c r="B30" s="23" t="s">
        <v>539</v>
      </c>
      <c r="C30" s="23" t="str">
        <f>VLOOKUP(B30,CPU!$B:$J,2,FALSE)</f>
        <v>PRÓPRIA</v>
      </c>
      <c r="D30" s="24" t="str">
        <f>VLOOKUP(B30,CPU!$B:$J,3,FALSE)</f>
        <v>CIMENTAÇÃO SANITÁRIA</v>
      </c>
      <c r="E30" s="23" t="str">
        <f>VLOOKUP(B30,CPU!$B:$J,4,FALSE)</f>
        <v>M³</v>
      </c>
      <c r="F30" s="5">
        <f>SUMIF(ORCAMENTO!B:B,B30,ORCAMENTO!F:F)</f>
        <v>22.75</v>
      </c>
      <c r="G30" s="5">
        <f>VLOOKUP("TOTAL SEM BDI - "&amp;B30,CPU!$A:$J,9,FALSE)</f>
        <v>164.58999999999997</v>
      </c>
      <c r="H30" s="5">
        <f>VLOOKUP("TOTAL COM BDI - "&amp;B30,CPU!$A:$J,9,FALSE)</f>
        <v>205.46999999999997</v>
      </c>
      <c r="I30" s="5">
        <f>SUMIF(ORCAMENTO!B:B,B30,ORCAMENTO!I:I)</f>
        <v>4674.45</v>
      </c>
    </row>
    <row r="31" spans="1:9" ht="28.8" x14ac:dyDescent="0.3">
      <c r="A31" s="23">
        <v>25</v>
      </c>
      <c r="B31" s="23">
        <v>103800</v>
      </c>
      <c r="C31" s="23" t="str">
        <f>VLOOKUP(B31,CPU!$B:$J,2,FALSE)</f>
        <v>SINAPI</v>
      </c>
      <c r="D31" s="24" t="str">
        <f>VLOOKUP(B31,CPU!$B:$J,3,FALSE)</f>
        <v>PEDRA ARGAMASSADA COM CIMENTO E AREIA 1:3, 40% DE ARGAMASSA EM VOLUME - AREIA E PEDRA DE MÃO COMERCIAIS - FORNECIMENTO E ASSENTAMENTO. AF_08/2022</v>
      </c>
      <c r="E31" s="23" t="str">
        <f>VLOOKUP(B31,CPU!$B:$J,4,FALSE)</f>
        <v>M3</v>
      </c>
      <c r="F31" s="5">
        <f>SUMIF(ORCAMENTO!B:B,B31,ORCAMENTO!F:F)</f>
        <v>5.2</v>
      </c>
      <c r="G31" s="5">
        <f>VLOOKUP("TOTAL SEM BDI - "&amp;B31,CPU!$A:$J,9,FALSE)</f>
        <v>680.59</v>
      </c>
      <c r="H31" s="5">
        <f>VLOOKUP("TOTAL COM BDI - "&amp;B31,CPU!$A:$J,9,FALSE)</f>
        <v>849.65000000000009</v>
      </c>
      <c r="I31" s="5">
        <f>SUMIF(ORCAMENTO!B:B,B31,ORCAMENTO!I:I)</f>
        <v>4418.2</v>
      </c>
    </row>
    <row r="32" spans="1:9" x14ac:dyDescent="0.3">
      <c r="A32" s="23">
        <v>26</v>
      </c>
      <c r="B32" s="23" t="s">
        <v>584</v>
      </c>
      <c r="C32" s="23" t="str">
        <f>VLOOKUP(B32,CPU!$B:$J,2,FALSE)</f>
        <v>PRÓPRIA</v>
      </c>
      <c r="D32" s="24" t="str">
        <f>VLOOKUP(B32,CPU!$B:$J,3,FALSE)</f>
        <v>CINTA DE AMARRAÇÃO DE ALVENARIA MOLDADA IN LOCO EM CONCRETO</v>
      </c>
      <c r="E32" s="23" t="str">
        <f>VLOOKUP(B32,CPU!$B:$J,4,FALSE)</f>
        <v>M</v>
      </c>
      <c r="F32" s="5">
        <f>SUMIF(ORCAMENTO!B:B,B32,ORCAMENTO!F:F)</f>
        <v>43</v>
      </c>
      <c r="G32" s="5">
        <f>VLOOKUP("TOTAL SEM BDI - "&amp;B32,CPU!$A:$J,9,FALSE)</f>
        <v>81.56</v>
      </c>
      <c r="H32" s="5">
        <f>VLOOKUP("TOTAL COM BDI - "&amp;B32,CPU!$A:$J,9,FALSE)</f>
        <v>101.82000000000001</v>
      </c>
      <c r="I32" s="5">
        <f>SUMIF(ORCAMENTO!B:B,B32,ORCAMENTO!I:I)</f>
        <v>4378.25</v>
      </c>
    </row>
    <row r="33" spans="1:9" x14ac:dyDescent="0.3">
      <c r="A33" s="23">
        <v>27</v>
      </c>
      <c r="B33" s="23">
        <v>100701</v>
      </c>
      <c r="C33" s="23" t="str">
        <f>VLOOKUP(B33,CPU!$B:$J,2,FALSE)</f>
        <v>SINAPI</v>
      </c>
      <c r="D33" s="24" t="str">
        <f>VLOOKUP(B33,CPU!$B:$J,3,FALSE)</f>
        <v>PORTA DE FERRO, DE ABRIR, TIPO GRADE COM CHAPA, COM GUARNIÇÕES. AF_12/2019</v>
      </c>
      <c r="E33" s="23" t="str">
        <f>VLOOKUP(B33,CPU!$B:$J,4,FALSE)</f>
        <v>M2</v>
      </c>
      <c r="F33" s="5">
        <f>SUMIF(ORCAMENTO!B:B,B33,ORCAMENTO!F:F)</f>
        <v>8.4</v>
      </c>
      <c r="G33" s="5">
        <f>VLOOKUP("TOTAL SEM BDI - "&amp;B33,CPU!$A:$J,9,FALSE)</f>
        <v>415.3</v>
      </c>
      <c r="H33" s="5">
        <f>VLOOKUP("TOTAL COM BDI - "&amp;B33,CPU!$A:$J,9,FALSE)</f>
        <v>518.46</v>
      </c>
      <c r="I33" s="5">
        <f>SUMIF(ORCAMENTO!B:B,B33,ORCAMENTO!I:I)</f>
        <v>4355.05</v>
      </c>
    </row>
    <row r="34" spans="1:9" ht="28.8" x14ac:dyDescent="0.3">
      <c r="A34" s="23">
        <v>28</v>
      </c>
      <c r="B34" s="23" t="s">
        <v>601</v>
      </c>
      <c r="C34" s="23" t="str">
        <f>VLOOKUP(B34,CPU!$B:$J,2,FALSE)</f>
        <v>PRÓPRIA</v>
      </c>
      <c r="D34" s="24" t="str">
        <f>VLOOKUP(B34,CPU!$B:$J,3,FALSE)</f>
        <v>TRAMA DE MADEIRA COMPOSTA POR RIPAS, CAIBROS E TERÇAS PARA TELHADOS DE ATÉ 2 ÁGUAS PARA TELHA CERÂMICA CAPA-CANAL, INCLUSO TRANSPORTE VERTICAL</v>
      </c>
      <c r="E34" s="23" t="str">
        <f>VLOOKUP(B34,CPU!$B:$J,4,FALSE)</f>
        <v>M²</v>
      </c>
      <c r="F34" s="5">
        <f>SUMIF(ORCAMENTO!B:B,B34,ORCAMENTO!F:F)</f>
        <v>51.150000000000006</v>
      </c>
      <c r="G34" s="5">
        <f>VLOOKUP("TOTAL SEM BDI - "&amp;B34,CPU!$A:$J,9,FALSE)</f>
        <v>66.67</v>
      </c>
      <c r="H34" s="5">
        <f>VLOOKUP("TOTAL COM BDI - "&amp;B34,CPU!$A:$J,9,FALSE)</f>
        <v>83.23</v>
      </c>
      <c r="I34" s="5">
        <f>SUMIF(ORCAMENTO!B:B,B34,ORCAMENTO!I:I)</f>
        <v>4257.2000000000007</v>
      </c>
    </row>
    <row r="35" spans="1:9" ht="28.8" x14ac:dyDescent="0.3">
      <c r="A35" s="23">
        <v>29</v>
      </c>
      <c r="B35" s="23" t="s">
        <v>653</v>
      </c>
      <c r="C35" s="23" t="str">
        <f>VLOOKUP(B35,CPU!$B:$J,2,FALSE)</f>
        <v>ORSE</v>
      </c>
      <c r="D35" s="24" t="str">
        <f>VLOOKUP(B35,CPU!$B:$J,3,FALSE)</f>
        <v>CONCRETO ARMADO FCK=15MPA FABRICADO NA OBRA, ADENSADO E LANÇADO, PARA USO GERAL, COM FORMAS PLANAS EM COMPENSADO RESINADO 12MM (05 USOS)</v>
      </c>
      <c r="E35" s="23" t="str">
        <f>VLOOKUP(B35,CPU!$B:$J,4,FALSE)</f>
        <v>M3</v>
      </c>
      <c r="F35" s="5">
        <f>SUMIF(ORCAMENTO!B:B,B35,ORCAMENTO!F:F)</f>
        <v>1.3</v>
      </c>
      <c r="G35" s="5">
        <f>VLOOKUP("TOTAL SEM BDI - "&amp;B35,CPU!$A:$J,9,FALSE)</f>
        <v>2617.91</v>
      </c>
      <c r="H35" s="5">
        <f>VLOOKUP("TOTAL COM BDI - "&amp;B35,CPU!$A:$J,9,FALSE)</f>
        <v>3268.2</v>
      </c>
      <c r="I35" s="5">
        <f>SUMIF(ORCAMENTO!B:B,B35,ORCAMENTO!I:I)</f>
        <v>4248.6499999999996</v>
      </c>
    </row>
    <row r="36" spans="1:9" ht="43.2" x14ac:dyDescent="0.3">
      <c r="A36" s="23">
        <v>30</v>
      </c>
      <c r="B36" s="23">
        <v>94994</v>
      </c>
      <c r="C36" s="23" t="str">
        <f>VLOOKUP(B36,CPU!$B:$J,2,FALSE)</f>
        <v>SINAPI</v>
      </c>
      <c r="D36" s="24" t="str">
        <f>VLOOKUP(B36,CPU!$B:$J,3,FALSE)</f>
        <v>EXECUÇÃO DE PASSEIO (CALÇADA) OU PISO DE CONCRETO COM CONCRETO MOLDADO IN LOCO, FEITO EM OBRA, ACABAMENTO CONVENCIONAL, ESPESSURA 8 CM, ARMADO. AF_08/2022</v>
      </c>
      <c r="E36" s="23" t="str">
        <f>VLOOKUP(B36,CPU!$B:$J,4,FALSE)</f>
        <v>M2</v>
      </c>
      <c r="F36" s="5">
        <f>SUMIF(ORCAMENTO!B:B,B36,ORCAMENTO!F:F)</f>
        <v>28</v>
      </c>
      <c r="G36" s="5">
        <f>VLOOKUP("TOTAL SEM BDI - "&amp;B36,CPU!$A:$J,9,FALSE)</f>
        <v>109.53000000000002</v>
      </c>
      <c r="H36" s="5">
        <f>VLOOKUP("TOTAL COM BDI - "&amp;B36,CPU!$A:$J,9,FALSE)</f>
        <v>136.74</v>
      </c>
      <c r="I36" s="5">
        <f>SUMIF(ORCAMENTO!B:B,B36,ORCAMENTO!I:I)</f>
        <v>3828.7</v>
      </c>
    </row>
    <row r="37" spans="1:9" x14ac:dyDescent="0.3">
      <c r="A37" s="23">
        <v>31</v>
      </c>
      <c r="B37" s="23" t="s">
        <v>547</v>
      </c>
      <c r="C37" s="23" t="str">
        <f>VLOOKUP(B37,CPU!$B:$J,2,FALSE)</f>
        <v>PRÓPRIA</v>
      </c>
      <c r="D37" s="24" t="str">
        <f>VLOOKUP(B37,CPU!$B:$J,3,FALSE)</f>
        <v>DESINFECÇÃO</v>
      </c>
      <c r="E37" s="23" t="str">
        <f>VLOOKUP(B37,CPU!$B:$J,4,FALSE)</f>
        <v>H</v>
      </c>
      <c r="F37" s="5">
        <f>SUMIF(ORCAMENTO!B:B,B37,ORCAMENTO!F:F)</f>
        <v>30</v>
      </c>
      <c r="G37" s="5">
        <f>VLOOKUP("TOTAL SEM BDI - "&amp;B37,CPU!$A:$J,9,FALSE)</f>
        <v>100.11000000000003</v>
      </c>
      <c r="H37" s="5">
        <f>VLOOKUP("TOTAL COM BDI - "&amp;B37,CPU!$A:$J,9,FALSE)</f>
        <v>124.98000000000003</v>
      </c>
      <c r="I37" s="5">
        <f>SUMIF(ORCAMENTO!B:B,B37,ORCAMENTO!I:I)</f>
        <v>3749.4</v>
      </c>
    </row>
    <row r="38" spans="1:9" x14ac:dyDescent="0.3">
      <c r="A38" s="23">
        <v>32</v>
      </c>
      <c r="B38" s="23" t="s">
        <v>551</v>
      </c>
      <c r="C38" s="23" t="str">
        <f>VLOOKUP(B38,CPU!$B:$J,2,FALSE)</f>
        <v>PRÓPRIA</v>
      </c>
      <c r="D38" s="24" t="str">
        <f>VLOOKUP(B38,CPU!$B:$J,3,FALSE)</f>
        <v>ANÁLISE FÍSICO-QUÍMICA DA ÁGUA</v>
      </c>
      <c r="E38" s="23" t="str">
        <f>VLOOKUP(B38,CPU!$B:$J,4,FALSE)</f>
        <v>UN</v>
      </c>
      <c r="F38" s="5">
        <f>SUMIF(ORCAMENTO!B:B,B38,ORCAMENTO!F:F)</f>
        <v>5</v>
      </c>
      <c r="G38" s="5">
        <f>VLOOKUP("TOTAL SEM BDI - "&amp;B38,CPU!$A:$J,9,FALSE)</f>
        <v>565.21</v>
      </c>
      <c r="H38" s="5">
        <f>VLOOKUP("TOTAL COM BDI - "&amp;B38,CPU!$A:$J,9,FALSE)</f>
        <v>705.61</v>
      </c>
      <c r="I38" s="5">
        <f>SUMIF(ORCAMENTO!B:B,B38,ORCAMENTO!I:I)</f>
        <v>3528.05</v>
      </c>
    </row>
    <row r="39" spans="1:9" x14ac:dyDescent="0.3">
      <c r="A39" s="23">
        <v>33</v>
      </c>
      <c r="B39" s="23">
        <v>98524</v>
      </c>
      <c r="C39" s="23" t="str">
        <f>VLOOKUP(B39,CPU!$B:$J,2,FALSE)</f>
        <v>SINAPI</v>
      </c>
      <c r="D39" s="24" t="str">
        <f>VLOOKUP(B39,CPU!$B:$J,3,FALSE)</f>
        <v>LIMPEZA MANUAL DE VEGETAÇÃO EM TERRENO COM ENXADA. AF_03/2024</v>
      </c>
      <c r="E39" s="23" t="str">
        <f>VLOOKUP(B39,CPU!$B:$J,4,FALSE)</f>
        <v>M2</v>
      </c>
      <c r="F39" s="5">
        <f>SUMIF(ORCAMENTO!B:B,B39,ORCAMENTO!F:F)</f>
        <v>500</v>
      </c>
      <c r="G39" s="5">
        <f>VLOOKUP("TOTAL SEM BDI - "&amp;B39,CPU!$A:$J,9,FALSE)</f>
        <v>4.62</v>
      </c>
      <c r="H39" s="5">
        <f>VLOOKUP("TOTAL COM BDI - "&amp;B39,CPU!$A:$J,9,FALSE)</f>
        <v>5.77</v>
      </c>
      <c r="I39" s="5">
        <f>SUMIF(ORCAMENTO!B:B,B39,ORCAMENTO!I:I)</f>
        <v>2885</v>
      </c>
    </row>
    <row r="40" spans="1:9" x14ac:dyDescent="0.3">
      <c r="A40" s="23">
        <v>34</v>
      </c>
      <c r="B40" s="23" t="s">
        <v>523</v>
      </c>
      <c r="C40" s="23" t="str">
        <f>VLOOKUP(B40,CPU!$B:$J,2,FALSE)</f>
        <v>PRÓPRIA</v>
      </c>
      <c r="D40" s="24" t="str">
        <f>VLOOKUP(B40,CPU!$B:$J,3,FALSE)</f>
        <v>TRANSPORTE DE MÁQUINAS E EQUIPAMENTOS</v>
      </c>
      <c r="E40" s="23" t="str">
        <f>VLOOKUP(B40,CPU!$B:$J,4,FALSE)</f>
        <v>KM</v>
      </c>
      <c r="F40" s="5">
        <f>SUMIF(ORCAMENTO!B:B,B40,ORCAMENTO!F:F)</f>
        <v>360.99999999999994</v>
      </c>
      <c r="G40" s="5">
        <f>VLOOKUP("TOTAL SEM BDI - "&amp;B40,CPU!$A:$J,9,FALSE)</f>
        <v>5.5</v>
      </c>
      <c r="H40" s="5">
        <f>VLOOKUP("TOTAL COM BDI - "&amp;B40,CPU!$A:$J,9,FALSE)</f>
        <v>6.87</v>
      </c>
      <c r="I40" s="5">
        <f>SUMIF(ORCAMENTO!B:B,B40,ORCAMENTO!I:I)</f>
        <v>2480.1</v>
      </c>
    </row>
    <row r="41" spans="1:9" ht="28.8" x14ac:dyDescent="0.3">
      <c r="A41" s="23">
        <v>35</v>
      </c>
      <c r="B41" s="23" t="s">
        <v>599</v>
      </c>
      <c r="C41" s="23" t="str">
        <f>VLOOKUP(B41,CPU!$B:$J,2,FALSE)</f>
        <v>PRÓPRIA</v>
      </c>
      <c r="D41" s="24" t="str">
        <f>VLOOKUP(B41,CPU!$B:$J,3,FALSE)</f>
        <v>TELHAMENTO COM TELHA CERÂMICA CAPA-CANAL, TIPO COLONIAL, COM ATÉ 2 ÁGUAS, INCLUSO TRANSPORTE VERTICAL</v>
      </c>
      <c r="E41" s="23" t="str">
        <f>VLOOKUP(B41,CPU!$B:$J,4,FALSE)</f>
        <v>M²</v>
      </c>
      <c r="F41" s="5">
        <f>SUMIF(ORCAMENTO!B:B,B41,ORCAMENTO!F:F)</f>
        <v>51.150000000000006</v>
      </c>
      <c r="G41" s="5">
        <f>VLOOKUP("TOTAL SEM BDI - "&amp;B41,CPU!$A:$J,9,FALSE)</f>
        <v>37.64</v>
      </c>
      <c r="H41" s="5">
        <f>VLOOKUP("TOTAL COM BDI - "&amp;B41,CPU!$A:$J,9,FALSE)</f>
        <v>46.99</v>
      </c>
      <c r="I41" s="5">
        <f>SUMIF(ORCAMENTO!B:B,B41,ORCAMENTO!I:I)</f>
        <v>2403.5499999999997</v>
      </c>
    </row>
    <row r="42" spans="1:9" ht="28.8" x14ac:dyDescent="0.3">
      <c r="A42" s="23">
        <v>36</v>
      </c>
      <c r="B42" s="23" t="s">
        <v>587</v>
      </c>
      <c r="C42" s="23" t="str">
        <f>VLOOKUP(B42,CPU!$B:$J,2,FALSE)</f>
        <v>PRÓPRIA</v>
      </c>
      <c r="D42" s="24" t="str">
        <f>VLOOKUP(B42,CPU!$B:$J,3,FALSE)</f>
        <v>(COMPOSIÇÃO REPRESENTATIVA) EXECUÇÃO DE ESTRUTURAS DE CONCRETO ARMADO, PARA EDIFICAÇÃO INSTITUCIONAL TÉRREA, FCK = 25 MPA</v>
      </c>
      <c r="E42" s="23" t="str">
        <f>VLOOKUP(B42,CPU!$B:$J,4,FALSE)</f>
        <v>M³</v>
      </c>
      <c r="F42" s="5">
        <f>SUMIF(ORCAMENTO!B:B,B42,ORCAMENTO!F:F)</f>
        <v>1.5000000000000002</v>
      </c>
      <c r="G42" s="5">
        <f>VLOOKUP("TOTAL SEM BDI - "&amp;B42,CPU!$A:$J,9,FALSE)</f>
        <v>1260.97</v>
      </c>
      <c r="H42" s="5">
        <f>VLOOKUP("TOTAL COM BDI - "&amp;B42,CPU!$A:$J,9,FALSE)</f>
        <v>1574.19</v>
      </c>
      <c r="I42" s="5">
        <f>SUMIF(ORCAMENTO!B:B,B42,ORCAMENTO!I:I)</f>
        <v>2361.3000000000002</v>
      </c>
    </row>
    <row r="43" spans="1:9" x14ac:dyDescent="0.3">
      <c r="A43" s="23">
        <v>37</v>
      </c>
      <c r="B43" s="23">
        <v>93358</v>
      </c>
      <c r="C43" s="23" t="str">
        <f>VLOOKUP(B43,CPU!$B:$J,2,FALSE)</f>
        <v>SINAPI</v>
      </c>
      <c r="D43" s="24" t="str">
        <f>VLOOKUP(B43,CPU!$B:$J,3,FALSE)</f>
        <v>ESCAVAÇÃO MANUAL DE VALA. AF_09/2024</v>
      </c>
      <c r="E43" s="23" t="str">
        <f>VLOOKUP(B43,CPU!$B:$J,4,FALSE)</f>
        <v>M3</v>
      </c>
      <c r="F43" s="5">
        <f>SUMIF(ORCAMENTO!B:B,B43,ORCAMENTO!F:F)</f>
        <v>21.5</v>
      </c>
      <c r="G43" s="5">
        <f>VLOOKUP("TOTAL SEM BDI - "&amp;B43,CPU!$A:$J,9,FALSE)</f>
        <v>85.87</v>
      </c>
      <c r="H43" s="5">
        <f>VLOOKUP("TOTAL COM BDI - "&amp;B43,CPU!$A:$J,9,FALSE)</f>
        <v>107.2</v>
      </c>
      <c r="I43" s="5">
        <f>SUMIF(ORCAMENTO!B:B,B43,ORCAMENTO!I:I)</f>
        <v>2304.8000000000002</v>
      </c>
    </row>
    <row r="44" spans="1:9" x14ac:dyDescent="0.3">
      <c r="A44" s="23">
        <v>38</v>
      </c>
      <c r="B44" s="23" t="s">
        <v>617</v>
      </c>
      <c r="C44" s="23" t="str">
        <f>VLOOKUP(B44,CPU!$B:$J,2,FALSE)</f>
        <v>PRÓPRIA</v>
      </c>
      <c r="D44" s="24" t="str">
        <f>VLOOKUP(B44,CPU!$B:$J,3,FALSE)</f>
        <v>CAIAÇÃO EM TRES DEMÃOS EM PAREDES (REF: C0589-SEINFRA 28)</v>
      </c>
      <c r="E44" s="23" t="str">
        <f>VLOOKUP(B44,CPU!$B:$J,4,FALSE)</f>
        <v>M2</v>
      </c>
      <c r="F44" s="5">
        <f>SUMIF(ORCAMENTO!B:B,B44,ORCAMENTO!F:F)</f>
        <v>193.1</v>
      </c>
      <c r="G44" s="5">
        <f>VLOOKUP("TOTAL SEM BDI - "&amp;B44,CPU!$A:$J,9,FALSE)</f>
        <v>9.3800000000000008</v>
      </c>
      <c r="H44" s="5">
        <f>VLOOKUP("TOTAL COM BDI - "&amp;B44,CPU!$A:$J,9,FALSE)</f>
        <v>11.71</v>
      </c>
      <c r="I44" s="5">
        <f>SUMIF(ORCAMENTO!B:B,B44,ORCAMENTO!I:I)</f>
        <v>2261.1999999999998</v>
      </c>
    </row>
    <row r="45" spans="1:9" ht="28.8" x14ac:dyDescent="0.3">
      <c r="A45" s="23">
        <v>39</v>
      </c>
      <c r="B45" s="23">
        <v>94497</v>
      </c>
      <c r="C45" s="23" t="str">
        <f>VLOOKUP(B45,CPU!$B:$J,2,FALSE)</f>
        <v>SINAPI</v>
      </c>
      <c r="D45" s="24" t="str">
        <f>VLOOKUP(B45,CPU!$B:$J,3,FALSE)</f>
        <v>REGISTRO DE GAVETA BRUTO, LATÃO, ROSCÁVEL, 1 1/2" - FORNECIMENTO E INSTALAÇÃO. AF_08/2021</v>
      </c>
      <c r="E45" s="23" t="str">
        <f>VLOOKUP(B45,CPU!$B:$J,4,FALSE)</f>
        <v>UN</v>
      </c>
      <c r="F45" s="5">
        <f>SUMIF(ORCAMENTO!B:B,B45,ORCAMENTO!F:F)</f>
        <v>15</v>
      </c>
      <c r="G45" s="5">
        <f>VLOOKUP("TOTAL SEM BDI - "&amp;B45,CPU!$A:$J,9,FALSE)</f>
        <v>118.80000000000001</v>
      </c>
      <c r="H45" s="5">
        <f>VLOOKUP("TOTAL COM BDI - "&amp;B45,CPU!$A:$J,9,FALSE)</f>
        <v>148.31</v>
      </c>
      <c r="I45" s="5">
        <f>SUMIF(ORCAMENTO!B:B,B45,ORCAMENTO!I:I)</f>
        <v>2224.6499999999996</v>
      </c>
    </row>
    <row r="46" spans="1:9" ht="43.2" x14ac:dyDescent="0.3">
      <c r="A46" s="23">
        <v>40</v>
      </c>
      <c r="B46" s="23">
        <v>87904</v>
      </c>
      <c r="C46" s="23" t="str">
        <f>VLOOKUP(B46,CPU!$B:$J,2,FALSE)</f>
        <v>SINAPI</v>
      </c>
      <c r="D46" s="24" t="str">
        <f>VLOOKUP(B46,CPU!$B:$J,3,FALSE)</f>
        <v>CHAPISCO APLICADO EM ALVENARIA (COM PRESENÇA DE VÃOS) E ESTRUTURAS DE CONCRETO DE FACHADA, COM COLHER DE PEDREIRO. ARGAMASSA TRAÇO 1:3 COM PREPARO MANUAL. AF_10/2022</v>
      </c>
      <c r="E46" s="23" t="str">
        <f>VLOOKUP(B46,CPU!$B:$J,4,FALSE)</f>
        <v>M2</v>
      </c>
      <c r="F46" s="5">
        <f>SUMIF(ORCAMENTO!B:B,B46,ORCAMENTO!F:F)</f>
        <v>193.1</v>
      </c>
      <c r="G46" s="5">
        <f>VLOOKUP("TOTAL SEM BDI - "&amp;B46,CPU!$A:$J,9,FALSE)</f>
        <v>8.74</v>
      </c>
      <c r="H46" s="5">
        <f>VLOOKUP("TOTAL COM BDI - "&amp;B46,CPU!$A:$J,9,FALSE)</f>
        <v>10.91</v>
      </c>
      <c r="I46" s="5">
        <f>SUMIF(ORCAMENTO!B:B,B46,ORCAMENTO!I:I)</f>
        <v>2106.6999999999998</v>
      </c>
    </row>
    <row r="47" spans="1:9" ht="28.8" x14ac:dyDescent="0.3">
      <c r="A47" s="23">
        <v>41</v>
      </c>
      <c r="B47" s="23">
        <v>86906</v>
      </c>
      <c r="C47" s="23" t="str">
        <f>VLOOKUP(B47,CPU!$B:$J,2,FALSE)</f>
        <v>SINAPI</v>
      </c>
      <c r="D47" s="24" t="str">
        <f>VLOOKUP(B47,CPU!$B:$J,3,FALSE)</f>
        <v>TORNEIRA CROMADA DE MESA, 1/2" OU 3/4", PARA LAVATÓRIO, PADRÃO POPULAR - FORNECIMENTO E INSTALAÇÃO. AF_01/2020</v>
      </c>
      <c r="E47" s="23" t="str">
        <f>VLOOKUP(B47,CPU!$B:$J,4,FALSE)</f>
        <v>UN</v>
      </c>
      <c r="F47" s="5">
        <f>SUMIF(ORCAMENTO!B:B,B47,ORCAMENTO!F:F)</f>
        <v>20</v>
      </c>
      <c r="G47" s="5">
        <f>VLOOKUP("TOTAL SEM BDI - "&amp;B47,CPU!$A:$J,9,FALSE)</f>
        <v>81.239999999999995</v>
      </c>
      <c r="H47" s="5">
        <f>VLOOKUP("TOTAL COM BDI - "&amp;B47,CPU!$A:$J,9,FALSE)</f>
        <v>101.41999999999999</v>
      </c>
      <c r="I47" s="5">
        <f>SUMIF(ORCAMENTO!B:B,B47,ORCAMENTO!I:I)</f>
        <v>2028.4</v>
      </c>
    </row>
    <row r="48" spans="1:9" ht="43.2" x14ac:dyDescent="0.3">
      <c r="A48" s="23">
        <v>42</v>
      </c>
      <c r="B48" s="23">
        <v>101161</v>
      </c>
      <c r="C48" s="23" t="str">
        <f>VLOOKUP(B48,CPU!$B:$J,2,FALSE)</f>
        <v>SINAPI</v>
      </c>
      <c r="D48" s="24" t="str">
        <f>VLOOKUP(B48,CPU!$B:$J,3,FALSE)</f>
        <v>ALVENARIA DE VEDAÇÃO COM ELEMENTO VAZADO DE CONCRETO (COBOGÓ) DE 7X50X50CM E ARGAMASSA DE ASSENTAMENTO COM PREPARO EM BETONEIRA. AF_05/2020</v>
      </c>
      <c r="E48" s="23" t="str">
        <f>VLOOKUP(B48,CPU!$B:$J,4,FALSE)</f>
        <v>M2</v>
      </c>
      <c r="F48" s="5">
        <f>SUMIF(ORCAMENTO!B:B,B48,ORCAMENTO!F:F)</f>
        <v>7.5</v>
      </c>
      <c r="G48" s="5">
        <f>VLOOKUP("TOTAL SEM BDI - "&amp;B48,CPU!$A:$J,9,FALSE)</f>
        <v>204.43</v>
      </c>
      <c r="H48" s="5">
        <f>VLOOKUP("TOTAL COM BDI - "&amp;B48,CPU!$A:$J,9,FALSE)</f>
        <v>255.21</v>
      </c>
      <c r="I48" s="5">
        <f>SUMIF(ORCAMENTO!B:B,B48,ORCAMENTO!I:I)</f>
        <v>1914.1</v>
      </c>
    </row>
    <row r="49" spans="1:9" ht="28.8" x14ac:dyDescent="0.3">
      <c r="A49" s="23">
        <v>43</v>
      </c>
      <c r="B49" s="23">
        <v>101749</v>
      </c>
      <c r="C49" s="23" t="str">
        <f>VLOOKUP(B49,CPU!$B:$J,2,FALSE)</f>
        <v>SINAPI</v>
      </c>
      <c r="D49" s="24" t="str">
        <f>VLOOKUP(B49,CPU!$B:$J,3,FALSE)</f>
        <v>PISO CIMENTADO, TRAÇO 1:3 (CIMENTO E AREIA), ACABAMENTO LISO, ESPESSURA 4,0 CM, PREPARO MECÂNICO DA ARGAMASSA. AF_09/2020</v>
      </c>
      <c r="E49" s="23" t="str">
        <f>VLOOKUP(B49,CPU!$B:$J,4,FALSE)</f>
        <v>M2</v>
      </c>
      <c r="F49" s="5">
        <f>SUMIF(ORCAMENTO!B:B,B49,ORCAMENTO!F:F)</f>
        <v>20</v>
      </c>
      <c r="G49" s="5">
        <f>VLOOKUP("TOTAL SEM BDI - "&amp;B49,CPU!$A:$J,9,FALSE)</f>
        <v>64.739999999999995</v>
      </c>
      <c r="H49" s="5">
        <f>VLOOKUP("TOTAL COM BDI - "&amp;B49,CPU!$A:$J,9,FALSE)</f>
        <v>80.819999999999993</v>
      </c>
      <c r="I49" s="5">
        <f>SUMIF(ORCAMENTO!B:B,B49,ORCAMENTO!I:I)</f>
        <v>1616.3999999999999</v>
      </c>
    </row>
    <row r="50" spans="1:9" ht="43.2" x14ac:dyDescent="0.3">
      <c r="A50" s="23">
        <v>44</v>
      </c>
      <c r="B50" s="23">
        <v>103335</v>
      </c>
      <c r="C50" s="23" t="str">
        <f>VLOOKUP(B50,CPU!$B:$J,2,FALSE)</f>
        <v>SINAPI</v>
      </c>
      <c r="D50" s="24" t="str">
        <f>VLOOKUP(B50,CPU!$B:$J,3,FALSE)</f>
        <v>ALVENARIA DE VEDAÇÃO DE BLOCOS CERÂMICOS FURADOS NA HORIZONTAL DE 14X9X19 CM (ESPESSURA 14 CM, BLOCO DEITADO) E ARGAMASSA DE ASSENTAMENTO COM PREPARO MANUAL. AF_12/2021</v>
      </c>
      <c r="E50" s="23" t="str">
        <f>VLOOKUP(B50,CPU!$B:$J,4,FALSE)</f>
        <v>M2</v>
      </c>
      <c r="F50" s="5">
        <f>SUMIF(ORCAMENTO!B:B,B50,ORCAMENTO!F:F)</f>
        <v>8.6000000000000014</v>
      </c>
      <c r="G50" s="5">
        <f>VLOOKUP("TOTAL SEM BDI - "&amp;B50,CPU!$A:$J,9,FALSE)</f>
        <v>146.51</v>
      </c>
      <c r="H50" s="5">
        <f>VLOOKUP("TOTAL COM BDI - "&amp;B50,CPU!$A:$J,9,FALSE)</f>
        <v>182.89999999999998</v>
      </c>
      <c r="I50" s="5">
        <f>SUMIF(ORCAMENTO!B:B,B50,ORCAMENTO!I:I)</f>
        <v>1572.9499999999998</v>
      </c>
    </row>
    <row r="51" spans="1:9" x14ac:dyDescent="0.3">
      <c r="A51" s="23">
        <v>45</v>
      </c>
      <c r="B51" s="23" t="s">
        <v>517</v>
      </c>
      <c r="C51" s="23" t="str">
        <f>VLOOKUP(B51,CPU!$B:$J,2,FALSE)</f>
        <v>PRÓPRIA</v>
      </c>
      <c r="D51" s="24" t="str">
        <f>VLOOKUP(B51,CPU!$B:$J,3,FALSE)</f>
        <v>PLACAS PADRÃO DE OBRA</v>
      </c>
      <c r="E51" s="23" t="str">
        <f>VLOOKUP(B51,CPU!$B:$J,4,FALSE)</f>
        <v>M2</v>
      </c>
      <c r="F51" s="5">
        <f>SUMIF(ORCAMENTO!B:B,B51,ORCAMENTO!F:F)</f>
        <v>6.48</v>
      </c>
      <c r="G51" s="5">
        <f>VLOOKUP("TOTAL SEM BDI - "&amp;B51,CPU!$A:$J,9,FALSE)</f>
        <v>189.89999999999998</v>
      </c>
      <c r="H51" s="5">
        <f>VLOOKUP("TOTAL COM BDI - "&amp;B51,CPU!$A:$J,9,FALSE)</f>
        <v>237.07</v>
      </c>
      <c r="I51" s="5">
        <f>SUMIF(ORCAMENTO!B:B,B51,ORCAMENTO!I:I)</f>
        <v>1536.21</v>
      </c>
    </row>
    <row r="52" spans="1:9" ht="43.2" x14ac:dyDescent="0.3">
      <c r="A52" s="23">
        <v>46</v>
      </c>
      <c r="B52" s="23" t="s">
        <v>633</v>
      </c>
      <c r="C52" s="23" t="str">
        <f>VLOOKUP(B52,CPU!$B:$J,2,FALSE)</f>
        <v>PRÓPRIA</v>
      </c>
      <c r="D52" s="24" t="str">
        <f>VLOOKUP(B52,CPU!$B:$J,3,FALSE)</f>
        <v>PONTO DE ILUMINAÇÃO E TOMADA, RESIDENCIAL, INCLUINDO INTERRUPTOR SIMPLES E TOMADA 10A/250V, CAIXA ELÉTRICA, ELETRODUTO, CABO, RASGO, QUEBRA E CHUMBAMENTO (EXCLUINDO LUMINÁRIA E LÂMPADA)</v>
      </c>
      <c r="E52" s="23" t="str">
        <f>VLOOKUP(B52,CPU!$B:$J,4,FALSE)</f>
        <v>UN</v>
      </c>
      <c r="F52" s="5">
        <f>SUMIF(ORCAMENTO!B:B,B52,ORCAMENTO!F:F)</f>
        <v>5</v>
      </c>
      <c r="G52" s="5">
        <f>VLOOKUP("TOTAL SEM BDI - "&amp;B52,CPU!$A:$J,9,FALSE)</f>
        <v>244.91000000000003</v>
      </c>
      <c r="H52" s="5">
        <f>VLOOKUP("TOTAL COM BDI - "&amp;B52,CPU!$A:$J,9,FALSE)</f>
        <v>305.75</v>
      </c>
      <c r="I52" s="5">
        <f>SUMIF(ORCAMENTO!B:B,B52,ORCAMENTO!I:I)</f>
        <v>1528.75</v>
      </c>
    </row>
    <row r="53" spans="1:9" x14ac:dyDescent="0.3">
      <c r="A53" s="23">
        <v>47</v>
      </c>
      <c r="B53" s="23" t="s">
        <v>642</v>
      </c>
      <c r="C53" s="23" t="str">
        <f>VLOOKUP(B53,CPU!$B:$J,2,FALSE)</f>
        <v>SEINFRA</v>
      </c>
      <c r="D53" s="24" t="str">
        <f>VLOOKUP(B53,CPU!$B:$J,3,FALSE)</f>
        <v>BLOCO DE ANCORAGEM EM CONCRETO SIMPLES FCK=10MPa</v>
      </c>
      <c r="E53" s="23" t="str">
        <f>VLOOKUP(B53,CPU!$B:$J,4,FALSE)</f>
        <v>M3</v>
      </c>
      <c r="F53" s="5">
        <f>SUMIF(ORCAMENTO!B:B,B53,ORCAMENTO!F:F)</f>
        <v>1.3</v>
      </c>
      <c r="G53" s="5">
        <f>VLOOKUP("TOTAL SEM BDI - "&amp;B53,CPU!$A:$J,9,FALSE)</f>
        <v>817.03</v>
      </c>
      <c r="H53" s="5">
        <f>VLOOKUP("TOTAL COM BDI - "&amp;B53,CPU!$A:$J,9,FALSE)</f>
        <v>1019.98</v>
      </c>
      <c r="I53" s="5">
        <f>SUMIF(ORCAMENTO!B:B,B53,ORCAMENTO!I:I)</f>
        <v>1325.95</v>
      </c>
    </row>
    <row r="54" spans="1:9" x14ac:dyDescent="0.3">
      <c r="A54" s="23">
        <v>48</v>
      </c>
      <c r="B54" s="23" t="s">
        <v>541</v>
      </c>
      <c r="C54" s="23" t="str">
        <f>VLOOKUP(B54,CPU!$B:$J,2,FALSE)</f>
        <v>PRÓPRIA</v>
      </c>
      <c r="D54" s="24" t="str">
        <f>VLOOKUP(B54,CPU!$B:$J,3,FALSE)</f>
        <v>LAJE DE PROTEÇÃO EM CONCRETO (1,0 M X 1,0 M X 0,15 M)</v>
      </c>
      <c r="E54" s="23" t="str">
        <f>VLOOKUP(B54,CPU!$B:$J,4,FALSE)</f>
        <v>M³</v>
      </c>
      <c r="F54" s="5">
        <f>SUMIF(ORCAMENTO!B:B,B54,ORCAMENTO!F:F)</f>
        <v>0.75</v>
      </c>
      <c r="G54" s="5">
        <f>VLOOKUP("TOTAL SEM BDI - "&amp;B54,CPU!$A:$J,9,FALSE)</f>
        <v>1259.1399999999999</v>
      </c>
      <c r="H54" s="5">
        <f>VLOOKUP("TOTAL COM BDI - "&amp;B54,CPU!$A:$J,9,FALSE)</f>
        <v>1571.9099999999999</v>
      </c>
      <c r="I54" s="5">
        <f>SUMIF(ORCAMENTO!B:B,B54,ORCAMENTO!I:I)</f>
        <v>1178.95</v>
      </c>
    </row>
    <row r="55" spans="1:9" ht="43.2" x14ac:dyDescent="0.3">
      <c r="A55" s="23">
        <v>49</v>
      </c>
      <c r="B55" s="23">
        <v>100758</v>
      </c>
      <c r="C55" s="23" t="str">
        <f>VLOOKUP(B55,CPU!$B:$J,2,FALSE)</f>
        <v>SINAPI</v>
      </c>
      <c r="D55" s="24" t="str">
        <f>VLOOKUP(B55,CPU!$B:$J,3,FALSE)</f>
        <v>PINTURA COM TINTA ALQUÍDICA DE ACABAMENTO (ESMALTE SINTÉTICO ACETINADO) APLICADA A ROLO OU PINCEL SOBRE SUPERFÍCIES METÁLICAS (EXCETO PERFIL) EXECUTADO EM OBRA (02 DEMÃOS). AF_01/2020</v>
      </c>
      <c r="E55" s="23" t="str">
        <f>VLOOKUP(B55,CPU!$B:$J,4,FALSE)</f>
        <v>M2</v>
      </c>
      <c r="F55" s="5">
        <f>SUMIF(ORCAMENTO!B:B,B55,ORCAMENTO!F:F)</f>
        <v>16.8</v>
      </c>
      <c r="G55" s="5">
        <f>VLOOKUP("TOTAL SEM BDI - "&amp;B55,CPU!$A:$J,9,FALSE)</f>
        <v>50.269999999999996</v>
      </c>
      <c r="H55" s="5">
        <f>VLOOKUP("TOTAL COM BDI - "&amp;B55,CPU!$A:$J,9,FALSE)</f>
        <v>62.76</v>
      </c>
      <c r="I55" s="5">
        <f>SUMIF(ORCAMENTO!B:B,B55,ORCAMENTO!I:I)</f>
        <v>1054.3499999999999</v>
      </c>
    </row>
    <row r="56" spans="1:9" ht="28.8" x14ac:dyDescent="0.3">
      <c r="A56" s="23">
        <v>50</v>
      </c>
      <c r="B56" s="23">
        <v>96617</v>
      </c>
      <c r="C56" s="23" t="str">
        <f>VLOOKUP(B56,CPU!$B:$J,2,FALSE)</f>
        <v>SINAPI</v>
      </c>
      <c r="D56" s="24" t="str">
        <f>VLOOKUP(B56,CPU!$B:$J,3,FALSE)</f>
        <v>LASTRO DE CONCRETO MAGRO, APLICADO EM BLOCOS DE COROAMENTO OU SAPATAS, ESPESSURA DE 3 CM. AF_01/2024</v>
      </c>
      <c r="E56" s="23" t="str">
        <f>VLOOKUP(B56,CPU!$B:$J,4,FALSE)</f>
        <v>M2</v>
      </c>
      <c r="F56" s="5">
        <f>SUMIF(ORCAMENTO!B:B,B56,ORCAMENTO!F:F)</f>
        <v>32.9</v>
      </c>
      <c r="G56" s="5">
        <f>VLOOKUP("TOTAL SEM BDI - "&amp;B56,CPU!$A:$J,9,FALSE)</f>
        <v>23.990000000000002</v>
      </c>
      <c r="H56" s="5">
        <f>VLOOKUP("TOTAL COM BDI - "&amp;B56,CPU!$A:$J,9,FALSE)</f>
        <v>29.950000000000003</v>
      </c>
      <c r="I56" s="5">
        <f>SUMIF(ORCAMENTO!B:B,B56,ORCAMENTO!I:I)</f>
        <v>985.3499999999998</v>
      </c>
    </row>
    <row r="57" spans="1:9" ht="43.2" x14ac:dyDescent="0.3">
      <c r="A57" s="23">
        <v>51</v>
      </c>
      <c r="B57" s="23">
        <v>92920</v>
      </c>
      <c r="C57" s="23" t="str">
        <f>VLOOKUP(B57,CPU!$B:$J,2,FALSE)</f>
        <v>SINAPI</v>
      </c>
      <c r="D57" s="24" t="str">
        <f>VLOOKUP(B57,CPU!$B:$J,3,FALSE)</f>
        <v>LUVA DE REDUÇÃO, EM FERRO GALVANIZADO, 1" X 3/4", CONEXÃO ROSQUEADA, INSTALADO EM REDE DE ALIMENTAÇÃO PARA HIDRANTE - FORNECIMENTO E INSTALAÇÃO. AF_10/2020</v>
      </c>
      <c r="E57" s="23" t="str">
        <f>VLOOKUP(B57,CPU!$B:$J,4,FALSE)</f>
        <v>UN</v>
      </c>
      <c r="F57" s="5">
        <f>SUMIF(ORCAMENTO!B:B,B57,ORCAMENTO!F:F)</f>
        <v>20</v>
      </c>
      <c r="G57" s="5">
        <f>VLOOKUP("TOTAL SEM BDI - "&amp;B57,CPU!$A:$J,9,FALSE)</f>
        <v>35.64</v>
      </c>
      <c r="H57" s="5">
        <f>VLOOKUP("TOTAL COM BDI - "&amp;B57,CPU!$A:$J,9,FALSE)</f>
        <v>44.49</v>
      </c>
      <c r="I57" s="5">
        <f>SUMIF(ORCAMENTO!B:B,B57,ORCAMENTO!I:I)</f>
        <v>889.80000000000007</v>
      </c>
    </row>
    <row r="58" spans="1:9" ht="28.8" x14ac:dyDescent="0.3">
      <c r="A58" s="23">
        <v>52</v>
      </c>
      <c r="B58" s="23" t="s">
        <v>666</v>
      </c>
      <c r="C58" s="23" t="str">
        <f>VLOOKUP(B58,CPU!$B:$J,2,FALSE)</f>
        <v>PRÓPRIA</v>
      </c>
      <c r="D58" s="24" t="str">
        <f>VLOOKUP(B58,CPU!$B:$J,3,FALSE)</f>
        <v>TUBO DE AÇO GALVANIZADO COM COSTURA 1" (25MM), INCLUSIVE CONEXOES - FORNECIMENTO E INSTALAÇÃO</v>
      </c>
      <c r="E58" s="23" t="str">
        <f>VLOOKUP(B58,CPU!$B:$J,4,FALSE)</f>
        <v>M</v>
      </c>
      <c r="F58" s="5">
        <f>SUMIF(ORCAMENTO!B:B,B58,ORCAMENTO!F:F)</f>
        <v>15</v>
      </c>
      <c r="G58" s="5">
        <f>VLOOKUP("TOTAL SEM BDI - "&amp;B58,CPU!$A:$J,9,FALSE)</f>
        <v>46.050000000000004</v>
      </c>
      <c r="H58" s="5">
        <f>VLOOKUP("TOTAL COM BDI - "&amp;B58,CPU!$A:$J,9,FALSE)</f>
        <v>57.49</v>
      </c>
      <c r="I58" s="5">
        <f>SUMIF(ORCAMENTO!B:B,B58,ORCAMENTO!I:I)</f>
        <v>862.35</v>
      </c>
    </row>
    <row r="59" spans="1:9" x14ac:dyDescent="0.3">
      <c r="A59" s="23">
        <v>53</v>
      </c>
      <c r="B59" s="23" t="s">
        <v>555</v>
      </c>
      <c r="C59" s="23" t="str">
        <f>VLOOKUP(B59,CPU!$B:$J,2,FALSE)</f>
        <v>PRÓPRIA</v>
      </c>
      <c r="D59" s="24" t="str">
        <f>VLOOKUP(B59,CPU!$B:$J,3,FALSE)</f>
        <v>FORNECIMENTO E INSTALAÇÃO DE TAMPA PARA POÇO</v>
      </c>
      <c r="E59" s="23" t="str">
        <f>VLOOKUP(B59,CPU!$B:$J,4,FALSE)</f>
        <v>UN</v>
      </c>
      <c r="F59" s="5">
        <f>SUMIF(ORCAMENTO!B:B,B59,ORCAMENTO!F:F)</f>
        <v>5</v>
      </c>
      <c r="G59" s="5">
        <f>VLOOKUP("TOTAL SEM BDI - "&amp;B59,CPU!$A:$J,9,FALSE)</f>
        <v>109.94</v>
      </c>
      <c r="H59" s="5">
        <f>VLOOKUP("TOTAL COM BDI - "&amp;B59,CPU!$A:$J,9,FALSE)</f>
        <v>137.25</v>
      </c>
      <c r="I59" s="5">
        <f>SUMIF(ORCAMENTO!B:B,B59,ORCAMENTO!I:I)</f>
        <v>686.25</v>
      </c>
    </row>
    <row r="60" spans="1:9" x14ac:dyDescent="0.3">
      <c r="A60" s="23">
        <v>54</v>
      </c>
      <c r="B60" s="23" t="s">
        <v>640</v>
      </c>
      <c r="C60" s="23" t="str">
        <f>VLOOKUP(B60,CPU!$B:$J,2,FALSE)</f>
        <v>PRÓPRIA</v>
      </c>
      <c r="D60" s="24" t="str">
        <f>VLOOKUP(B60,CPU!$B:$J,3,FALSE)</f>
        <v>REATERRO DE VALA COM COMPACTAÇÃO MANUAL</v>
      </c>
      <c r="E60" s="23" t="str">
        <f>VLOOKUP(B60,CPU!$B:$J,4,FALSE)</f>
        <v>M³</v>
      </c>
      <c r="F60" s="5">
        <f>SUMIF(ORCAMENTO!B:B,B60,ORCAMENTO!F:F)</f>
        <v>13.799999999999999</v>
      </c>
      <c r="G60" s="5">
        <f>VLOOKUP("TOTAL SEM BDI - "&amp;B60,CPU!$A:$J,9,FALSE)</f>
        <v>36.9</v>
      </c>
      <c r="H60" s="5">
        <f>VLOOKUP("TOTAL COM BDI - "&amp;B60,CPU!$A:$J,9,FALSE)</f>
        <v>46.07</v>
      </c>
      <c r="I60" s="5">
        <f>SUMIF(ORCAMENTO!B:B,B60,ORCAMENTO!I:I)</f>
        <v>635.75</v>
      </c>
    </row>
    <row r="61" spans="1:9" x14ac:dyDescent="0.3">
      <c r="A61" s="23">
        <v>55</v>
      </c>
      <c r="B61" s="23" t="s">
        <v>630</v>
      </c>
      <c r="C61" s="23" t="str">
        <f>VLOOKUP(B61,CPU!$B:$J,2,FALSE)</f>
        <v>ORSE</v>
      </c>
      <c r="D61" s="24" t="str">
        <f>VLOOKUP(B61,CPU!$B:$J,3,FALSE)</f>
        <v>DISPOSITIVO DE PROTEÇÃO CONTRA SURTO DE TENSÃO DPS 60KA - 275V</v>
      </c>
      <c r="E61" s="23" t="str">
        <f>VLOOKUP(B61,CPU!$B:$J,4,FALSE)</f>
        <v>UN</v>
      </c>
      <c r="F61" s="5">
        <f>SUMIF(ORCAMENTO!B:B,B61,ORCAMENTO!F:F)</f>
        <v>5</v>
      </c>
      <c r="G61" s="5">
        <f>VLOOKUP("TOTAL SEM BDI - "&amp;B61,CPU!$A:$J,9,FALSE)</f>
        <v>88.050000000000011</v>
      </c>
      <c r="H61" s="5">
        <f>VLOOKUP("TOTAL COM BDI - "&amp;B61,CPU!$A:$J,9,FALSE)</f>
        <v>109.92000000000002</v>
      </c>
      <c r="I61" s="5">
        <f>SUMIF(ORCAMENTO!B:B,B61,ORCAMENTO!I:I)</f>
        <v>549.6</v>
      </c>
    </row>
    <row r="62" spans="1:9" x14ac:dyDescent="0.3">
      <c r="A62" s="23">
        <v>56</v>
      </c>
      <c r="B62" s="23" t="s">
        <v>658</v>
      </c>
      <c r="C62" s="23" t="str">
        <f>VLOOKUP(B62,CPU!$B:$J,2,FALSE)</f>
        <v>PRÓPRIA</v>
      </c>
      <c r="D62" s="24" t="str">
        <f>VLOOKUP(B62,CPU!$B:$J,3,FALSE)</f>
        <v>CRUZETA DE FERRO GALVANIZADO, COM ROSCA BSP, DE 1"</v>
      </c>
      <c r="E62" s="23" t="str">
        <f>VLOOKUP(B62,CPU!$B:$J,4,FALSE)</f>
        <v>UN</v>
      </c>
      <c r="F62" s="5">
        <f>SUMIF(ORCAMENTO!B:B,B62,ORCAMENTO!F:F)</f>
        <v>5</v>
      </c>
      <c r="G62" s="5">
        <f>VLOOKUP("TOTAL SEM BDI - "&amp;B62,CPU!$A:$J,9,FALSE)</f>
        <v>85.84</v>
      </c>
      <c r="H62" s="5">
        <f>VLOOKUP("TOTAL COM BDI - "&amp;B62,CPU!$A:$J,9,FALSE)</f>
        <v>107.16</v>
      </c>
      <c r="I62" s="5">
        <f>SUMIF(ORCAMENTO!B:B,B62,ORCAMENTO!I:I)</f>
        <v>535.79999999999995</v>
      </c>
    </row>
    <row r="63" spans="1:9" ht="28.8" x14ac:dyDescent="0.3">
      <c r="A63" s="23">
        <v>57</v>
      </c>
      <c r="B63" s="23" t="s">
        <v>636</v>
      </c>
      <c r="C63" s="23" t="str">
        <f>VLOOKUP(B63,CPU!$B:$J,2,FALSE)</f>
        <v>PRÓPRIA</v>
      </c>
      <c r="D63" s="24" t="str">
        <f>VLOOKUP(B63,CPU!$B:$J,3,FALSE)</f>
        <v>LUMINÁRIA ARANDELA TIPO MEIA-LUA COM VIDRO FOSCO *30 X 15* CM, PARA 1 LÂMPADA (SINAPI ADAPTADO 97605)</v>
      </c>
      <c r="E63" s="23" t="str">
        <f>VLOOKUP(B63,CPU!$B:$J,4,FALSE)</f>
        <v>UN</v>
      </c>
      <c r="F63" s="5">
        <f>SUMIF(ORCAMENTO!B:B,B63,ORCAMENTO!F:F)</f>
        <v>5</v>
      </c>
      <c r="G63" s="5">
        <f>VLOOKUP("TOTAL SEM BDI - "&amp;B63,CPU!$A:$J,9,FALSE)</f>
        <v>83.039999999999992</v>
      </c>
      <c r="H63" s="5">
        <f>VLOOKUP("TOTAL COM BDI - "&amp;B63,CPU!$A:$J,9,FALSE)</f>
        <v>103.66999999999999</v>
      </c>
      <c r="I63" s="5">
        <f>SUMIF(ORCAMENTO!B:B,B63,ORCAMENTO!I:I)</f>
        <v>518.35</v>
      </c>
    </row>
    <row r="64" spans="1:9" ht="28.8" x14ac:dyDescent="0.3">
      <c r="A64" s="23">
        <v>58</v>
      </c>
      <c r="B64" s="23" t="s">
        <v>660</v>
      </c>
      <c r="C64" s="23" t="str">
        <f>VLOOKUP(B64,CPU!$B:$J,2,FALSE)</f>
        <v>PRÓPRIA</v>
      </c>
      <c r="D64" s="24" t="str">
        <f>VLOOKUP(B64,CPU!$B:$J,3,FALSE)</f>
        <v>TÊ, EM FERRO GALVANIZADO, 1", CONEXÃO ROSQUEADA, INSTALADO EM PRUMADAS - FORNECIMENTO E INSTALAÇÃO.</v>
      </c>
      <c r="E64" s="23" t="str">
        <f>VLOOKUP(B64,CPU!$B:$J,4,FALSE)</f>
        <v>UN</v>
      </c>
      <c r="F64" s="5">
        <f>SUMIF(ORCAMENTO!B:B,B64,ORCAMENTO!F:F)</f>
        <v>5</v>
      </c>
      <c r="G64" s="5">
        <f>VLOOKUP("TOTAL SEM BDI - "&amp;B64,CPU!$A:$J,9,FALSE)</f>
        <v>69.28</v>
      </c>
      <c r="H64" s="5">
        <f>VLOOKUP("TOTAL COM BDI - "&amp;B64,CPU!$A:$J,9,FALSE)</f>
        <v>86.490000000000009</v>
      </c>
      <c r="I64" s="5">
        <f>SUMIF(ORCAMENTO!B:B,B64,ORCAMENTO!I:I)</f>
        <v>432.45</v>
      </c>
    </row>
    <row r="65" spans="1:9" ht="28.8" x14ac:dyDescent="0.3">
      <c r="A65" s="23">
        <v>59</v>
      </c>
      <c r="B65" s="23">
        <v>101877</v>
      </c>
      <c r="C65" s="23" t="str">
        <f>VLOOKUP(B65,CPU!$B:$J,2,FALSE)</f>
        <v>SINAPI</v>
      </c>
      <c r="D65" s="24" t="str">
        <f>VLOOKUP(B65,CPU!$B:$J,3,FALSE)</f>
        <v>QUADRO DE DISTRIBUIÇÃO DE ENERGIA EM PVC, DE EMBUTIR, SEM BARRAMENTO, PARA 3 DISJUNTORES - FORNECIMENTO E INSTALAÇÃO. AF_10/2020</v>
      </c>
      <c r="E65" s="23" t="str">
        <f>VLOOKUP(B65,CPU!$B:$J,4,FALSE)</f>
        <v>UN</v>
      </c>
      <c r="F65" s="5">
        <f>SUMIF(ORCAMENTO!B:B,B65,ORCAMENTO!F:F)</f>
        <v>5</v>
      </c>
      <c r="G65" s="5">
        <f>VLOOKUP("TOTAL SEM BDI - "&amp;B65,CPU!$A:$J,9,FALSE)</f>
        <v>63.51</v>
      </c>
      <c r="H65" s="5">
        <f>VLOOKUP("TOTAL COM BDI - "&amp;B65,CPU!$A:$J,9,FALSE)</f>
        <v>79.289999999999992</v>
      </c>
      <c r="I65" s="5">
        <f>SUMIF(ORCAMENTO!B:B,B65,ORCAMENTO!I:I)</f>
        <v>396.45000000000005</v>
      </c>
    </row>
    <row r="66" spans="1:9" ht="28.8" x14ac:dyDescent="0.3">
      <c r="A66" s="23">
        <v>60</v>
      </c>
      <c r="B66" s="23" t="s">
        <v>664</v>
      </c>
      <c r="C66" s="23" t="str">
        <f>VLOOKUP(B66,CPU!$B:$J,2,FALSE)</f>
        <v>PRÓPRIA</v>
      </c>
      <c r="D66" s="24" t="str">
        <f>VLOOKUP(B66,CPU!$B:$J,3,FALSE)</f>
        <v>CURVA 90 GRAUS DE FERRO GALVANIZADO, COM ROSCA BSP FEMEA, DE 1"- FORNECIMENTO E INSTALAÇÃO</v>
      </c>
      <c r="E66" s="23" t="str">
        <f>VLOOKUP(B66,CPU!$B:$J,4,FALSE)</f>
        <v>UN</v>
      </c>
      <c r="F66" s="5">
        <f>SUMIF(ORCAMENTO!B:B,B66,ORCAMENTO!F:F)</f>
        <v>5</v>
      </c>
      <c r="G66" s="5">
        <f>VLOOKUP("TOTAL SEM BDI - "&amp;B66,CPU!$A:$J,9,FALSE)</f>
        <v>55.2</v>
      </c>
      <c r="H66" s="5">
        <f>VLOOKUP("TOTAL COM BDI - "&amp;B66,CPU!$A:$J,9,FALSE)</f>
        <v>68.91</v>
      </c>
      <c r="I66" s="5">
        <f>SUMIF(ORCAMENTO!B:B,B66,ORCAMENTO!I:I)</f>
        <v>344.54999999999995</v>
      </c>
    </row>
    <row r="67" spans="1:9" ht="28.8" x14ac:dyDescent="0.3">
      <c r="A67" s="23">
        <v>61</v>
      </c>
      <c r="B67" s="23" t="s">
        <v>668</v>
      </c>
      <c r="C67" s="23" t="str">
        <f>VLOOKUP(B67,CPU!$B:$J,2,FALSE)</f>
        <v>PRÓPRIA</v>
      </c>
      <c r="D67" s="24" t="str">
        <f>VLOOKUP(B67,CPU!$B:$J,3,FALSE)</f>
        <v>BUCHA DE REDUCAO DE FERRO GALVANIZADO, COM ROSCA BSP, DE 1 1/2" X 1"- FORNECIMENTO E INSTALAÇÃO</v>
      </c>
      <c r="E67" s="23" t="str">
        <f>VLOOKUP(B67,CPU!$B:$J,4,FALSE)</f>
        <v>UN</v>
      </c>
      <c r="F67" s="5">
        <f>SUMIF(ORCAMENTO!B:B,B67,ORCAMENTO!F:F)</f>
        <v>5</v>
      </c>
      <c r="G67" s="5">
        <f>VLOOKUP("TOTAL SEM BDI - "&amp;B67,CPU!$A:$J,9,FALSE)</f>
        <v>37.659999999999997</v>
      </c>
      <c r="H67" s="5">
        <f>VLOOKUP("TOTAL COM BDI - "&amp;B67,CPU!$A:$J,9,FALSE)</f>
        <v>47.01</v>
      </c>
      <c r="I67" s="5">
        <f>SUMIF(ORCAMENTO!B:B,B67,ORCAMENTO!I:I)</f>
        <v>235.04999999999998</v>
      </c>
    </row>
    <row r="68" spans="1:9" x14ac:dyDescent="0.3">
      <c r="A68" s="23">
        <v>62</v>
      </c>
      <c r="B68" s="23" t="s">
        <v>662</v>
      </c>
      <c r="C68" s="23" t="str">
        <f>VLOOKUP(B68,CPU!$B:$J,2,FALSE)</f>
        <v>PRÓPRIA</v>
      </c>
      <c r="D68" s="24" t="str">
        <f>VLOOKUP(B68,CPU!$B:$J,3,FALSE)</f>
        <v>LUVA DE FERRO GALVANIZADO, COM ROSCA BSP, DE 1"- FORNECIMENTO E INSTALAÇÃO</v>
      </c>
      <c r="E68" s="23" t="str">
        <f>VLOOKUP(B68,CPU!$B:$J,4,FALSE)</f>
        <v>UN</v>
      </c>
      <c r="F68" s="5">
        <f>SUMIF(ORCAMENTO!B:B,B68,ORCAMENTO!F:F)</f>
        <v>5</v>
      </c>
      <c r="G68" s="5">
        <f>VLOOKUP("TOTAL SEM BDI - "&amp;B68,CPU!$A:$J,9,FALSE)</f>
        <v>21.18</v>
      </c>
      <c r="H68" s="5">
        <f>VLOOKUP("TOTAL COM BDI - "&amp;B68,CPU!$A:$J,9,FALSE)</f>
        <v>26.439999999999998</v>
      </c>
      <c r="I68" s="5">
        <f>SUMIF(ORCAMENTO!B:B,B68,ORCAMENTO!I:I)</f>
        <v>132.20000000000002</v>
      </c>
    </row>
    <row r="69" spans="1:9" ht="28.8" x14ac:dyDescent="0.3">
      <c r="A69" s="23">
        <v>63</v>
      </c>
      <c r="B69" s="23">
        <v>93656</v>
      </c>
      <c r="C69" s="23" t="str">
        <f>VLOOKUP(B69,CPU!$B:$J,2,FALSE)</f>
        <v>SINAPI</v>
      </c>
      <c r="D69" s="24" t="str">
        <f>VLOOKUP(B69,CPU!$B:$J,3,FALSE)</f>
        <v>DISJUNTOR MONOPOLAR TIPO DIN, CORRENTE NOMINAL DE 25A - FORNECIMENTO E INSTALAÇÃO. AF_10/2020</v>
      </c>
      <c r="E69" s="23" t="str">
        <f>VLOOKUP(B69,CPU!$B:$J,4,FALSE)</f>
        <v>UN</v>
      </c>
      <c r="F69" s="5">
        <f>SUMIF(ORCAMENTO!B:B,B69,ORCAMENTO!F:F)</f>
        <v>5</v>
      </c>
      <c r="G69" s="5">
        <f>VLOOKUP("TOTAL SEM BDI - "&amp;B69,CPU!$A:$J,9,FALSE)</f>
        <v>13.33</v>
      </c>
      <c r="H69" s="5">
        <f>VLOOKUP("TOTAL COM BDI - "&amp;B69,CPU!$A:$J,9,FALSE)</f>
        <v>16.64</v>
      </c>
      <c r="I69" s="5">
        <f>SUMIF(ORCAMENTO!B:B,B69,ORCAMENTO!I:I)</f>
        <v>83.2</v>
      </c>
    </row>
    <row r="70" spans="1:9" ht="28.8" x14ac:dyDescent="0.3">
      <c r="A70" s="23">
        <v>64</v>
      </c>
      <c r="B70" s="23">
        <v>97610</v>
      </c>
      <c r="C70" s="23" t="str">
        <f>VLOOKUP(B70,CPU!$B:$J,2,FALSE)</f>
        <v>SINAPI</v>
      </c>
      <c r="D70" s="24" t="str">
        <f>VLOOKUP(B70,CPU!$B:$J,3,FALSE)</f>
        <v>LÂMPADA COMPACTA DE LED 10 W, BASE E27 - FORNECIMENTO E INSTALAÇÃO. AF_09/2024</v>
      </c>
      <c r="E70" s="23" t="str">
        <f>VLOOKUP(B70,CPU!$B:$J,4,FALSE)</f>
        <v>UN</v>
      </c>
      <c r="F70" s="5">
        <f>SUMIF(ORCAMENTO!B:B,B70,ORCAMENTO!F:F)</f>
        <v>5</v>
      </c>
      <c r="G70" s="5">
        <f>VLOOKUP("TOTAL SEM BDI - "&amp;B70,CPU!$A:$J,9,FALSE)</f>
        <v>13.05</v>
      </c>
      <c r="H70" s="5">
        <f>VLOOKUP("TOTAL COM BDI - "&amp;B70,CPU!$A:$J,9,FALSE)</f>
        <v>16.29</v>
      </c>
      <c r="I70" s="5">
        <f>SUMIF(ORCAMENTO!B:B,B70,ORCAMENTO!I:I)</f>
        <v>81.449999999999989</v>
      </c>
    </row>
    <row r="71" spans="1:9" ht="28.8" x14ac:dyDescent="0.3">
      <c r="A71" s="23">
        <v>65</v>
      </c>
      <c r="B71" s="23">
        <v>93653</v>
      </c>
      <c r="C71" s="23" t="str">
        <f>VLOOKUP(B71,CPU!$B:$J,2,FALSE)</f>
        <v>SINAPI</v>
      </c>
      <c r="D71" s="24" t="str">
        <f>VLOOKUP(B71,CPU!$B:$J,3,FALSE)</f>
        <v>DISJUNTOR MONOPOLAR TIPO DIN, CORRENTE NOMINAL DE 10A - FORNECIMENTO E INSTALAÇÃO. AF_10/2020</v>
      </c>
      <c r="E71" s="23" t="str">
        <f>VLOOKUP(B71,CPU!$B:$J,4,FALSE)</f>
        <v>UN</v>
      </c>
      <c r="F71" s="5">
        <f>SUMIF(ORCAMENTO!B:B,B71,ORCAMENTO!F:F)</f>
        <v>5</v>
      </c>
      <c r="G71" s="5">
        <f>VLOOKUP("TOTAL SEM BDI - "&amp;B71,CPU!$A:$J,9,FALSE)</f>
        <v>11.379999999999999</v>
      </c>
      <c r="H71" s="5">
        <f>VLOOKUP("TOTAL COM BDI - "&amp;B71,CPU!$A:$J,9,FALSE)</f>
        <v>14.209999999999999</v>
      </c>
      <c r="I71" s="5">
        <f>SUMIF(ORCAMENTO!B:B,B71,ORCAMENTO!I:I)</f>
        <v>71.050000000000011</v>
      </c>
    </row>
    <row r="72" spans="1:9" ht="28.8" x14ac:dyDescent="0.3">
      <c r="A72" s="23">
        <v>66</v>
      </c>
      <c r="B72" s="23" t="s">
        <v>671</v>
      </c>
      <c r="C72" s="23" t="str">
        <f>VLOOKUP(B72,CPU!$B:$J,2,FALSE)</f>
        <v>PRÓPRIA</v>
      </c>
      <c r="D72" s="24" t="str">
        <f>VLOOKUP(B72,CPU!$B:$J,3,FALSE)</f>
        <v>ADAPTADOR CURTO COM BOLSA E ROSCA PARA REGISTRO, PVC, SOLDÁVEL, DN 40MM X 1.1/2, INSTALADO EM PRUMADA DE ÁGUA - FORNECIMENTO E INSTALAÇÃO</v>
      </c>
      <c r="E72" s="23" t="str">
        <f>VLOOKUP(B72,CPU!$B:$J,4,FALSE)</f>
        <v>UN</v>
      </c>
      <c r="F72" s="5">
        <f>SUMIF(ORCAMENTO!B:B,B72,ORCAMENTO!F:F)</f>
        <v>5</v>
      </c>
      <c r="G72" s="5">
        <f>VLOOKUP("TOTAL SEM BDI - "&amp;B72,CPU!$A:$J,9,FALSE)</f>
        <v>11.16</v>
      </c>
      <c r="H72" s="5">
        <f>VLOOKUP("TOTAL COM BDI - "&amp;B72,CPU!$A:$J,9,FALSE)</f>
        <v>13.93</v>
      </c>
      <c r="I72" s="5">
        <f>SUMIF(ORCAMENTO!B:B,B72,ORCAMENTO!I:I)</f>
        <v>69.650000000000006</v>
      </c>
    </row>
    <row r="73" spans="1:9" x14ac:dyDescent="0.3">
      <c r="A73" s="23">
        <v>67</v>
      </c>
      <c r="B73" s="23" t="s">
        <v>537</v>
      </c>
      <c r="C73" s="23" t="str">
        <f>VLOOKUP(B73,CPU!$B:$J,2,FALSE)</f>
        <v>PRÓPRIA</v>
      </c>
      <c r="D73" s="24" t="str">
        <f>VLOOKUP(B73,CPU!$B:$J,3,FALSE)</f>
        <v>PERFURAÇÃO EM 6'' (ROCHA CRISTALINA)</v>
      </c>
      <c r="E73" s="23" t="str">
        <f>VLOOKUP(B73,CPU!$B:$J,4,FALSE)</f>
        <v>M</v>
      </c>
      <c r="F73" s="5">
        <f>SUMIF(ORCAMENTO!B:B,B73,ORCAMENTO!F:F)</f>
        <v>0</v>
      </c>
      <c r="G73" s="5">
        <f>VLOOKUP("TOTAL SEM BDI - "&amp;B73,CPU!$A:$J,9,FALSE)</f>
        <v>330.20000000000005</v>
      </c>
      <c r="H73" s="5">
        <f>VLOOKUP("TOTAL COM BDI - "&amp;B73,CPU!$A:$J,9,FALSE)</f>
        <v>412.22</v>
      </c>
      <c r="I73" s="5">
        <f>SUMIF(ORCAMENTO!B:B,B73,ORCAMENTO!I:I)</f>
        <v>0</v>
      </c>
    </row>
    <row r="74" spans="1:9" x14ac:dyDescent="0.3">
      <c r="A74" s="23">
        <v>68</v>
      </c>
      <c r="B74" s="23" t="s">
        <v>533</v>
      </c>
      <c r="C74" s="23" t="str">
        <f>VLOOKUP(B74,CPU!$B:$J,2,FALSE)</f>
        <v>PRÓPRIA</v>
      </c>
      <c r="D74" s="24" t="str">
        <f>VLOOKUP(B74,CPU!$B:$J,3,FALSE)</f>
        <v>PERFURAÇÃO EM 8'' (ROCHA CRISTALINA)</v>
      </c>
      <c r="E74" s="23" t="str">
        <f>VLOOKUP(B74,CPU!$B:$J,4,FALSE)</f>
        <v>M</v>
      </c>
      <c r="F74" s="5">
        <f>SUMIF(ORCAMENTO!B:B,B74,ORCAMENTO!F:F)</f>
        <v>0</v>
      </c>
      <c r="G74" s="5">
        <f>VLOOKUP("TOTAL SEM BDI - "&amp;B74,CPU!$A:$J,9,FALSE)</f>
        <v>368.84000000000003</v>
      </c>
      <c r="H74" s="5">
        <f>VLOOKUP("TOTAL COM BDI - "&amp;B74,CPU!$A:$J,9,FALSE)</f>
        <v>460.46000000000004</v>
      </c>
      <c r="I74" s="5">
        <f>SUMIF(ORCAMENTO!B:B,B74,ORCAMENTO!I:I)</f>
        <v>0</v>
      </c>
    </row>
    <row r="75" spans="1:9" x14ac:dyDescent="0.3">
      <c r="A75" s="34" t="s">
        <v>128</v>
      </c>
      <c r="B75" s="36"/>
      <c r="C75" s="36"/>
      <c r="D75" s="36"/>
      <c r="E75" s="36"/>
      <c r="F75" s="36"/>
      <c r="G75" s="36"/>
      <c r="H75" s="35"/>
      <c r="I75" s="18">
        <f>SUM(I7:I74)</f>
        <v>727819.18999999959</v>
      </c>
    </row>
  </sheetData>
  <mergeCells count="4">
    <mergeCell ref="A1:I1"/>
    <mergeCell ref="A2:I2"/>
    <mergeCell ref="A3:I3"/>
    <mergeCell ref="A75:H75"/>
  </mergeCells>
  <pageMargins left="0.78740157480314965" right="0.39370078740157483" top="1.1811023622047245" bottom="0.78740157480314965" header="0.31496062992125984" footer="0.31496062992125984"/>
  <pageSetup paperSize="9" scale="50" fitToHeight="0" orientation="portrait" r:id="rId1"/>
  <headerFooter>
    <oddHeader>&amp;C&amp;G</oddHeader>
  </headerFooter>
  <legacyDrawingHF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8B225F-D8B8-4988-91B8-8C2C28F2C6A0}">
  <sheetPr>
    <pageSetUpPr fitToPage="1"/>
  </sheetPr>
  <dimension ref="A1:I286"/>
  <sheetViews>
    <sheetView showGridLines="0" workbookViewId="0">
      <selection sqref="A1:I1"/>
    </sheetView>
  </sheetViews>
  <sheetFormatPr defaultRowHeight="14.4" x14ac:dyDescent="0.3"/>
  <cols>
    <col min="1" max="3" width="12" bestFit="1" customWidth="1"/>
    <col min="4" max="4" width="74.109375" bestFit="1" customWidth="1"/>
    <col min="5" max="8" width="15.77734375" bestFit="1" customWidth="1"/>
    <col min="9" max="12" width="14.77734375" bestFit="1" customWidth="1"/>
  </cols>
  <sheetData>
    <row r="1" spans="1:9" x14ac:dyDescent="0.3">
      <c r="A1" s="33" t="str">
        <f>CIDADE</f>
        <v>MUNICÍPIO DE LAGOA DO PIAUI - PI</v>
      </c>
      <c r="B1" s="33"/>
      <c r="C1" s="33"/>
      <c r="D1" s="33"/>
      <c r="E1" s="33"/>
      <c r="F1" s="33"/>
      <c r="G1" s="33"/>
      <c r="H1" s="33"/>
      <c r="I1" s="33"/>
    </row>
    <row r="2" spans="1:9" x14ac:dyDescent="0.3">
      <c r="A2" s="33" t="str">
        <f>OBRA</f>
        <v>IMPLANTAÇÃO DE 5 (CINCO) SISTEMAS SIMPLIFICADOS DE ABASTECIMENTO DE ÁGUA ZONA RURAL DO MUNICÍPIO DE LAGOA DO PIAUÍ-PI</v>
      </c>
      <c r="B2" s="33"/>
      <c r="C2" s="33"/>
      <c r="D2" s="33"/>
      <c r="E2" s="33"/>
      <c r="F2" s="33"/>
      <c r="G2" s="33"/>
      <c r="H2" s="33"/>
      <c r="I2" s="33"/>
    </row>
    <row r="3" spans="1:9" x14ac:dyDescent="0.3">
      <c r="A3" s="33" t="s">
        <v>1267</v>
      </c>
      <c r="B3" s="33"/>
      <c r="C3" s="33"/>
      <c r="D3" s="33"/>
      <c r="E3" s="33"/>
      <c r="F3" s="33"/>
      <c r="G3" s="33"/>
      <c r="H3" s="33"/>
      <c r="I3" s="33"/>
    </row>
    <row r="5" spans="1:9" x14ac:dyDescent="0.3">
      <c r="A5" s="1" t="s">
        <v>3</v>
      </c>
      <c r="B5" s="7" t="str">
        <f>FONTE&amp;FOLHA</f>
        <v>SINAPI PI 06/2025, SEINFRA CE 28, ORSE SE 05/2025, SEM DESONERAÇÃO</v>
      </c>
      <c r="C5" s="1"/>
      <c r="D5" s="1"/>
      <c r="E5" s="1"/>
      <c r="F5" s="1" t="s">
        <v>10</v>
      </c>
      <c r="G5" s="8">
        <f>LEI</f>
        <v>113.33</v>
      </c>
      <c r="H5" s="1" t="s">
        <v>19</v>
      </c>
      <c r="I5" s="8">
        <f>BDI</f>
        <v>24.84</v>
      </c>
    </row>
    <row r="6" spans="1:9" x14ac:dyDescent="0.3">
      <c r="A6" s="4" t="s">
        <v>1266</v>
      </c>
      <c r="B6" s="4" t="s">
        <v>138</v>
      </c>
      <c r="C6" s="4" t="s">
        <v>139</v>
      </c>
      <c r="D6" s="4" t="s">
        <v>21</v>
      </c>
      <c r="E6" s="4" t="s">
        <v>140</v>
      </c>
      <c r="F6" s="4" t="s">
        <v>1016</v>
      </c>
      <c r="G6" s="4" t="s">
        <v>1268</v>
      </c>
      <c r="H6" s="4" t="s">
        <v>15</v>
      </c>
      <c r="I6" s="4" t="s">
        <v>22</v>
      </c>
    </row>
    <row r="7" spans="1:9" ht="28.8" x14ac:dyDescent="0.3">
      <c r="A7" s="23">
        <v>1</v>
      </c>
      <c r="B7" s="23" t="s">
        <v>1037</v>
      </c>
      <c r="C7" s="23" t="str">
        <f>VLOOKUP(B7,I!$A:$G,2,FALSE)</f>
        <v>PRÓPRIA</v>
      </c>
      <c r="D7" s="24" t="str">
        <f>VLOOKUP(B7,I!$A:$G,3,FALSE)</f>
        <v>EQUIPAMENTOS PARA PERFURAÇÃO PELO ''SISTEMA ROTOPNEUMÁTICO'', COMPOSTO POR MÁQUINA ROTOPNEUMÁTICO, DIESEL.</v>
      </c>
      <c r="E7" s="23" t="str">
        <f>VLOOKUP(B7,I!$A:$G,4,FALSE)</f>
        <v>HPROD</v>
      </c>
      <c r="F7" s="23">
        <f>SUMIF(CPU!M:M,B7,CPU!O:O)+SUMIF(CPUAUX1!M:M,B7,CPUAUX1!O:O)+SUMIF(CPUAUX2!M:M,B7,CPUAUX2!O:O)+SUMIF(CPUAUX3!M:M,B7,CPUAUX3!O:O)+SUMIF(CPUAUX4!M:M,B7,CPUAUX4!O:O)+SUMIF(CPUAUX5!M:M,B7,CPUAUX5!O:O)</f>
        <v>152</v>
      </c>
      <c r="G7" s="5">
        <f>VLOOKUP(B7,I!$A:$G,5,FALSE)</f>
        <v>420.5</v>
      </c>
      <c r="H7" s="5">
        <f t="shared" ref="H7:H70" si="0">F7*G7</f>
        <v>63916</v>
      </c>
      <c r="I7" s="25">
        <f t="shared" ref="I7:I70" si="1">H7/$H$281</f>
        <v>0.10960919954832007</v>
      </c>
    </row>
    <row r="8" spans="1:9" x14ac:dyDescent="0.3">
      <c r="A8" s="23">
        <v>2</v>
      </c>
      <c r="B8" s="23">
        <v>6111</v>
      </c>
      <c r="C8" s="23" t="str">
        <f>VLOOKUP(B8,I!$A:$G,2,FALSE)</f>
        <v>SINAPI</v>
      </c>
      <c r="D8" s="24" t="str">
        <f>VLOOKUP(B8,I!$A:$G,3,FALSE)</f>
        <v>SERVENTE DE OBRAS (HORISTA)</v>
      </c>
      <c r="E8" s="23" t="str">
        <f>VLOOKUP(B8,I!$A:$G,4,FALSE)</f>
        <v>H</v>
      </c>
      <c r="F8" s="23">
        <f>SUMIF(CPU!M:M,B8,CPU!O:O)+SUMIF(CPUAUX1!M:M,B8,CPUAUX1!O:O)+SUMIF(CPUAUX2!M:M,B8,CPUAUX2!O:O)+SUMIF(CPUAUX3!M:M,B8,CPUAUX3!O:O)+SUMIF(CPUAUX4!M:M,B8,CPUAUX4!O:O)+SUMIF(CPUAUX5!M:M,B8,CPUAUX5!O:O)</f>
        <v>3642.0194720989221</v>
      </c>
      <c r="G8" s="5">
        <f>VLOOKUP(B8,I!$A:$G,5,FALSE)</f>
        <v>14.86</v>
      </c>
      <c r="H8" s="5">
        <f t="shared" si="0"/>
        <v>54120.40935538998</v>
      </c>
      <c r="I8" s="25">
        <f t="shared" si="1"/>
        <v>9.2810794615928865E-2</v>
      </c>
    </row>
    <row r="9" spans="1:9" ht="28.8" x14ac:dyDescent="0.3">
      <c r="A9" s="23">
        <v>3</v>
      </c>
      <c r="B9" s="23" t="s">
        <v>1085</v>
      </c>
      <c r="C9" s="23" t="str">
        <f>VLOOKUP(B9,I!$A:$G,2,FALSE)</f>
        <v>PRÓPRIA</v>
      </c>
      <c r="D9" s="24" t="str">
        <f>VLOOKUP(B9,I!$A:$G,3,FALSE)</f>
        <v>BASE PARA RESERVATÓRIO EM CONCRETO PRÉ-MOLDADO COM H=7,00 M, COM 03 PILARES E 01 LAJE</v>
      </c>
      <c r="E9" s="23" t="str">
        <f>VLOOKUP(B9,I!$A:$G,4,FALSE)</f>
        <v>UN</v>
      </c>
      <c r="F9" s="23">
        <f>SUMIF(CPU!M:M,B9,CPU!O:O)+SUMIF(CPUAUX1!M:M,B9,CPUAUX1!O:O)+SUMIF(CPUAUX2!M:M,B9,CPUAUX2!O:O)+SUMIF(CPUAUX3!M:M,B9,CPUAUX3!O:O)+SUMIF(CPUAUX4!M:M,B9,CPUAUX4!O:O)+SUMIF(CPUAUX5!M:M,B9,CPUAUX5!O:O)</f>
        <v>5</v>
      </c>
      <c r="G9" s="5">
        <f>VLOOKUP(B9,I!$A:$G,5,FALSE)</f>
        <v>9800</v>
      </c>
      <c r="H9" s="5">
        <f t="shared" si="0"/>
        <v>49000</v>
      </c>
      <c r="I9" s="25">
        <f t="shared" si="1"/>
        <v>8.4029832559416789E-2</v>
      </c>
    </row>
    <row r="10" spans="1:9" ht="28.8" x14ac:dyDescent="0.3">
      <c r="A10" s="23">
        <v>4</v>
      </c>
      <c r="B10" s="23" t="s">
        <v>1035</v>
      </c>
      <c r="C10" s="23" t="str">
        <f>VLOOKUP(B10,I!$A:$G,2,FALSE)</f>
        <v>PRÓPRIA</v>
      </c>
      <c r="D10" s="24" t="str">
        <f>VLOOKUP(B10,I!$A:$G,3,FALSE)</f>
        <v>EQUIPAMENTOS PARA PERFURAÇÃO PELO ''SISTEMA ROTOPNEUMÁTICO'', COMPOSTO POR MÁQUINA ROTOPNEUMÁTICO, DIESEL.</v>
      </c>
      <c r="E10" s="23" t="str">
        <f>VLOOKUP(B10,I!$A:$G,4,FALSE)</f>
        <v>HPROD</v>
      </c>
      <c r="F10" s="23">
        <f>SUMIF(CPU!M:M,B10,CPU!O:O)+SUMIF(CPUAUX1!M:M,B10,CPUAUX1!O:O)+SUMIF(CPUAUX2!M:M,B10,CPUAUX2!O:O)+SUMIF(CPUAUX3!M:M,B10,CPUAUX3!O:O)+SUMIF(CPUAUX4!M:M,B10,CPUAUX4!O:O)+SUMIF(CPUAUX5!M:M,B10,CPUAUX5!O:O)</f>
        <v>70</v>
      </c>
      <c r="G10" s="5">
        <f>VLOOKUP(B10,I!$A:$G,5,FALSE)</f>
        <v>420.5</v>
      </c>
      <c r="H10" s="5">
        <f t="shared" si="0"/>
        <v>29435</v>
      </c>
      <c r="I10" s="25">
        <f t="shared" si="1"/>
        <v>5.0477920844621091E-2</v>
      </c>
    </row>
    <row r="11" spans="1:9" ht="28.8" x14ac:dyDescent="0.3">
      <c r="A11" s="23">
        <v>5</v>
      </c>
      <c r="B11" s="23">
        <v>37106</v>
      </c>
      <c r="C11" s="23" t="str">
        <f>VLOOKUP(B11,I!$A:$G,2,FALSE)</f>
        <v>SINAPI</v>
      </c>
      <c r="D11" s="24" t="str">
        <f>VLOOKUP(B11,I!$A:$G,3,FALSE)</f>
        <v>CAIXA D'AGUA / RESERVATORIO EM POLIESTER REFORCADO COM FIBRA DE VIDRO, 10000 LITROS, COM TAMPA</v>
      </c>
      <c r="E11" s="23" t="str">
        <f>VLOOKUP(B11,I!$A:$G,4,FALSE)</f>
        <v>UN</v>
      </c>
      <c r="F11" s="23">
        <f>SUMIF(CPU!M:M,B11,CPU!O:O)+SUMIF(CPUAUX1!M:M,B11,CPUAUX1!O:O)+SUMIF(CPUAUX2!M:M,B11,CPUAUX2!O:O)+SUMIF(CPUAUX3!M:M,B11,CPUAUX3!O:O)+SUMIF(CPUAUX4!M:M,B11,CPUAUX4!O:O)+SUMIF(CPUAUX5!M:M,B11,CPUAUX5!O:O)</f>
        <v>5</v>
      </c>
      <c r="G11" s="5">
        <f>VLOOKUP(B11,I!$A:$G,5,FALSE)</f>
        <v>5813.32</v>
      </c>
      <c r="H11" s="5">
        <f t="shared" si="0"/>
        <v>29066.6</v>
      </c>
      <c r="I11" s="25">
        <f t="shared" si="1"/>
        <v>4.9846153695337632E-2</v>
      </c>
    </row>
    <row r="12" spans="1:9" ht="28.8" x14ac:dyDescent="0.3">
      <c r="A12" s="23">
        <v>6</v>
      </c>
      <c r="B12" s="23">
        <v>9854</v>
      </c>
      <c r="C12" s="23" t="str">
        <f>VLOOKUP(B12,I!$A:$G,2,FALSE)</f>
        <v>SINAPI</v>
      </c>
      <c r="D12" s="24" t="str">
        <f>VLOOKUP(B12,I!$A:$G,3,FALSE)</f>
        <v>TUBO PVC DE REVESTIMENTO GEOMECANICO NERVURADO STANDARD, DN = 154 MM, COMPRIMENTO = 2 M</v>
      </c>
      <c r="E12" s="23" t="str">
        <f>VLOOKUP(B12,I!$A:$G,4,FALSE)</f>
        <v>M</v>
      </c>
      <c r="F12" s="23">
        <f>SUMIF(CPU!M:M,B12,CPU!O:O)+SUMIF(CPUAUX1!M:M,B12,CPUAUX1!O:O)+SUMIF(CPUAUX2!M:M,B12,CPUAUX2!O:O)+SUMIF(CPUAUX3!M:M,B12,CPUAUX3!O:O)+SUMIF(CPUAUX4!M:M,B12,CPUAUX4!O:O)+SUMIF(CPUAUX5!M:M,B12,CPUAUX5!O:O)</f>
        <v>181.8</v>
      </c>
      <c r="G12" s="5">
        <f>VLOOKUP(B12,I!$A:$G,5,FALSE)</f>
        <v>115.12</v>
      </c>
      <c r="H12" s="5">
        <f t="shared" si="0"/>
        <v>20928.816000000003</v>
      </c>
      <c r="I12" s="25">
        <f t="shared" si="1"/>
        <v>3.5890712329527417E-2</v>
      </c>
    </row>
    <row r="13" spans="1:9" x14ac:dyDescent="0.3">
      <c r="A13" s="23">
        <v>7</v>
      </c>
      <c r="B13" s="23" t="s">
        <v>1046</v>
      </c>
      <c r="C13" s="23" t="str">
        <f>VLOOKUP(B13,I!$A:$G,2,FALSE)</f>
        <v>PRÓPRIA</v>
      </c>
      <c r="D13" s="24" t="str">
        <f>VLOOKUP(B13,I!$A:$G,3,FALSE)</f>
        <v>BOMBA 3CV MONOFÁSICA 220V</v>
      </c>
      <c r="E13" s="23" t="str">
        <f>VLOOKUP(B13,I!$A:$G,4,FALSE)</f>
        <v>UN</v>
      </c>
      <c r="F13" s="23">
        <f>SUMIF(CPU!M:M,B13,CPU!O:O)+SUMIF(CPUAUX1!M:M,B13,CPUAUX1!O:O)+SUMIF(CPUAUX2!M:M,B13,CPUAUX2!O:O)+SUMIF(CPUAUX3!M:M,B13,CPUAUX3!O:O)+SUMIF(CPUAUX4!M:M,B13,CPUAUX4!O:O)+SUMIF(CPUAUX5!M:M,B13,CPUAUX5!O:O)</f>
        <v>5</v>
      </c>
      <c r="G13" s="5">
        <f>VLOOKUP(B13,I!$A:$G,5,FALSE)</f>
        <v>3471</v>
      </c>
      <c r="H13" s="5">
        <f t="shared" si="0"/>
        <v>17355</v>
      </c>
      <c r="I13" s="25">
        <f t="shared" si="1"/>
        <v>2.9761994776911806E-2</v>
      </c>
    </row>
    <row r="14" spans="1:9" x14ac:dyDescent="0.3">
      <c r="A14" s="23">
        <v>8</v>
      </c>
      <c r="B14" s="23">
        <v>9862</v>
      </c>
      <c r="C14" s="23" t="str">
        <f>VLOOKUP(B14,I!$A:$G,2,FALSE)</f>
        <v>SINAPI</v>
      </c>
      <c r="D14" s="24" t="str">
        <f>VLOOKUP(B14,I!$A:$G,3,FALSE)</f>
        <v>TUBO PVC, ROSCAVEL, 1 1/2", AGUA FRIA PREDIAL</v>
      </c>
      <c r="E14" s="23" t="str">
        <f>VLOOKUP(B14,I!$A:$G,4,FALSE)</f>
        <v>M</v>
      </c>
      <c r="F14" s="23">
        <f>SUMIF(CPU!M:M,B14,CPU!O:O)+SUMIF(CPUAUX1!M:M,B14,CPUAUX1!O:O)+SUMIF(CPUAUX2!M:M,B14,CPUAUX2!O:O)+SUMIF(CPUAUX3!M:M,B14,CPUAUX3!O:O)+SUMIF(CPUAUX4!M:M,B14,CPUAUX4!O:O)+SUMIF(CPUAUX5!M:M,B14,CPUAUX5!O:O)</f>
        <v>550</v>
      </c>
      <c r="G14" s="5">
        <f>VLOOKUP(B14,I!$A:$G,5,FALSE)</f>
        <v>31.31</v>
      </c>
      <c r="H14" s="5">
        <f t="shared" si="0"/>
        <v>17220.5</v>
      </c>
      <c r="I14" s="25">
        <f t="shared" si="1"/>
        <v>2.9531341461008918E-2</v>
      </c>
    </row>
    <row r="15" spans="1:9" x14ac:dyDescent="0.3">
      <c r="A15" s="23">
        <v>9</v>
      </c>
      <c r="B15" s="23">
        <v>37370</v>
      </c>
      <c r="C15" s="23" t="str">
        <f>VLOOKUP(B15,I!$A:$G,2,FALSE)</f>
        <v>SINAPI</v>
      </c>
      <c r="D15" s="24" t="str">
        <f>VLOOKUP(B15,I!$A:$G,3,FALSE)</f>
        <v>ALIMENTACAO - HORISTA (COLETADO CAIXA - ENCARGOS COMPLEMENTARES)</v>
      </c>
      <c r="E15" s="23" t="str">
        <f>VLOOKUP(B15,I!$A:$G,4,FALSE)</f>
        <v>H</v>
      </c>
      <c r="F15" s="23">
        <f>SUMIF(CPU!M:M,B15,CPU!O:O)+SUMIF(CPUAUX1!M:M,B15,CPUAUX1!O:O)+SUMIF(CPUAUX2!M:M,B15,CPUAUX2!O:O)+SUMIF(CPUAUX3!M:M,B15,CPUAUX3!O:O)+SUMIF(CPUAUX4!M:M,B15,CPUAUX4!O:O)+SUMIF(CPUAUX5!M:M,B15,CPUAUX5!O:O)</f>
        <v>6264.8595307830001</v>
      </c>
      <c r="G15" s="5">
        <f>VLOOKUP(B15,I!$A:$G,5,FALSE)</f>
        <v>2.46</v>
      </c>
      <c r="H15" s="5">
        <f t="shared" si="0"/>
        <v>15411.55444572618</v>
      </c>
      <c r="I15" s="25">
        <f t="shared" si="1"/>
        <v>2.6429190603157272E-2</v>
      </c>
    </row>
    <row r="16" spans="1:9" x14ac:dyDescent="0.3">
      <c r="A16" s="23">
        <v>10</v>
      </c>
      <c r="B16" s="23">
        <v>34622</v>
      </c>
      <c r="C16" s="23" t="str">
        <f>VLOOKUP(B16,I!$A:$G,2,FALSE)</f>
        <v>SINAPI</v>
      </c>
      <c r="D16" s="24" t="str">
        <f>VLOOKUP(B16,I!$A:$G,3,FALSE)</f>
        <v>CABO FLEXIVEL PVC 750 V, 3 CONDUTORES DE 6,0 MM2</v>
      </c>
      <c r="E16" s="23" t="str">
        <f>VLOOKUP(B16,I!$A:$G,4,FALSE)</f>
        <v>M</v>
      </c>
      <c r="F16" s="23">
        <f>SUMIF(CPU!M:M,B16,CPU!O:O)+SUMIF(CPUAUX1!M:M,B16,CPUAUX1!O:O)+SUMIF(CPUAUX2!M:M,B16,CPUAUX2!O:O)+SUMIF(CPUAUX3!M:M,B16,CPUAUX3!O:O)+SUMIF(CPUAUX4!M:M,B16,CPUAUX4!O:O)+SUMIF(CPUAUX5!M:M,B16,CPUAUX5!O:O)</f>
        <v>600</v>
      </c>
      <c r="G16" s="5">
        <f>VLOOKUP(B16,I!$A:$G,5,FALSE)</f>
        <v>23.41</v>
      </c>
      <c r="H16" s="5">
        <f t="shared" si="0"/>
        <v>14046</v>
      </c>
      <c r="I16" s="25">
        <f t="shared" si="1"/>
        <v>2.4087408737338129E-2</v>
      </c>
    </row>
    <row r="17" spans="1:9" ht="28.8" x14ac:dyDescent="0.3">
      <c r="A17" s="23">
        <v>11</v>
      </c>
      <c r="B17" s="23" t="s">
        <v>1069</v>
      </c>
      <c r="C17" s="23" t="str">
        <f>VLOOKUP(B17,I!$A:$G,2,FALSE)</f>
        <v>SEINFRA</v>
      </c>
      <c r="D17" s="24" t="str">
        <f>VLOOKUP(B17,I!$A:$G,3,FALSE)</f>
        <v>PORTÃO EM METALON E BARRA CHATA DE FERRO C/FECHADURA E DOBRADIÇAS, INCLUS. PINTURA ESMALTE SINTÉTICO (=1M2)</v>
      </c>
      <c r="E17" s="23" t="str">
        <f>VLOOKUP(B17,I!$A:$G,4,FALSE)</f>
        <v>UN</v>
      </c>
      <c r="F17" s="23">
        <f>SUMIF(CPU!M:M,B17,CPU!O:O)+SUMIF(CPUAUX1!M:M,B17,CPUAUX1!O:O)+SUMIF(CPUAUX2!M:M,B17,CPUAUX2!O:O)+SUMIF(CPUAUX3!M:M,B17,CPUAUX3!O:O)+SUMIF(CPUAUX4!M:M,B17,CPUAUX4!O:O)+SUMIF(CPUAUX5!M:M,B17,CPUAUX5!O:O)</f>
        <v>30</v>
      </c>
      <c r="G17" s="5">
        <f>VLOOKUP(B17,I!$A:$G,5,FALSE)</f>
        <v>449.66</v>
      </c>
      <c r="H17" s="5">
        <f t="shared" si="0"/>
        <v>13489.800000000001</v>
      </c>
      <c r="I17" s="25">
        <f t="shared" si="1"/>
        <v>2.3133584393061648E-2</v>
      </c>
    </row>
    <row r="18" spans="1:9" ht="28.8" x14ac:dyDescent="0.3">
      <c r="A18" s="23">
        <v>12</v>
      </c>
      <c r="B18" s="23" t="s">
        <v>1039</v>
      </c>
      <c r="C18" s="23" t="str">
        <f>VLOOKUP(B18,I!$A:$G,2,FALSE)</f>
        <v>PRÓPRIA</v>
      </c>
      <c r="D18" s="24" t="str">
        <f>VLOOKUP(B18,I!$A:$G,3,FALSE)</f>
        <v>EQUIPAMENTOS PARA PERFURAÇÃO PELO ''SISTEMA ROTOPNEUMÁTICO'', COMPOSTO POR MÁQUINA ROTOPNEUMÁTICO, DIESEL</v>
      </c>
      <c r="E18" s="23" t="str">
        <f>VLOOKUP(B18,I!$A:$G,4,FALSE)</f>
        <v>H</v>
      </c>
      <c r="F18" s="23">
        <f>SUMIF(CPU!M:M,B18,CPU!O:O)+SUMIF(CPUAUX1!M:M,B18,CPUAUX1!O:O)+SUMIF(CPUAUX2!M:M,B18,CPUAUX2!O:O)+SUMIF(CPUAUX3!M:M,B18,CPUAUX3!O:O)+SUMIF(CPUAUX4!M:M,B18,CPUAUX4!O:O)+SUMIF(CPUAUX5!M:M,B18,CPUAUX5!O:O)</f>
        <v>30</v>
      </c>
      <c r="G18" s="5">
        <f>VLOOKUP(B18,I!$A:$G,5,FALSE)</f>
        <v>420.5</v>
      </c>
      <c r="H18" s="5">
        <f t="shared" si="0"/>
        <v>12615</v>
      </c>
      <c r="I18" s="25">
        <f t="shared" si="1"/>
        <v>2.1633394647694752E-2</v>
      </c>
    </row>
    <row r="19" spans="1:9" x14ac:dyDescent="0.3">
      <c r="A19" s="23">
        <v>13</v>
      </c>
      <c r="B19" s="23">
        <v>4750</v>
      </c>
      <c r="C19" s="23" t="str">
        <f>VLOOKUP(B19,I!$A:$G,2,FALSE)</f>
        <v>SINAPI</v>
      </c>
      <c r="D19" s="24" t="str">
        <f>VLOOKUP(B19,I!$A:$G,3,FALSE)</f>
        <v>PEDREIRO (HORISTA)</v>
      </c>
      <c r="E19" s="23" t="str">
        <f>VLOOKUP(B19,I!$A:$G,4,FALSE)</f>
        <v>H</v>
      </c>
      <c r="F19" s="23">
        <f>SUMIF(CPU!M:M,B19,CPU!O:O)+SUMIF(CPUAUX1!M:M,B19,CPUAUX1!O:O)+SUMIF(CPUAUX2!M:M,B19,CPUAUX2!O:O)+SUMIF(CPUAUX3!M:M,B19,CPUAUX3!O:O)+SUMIF(CPUAUX4!M:M,B19,CPUAUX4!O:O)+SUMIF(CPUAUX5!M:M,B19,CPUAUX5!O:O)</f>
        <v>562.41006156719993</v>
      </c>
      <c r="G19" s="5">
        <f>VLOOKUP(B19,I!$A:$G,5,FALSE)</f>
        <v>20.329999999999998</v>
      </c>
      <c r="H19" s="5">
        <f t="shared" si="0"/>
        <v>11433.796551661173</v>
      </c>
      <c r="I19" s="25">
        <f t="shared" si="1"/>
        <v>1.9607755301112764E-2</v>
      </c>
    </row>
    <row r="20" spans="1:9" x14ac:dyDescent="0.3">
      <c r="A20" s="23">
        <v>14</v>
      </c>
      <c r="B20" s="23">
        <v>1379</v>
      </c>
      <c r="C20" s="23" t="str">
        <f>VLOOKUP(B20,I!$A:$G,2,FALSE)</f>
        <v>SINAPI</v>
      </c>
      <c r="D20" s="24" t="str">
        <f>VLOOKUP(B20,I!$A:$G,3,FALSE)</f>
        <v>CIMENTO PORTLAND COMPOSTO CP II-32</v>
      </c>
      <c r="E20" s="23" t="str">
        <f>VLOOKUP(B20,I!$A:$G,4,FALSE)</f>
        <v>KG</v>
      </c>
      <c r="F20" s="23">
        <f>SUMIF(CPU!M:M,B20,CPU!O:O)+SUMIF(CPUAUX1!M:M,B20,CPUAUX1!O:O)+SUMIF(CPUAUX2!M:M,B20,CPUAUX2!O:O)+SUMIF(CPUAUX3!M:M,B20,CPUAUX3!O:O)+SUMIF(CPUAUX4!M:M,B20,CPUAUX4!O:O)+SUMIF(CPUAUX5!M:M,B20,CPUAUX5!O:O)</f>
        <v>10521.379681650998</v>
      </c>
      <c r="G20" s="5">
        <f>VLOOKUP(B20,I!$A:$G,5,FALSE)</f>
        <v>1</v>
      </c>
      <c r="H20" s="5">
        <f t="shared" si="0"/>
        <v>10521.379681650998</v>
      </c>
      <c r="I20" s="25">
        <f t="shared" si="1"/>
        <v>1.804305659067721E-2</v>
      </c>
    </row>
    <row r="21" spans="1:9" x14ac:dyDescent="0.3">
      <c r="A21" s="23">
        <v>15</v>
      </c>
      <c r="B21" s="23">
        <v>37372</v>
      </c>
      <c r="C21" s="23" t="str">
        <f>VLOOKUP(B21,I!$A:$G,2,FALSE)</f>
        <v>SINAPI</v>
      </c>
      <c r="D21" s="24" t="str">
        <f>VLOOKUP(B21,I!$A:$G,3,FALSE)</f>
        <v>EXAMES - HORISTA (COLETADO CAIXA - ENCARGOS COMPLEMENTARES)</v>
      </c>
      <c r="E21" s="23" t="str">
        <f>VLOOKUP(B21,I!$A:$G,4,FALSE)</f>
        <v>H</v>
      </c>
      <c r="F21" s="23">
        <f>SUMIF(CPU!M:M,B21,CPU!O:O)+SUMIF(CPUAUX1!M:M,B21,CPUAUX1!O:O)+SUMIF(CPUAUX2!M:M,B21,CPUAUX2!O:O)+SUMIF(CPUAUX3!M:M,B21,CPUAUX3!O:O)+SUMIF(CPUAUX4!M:M,B21,CPUAUX4!O:O)+SUMIF(CPUAUX5!M:M,B21,CPUAUX5!O:O)</f>
        <v>7076.8595307829992</v>
      </c>
      <c r="G21" s="5">
        <f>VLOOKUP(B21,I!$A:$G,5,FALSE)</f>
        <v>1.43</v>
      </c>
      <c r="H21" s="5">
        <f t="shared" si="0"/>
        <v>10119.909129019688</v>
      </c>
      <c r="I21" s="25">
        <f t="shared" si="1"/>
        <v>1.7354576931184446E-2</v>
      </c>
    </row>
    <row r="22" spans="1:9" x14ac:dyDescent="0.3">
      <c r="A22" s="23">
        <v>16</v>
      </c>
      <c r="B22" s="23">
        <v>4083</v>
      </c>
      <c r="C22" s="23" t="str">
        <f>VLOOKUP(B22,I!$A:$G,2,FALSE)</f>
        <v>SINAPI</v>
      </c>
      <c r="D22" s="24" t="str">
        <f>VLOOKUP(B22,I!$A:$G,3,FALSE)</f>
        <v>ENCARREGADO GERAL DE OBRAS (HORISTA)</v>
      </c>
      <c r="E22" s="23" t="str">
        <f>VLOOKUP(B22,I!$A:$G,4,FALSE)</f>
        <v>H</v>
      </c>
      <c r="F22" s="23">
        <f>SUMIF(CPU!M:M,B22,CPU!O:O)+SUMIF(CPUAUX1!M:M,B22,CPUAUX1!O:O)+SUMIF(CPUAUX2!M:M,B22,CPUAUX2!O:O)+SUMIF(CPUAUX3!M:M,B22,CPUAUX3!O:O)+SUMIF(CPUAUX4!M:M,B22,CPUAUX4!O:O)+SUMIF(CPUAUX5!M:M,B22,CPUAUX5!O:O)</f>
        <v>306.36</v>
      </c>
      <c r="G22" s="5">
        <f>VLOOKUP(B22,I!$A:$G,5,FALSE)</f>
        <v>31.85</v>
      </c>
      <c r="H22" s="5">
        <f t="shared" si="0"/>
        <v>9757.5660000000007</v>
      </c>
      <c r="I22" s="25">
        <f t="shared" si="1"/>
        <v>1.6733196676886906E-2</v>
      </c>
    </row>
    <row r="23" spans="1:9" x14ac:dyDescent="0.3">
      <c r="A23" s="23">
        <v>17</v>
      </c>
      <c r="B23" s="23">
        <v>4230</v>
      </c>
      <c r="C23" s="23" t="str">
        <f>VLOOKUP(B23,I!$A:$G,2,FALSE)</f>
        <v>SINAPI</v>
      </c>
      <c r="D23" s="24" t="str">
        <f>VLOOKUP(B23,I!$A:$G,3,FALSE)</f>
        <v>OPERADOR DE MAQUINAS E TRATORES DIVERSOS - TERRAPLANAGEM (HORISTA)</v>
      </c>
      <c r="E23" s="23" t="str">
        <f>VLOOKUP(B23,I!$A:$G,4,FALSE)</f>
        <v>H</v>
      </c>
      <c r="F23" s="23">
        <f>SUMIF(CPU!M:M,B23,CPU!O:O)+SUMIF(CPUAUX1!M:M,B23,CPUAUX1!O:O)+SUMIF(CPUAUX2!M:M,B23,CPUAUX2!O:O)+SUMIF(CPUAUX3!M:M,B23,CPUAUX3!O:O)+SUMIF(CPUAUX4!M:M,B23,CPUAUX4!O:O)+SUMIF(CPUAUX5!M:M,B23,CPUAUX5!O:O)</f>
        <v>439.84964937862065</v>
      </c>
      <c r="G23" s="5">
        <f>VLOOKUP(B23,I!$A:$G,5,FALSE)</f>
        <v>21.48</v>
      </c>
      <c r="H23" s="5">
        <f t="shared" si="0"/>
        <v>9447.9704686527712</v>
      </c>
      <c r="I23" s="25">
        <f t="shared" si="1"/>
        <v>1.6202272989942999E-2</v>
      </c>
    </row>
    <row r="24" spans="1:9" x14ac:dyDescent="0.3">
      <c r="A24" s="23">
        <v>18</v>
      </c>
      <c r="B24" s="23">
        <v>2706</v>
      </c>
      <c r="C24" s="23" t="str">
        <f>VLOOKUP(B24,I!$A:$G,2,FALSE)</f>
        <v>SINAPI</v>
      </c>
      <c r="D24" s="24" t="str">
        <f>VLOOKUP(B24,I!$A:$G,3,FALSE)</f>
        <v>ENGENHEIRO CIVIL DE OBRA JUNIOR (HORISTA)</v>
      </c>
      <c r="E24" s="23" t="str">
        <f>VLOOKUP(B24,I!$A:$G,4,FALSE)</f>
        <v>H</v>
      </c>
      <c r="F24" s="23">
        <f>SUMIF(CPU!M:M,B24,CPU!O:O)+SUMIF(CPUAUX1!M:M,B24,CPUAUX1!O:O)+SUMIF(CPUAUX2!M:M,B24,CPUAUX2!O:O)+SUMIF(CPUAUX3!M:M,B24,CPUAUX3!O:O)+SUMIF(CPUAUX4!M:M,B24,CPUAUX4!O:O)+SUMIF(CPUAUX5!M:M,B24,CPUAUX5!O:O)</f>
        <v>73.062719999999999</v>
      </c>
      <c r="G24" s="5">
        <f>VLOOKUP(B24,I!$A:$G,5,FALSE)</f>
        <v>125.11</v>
      </c>
      <c r="H24" s="5">
        <f t="shared" si="0"/>
        <v>9140.8768992000005</v>
      </c>
      <c r="I24" s="25">
        <f t="shared" si="1"/>
        <v>1.5675639903796265E-2</v>
      </c>
    </row>
    <row r="25" spans="1:9" ht="28.8" x14ac:dyDescent="0.3">
      <c r="A25" s="23">
        <v>19</v>
      </c>
      <c r="B25" s="23" t="s">
        <v>1044</v>
      </c>
      <c r="C25" s="23" t="str">
        <f>VLOOKUP(B25,I!$A:$G,2,FALSE)</f>
        <v>PRÓPRIA</v>
      </c>
      <c r="D25" s="24" t="str">
        <f>VLOOKUP(B25,I!$A:$G,3,FALSE)</f>
        <v>EQUIPAMENTOS PARA PERFURAÇÃO PELO "SISTEMA ROTOPNEUMÁTICO", COMPOSTO POR MÁQUINA ROTOPNEUMÁTICO, DIESEL</v>
      </c>
      <c r="E25" s="23" t="str">
        <f>VLOOKUP(B25,I!$A:$G,4,FALSE)</f>
        <v>HPROD</v>
      </c>
      <c r="F25" s="23">
        <f>SUMIF(CPU!M:M,B25,CPU!O:O)+SUMIF(CPUAUX1!M:M,B25,CPUAUX1!O:O)+SUMIF(CPUAUX2!M:M,B25,CPUAUX2!O:O)+SUMIF(CPUAUX3!M:M,B25,CPUAUX3!O:O)+SUMIF(CPUAUX4!M:M,B25,CPUAUX4!O:O)+SUMIF(CPUAUX5!M:M,B25,CPUAUX5!O:O)</f>
        <v>19.134</v>
      </c>
      <c r="G25" s="5">
        <f>VLOOKUP(B25,I!$A:$G,5,FALSE)</f>
        <v>420.5</v>
      </c>
      <c r="H25" s="5">
        <f t="shared" si="0"/>
        <v>8045.8469999999998</v>
      </c>
      <c r="I25" s="25">
        <f t="shared" si="1"/>
        <v>1.3797779106299712E-2</v>
      </c>
    </row>
    <row r="26" spans="1:9" x14ac:dyDescent="0.3">
      <c r="A26" s="23">
        <v>20</v>
      </c>
      <c r="B26" s="23" t="s">
        <v>1024</v>
      </c>
      <c r="C26" s="23" t="str">
        <f>VLOOKUP(B26,I!$A:$G,2,FALSE)</f>
        <v>PRÓPRIA</v>
      </c>
      <c r="D26" s="24" t="str">
        <f>VLOOKUP(B26,I!$A:$G,3,FALSE)</f>
        <v>GEÓLOGO SÊNIOR COM ENCARGOS COMPLEMENTARES</v>
      </c>
      <c r="E26" s="23" t="str">
        <f>VLOOKUP(B26,I!$A:$G,4,FALSE)</f>
        <v>H</v>
      </c>
      <c r="F26" s="23">
        <f>SUMIF(CPU!M:M,B26,CPU!O:O)+SUMIF(CPUAUX1!M:M,B26,CPUAUX1!O:O)+SUMIF(CPUAUX2!M:M,B26,CPUAUX2!O:O)+SUMIF(CPUAUX3!M:M,B26,CPUAUX3!O:O)+SUMIF(CPUAUX4!M:M,B26,CPUAUX4!O:O)+SUMIF(CPUAUX5!M:M,B26,CPUAUX5!O:O)</f>
        <v>72</v>
      </c>
      <c r="G26" s="5">
        <f>VLOOKUP(B26,I!$A:$G,5,FALSE)</f>
        <v>111.02</v>
      </c>
      <c r="H26" s="5">
        <f t="shared" si="0"/>
        <v>7993.44</v>
      </c>
      <c r="I26" s="25">
        <f t="shared" si="1"/>
        <v>1.3707906628035603E-2</v>
      </c>
    </row>
    <row r="27" spans="1:9" x14ac:dyDescent="0.3">
      <c r="A27" s="23">
        <v>21</v>
      </c>
      <c r="B27" s="23">
        <v>253</v>
      </c>
      <c r="C27" s="23" t="str">
        <f>VLOOKUP(B27,I!$A:$G,2,FALSE)</f>
        <v>SINAPI</v>
      </c>
      <c r="D27" s="24" t="str">
        <f>VLOOKUP(B27,I!$A:$G,3,FALSE)</f>
        <v>ALMOXARIFE (HORISTA)</v>
      </c>
      <c r="E27" s="23" t="str">
        <f>VLOOKUP(B27,I!$A:$G,4,FALSE)</f>
        <v>H</v>
      </c>
      <c r="F27" s="23">
        <f>SUMIF(CPU!M:M,B27,CPU!O:O)+SUMIF(CPUAUX1!M:M,B27,CPUAUX1!O:O)+SUMIF(CPUAUX2!M:M,B27,CPUAUX2!O:O)+SUMIF(CPUAUX3!M:M,B27,CPUAUX3!O:O)+SUMIF(CPUAUX4!M:M,B27,CPUAUX4!O:O)+SUMIF(CPUAUX5!M:M,B27,CPUAUX5!O:O)</f>
        <v>301.52699999999999</v>
      </c>
      <c r="G27" s="5">
        <f>VLOOKUP(B27,I!$A:$G,5,FALSE)</f>
        <v>20.329999999999998</v>
      </c>
      <c r="H27" s="5">
        <f t="shared" si="0"/>
        <v>6130.0439099999994</v>
      </c>
      <c r="I27" s="25">
        <f t="shared" si="1"/>
        <v>1.0512378843656583E-2</v>
      </c>
    </row>
    <row r="28" spans="1:9" x14ac:dyDescent="0.3">
      <c r="A28" s="23">
        <v>22</v>
      </c>
      <c r="B28" s="23">
        <v>2708</v>
      </c>
      <c r="C28" s="23" t="str">
        <f>VLOOKUP(B28,I!$A:$G,2,FALSE)</f>
        <v>SINAPI</v>
      </c>
      <c r="D28" s="24" t="str">
        <f>VLOOKUP(B28,I!$A:$G,3,FALSE)</f>
        <v>ENGENHEIRO CIVIL DE OBRA SENIOR (HORISTA)</v>
      </c>
      <c r="E28" s="23" t="str">
        <f>VLOOKUP(B28,I!$A:$G,4,FALSE)</f>
        <v>H</v>
      </c>
      <c r="F28" s="23">
        <f>SUMIF(CPU!M:M,B28,CPU!O:O)+SUMIF(CPUAUX1!M:M,B28,CPUAUX1!O:O)+SUMIF(CPUAUX2!M:M,B28,CPUAUX2!O:O)+SUMIF(CPUAUX3!M:M,B28,CPUAUX3!O:O)+SUMIF(CPUAUX4!M:M,B28,CPUAUX4!O:O)+SUMIF(CPUAUX5!M:M,B28,CPUAUX5!O:O)</f>
        <v>40.590400000000002</v>
      </c>
      <c r="G28" s="5">
        <f>VLOOKUP(B28,I!$A:$G,5,FALSE)</f>
        <v>147.6</v>
      </c>
      <c r="H28" s="5">
        <f t="shared" si="0"/>
        <v>5991.1430399999999</v>
      </c>
      <c r="I28" s="25">
        <f t="shared" si="1"/>
        <v>1.0274178499810516E-2</v>
      </c>
    </row>
    <row r="29" spans="1:9" x14ac:dyDescent="0.3">
      <c r="A29" s="23">
        <v>23</v>
      </c>
      <c r="B29" s="23" t="s">
        <v>1032</v>
      </c>
      <c r="C29" s="23" t="str">
        <f>VLOOKUP(B29,I!$A:$G,2,FALSE)</f>
        <v>PRÓPRIA</v>
      </c>
      <c r="D29" s="24" t="str">
        <f>VLOOKUP(B29,I!$A:$G,3,FALSE)</f>
        <v>GEÓLOGO SÊNIOR COM ENCARGOS COMPLEMENTARES</v>
      </c>
      <c r="E29" s="23" t="str">
        <f>VLOOKUP(B29,I!$A:$G,4,FALSE)</f>
        <v>H</v>
      </c>
      <c r="F29" s="23">
        <f>SUMIF(CPU!M:M,B29,CPU!O:O)+SUMIF(CPUAUX1!M:M,B29,CPUAUX1!O:O)+SUMIF(CPUAUX2!M:M,B29,CPUAUX2!O:O)+SUMIF(CPUAUX3!M:M,B29,CPUAUX3!O:O)+SUMIF(CPUAUX4!M:M,B29,CPUAUX4!O:O)+SUMIF(CPUAUX5!M:M,B29,CPUAUX5!O:O)</f>
        <v>50</v>
      </c>
      <c r="G29" s="5">
        <f>VLOOKUP(B29,I!$A:$G,5,FALSE)</f>
        <v>111.02</v>
      </c>
      <c r="H29" s="5">
        <f t="shared" si="0"/>
        <v>5551</v>
      </c>
      <c r="I29" s="25">
        <f t="shared" si="1"/>
        <v>9.519379602802502E-3</v>
      </c>
    </row>
    <row r="30" spans="1:9" x14ac:dyDescent="0.3">
      <c r="A30" s="23">
        <v>24</v>
      </c>
      <c r="B30" s="23" t="s">
        <v>1034</v>
      </c>
      <c r="C30" s="23" t="str">
        <f>VLOOKUP(B30,I!$A:$G,2,FALSE)</f>
        <v>PRÓPRIA</v>
      </c>
      <c r="D30" s="24" t="str">
        <f>VLOOKUP(B30,I!$A:$G,3,FALSE)</f>
        <v>GEÓLOGO SÊNIOR ENCARGOS COMPLEMENTARES</v>
      </c>
      <c r="E30" s="23" t="str">
        <f>VLOOKUP(B30,I!$A:$G,4,FALSE)</f>
        <v>H</v>
      </c>
      <c r="F30" s="23">
        <f>SUMIF(CPU!M:M,B30,CPU!O:O)+SUMIF(CPUAUX1!M:M,B30,CPUAUX1!O:O)+SUMIF(CPUAUX2!M:M,B30,CPUAUX2!O:O)+SUMIF(CPUAUX3!M:M,B30,CPUAUX3!O:O)+SUMIF(CPUAUX4!M:M,B30,CPUAUX4!O:O)+SUMIF(CPUAUX5!M:M,B30,CPUAUX5!O:O)</f>
        <v>50</v>
      </c>
      <c r="G30" s="5">
        <f>VLOOKUP(B30,I!$A:$G,5,FALSE)</f>
        <v>111.02</v>
      </c>
      <c r="H30" s="5">
        <f t="shared" si="0"/>
        <v>5551</v>
      </c>
      <c r="I30" s="25">
        <f t="shared" si="1"/>
        <v>9.519379602802502E-3</v>
      </c>
    </row>
    <row r="31" spans="1:9" x14ac:dyDescent="0.3">
      <c r="A31" s="23">
        <v>25</v>
      </c>
      <c r="B31" s="23" t="s">
        <v>1042</v>
      </c>
      <c r="C31" s="23" t="str">
        <f>VLOOKUP(B31,I!$A:$G,2,FALSE)</f>
        <v>PRÓPRIA</v>
      </c>
      <c r="D31" s="24" t="str">
        <f>VLOOKUP(B31,I!$A:$G,3,FALSE)</f>
        <v>GEÓLOGO SÊNIOR</v>
      </c>
      <c r="E31" s="23" t="str">
        <f>VLOOKUP(B31,I!$A:$G,4,FALSE)</f>
        <v>H</v>
      </c>
      <c r="F31" s="23">
        <f>SUMIF(CPU!M:M,B31,CPU!O:O)+SUMIF(CPUAUX1!M:M,B31,CPUAUX1!O:O)+SUMIF(CPUAUX2!M:M,B31,CPUAUX2!O:O)+SUMIF(CPUAUX3!M:M,B31,CPUAUX3!O:O)+SUMIF(CPUAUX4!M:M,B31,CPUAUX4!O:O)+SUMIF(CPUAUX5!M:M,B31,CPUAUX5!O:O)</f>
        <v>50</v>
      </c>
      <c r="G31" s="5">
        <f>VLOOKUP(B31,I!$A:$G,5,FALSE)</f>
        <v>111.02</v>
      </c>
      <c r="H31" s="5">
        <f t="shared" si="0"/>
        <v>5551</v>
      </c>
      <c r="I31" s="25">
        <f t="shared" si="1"/>
        <v>9.519379602802502E-3</v>
      </c>
    </row>
    <row r="32" spans="1:9" x14ac:dyDescent="0.3">
      <c r="A32" s="23">
        <v>26</v>
      </c>
      <c r="B32" s="23">
        <v>251</v>
      </c>
      <c r="C32" s="23" t="str">
        <f>VLOOKUP(B32,I!$A:$G,2,FALSE)</f>
        <v>SINAPI</v>
      </c>
      <c r="D32" s="24" t="str">
        <f>VLOOKUP(B32,I!$A:$G,3,FALSE)</f>
        <v>AUXILIAR DE MECANICO (HORISTA)</v>
      </c>
      <c r="E32" s="23" t="str">
        <f>VLOOKUP(B32,I!$A:$G,4,FALSE)</f>
        <v>H</v>
      </c>
      <c r="F32" s="23">
        <f>SUMIF(CPU!M:M,B32,CPU!O:O)+SUMIF(CPUAUX1!M:M,B32,CPUAUX1!O:O)+SUMIF(CPUAUX2!M:M,B32,CPUAUX2!O:O)+SUMIF(CPUAUX3!M:M,B32,CPUAUX3!O:O)+SUMIF(CPUAUX4!M:M,B32,CPUAUX4!O:O)+SUMIF(CPUAUX5!M:M,B32,CPUAUX5!O:O)</f>
        <v>333.8082</v>
      </c>
      <c r="G32" s="5">
        <f>VLOOKUP(B32,I!$A:$G,5,FALSE)</f>
        <v>15.57</v>
      </c>
      <c r="H32" s="5">
        <f t="shared" si="0"/>
        <v>5197.3936739999999</v>
      </c>
      <c r="I32" s="25">
        <f t="shared" si="1"/>
        <v>8.9129820443182052E-3</v>
      </c>
    </row>
    <row r="33" spans="1:9" x14ac:dyDescent="0.3">
      <c r="A33" s="23">
        <v>27</v>
      </c>
      <c r="B33" s="23">
        <v>43491</v>
      </c>
      <c r="C33" s="23" t="str">
        <f>VLOOKUP(B33,I!$A:$G,2,FALSE)</f>
        <v>SINAPI</v>
      </c>
      <c r="D33" s="24" t="str">
        <f>VLOOKUP(B33,I!$A:$G,3,FALSE)</f>
        <v>EPI - FAMILIA SERVENTE - HORISTA (ENCARGOS COMPLEMENTARES - COLETADO CAIXA)</v>
      </c>
      <c r="E33" s="23" t="str">
        <f>VLOOKUP(B33,I!$A:$G,4,FALSE)</f>
        <v>H</v>
      </c>
      <c r="F33" s="23">
        <f>SUMIF(CPU!M:M,B33,CPU!O:O)+SUMIF(CPUAUX1!M:M,B33,CPUAUX1!O:O)+SUMIF(CPUAUX2!M:M,B33,CPUAUX2!O:O)+SUMIF(CPUAUX3!M:M,B33,CPUAUX3!O:O)+SUMIF(CPUAUX4!M:M,B33,CPUAUX4!O:O)+SUMIF(CPUAUX5!M:M,B33,CPUAUX5!O:O)</f>
        <v>3529.9093929680002</v>
      </c>
      <c r="G33" s="5">
        <f>VLOOKUP(B33,I!$A:$G,5,FALSE)</f>
        <v>1.39</v>
      </c>
      <c r="H33" s="5">
        <f t="shared" si="0"/>
        <v>4906.5740562255196</v>
      </c>
      <c r="I33" s="25">
        <f t="shared" si="1"/>
        <v>8.4142570690818146E-3</v>
      </c>
    </row>
    <row r="34" spans="1:9" ht="28.8" x14ac:dyDescent="0.3">
      <c r="A34" s="23">
        <v>28</v>
      </c>
      <c r="B34" s="23">
        <v>4114</v>
      </c>
      <c r="C34" s="23" t="str">
        <f>VLOOKUP(B34,I!$A:$G,2,FALSE)</f>
        <v>SINAPI</v>
      </c>
      <c r="D34" s="24" t="str">
        <f>VLOOKUP(B34,I!$A:$G,3,FALSE)</f>
        <v>MOURAO CONCRETO CURVO, SECAO "T", H = 2,80 M + CURVA COM 0,45 M, COM FUROS PARA FIOS</v>
      </c>
      <c r="E34" s="23" t="str">
        <f>VLOOKUP(B34,I!$A:$G,4,FALSE)</f>
        <v>UN</v>
      </c>
      <c r="F34" s="23">
        <f>SUMIF(CPU!M:M,B34,CPU!O:O)+SUMIF(CPUAUX1!M:M,B34,CPUAUX1!O:O)+SUMIF(CPUAUX2!M:M,B34,CPUAUX2!O:O)+SUMIF(CPUAUX3!M:M,B34,CPUAUX3!O:O)+SUMIF(CPUAUX4!M:M,B34,CPUAUX4!O:O)+SUMIF(CPUAUX5!M:M,B34,CPUAUX5!O:O)</f>
        <v>74</v>
      </c>
      <c r="G34" s="5">
        <f>VLOOKUP(B34,I!$A:$G,5,FALSE)</f>
        <v>64.400000000000006</v>
      </c>
      <c r="H34" s="5">
        <f t="shared" si="0"/>
        <v>4765.6000000000004</v>
      </c>
      <c r="I34" s="25">
        <f t="shared" si="1"/>
        <v>8.1725014294929937E-3</v>
      </c>
    </row>
    <row r="35" spans="1:9" x14ac:dyDescent="0.3">
      <c r="A35" s="23">
        <v>29</v>
      </c>
      <c r="B35" s="23">
        <v>1213</v>
      </c>
      <c r="C35" s="23" t="str">
        <f>VLOOKUP(B35,I!$A:$G,2,FALSE)</f>
        <v>SINAPI</v>
      </c>
      <c r="D35" s="24" t="str">
        <f>VLOOKUP(B35,I!$A:$G,3,FALSE)</f>
        <v>CARPINTEIRO DE FORMAS PARA CONCRETO (HORISTA)</v>
      </c>
      <c r="E35" s="23" t="str">
        <f>VLOOKUP(B35,I!$A:$G,4,FALSE)</f>
        <v>H</v>
      </c>
      <c r="F35" s="23">
        <f>SUMIF(CPU!M:M,B35,CPU!O:O)+SUMIF(CPUAUX1!M:M,B35,CPUAUX1!O:O)+SUMIF(CPUAUX2!M:M,B35,CPUAUX2!O:O)+SUMIF(CPUAUX3!M:M,B35,CPUAUX3!O:O)+SUMIF(CPUAUX4!M:M,B35,CPUAUX4!O:O)+SUMIF(CPUAUX5!M:M,B35,CPUAUX5!O:O)</f>
        <v>227.62953400990992</v>
      </c>
      <c r="G35" s="5">
        <f>VLOOKUP(B35,I!$A:$G,5,FALSE)</f>
        <v>20.329999999999998</v>
      </c>
      <c r="H35" s="5">
        <f t="shared" si="0"/>
        <v>4627.7084264214682</v>
      </c>
      <c r="I35" s="25">
        <f t="shared" si="1"/>
        <v>7.9360319225713905E-3</v>
      </c>
    </row>
    <row r="36" spans="1:9" ht="28.8" x14ac:dyDescent="0.3">
      <c r="A36" s="23">
        <v>30</v>
      </c>
      <c r="B36" s="23">
        <v>3346</v>
      </c>
      <c r="C36" s="23" t="str">
        <f>VLOOKUP(B36,I!$A:$G,2,FALSE)</f>
        <v>SINAPI</v>
      </c>
      <c r="D36" s="24" t="str">
        <f>VLOOKUP(B36,I!$A:$G,3,FALSE)</f>
        <v>LOCACAO DE GRUPO GERADOR *80 A 125* KVA, MOTOR DIESEL, REBOCAVEL, ACIONAMENTO MANUAL</v>
      </c>
      <c r="E36" s="23" t="str">
        <f>VLOOKUP(B36,I!$A:$G,4,FALSE)</f>
        <v>H</v>
      </c>
      <c r="F36" s="23">
        <f>SUMIF(CPU!M:M,B36,CPU!O:O)+SUMIF(CPUAUX1!M:M,B36,CPUAUX1!O:O)+SUMIF(CPUAUX2!M:M,B36,CPUAUX2!O:O)+SUMIF(CPUAUX3!M:M,B36,CPUAUX3!O:O)+SUMIF(CPUAUX4!M:M,B36,CPUAUX4!O:O)+SUMIF(CPUAUX5!M:M,B36,CPUAUX5!O:O)</f>
        <v>180</v>
      </c>
      <c r="G36" s="5">
        <f>VLOOKUP(B36,I!$A:$G,5,FALSE)</f>
        <v>23.43</v>
      </c>
      <c r="H36" s="5">
        <f t="shared" si="0"/>
        <v>4217.3999999999996</v>
      </c>
      <c r="I36" s="25">
        <f t="shared" si="1"/>
        <v>7.2323962415527417E-3</v>
      </c>
    </row>
    <row r="37" spans="1:9" x14ac:dyDescent="0.3">
      <c r="A37" s="23">
        <v>31</v>
      </c>
      <c r="B37" s="23" t="s">
        <v>1026</v>
      </c>
      <c r="C37" s="23" t="str">
        <f>VLOOKUP(B37,I!$A:$G,2,FALSE)</f>
        <v>ORSE</v>
      </c>
      <c r="D37" s="24" t="str">
        <f>VLOOKUP(B37,I!$A:$G,3,FALSE)</f>
        <v>VEÍCULO LEVE - PICK UP (97KW)</v>
      </c>
      <c r="E37" s="23" t="str">
        <f>VLOOKUP(B37,I!$A:$G,4,FALSE)</f>
        <v>H</v>
      </c>
      <c r="F37" s="23">
        <f>SUMIF(CPU!M:M,B37,CPU!O:O)+SUMIF(CPUAUX1!M:M,B37,CPUAUX1!O:O)+SUMIF(CPUAUX2!M:M,B37,CPUAUX2!O:O)+SUMIF(CPUAUX3!M:M,B37,CPUAUX3!O:O)+SUMIF(CPUAUX4!M:M,B37,CPUAUX4!O:O)+SUMIF(CPUAUX5!M:M,B37,CPUAUX5!O:O)</f>
        <v>372</v>
      </c>
      <c r="G37" s="5">
        <f>VLOOKUP(B37,I!$A:$G,5,FALSE)</f>
        <v>10.56</v>
      </c>
      <c r="H37" s="5">
        <f t="shared" si="0"/>
        <v>3928.32</v>
      </c>
      <c r="I37" s="25">
        <f t="shared" si="1"/>
        <v>6.7366545273430242E-3</v>
      </c>
    </row>
    <row r="38" spans="1:9" x14ac:dyDescent="0.3">
      <c r="A38" s="23">
        <v>32</v>
      </c>
      <c r="B38" s="23">
        <v>36084</v>
      </c>
      <c r="C38" s="23" t="str">
        <f>VLOOKUP(B38,I!$A:$G,2,FALSE)</f>
        <v>SINAPI</v>
      </c>
      <c r="D38" s="24" t="str">
        <f>VLOOKUP(B38,I!$A:$G,3,FALSE)</f>
        <v>TUBO PVC PBA JEI, CLASSE 12, DN 50 MM, PARA REDE DE AGUA (NBR 5647)</v>
      </c>
      <c r="E38" s="23" t="str">
        <f>VLOOKUP(B38,I!$A:$G,4,FALSE)</f>
        <v>M</v>
      </c>
      <c r="F38" s="23">
        <f>SUMIF(CPU!M:M,B38,CPU!O:O)+SUMIF(CPUAUX1!M:M,B38,CPUAUX1!O:O)+SUMIF(CPUAUX2!M:M,B38,CPUAUX2!O:O)+SUMIF(CPUAUX3!M:M,B38,CPUAUX3!O:O)+SUMIF(CPUAUX4!M:M,B38,CPUAUX4!O:O)+SUMIF(CPUAUX5!M:M,B38,CPUAUX5!O:O)</f>
        <v>170</v>
      </c>
      <c r="G38" s="5">
        <f>VLOOKUP(B38,I!$A:$G,5,FALSE)</f>
        <v>23.34</v>
      </c>
      <c r="H38" s="5">
        <f t="shared" si="0"/>
        <v>3967.8</v>
      </c>
      <c r="I38" s="25">
        <f t="shared" si="1"/>
        <v>6.8043585638623257E-3</v>
      </c>
    </row>
    <row r="39" spans="1:9" x14ac:dyDescent="0.3">
      <c r="A39" s="23">
        <v>33</v>
      </c>
      <c r="B39" s="23">
        <v>2436</v>
      </c>
      <c r="C39" s="23" t="str">
        <f>VLOOKUP(B39,I!$A:$G,2,FALSE)</f>
        <v>SINAPI</v>
      </c>
      <c r="D39" s="24" t="str">
        <f>VLOOKUP(B39,I!$A:$G,3,FALSE)</f>
        <v>ELETRICISTA (HORISTA)</v>
      </c>
      <c r="E39" s="23" t="str">
        <f>VLOOKUP(B39,I!$A:$G,4,FALSE)</f>
        <v>H</v>
      </c>
      <c r="F39" s="23">
        <f>SUMIF(CPU!M:M,B39,CPU!O:O)+SUMIF(CPUAUX1!M:M,B39,CPUAUX1!O:O)+SUMIF(CPUAUX2!M:M,B39,CPUAUX2!O:O)+SUMIF(CPUAUX3!M:M,B39,CPUAUX3!O:O)+SUMIF(CPUAUX4!M:M,B39,CPUAUX4!O:O)+SUMIF(CPUAUX5!M:M,B39,CPUAUX5!O:O)</f>
        <v>185.28953090299996</v>
      </c>
      <c r="G39" s="5">
        <f>VLOOKUP(B39,I!$A:$G,5,FALSE)</f>
        <v>20.329999999999998</v>
      </c>
      <c r="H39" s="5">
        <f t="shared" si="0"/>
        <v>3766.9361632579889</v>
      </c>
      <c r="I39" s="25">
        <f t="shared" si="1"/>
        <v>6.4598982665424638E-3</v>
      </c>
    </row>
    <row r="40" spans="1:9" x14ac:dyDescent="0.3">
      <c r="A40" s="23">
        <v>34</v>
      </c>
      <c r="B40" s="23">
        <v>246</v>
      </c>
      <c r="C40" s="23" t="str">
        <f>VLOOKUP(B40,I!$A:$G,2,FALSE)</f>
        <v>SINAPI</v>
      </c>
      <c r="D40" s="24" t="str">
        <f>VLOOKUP(B40,I!$A:$G,3,FALSE)</f>
        <v>AUXILIAR DE ENCANADOR OU BOMBEIRO HIDRAULICO (HORISTA)</v>
      </c>
      <c r="E40" s="23" t="str">
        <f>VLOOKUP(B40,I!$A:$G,4,FALSE)</f>
        <v>H</v>
      </c>
      <c r="F40" s="23">
        <f>SUMIF(CPU!M:M,B40,CPU!O:O)+SUMIF(CPUAUX1!M:M,B40,CPUAUX1!O:O)+SUMIF(CPUAUX2!M:M,B40,CPUAUX2!O:O)+SUMIF(CPUAUX3!M:M,B40,CPUAUX3!O:O)+SUMIF(CPUAUX4!M:M,B40,CPUAUX4!O:O)+SUMIF(CPUAUX5!M:M,B40,CPUAUX5!O:O)</f>
        <v>239.68491796999999</v>
      </c>
      <c r="G40" s="5">
        <f>VLOOKUP(B40,I!$A:$G,5,FALSE)</f>
        <v>15.57</v>
      </c>
      <c r="H40" s="5">
        <f t="shared" si="0"/>
        <v>3731.8941727929</v>
      </c>
      <c r="I40" s="25">
        <f t="shared" si="1"/>
        <v>6.3998049483520534E-3</v>
      </c>
    </row>
    <row r="41" spans="1:9" x14ac:dyDescent="0.3">
      <c r="A41" s="23">
        <v>35</v>
      </c>
      <c r="B41" s="23">
        <v>37371</v>
      </c>
      <c r="C41" s="23" t="str">
        <f>VLOOKUP(B41,I!$A:$G,2,FALSE)</f>
        <v>SINAPI</v>
      </c>
      <c r="D41" s="24" t="str">
        <f>VLOOKUP(B41,I!$A:$G,3,FALSE)</f>
        <v>TRANSPORTE - HORISTA (COLETADO CAIXA - ENCARGOS COMPLEMENTARES)</v>
      </c>
      <c r="E41" s="23" t="str">
        <f>VLOOKUP(B41,I!$A:$G,4,FALSE)</f>
        <v>H</v>
      </c>
      <c r="F41" s="23">
        <f>SUMIF(CPU!M:M,B41,CPU!O:O)+SUMIF(CPUAUX1!M:M,B41,CPUAUX1!O:O)+SUMIF(CPUAUX2!M:M,B41,CPUAUX2!O:O)+SUMIF(CPUAUX3!M:M,B41,CPUAUX3!O:O)+SUMIF(CPUAUX4!M:M,B41,CPUAUX4!O:O)+SUMIF(CPUAUX5!M:M,B41,CPUAUX5!O:O)</f>
        <v>6264.8595307830001</v>
      </c>
      <c r="G41" s="5">
        <f>VLOOKUP(B41,I!$A:$G,5,FALSE)</f>
        <v>0.56999999999999995</v>
      </c>
      <c r="H41" s="5">
        <f t="shared" si="0"/>
        <v>3570.9699325463098</v>
      </c>
      <c r="I41" s="25">
        <f t="shared" si="1"/>
        <v>6.123836847073026E-3</v>
      </c>
    </row>
    <row r="42" spans="1:9" x14ac:dyDescent="0.3">
      <c r="A42" s="23">
        <v>36</v>
      </c>
      <c r="B42" s="23">
        <v>4721</v>
      </c>
      <c r="C42" s="23" t="str">
        <f>VLOOKUP(B42,I!$A:$G,2,FALSE)</f>
        <v>SINAPI</v>
      </c>
      <c r="D42" s="24" t="str">
        <f>VLOOKUP(B42,I!$A:$G,3,FALSE)</f>
        <v>PEDRA BRITADA N. 1 (9,5 A 19 MM) POSTO PEDREIRA/FORNECEDOR, SEM FRETE</v>
      </c>
      <c r="E42" s="23" t="str">
        <f>VLOOKUP(B42,I!$A:$G,4,FALSE)</f>
        <v>M3</v>
      </c>
      <c r="F42" s="23">
        <f>SUMIF(CPU!M:M,B42,CPU!O:O)+SUMIF(CPUAUX1!M:M,B42,CPUAUX1!O:O)+SUMIF(CPUAUX2!M:M,B42,CPUAUX2!O:O)+SUMIF(CPUAUX3!M:M,B42,CPUAUX3!O:O)+SUMIF(CPUAUX4!M:M,B42,CPUAUX4!O:O)+SUMIF(CPUAUX5!M:M,B42,CPUAUX5!O:O)</f>
        <v>13.430730270999998</v>
      </c>
      <c r="G42" s="5">
        <f>VLOOKUP(B42,I!$A:$G,5,FALSE)</f>
        <v>248.89</v>
      </c>
      <c r="H42" s="5">
        <f t="shared" si="0"/>
        <v>3342.7744571491894</v>
      </c>
      <c r="I42" s="25">
        <f t="shared" si="1"/>
        <v>5.7325056717988116E-3</v>
      </c>
    </row>
    <row r="43" spans="1:9" ht="28.8" x14ac:dyDescent="0.3">
      <c r="A43" s="23">
        <v>37</v>
      </c>
      <c r="B43" s="23">
        <v>4930</v>
      </c>
      <c r="C43" s="23" t="str">
        <f>VLOOKUP(B43,I!$A:$G,2,FALSE)</f>
        <v>SINAPI</v>
      </c>
      <c r="D43" s="24" t="str">
        <f>VLOOKUP(B43,I!$A:$G,3,FALSE)</f>
        <v>PORTA DE ABRIR / GIRO, EM GRADIL FERRO, COM BARRA CHATA 3 CM X 1/4", COM REQUADRO E GUARNICAO - COMPLETO - ACABAMENTO NATURAL</v>
      </c>
      <c r="E43" s="23" t="str">
        <f>VLOOKUP(B43,I!$A:$G,4,FALSE)</f>
        <v>M2</v>
      </c>
      <c r="F43" s="23">
        <f>SUMIF(CPU!M:M,B43,CPU!O:O)+SUMIF(CPUAUX1!M:M,B43,CPUAUX1!O:O)+SUMIF(CPUAUX2!M:M,B43,CPUAUX2!O:O)+SUMIF(CPUAUX3!M:M,B43,CPUAUX3!O:O)+SUMIF(CPUAUX4!M:M,B43,CPUAUX4!O:O)+SUMIF(CPUAUX5!M:M,B43,CPUAUX5!O:O)</f>
        <v>8.4</v>
      </c>
      <c r="G43" s="5">
        <f>VLOOKUP(B43,I!$A:$G,5,FALSE)</f>
        <v>389.05</v>
      </c>
      <c r="H43" s="5">
        <f t="shared" si="0"/>
        <v>3268.0200000000004</v>
      </c>
      <c r="I43" s="25">
        <f t="shared" si="1"/>
        <v>5.6043096612413325E-3</v>
      </c>
    </row>
    <row r="44" spans="1:9" x14ac:dyDescent="0.3">
      <c r="A44" s="23">
        <v>38</v>
      </c>
      <c r="B44" s="23" t="s">
        <v>1051</v>
      </c>
      <c r="C44" s="23" t="str">
        <f>VLOOKUP(B44,I!$A:$G,2,FALSE)</f>
        <v>ORSE</v>
      </c>
      <c r="D44" s="24" t="str">
        <f>VLOOKUP(B44,I!$A:$G,3,FALSE)</f>
        <v>HIPOCLORADOR OU DOSADOR DE SOLUÇÕES, COM REGULADOR P/ 6,12 OU 24 L/H</v>
      </c>
      <c r="E44" s="23" t="str">
        <f>VLOOKUP(B44,I!$A:$G,4,FALSE)</f>
        <v>UN</v>
      </c>
      <c r="F44" s="23">
        <f>SUMIF(CPU!M:M,B44,CPU!O:O)+SUMIF(CPUAUX1!M:M,B44,CPUAUX1!O:O)+SUMIF(CPUAUX2!M:M,B44,CPUAUX2!O:O)+SUMIF(CPUAUX3!M:M,B44,CPUAUX3!O:O)+SUMIF(CPUAUX4!M:M,B44,CPUAUX4!O:O)+SUMIF(CPUAUX5!M:M,B44,CPUAUX5!O:O)</f>
        <v>5</v>
      </c>
      <c r="G44" s="5">
        <f>VLOOKUP(B44,I!$A:$G,5,FALSE)</f>
        <v>647.55999999999995</v>
      </c>
      <c r="H44" s="5">
        <f t="shared" si="0"/>
        <v>3237.7999999999997</v>
      </c>
      <c r="I44" s="25">
        <f t="shared" si="1"/>
        <v>5.5524855481812177E-3</v>
      </c>
    </row>
    <row r="45" spans="1:9" x14ac:dyDescent="0.3">
      <c r="A45" s="23">
        <v>39</v>
      </c>
      <c r="B45" s="23">
        <v>370</v>
      </c>
      <c r="C45" s="23" t="str">
        <f>VLOOKUP(B45,I!$A:$G,2,FALSE)</f>
        <v>SINAPI</v>
      </c>
      <c r="D45" s="24" t="str">
        <f>VLOOKUP(B45,I!$A:$G,3,FALSE)</f>
        <v>AREIA MEDIA - POSTO JAZIDA/FORNECEDOR (RETIRADO NA JAZIDA, SEM TRANSPORTE)</v>
      </c>
      <c r="E45" s="23" t="str">
        <f>VLOOKUP(B45,I!$A:$G,4,FALSE)</f>
        <v>M3</v>
      </c>
      <c r="F45" s="23">
        <f>SUMIF(CPU!M:M,B45,CPU!O:O)+SUMIF(CPUAUX1!M:M,B45,CPUAUX1!O:O)+SUMIF(CPUAUX2!M:M,B45,CPUAUX2!O:O)+SUMIF(CPUAUX3!M:M,B45,CPUAUX3!O:O)+SUMIF(CPUAUX4!M:M,B45,CPUAUX4!O:O)+SUMIF(CPUAUX5!M:M,B45,CPUAUX5!O:O)</f>
        <v>33.601837564999997</v>
      </c>
      <c r="G45" s="5">
        <f>VLOOKUP(B45,I!$A:$G,5,FALSE)</f>
        <v>95</v>
      </c>
      <c r="H45" s="5">
        <f t="shared" si="0"/>
        <v>3192.1745686749996</v>
      </c>
      <c r="I45" s="25">
        <f t="shared" si="1"/>
        <v>5.47424274502426E-3</v>
      </c>
    </row>
    <row r="46" spans="1:9" x14ac:dyDescent="0.3">
      <c r="A46" s="23">
        <v>40</v>
      </c>
      <c r="B46" s="23">
        <v>6117</v>
      </c>
      <c r="C46" s="23" t="str">
        <f>VLOOKUP(B46,I!$A:$G,2,FALSE)</f>
        <v>SINAPI</v>
      </c>
      <c r="D46" s="24" t="str">
        <f>VLOOKUP(B46,I!$A:$G,3,FALSE)</f>
        <v>CARPINTEIRO AUXILIAR (HORISTA)</v>
      </c>
      <c r="E46" s="23" t="str">
        <f>VLOOKUP(B46,I!$A:$G,4,FALSE)</f>
        <v>H</v>
      </c>
      <c r="F46" s="23">
        <f>SUMIF(CPU!M:M,B46,CPU!O:O)+SUMIF(CPUAUX1!M:M,B46,CPUAUX1!O:O)+SUMIF(CPUAUX2!M:M,B46,CPUAUX2!O:O)+SUMIF(CPUAUX3!M:M,B46,CPUAUX3!O:O)+SUMIF(CPUAUX4!M:M,B46,CPUAUX4!O:O)+SUMIF(CPUAUX5!M:M,B46,CPUAUX5!O:O)</f>
        <v>191.78921736798583</v>
      </c>
      <c r="G46" s="5">
        <f>VLOOKUP(B46,I!$A:$G,5,FALSE)</f>
        <v>15.57</v>
      </c>
      <c r="H46" s="5">
        <f t="shared" si="0"/>
        <v>2986.1581144195393</v>
      </c>
      <c r="I46" s="25">
        <f t="shared" si="1"/>
        <v>5.1209462520534219E-3</v>
      </c>
    </row>
    <row r="47" spans="1:9" x14ac:dyDescent="0.3">
      <c r="A47" s="23">
        <v>41</v>
      </c>
      <c r="B47" s="23" t="s">
        <v>1097</v>
      </c>
      <c r="C47" s="23" t="str">
        <f>VLOOKUP(B47,I!$A:$G,2,FALSE)</f>
        <v>ORSE</v>
      </c>
      <c r="D47" s="24" t="str">
        <f>VLOOKUP(B47,I!$A:$G,3,FALSE)</f>
        <v>ANÁLISE FÍSICO-QUÍMICA DE ÁGUA</v>
      </c>
      <c r="E47" s="23" t="str">
        <f>VLOOKUP(B47,I!$A:$G,4,FALSE)</f>
        <v>UN</v>
      </c>
      <c r="F47" s="23">
        <f>SUMIF(CPU!M:M,B47,CPU!O:O)+SUMIF(CPUAUX1!M:M,B47,CPUAUX1!O:O)+SUMIF(CPUAUX2!M:M,B47,CPUAUX2!O:O)+SUMIF(CPUAUX3!M:M,B47,CPUAUX3!O:O)+SUMIF(CPUAUX4!M:M,B47,CPUAUX4!O:O)+SUMIF(CPUAUX5!M:M,B47,CPUAUX5!O:O)</f>
        <v>5</v>
      </c>
      <c r="G47" s="5">
        <f>VLOOKUP(B47,I!$A:$G,5,FALSE)</f>
        <v>565.21</v>
      </c>
      <c r="H47" s="5">
        <f t="shared" si="0"/>
        <v>2826.05</v>
      </c>
      <c r="I47" s="25">
        <f t="shared" si="1"/>
        <v>4.8463777205008133E-3</v>
      </c>
    </row>
    <row r="48" spans="1:9" x14ac:dyDescent="0.3">
      <c r="A48" s="23">
        <v>42</v>
      </c>
      <c r="B48" s="23">
        <v>3939</v>
      </c>
      <c r="C48" s="23" t="str">
        <f>VLOOKUP(B48,I!$A:$G,2,FALSE)</f>
        <v>SINAPI</v>
      </c>
      <c r="D48" s="24" t="str">
        <f>VLOOKUP(B48,I!$A:$G,3,FALSE)</f>
        <v>LUVA DE FERRO GALVANIZADO, COM ROSCA BSP, DE 1 1/2"</v>
      </c>
      <c r="E48" s="23" t="str">
        <f>VLOOKUP(B48,I!$A:$G,4,FALSE)</f>
        <v>UN</v>
      </c>
      <c r="F48" s="23">
        <f>SUMIF(CPU!M:M,B48,CPU!O:O)+SUMIF(CPUAUX1!M:M,B48,CPUAUX1!O:O)+SUMIF(CPUAUX2!M:M,B48,CPUAUX2!O:O)+SUMIF(CPUAUX3!M:M,B48,CPUAUX3!O:O)+SUMIF(CPUAUX4!M:M,B48,CPUAUX4!O:O)+SUMIF(CPUAUX5!M:M,B48,CPUAUX5!O:O)</f>
        <v>142.5</v>
      </c>
      <c r="G48" s="5">
        <f>VLOOKUP(B48,I!$A:$G,5,FALSE)</f>
        <v>19.670000000000002</v>
      </c>
      <c r="H48" s="5">
        <f t="shared" si="0"/>
        <v>2802.9750000000004</v>
      </c>
      <c r="I48" s="25">
        <f t="shared" si="1"/>
        <v>4.806806528943496E-3</v>
      </c>
    </row>
    <row r="49" spans="1:9" x14ac:dyDescent="0.3">
      <c r="A49" s="23">
        <v>43</v>
      </c>
      <c r="B49" s="23">
        <v>339</v>
      </c>
      <c r="C49" s="23" t="str">
        <f>VLOOKUP(B49,I!$A:$G,2,FALSE)</f>
        <v>SINAPI</v>
      </c>
      <c r="D49" s="24" t="str">
        <f>VLOOKUP(B49,I!$A:$G,3,FALSE)</f>
        <v>ARAME FARPADO GALVANIZADO, 14 BWG (2,11 MM), CLASSE 250</v>
      </c>
      <c r="E49" s="23" t="str">
        <f>VLOOKUP(B49,I!$A:$G,4,FALSE)</f>
        <v>M</v>
      </c>
      <c r="F49" s="23">
        <f>SUMIF(CPU!M:M,B49,CPU!O:O)+SUMIF(CPUAUX1!M:M,B49,CPUAUX1!O:O)+SUMIF(CPUAUX2!M:M,B49,CPUAUX2!O:O)+SUMIF(CPUAUX3!M:M,B49,CPUAUX3!O:O)+SUMIF(CPUAUX4!M:M,B49,CPUAUX4!O:O)+SUMIF(CPUAUX5!M:M,B49,CPUAUX5!O:O)</f>
        <v>2035</v>
      </c>
      <c r="G49" s="5">
        <f>VLOOKUP(B49,I!$A:$G,5,FALSE)</f>
        <v>1.32</v>
      </c>
      <c r="H49" s="5">
        <f t="shared" si="0"/>
        <v>2686.2000000000003</v>
      </c>
      <c r="I49" s="25">
        <f t="shared" si="1"/>
        <v>4.6065497187980694E-3</v>
      </c>
    </row>
    <row r="50" spans="1:9" x14ac:dyDescent="0.3">
      <c r="A50" s="23">
        <v>44</v>
      </c>
      <c r="B50" s="23">
        <v>247</v>
      </c>
      <c r="C50" s="23" t="str">
        <f>VLOOKUP(B50,I!$A:$G,2,FALSE)</f>
        <v>SINAPI</v>
      </c>
      <c r="D50" s="24" t="str">
        <f>VLOOKUP(B50,I!$A:$G,3,FALSE)</f>
        <v>AJUDANTE DE ELETRICISTA (HORISTA)</v>
      </c>
      <c r="E50" s="23" t="str">
        <f>VLOOKUP(B50,I!$A:$G,4,FALSE)</f>
        <v>H</v>
      </c>
      <c r="F50" s="23">
        <f>SUMIF(CPU!M:M,B50,CPU!O:O)+SUMIF(CPUAUX1!M:M,B50,CPUAUX1!O:O)+SUMIF(CPUAUX2!M:M,B50,CPUAUX2!O:O)+SUMIF(CPUAUX3!M:M,B50,CPUAUX3!O:O)+SUMIF(CPUAUX4!M:M,B50,CPUAUX4!O:O)+SUMIF(CPUAUX5!M:M,B50,CPUAUX5!O:O)</f>
        <v>164.65734345449997</v>
      </c>
      <c r="G50" s="5">
        <f>VLOOKUP(B50,I!$A:$G,5,FALSE)</f>
        <v>15.57</v>
      </c>
      <c r="H50" s="5">
        <f t="shared" si="0"/>
        <v>2563.7148375865645</v>
      </c>
      <c r="I50" s="25">
        <f t="shared" si="1"/>
        <v>4.396500582295744E-3</v>
      </c>
    </row>
    <row r="51" spans="1:9" x14ac:dyDescent="0.3">
      <c r="A51" s="23">
        <v>45</v>
      </c>
      <c r="B51" s="23">
        <v>2701</v>
      </c>
      <c r="C51" s="23" t="str">
        <f>VLOOKUP(B51,I!$A:$G,2,FALSE)</f>
        <v>SINAPI</v>
      </c>
      <c r="D51" s="24" t="str">
        <f>VLOOKUP(B51,I!$A:$G,3,FALSE)</f>
        <v>INSTALADOR DE TUBULACOES - TUBOS/EQUIPAMENTOS (HORISTA)</v>
      </c>
      <c r="E51" s="23" t="str">
        <f>VLOOKUP(B51,I!$A:$G,4,FALSE)</f>
        <v>H</v>
      </c>
      <c r="F51" s="23">
        <f>SUMIF(CPU!M:M,B51,CPU!O:O)+SUMIF(CPUAUX1!M:M,B51,CPUAUX1!O:O)+SUMIF(CPUAUX2!M:M,B51,CPUAUX2!O:O)+SUMIF(CPUAUX3!M:M,B51,CPUAUX3!O:O)+SUMIF(CPUAUX4!M:M,B51,CPUAUX4!O:O)+SUMIF(CPUAUX5!M:M,B51,CPUAUX5!O:O)</f>
        <v>112.63836000000001</v>
      </c>
      <c r="G51" s="5">
        <f>VLOOKUP(B51,I!$A:$G,5,FALSE)</f>
        <v>22.67</v>
      </c>
      <c r="H51" s="5">
        <f t="shared" si="0"/>
        <v>2553.5116212000003</v>
      </c>
      <c r="I51" s="25">
        <f t="shared" si="1"/>
        <v>4.379003142203285E-3</v>
      </c>
    </row>
    <row r="52" spans="1:9" ht="28.8" x14ac:dyDescent="0.3">
      <c r="A52" s="23">
        <v>46</v>
      </c>
      <c r="B52" s="23">
        <v>7271</v>
      </c>
      <c r="C52" s="23" t="str">
        <f>VLOOKUP(B52,I!$A:$G,2,FALSE)</f>
        <v>SINAPI</v>
      </c>
      <c r="D52" s="24" t="str">
        <f>VLOOKUP(B52,I!$A:$G,3,FALSE)</f>
        <v>BLOCO CERAMICO / TIJOLO VAZADO PARA ALVENARIA DE VEDACAO, 8 FUROS NA HORIZONTAL DE 9 X 19 X 19 CM (L X A X C)</v>
      </c>
      <c r="E52" s="23" t="str">
        <f>VLOOKUP(B52,I!$A:$G,4,FALSE)</f>
        <v>UN</v>
      </c>
      <c r="F52" s="23">
        <f>SUMIF(CPU!M:M,B52,CPU!O:O)+SUMIF(CPUAUX1!M:M,B52,CPUAUX1!O:O)+SUMIF(CPUAUX2!M:M,B52,CPUAUX2!O:O)+SUMIF(CPUAUX3!M:M,B52,CPUAUX3!O:O)+SUMIF(CPUAUX4!M:M,B52,CPUAUX4!O:O)+SUMIF(CPUAUX5!M:M,B52,CPUAUX5!O:O)</f>
        <v>2733.3305</v>
      </c>
      <c r="G52" s="5">
        <f>VLOOKUP(B52,I!$A:$G,5,FALSE)</f>
        <v>0.9</v>
      </c>
      <c r="H52" s="5">
        <f t="shared" si="0"/>
        <v>2459.9974500000003</v>
      </c>
      <c r="I52" s="25">
        <f t="shared" si="1"/>
        <v>4.2186362004100475E-3</v>
      </c>
    </row>
    <row r="53" spans="1:9" x14ac:dyDescent="0.3">
      <c r="A53" s="23">
        <v>47</v>
      </c>
      <c r="B53" s="23">
        <v>2696</v>
      </c>
      <c r="C53" s="23" t="str">
        <f>VLOOKUP(B53,I!$A:$G,2,FALSE)</f>
        <v>SINAPI</v>
      </c>
      <c r="D53" s="24" t="str">
        <f>VLOOKUP(B53,I!$A:$G,3,FALSE)</f>
        <v>ENCANADOR OU BOMBEIRO HIDRAULICO (HORISTA)</v>
      </c>
      <c r="E53" s="23" t="str">
        <f>VLOOKUP(B53,I!$A:$G,4,FALSE)</f>
        <v>H</v>
      </c>
      <c r="F53" s="23">
        <f>SUMIF(CPU!M:M,B53,CPU!O:O)+SUMIF(CPUAUX1!M:M,B53,CPUAUX1!O:O)+SUMIF(CPUAUX2!M:M,B53,CPUAUX2!O:O)+SUMIF(CPUAUX3!M:M,B53,CPUAUX3!O:O)+SUMIF(CPUAUX4!M:M,B53,CPUAUX4!O:O)+SUMIF(CPUAUX5!M:M,B53,CPUAUX5!O:O)</f>
        <v>119.84016853</v>
      </c>
      <c r="G53" s="5">
        <f>VLOOKUP(B53,I!$A:$G,5,FALSE)</f>
        <v>20.329999999999998</v>
      </c>
      <c r="H53" s="5">
        <f t="shared" si="0"/>
        <v>2436.3506262148999</v>
      </c>
      <c r="I53" s="25">
        <f t="shared" si="1"/>
        <v>4.1780843913646589E-3</v>
      </c>
    </row>
    <row r="54" spans="1:9" x14ac:dyDescent="0.3">
      <c r="A54" s="23">
        <v>48</v>
      </c>
      <c r="B54" s="23">
        <v>532</v>
      </c>
      <c r="C54" s="23" t="str">
        <f>VLOOKUP(B54,I!$A:$G,2,FALSE)</f>
        <v>SINAPI</v>
      </c>
      <c r="D54" s="24" t="str">
        <f>VLOOKUP(B54,I!$A:$G,3,FALSE)</f>
        <v>AUXILIAR TECNICO / ASSISTENTE DE ENGENHARIA (HORISTA)</v>
      </c>
      <c r="E54" s="23" t="str">
        <f>VLOOKUP(B54,I!$A:$G,4,FALSE)</f>
        <v>H</v>
      </c>
      <c r="F54" s="23">
        <f>SUMIF(CPU!M:M,B54,CPU!O:O)+SUMIF(CPUAUX1!M:M,B54,CPUAUX1!O:O)+SUMIF(CPUAUX2!M:M,B54,CPUAUX2!O:O)+SUMIF(CPUAUX3!M:M,B54,CPUAUX3!O:O)+SUMIF(CPUAUX4!M:M,B54,CPUAUX4!O:O)+SUMIF(CPUAUX5!M:M,B54,CPUAUX5!O:O)</f>
        <v>100.831</v>
      </c>
      <c r="G54" s="5">
        <f>VLOOKUP(B54,I!$A:$G,5,FALSE)</f>
        <v>24.06</v>
      </c>
      <c r="H54" s="5">
        <f t="shared" si="0"/>
        <v>2425.99386</v>
      </c>
      <c r="I54" s="25">
        <f t="shared" si="1"/>
        <v>4.1603236295096576E-3</v>
      </c>
    </row>
    <row r="55" spans="1:9" x14ac:dyDescent="0.3">
      <c r="A55" s="23">
        <v>49</v>
      </c>
      <c r="B55" s="23" t="s">
        <v>1047</v>
      </c>
      <c r="C55" s="23" t="str">
        <f>VLOOKUP(B55,I!$A:$G,2,FALSE)</f>
        <v>PRÓPRIA</v>
      </c>
      <c r="D55" s="24" t="str">
        <f>VLOOKUP(B55,I!$A:$G,3,FALSE)</f>
        <v>PAINEL DE COMANDO MONOFÁSICO</v>
      </c>
      <c r="E55" s="23" t="str">
        <f>VLOOKUP(B55,I!$A:$G,4,FALSE)</f>
        <v>UN</v>
      </c>
      <c r="F55" s="23">
        <f>SUMIF(CPU!M:M,B55,CPU!O:O)+SUMIF(CPUAUX1!M:M,B55,CPUAUX1!O:O)+SUMIF(CPUAUX2!M:M,B55,CPUAUX2!O:O)+SUMIF(CPUAUX3!M:M,B55,CPUAUX3!O:O)+SUMIF(CPUAUX4!M:M,B55,CPUAUX4!O:O)+SUMIF(CPUAUX5!M:M,B55,CPUAUX5!O:O)</f>
        <v>5</v>
      </c>
      <c r="G55" s="5">
        <f>VLOOKUP(B55,I!$A:$G,5,FALSE)</f>
        <v>470</v>
      </c>
      <c r="H55" s="5">
        <f t="shared" si="0"/>
        <v>2350</v>
      </c>
      <c r="I55" s="25">
        <f t="shared" si="1"/>
        <v>4.0300021737679484E-3</v>
      </c>
    </row>
    <row r="56" spans="1:9" ht="28.8" x14ac:dyDescent="0.3">
      <c r="A56" s="23">
        <v>50</v>
      </c>
      <c r="B56" s="23">
        <v>44474</v>
      </c>
      <c r="C56" s="23" t="str">
        <f>VLOOKUP(B56,I!$A:$G,2,FALSE)</f>
        <v>SINAPI</v>
      </c>
      <c r="D56" s="24" t="str">
        <f>VLOOKUP(B56,I!$A:$G,3,FALSE)</f>
        <v>GUINDASTE HIDRAULICO AUTOPROPELIDO, COM LANCA TELESCOPICA 40 M, CAPACIDADE MAXIMA 60 T, POTENCIA 260 KW, TRACAO 6 X 6</v>
      </c>
      <c r="E56" s="23" t="str">
        <f>VLOOKUP(B56,I!$A:$G,4,FALSE)</f>
        <v>UN</v>
      </c>
      <c r="F56" s="23">
        <f>SUMIF(CPU!M:M,B56,CPU!O:O)+SUMIF(CPUAUX1!M:M,B56,CPUAUX1!O:O)+SUMIF(CPUAUX2!M:M,B56,CPUAUX2!O:O)+SUMIF(CPUAUX3!M:M,B56,CPUAUX3!O:O)+SUMIF(CPUAUX4!M:M,B56,CPUAUX4!O:O)+SUMIF(CPUAUX5!M:M,B56,CPUAUX5!O:O)</f>
        <v>8.694086000000001E-4</v>
      </c>
      <c r="G56" s="5">
        <f>VLOOKUP(B56,I!$A:$G,5,FALSE)</f>
        <v>2491030.2799999998</v>
      </c>
      <c r="H56" s="5">
        <f t="shared" si="0"/>
        <v>2165.723148292408</v>
      </c>
      <c r="I56" s="25">
        <f t="shared" si="1"/>
        <v>3.7139868065523274E-3</v>
      </c>
    </row>
    <row r="57" spans="1:9" ht="28.8" x14ac:dyDescent="0.3">
      <c r="A57" s="23">
        <v>51</v>
      </c>
      <c r="B57" s="23">
        <v>43467</v>
      </c>
      <c r="C57" s="23" t="str">
        <f>VLOOKUP(B57,I!$A:$G,2,FALSE)</f>
        <v>SINAPI</v>
      </c>
      <c r="D57" s="24" t="str">
        <f>VLOOKUP(B57,I!$A:$G,3,FALSE)</f>
        <v>FERRAMENTAS - FAMILIA SERVENTE - HORISTA (ENCARGOS COMPLEMENTARES - COLETADO CAIXA)</v>
      </c>
      <c r="E57" s="23" t="str">
        <f>VLOOKUP(B57,I!$A:$G,4,FALSE)</f>
        <v>H</v>
      </c>
      <c r="F57" s="23">
        <f>SUMIF(CPU!M:M,B57,CPU!O:O)+SUMIF(CPUAUX1!M:M,B57,CPUAUX1!O:O)+SUMIF(CPUAUX2!M:M,B57,CPUAUX2!O:O)+SUMIF(CPUAUX3!M:M,B57,CPUAUX3!O:O)+SUMIF(CPUAUX4!M:M,B57,CPUAUX4!O:O)+SUMIF(CPUAUX5!M:M,B57,CPUAUX5!O:O)</f>
        <v>3529.9093929680002</v>
      </c>
      <c r="G57" s="5">
        <f>VLOOKUP(B57,I!$A:$G,5,FALSE)</f>
        <v>0.61</v>
      </c>
      <c r="H57" s="5">
        <f t="shared" si="0"/>
        <v>2153.24472971048</v>
      </c>
      <c r="I57" s="25">
        <f t="shared" si="1"/>
        <v>3.6925876346330265E-3</v>
      </c>
    </row>
    <row r="58" spans="1:9" x14ac:dyDescent="0.3">
      <c r="A58" s="23">
        <v>52</v>
      </c>
      <c r="B58" s="23">
        <v>6010</v>
      </c>
      <c r="C58" s="23" t="str">
        <f>VLOOKUP(B58,I!$A:$G,2,FALSE)</f>
        <v>SINAPI</v>
      </c>
      <c r="D58" s="24" t="str">
        <f>VLOOKUP(B58,I!$A:$G,3,FALSE)</f>
        <v>REGISTRO GAVETA BRUTO EM LATAO FORJADO, BITOLA 1 1/2"</v>
      </c>
      <c r="E58" s="23" t="str">
        <f>VLOOKUP(B58,I!$A:$G,4,FALSE)</f>
        <v>UN</v>
      </c>
      <c r="F58" s="23">
        <f>SUMIF(CPU!M:M,B58,CPU!O:O)+SUMIF(CPUAUX1!M:M,B58,CPUAUX1!O:O)+SUMIF(CPUAUX2!M:M,B58,CPUAUX2!O:O)+SUMIF(CPUAUX3!M:M,B58,CPUAUX3!O:O)+SUMIF(CPUAUX4!M:M,B58,CPUAUX4!O:O)+SUMIF(CPUAUX5!M:M,B58,CPUAUX5!O:O)</f>
        <v>20</v>
      </c>
      <c r="G58" s="5">
        <f>VLOOKUP(B58,I!$A:$G,5,FALSE)</f>
        <v>105.75</v>
      </c>
      <c r="H58" s="5">
        <f t="shared" si="0"/>
        <v>2115</v>
      </c>
      <c r="I58" s="25">
        <f t="shared" si="1"/>
        <v>3.6270019563911533E-3</v>
      </c>
    </row>
    <row r="59" spans="1:9" x14ac:dyDescent="0.3">
      <c r="A59" s="23">
        <v>53</v>
      </c>
      <c r="B59" s="23" t="s">
        <v>1033</v>
      </c>
      <c r="C59" s="23" t="str">
        <f>VLOOKUP(B59,I!$A:$G,2,FALSE)</f>
        <v>ORSE</v>
      </c>
      <c r="D59" s="24" t="str">
        <f>VLOOKUP(B59,I!$A:$G,3,FALSE)</f>
        <v>TRANSPORTES DE MÁQUINAS E EQUIPAMENTOS POR CAMINHÃO MUNCK</v>
      </c>
      <c r="E59" s="23" t="str">
        <f>VLOOKUP(B59,I!$A:$G,4,FALSE)</f>
        <v>KM</v>
      </c>
      <c r="F59" s="23">
        <f>SUMIF(CPU!M:M,B59,CPU!O:O)+SUMIF(CPUAUX1!M:M,B59,CPUAUX1!O:O)+SUMIF(CPUAUX2!M:M,B59,CPUAUX2!O:O)+SUMIF(CPUAUX3!M:M,B59,CPUAUX3!O:O)+SUMIF(CPUAUX4!M:M,B59,CPUAUX4!O:O)+SUMIF(CPUAUX5!M:M,B59,CPUAUX5!O:O)</f>
        <v>360.99999999999994</v>
      </c>
      <c r="G59" s="5">
        <f>VLOOKUP(B59,I!$A:$G,5,FALSE)</f>
        <v>5.5</v>
      </c>
      <c r="H59" s="5">
        <f t="shared" si="0"/>
        <v>1985.4999999999998</v>
      </c>
      <c r="I59" s="25">
        <f t="shared" si="1"/>
        <v>3.4049231131984088E-3</v>
      </c>
    </row>
    <row r="60" spans="1:9" x14ac:dyDescent="0.3">
      <c r="A60" s="23">
        <v>54</v>
      </c>
      <c r="B60" s="23">
        <v>4783</v>
      </c>
      <c r="C60" s="23" t="str">
        <f>VLOOKUP(B60,I!$A:$G,2,FALSE)</f>
        <v>SINAPI</v>
      </c>
      <c r="D60" s="24" t="str">
        <f>VLOOKUP(B60,I!$A:$G,3,FALSE)</f>
        <v>PINTOR (HORISTA)</v>
      </c>
      <c r="E60" s="23" t="str">
        <f>VLOOKUP(B60,I!$A:$G,4,FALSE)</f>
        <v>H</v>
      </c>
      <c r="F60" s="23">
        <f>SUMIF(CPU!M:M,B60,CPU!O:O)+SUMIF(CPUAUX1!M:M,B60,CPUAUX1!O:O)+SUMIF(CPUAUX2!M:M,B60,CPUAUX2!O:O)+SUMIF(CPUAUX3!M:M,B60,CPUAUX3!O:O)+SUMIF(CPUAUX4!M:M,B60,CPUAUX4!O:O)+SUMIF(CPUAUX5!M:M,B60,CPUAUX5!O:O)</f>
        <v>92.047986611199988</v>
      </c>
      <c r="G60" s="5">
        <f>VLOOKUP(B60,I!$A:$G,5,FALSE)</f>
        <v>20.329999999999998</v>
      </c>
      <c r="H60" s="5">
        <f t="shared" si="0"/>
        <v>1871.3355678056955</v>
      </c>
      <c r="I60" s="25">
        <f t="shared" si="1"/>
        <v>3.2091431515345664E-3</v>
      </c>
    </row>
    <row r="61" spans="1:9" ht="28.8" x14ac:dyDescent="0.3">
      <c r="A61" s="23">
        <v>55</v>
      </c>
      <c r="B61" s="23">
        <v>4433</v>
      </c>
      <c r="C61" s="23" t="str">
        <f>VLOOKUP(B61,I!$A:$G,2,FALSE)</f>
        <v>SINAPI</v>
      </c>
      <c r="D61" s="24" t="str">
        <f>VLOOKUP(B61,I!$A:$G,3,FALSE)</f>
        <v>CAIBRO NAO APARELHADO *6 X 6* CM, EM MACARANDUBA/MASSARANDUBA, ANGELIM OU EQUIVALENTE DA REGIAO - BRUTA</v>
      </c>
      <c r="E61" s="23" t="str">
        <f>VLOOKUP(B61,I!$A:$G,4,FALSE)</f>
        <v>M</v>
      </c>
      <c r="F61" s="23">
        <f>SUMIF(CPU!M:M,B61,CPU!O:O)+SUMIF(CPUAUX1!M:M,B61,CPUAUX1!O:O)+SUMIF(CPUAUX2!M:M,B61,CPUAUX2!O:O)+SUMIF(CPUAUX3!M:M,B61,CPUAUX3!O:O)+SUMIF(CPUAUX4!M:M,B61,CPUAUX4!O:O)+SUMIF(CPUAUX5!M:M,B61,CPUAUX5!O:O)</f>
        <v>90.75</v>
      </c>
      <c r="G61" s="5">
        <f>VLOOKUP(B61,I!$A:$G,5,FALSE)</f>
        <v>19.55</v>
      </c>
      <c r="H61" s="5">
        <f t="shared" si="0"/>
        <v>1774.1625000000001</v>
      </c>
      <c r="I61" s="25">
        <f t="shared" si="1"/>
        <v>3.0425015879223735E-3</v>
      </c>
    </row>
    <row r="62" spans="1:9" ht="28.8" x14ac:dyDescent="0.3">
      <c r="A62" s="23">
        <v>56</v>
      </c>
      <c r="B62" s="23">
        <v>13415</v>
      </c>
      <c r="C62" s="23" t="str">
        <f>VLOOKUP(B62,I!$A:$G,2,FALSE)</f>
        <v>SINAPI</v>
      </c>
      <c r="D62" s="24" t="str">
        <f>VLOOKUP(B62,I!$A:$G,3,FALSE)</f>
        <v>TORNEIRA DE MESA/BANCADA, PARA LAVATORIO, FIXA, METALICA CROMADA, PADRAO POPULAR, 1/2" OU 3/4"</v>
      </c>
      <c r="E62" s="23" t="str">
        <f>VLOOKUP(B62,I!$A:$G,4,FALSE)</f>
        <v>UN</v>
      </c>
      <c r="F62" s="23">
        <f>SUMIF(CPU!M:M,B62,CPU!O:O)+SUMIF(CPUAUX1!M:M,B62,CPUAUX1!O:O)+SUMIF(CPUAUX2!M:M,B62,CPUAUX2!O:O)+SUMIF(CPUAUX3!M:M,B62,CPUAUX3!O:O)+SUMIF(CPUAUX4!M:M,B62,CPUAUX4!O:O)+SUMIF(CPUAUX5!M:M,B62,CPUAUX5!O:O)</f>
        <v>20</v>
      </c>
      <c r="G62" s="5">
        <f>VLOOKUP(B62,I!$A:$G,5,FALSE)</f>
        <v>77.95</v>
      </c>
      <c r="H62" s="5">
        <f t="shared" si="0"/>
        <v>1559</v>
      </c>
      <c r="I62" s="25">
        <f t="shared" si="1"/>
        <v>2.6735205910230772E-3</v>
      </c>
    </row>
    <row r="63" spans="1:9" ht="28.8" x14ac:dyDescent="0.3">
      <c r="A63" s="23">
        <v>57</v>
      </c>
      <c r="B63" s="23">
        <v>21012</v>
      </c>
      <c r="C63" s="23" t="str">
        <f>VLOOKUP(B63,I!$A:$G,2,FALSE)</f>
        <v>SINAPI</v>
      </c>
      <c r="D63" s="24" t="str">
        <f>VLOOKUP(B63,I!$A:$G,3,FALSE)</f>
        <v>TUBO ACO GALVANIZADO COM COSTURA, CLASSE LEVE, DN 40 MM (1 1/2"), E = 3,00 MM, *3,48* KG/M (NBR 5580)</v>
      </c>
      <c r="E63" s="23" t="str">
        <f>VLOOKUP(B63,I!$A:$G,4,FALSE)</f>
        <v>M</v>
      </c>
      <c r="F63" s="23">
        <f>SUMIF(CPU!M:M,B63,CPU!O:O)+SUMIF(CPUAUX1!M:M,B63,CPUAUX1!O:O)+SUMIF(CPUAUX2!M:M,B63,CPUAUX2!O:O)+SUMIF(CPUAUX3!M:M,B63,CPUAUX3!O:O)+SUMIF(CPUAUX4!M:M,B63,CPUAUX4!O:O)+SUMIF(CPUAUX5!M:M,B63,CPUAUX5!O:O)</f>
        <v>30</v>
      </c>
      <c r="G63" s="5">
        <f>VLOOKUP(B63,I!$A:$G,5,FALSE)</f>
        <v>51.49</v>
      </c>
      <c r="H63" s="5">
        <f t="shared" si="0"/>
        <v>1544.7</v>
      </c>
      <c r="I63" s="25">
        <f t="shared" si="1"/>
        <v>2.6489975990720638E-3</v>
      </c>
    </row>
    <row r="64" spans="1:9" ht="28.8" x14ac:dyDescent="0.3">
      <c r="A64" s="23">
        <v>58</v>
      </c>
      <c r="B64" s="23">
        <v>10409</v>
      </c>
      <c r="C64" s="23" t="str">
        <f>VLOOKUP(B64,I!$A:$G,2,FALSE)</f>
        <v>SINAPI</v>
      </c>
      <c r="D64" s="24" t="str">
        <f>VLOOKUP(B64,I!$A:$G,3,FALSE)</f>
        <v>VALVULA DE RETENCAO HORIZONTAL, DE BRONZE (PN-25), 1 1/2", 400 PSI, TAMPA DE PORCA DE UNIAO, EXTREMIDADES COM ROSCA</v>
      </c>
      <c r="E64" s="23" t="str">
        <f>VLOOKUP(B64,I!$A:$G,4,FALSE)</f>
        <v>UN</v>
      </c>
      <c r="F64" s="23">
        <f>SUMIF(CPU!M:M,B64,CPU!O:O)+SUMIF(CPUAUX1!M:M,B64,CPUAUX1!O:O)+SUMIF(CPUAUX2!M:M,B64,CPUAUX2!O:O)+SUMIF(CPUAUX3!M:M,B64,CPUAUX3!O:O)+SUMIF(CPUAUX4!M:M,B64,CPUAUX4!O:O)+SUMIF(CPUAUX5!M:M,B64,CPUAUX5!O:O)</f>
        <v>5</v>
      </c>
      <c r="G64" s="5">
        <f>VLOOKUP(B64,I!$A:$G,5,FALSE)</f>
        <v>298.89999999999998</v>
      </c>
      <c r="H64" s="5">
        <f t="shared" si="0"/>
        <v>1494.5</v>
      </c>
      <c r="I64" s="25">
        <f t="shared" si="1"/>
        <v>2.5629098930622122E-3</v>
      </c>
    </row>
    <row r="65" spans="1:9" x14ac:dyDescent="0.3">
      <c r="A65" s="23">
        <v>59</v>
      </c>
      <c r="B65" s="23">
        <v>1106</v>
      </c>
      <c r="C65" s="23" t="str">
        <f>VLOOKUP(B65,I!$A:$G,2,FALSE)</f>
        <v>SINAPI</v>
      </c>
      <c r="D65" s="24" t="str">
        <f>VLOOKUP(B65,I!$A:$G,3,FALSE)</f>
        <v>CAL HIDRATADA CH-I PARA ARGAMASSAS</v>
      </c>
      <c r="E65" s="23" t="str">
        <f>VLOOKUP(B65,I!$A:$G,4,FALSE)</f>
        <v>KG</v>
      </c>
      <c r="F65" s="23">
        <f>SUMIF(CPU!M:M,B65,CPU!O:O)+SUMIF(CPUAUX1!M:M,B65,CPUAUX1!O:O)+SUMIF(CPUAUX2!M:M,B65,CPUAUX2!O:O)+SUMIF(CPUAUX3!M:M,B65,CPUAUX3!O:O)+SUMIF(CPUAUX4!M:M,B65,CPUAUX4!O:O)+SUMIF(CPUAUX5!M:M,B65,CPUAUX5!O:O)</f>
        <v>1196.1044602499999</v>
      </c>
      <c r="G65" s="5">
        <f>VLOOKUP(B65,I!$A:$G,5,FALSE)</f>
        <v>1.24</v>
      </c>
      <c r="H65" s="5">
        <f t="shared" si="0"/>
        <v>1483.1695307099999</v>
      </c>
      <c r="I65" s="25">
        <f t="shared" si="1"/>
        <v>2.543479333118165E-3</v>
      </c>
    </row>
    <row r="66" spans="1:9" ht="28.8" x14ac:dyDescent="0.3">
      <c r="A66" s="23">
        <v>60</v>
      </c>
      <c r="B66" s="23">
        <v>6189</v>
      </c>
      <c r="C66" s="23" t="str">
        <f>VLOOKUP(B66,I!$A:$G,2,FALSE)</f>
        <v>SINAPI</v>
      </c>
      <c r="D66" s="24" t="str">
        <f>VLOOKUP(B66,I!$A:$G,3,FALSE)</f>
        <v>TABUA NAO APARELHADA *2,5 X 30* CM, EM MACARANDUBA/MASSARANDUBA, ANGELIM OU EQUIVALENTE DA REGIAO - BRUTA</v>
      </c>
      <c r="E66" s="23" t="str">
        <f>VLOOKUP(B66,I!$A:$G,4,FALSE)</f>
        <v>M</v>
      </c>
      <c r="F66" s="23">
        <f>SUMIF(CPU!M:M,B66,CPU!O:O)+SUMIF(CPUAUX1!M:M,B66,CPUAUX1!O:O)+SUMIF(CPUAUX2!M:M,B66,CPUAUX2!O:O)+SUMIF(CPUAUX3!M:M,B66,CPUAUX3!O:O)+SUMIF(CPUAUX4!M:M,B66,CPUAUX4!O:O)+SUMIF(CPUAUX5!M:M,B66,CPUAUX5!O:O)</f>
        <v>68.855040000000002</v>
      </c>
      <c r="G66" s="5">
        <f>VLOOKUP(B66,I!$A:$G,5,FALSE)</f>
        <v>20.62</v>
      </c>
      <c r="H66" s="5">
        <f t="shared" si="0"/>
        <v>1419.7909248000001</v>
      </c>
      <c r="I66" s="25">
        <f t="shared" si="1"/>
        <v>2.4347917077617047E-3</v>
      </c>
    </row>
    <row r="67" spans="1:9" x14ac:dyDescent="0.3">
      <c r="A67" s="23">
        <v>61</v>
      </c>
      <c r="B67" s="23">
        <v>10567</v>
      </c>
      <c r="C67" s="23" t="str">
        <f>VLOOKUP(B67,I!$A:$G,2,FALSE)</f>
        <v>SINAPI</v>
      </c>
      <c r="D67" s="24" t="str">
        <f>VLOOKUP(B67,I!$A:$G,3,FALSE)</f>
        <v>TABUA *2,5 X 23* CM EM PINUS, MISTA OU EQUIVALENTE DA REGIAO - BRUTA</v>
      </c>
      <c r="E67" s="23" t="str">
        <f>VLOOKUP(B67,I!$A:$G,4,FALSE)</f>
        <v>M</v>
      </c>
      <c r="F67" s="23">
        <f>SUMIF(CPU!M:M,B67,CPU!O:O)+SUMIF(CPUAUX1!M:M,B67,CPUAUX1!O:O)+SUMIF(CPUAUX2!M:M,B67,CPUAUX2!O:O)+SUMIF(CPUAUX3!M:M,B67,CPUAUX3!O:O)+SUMIF(CPUAUX4!M:M,B67,CPUAUX4!O:O)+SUMIF(CPUAUX5!M:M,B67,CPUAUX5!O:O)</f>
        <v>121.00000000000001</v>
      </c>
      <c r="G67" s="5">
        <f>VLOOKUP(B67,I!$A:$G,5,FALSE)</f>
        <v>11.36</v>
      </c>
      <c r="H67" s="5">
        <f t="shared" si="0"/>
        <v>1374.5600000000002</v>
      </c>
      <c r="I67" s="25">
        <f t="shared" si="1"/>
        <v>2.3572254416912644E-3</v>
      </c>
    </row>
    <row r="68" spans="1:9" ht="43.2" x14ac:dyDescent="0.3">
      <c r="A68" s="23">
        <v>62</v>
      </c>
      <c r="B68" s="23">
        <v>7173</v>
      </c>
      <c r="C68" s="23" t="str">
        <f>VLOOKUP(B68,I!$A:$G,2,FALSE)</f>
        <v>SINAPI</v>
      </c>
      <c r="D68" s="24" t="str">
        <f>VLOOKUP(B68,I!$A:$G,3,FALSE)</f>
        <v>TELHA DE BARRO / CERAMICA, NAO ESMALTADA, TIPO COLONIAL, CANAL, PLAN, PAULISTA, COMPRIMENTO DE *44 A 50* CM, RENDIMENTO DE COBERTURA DE *26* TELHAS/M2</v>
      </c>
      <c r="E68" s="23" t="str">
        <f>VLOOKUP(B68,I!$A:$G,4,FALSE)</f>
        <v>MIL</v>
      </c>
      <c r="F68" s="23">
        <f>SUMIF(CPU!M:M,B68,CPU!O:O)+SUMIF(CPUAUX1!M:M,B68,CPUAUX1!O:O)+SUMIF(CPUAUX2!M:M,B68,CPUAUX2!O:O)+SUMIF(CPUAUX3!M:M,B68,CPUAUX3!O:O)+SUMIF(CPUAUX4!M:M,B68,CPUAUX4!O:O)+SUMIF(CPUAUX5!M:M,B68,CPUAUX5!O:O)</f>
        <v>1.4066250000000002</v>
      </c>
      <c r="G68" s="5">
        <f>VLOOKUP(B68,I!$A:$G,5,FALSE)</f>
        <v>925</v>
      </c>
      <c r="H68" s="5">
        <f t="shared" si="0"/>
        <v>1301.1281250000002</v>
      </c>
      <c r="I68" s="25">
        <f t="shared" si="1"/>
        <v>2.2312975200428149E-3</v>
      </c>
    </row>
    <row r="69" spans="1:9" ht="28.8" x14ac:dyDescent="0.3">
      <c r="A69" s="23">
        <v>63</v>
      </c>
      <c r="B69" s="23">
        <v>4430</v>
      </c>
      <c r="C69" s="23" t="str">
        <f>VLOOKUP(B69,I!$A:$G,2,FALSE)</f>
        <v>SINAPI</v>
      </c>
      <c r="D69" s="24" t="str">
        <f>VLOOKUP(B69,I!$A:$G,3,FALSE)</f>
        <v>CAIBRO NAO APARELHADO *5 X 6* CM, EM MACARANDUBA/MASSARANDUBA, ANGELIM OU EQUIVALENTE DA REGIAO - BRUTA</v>
      </c>
      <c r="E69" s="23" t="str">
        <f>VLOOKUP(B69,I!$A:$G,4,FALSE)</f>
        <v>M</v>
      </c>
      <c r="F69" s="23">
        <f>SUMIF(CPU!M:M,B69,CPU!O:O)+SUMIF(CPUAUX1!M:M,B69,CPUAUX1!O:O)+SUMIF(CPUAUX2!M:M,B69,CPUAUX2!O:O)+SUMIF(CPUAUX3!M:M,B69,CPUAUX3!O:O)+SUMIF(CPUAUX4!M:M,B69,CPUAUX4!O:O)+SUMIF(CPUAUX5!M:M,B69,CPUAUX5!O:O)</f>
        <v>119.4864</v>
      </c>
      <c r="G69" s="5">
        <f>VLOOKUP(B69,I!$A:$G,5,FALSE)</f>
        <v>10</v>
      </c>
      <c r="H69" s="5">
        <f t="shared" si="0"/>
        <v>1194.864</v>
      </c>
      <c r="I69" s="25">
        <f t="shared" si="1"/>
        <v>2.0490657520668364E-3</v>
      </c>
    </row>
    <row r="70" spans="1:9" ht="28.8" x14ac:dyDescent="0.3">
      <c r="A70" s="23">
        <v>64</v>
      </c>
      <c r="B70" s="23">
        <v>4730</v>
      </c>
      <c r="C70" s="23" t="str">
        <f>VLOOKUP(B70,I!$A:$G,2,FALSE)</f>
        <v>SINAPI</v>
      </c>
      <c r="D70" s="24" t="str">
        <f>VLOOKUP(B70,I!$A:$G,3,FALSE)</f>
        <v>PEDRA DE MAO OU PEDRA RACHAO PARA ARRIMO/FUNDACAO (POSTO PEDREIRA/FORNECEDOR, SEM FRETE)</v>
      </c>
      <c r="E70" s="23" t="str">
        <f>VLOOKUP(B70,I!$A:$G,4,FALSE)</f>
        <v>M3</v>
      </c>
      <c r="F70" s="23">
        <f>SUMIF(CPU!M:M,B70,CPU!O:O)+SUMIF(CPUAUX1!M:M,B70,CPUAUX1!O:O)+SUMIF(CPUAUX2!M:M,B70,CPUAUX2!O:O)+SUMIF(CPUAUX3!M:M,B70,CPUAUX3!O:O)+SUMIF(CPUAUX4!M:M,B70,CPUAUX4!O:O)+SUMIF(CPUAUX5!M:M,B70,CPUAUX5!O:O)</f>
        <v>4.7247199999999996</v>
      </c>
      <c r="G70" s="5">
        <f>VLOOKUP(B70,I!$A:$G,5,FALSE)</f>
        <v>233.94</v>
      </c>
      <c r="H70" s="5">
        <f t="shared" si="0"/>
        <v>1105.3009967999999</v>
      </c>
      <c r="I70" s="25">
        <f t="shared" si="1"/>
        <v>1.8954746467114382E-3</v>
      </c>
    </row>
    <row r="71" spans="1:9" ht="28.8" x14ac:dyDescent="0.3">
      <c r="A71" s="23">
        <v>65</v>
      </c>
      <c r="B71" s="23">
        <v>12898</v>
      </c>
      <c r="C71" s="23" t="str">
        <f>VLOOKUP(B71,I!$A:$G,2,FALSE)</f>
        <v>SINAPI</v>
      </c>
      <c r="D71" s="24" t="str">
        <f>VLOOKUP(B71,I!$A:$G,3,FALSE)</f>
        <v>MANOMETRO COM CAIXA EM ACO PINTADO, ESCALA *10* KGF/CM2 (*10* BAR), DIAMETRO NOMINAL DE 100 MM, CONEXAO DE 1/2"</v>
      </c>
      <c r="E71" s="23" t="str">
        <f>VLOOKUP(B71,I!$A:$G,4,FALSE)</f>
        <v>UN</v>
      </c>
      <c r="F71" s="23">
        <f>SUMIF(CPU!M:M,B71,CPU!O:O)+SUMIF(CPUAUX1!M:M,B71,CPUAUX1!O:O)+SUMIF(CPUAUX2!M:M,B71,CPUAUX2!O:O)+SUMIF(CPUAUX3!M:M,B71,CPUAUX3!O:O)+SUMIF(CPUAUX4!M:M,B71,CPUAUX4!O:O)+SUMIF(CPUAUX5!M:M,B71,CPUAUX5!O:O)</f>
        <v>5</v>
      </c>
      <c r="G71" s="5">
        <f>VLOOKUP(B71,I!$A:$G,5,FALSE)</f>
        <v>210</v>
      </c>
      <c r="H71" s="5">
        <f t="shared" ref="H71:H134" si="2">F71*G71</f>
        <v>1050</v>
      </c>
      <c r="I71" s="25">
        <f t="shared" ref="I71:I134" si="3">H71/$H$281</f>
        <v>1.8006392691303599E-3</v>
      </c>
    </row>
    <row r="72" spans="1:9" x14ac:dyDescent="0.3">
      <c r="A72" s="23">
        <v>66</v>
      </c>
      <c r="B72" s="23">
        <v>37666</v>
      </c>
      <c r="C72" s="23" t="str">
        <f>VLOOKUP(B72,I!$A:$G,2,FALSE)</f>
        <v>SINAPI</v>
      </c>
      <c r="D72" s="24" t="str">
        <f>VLOOKUP(B72,I!$A:$G,3,FALSE)</f>
        <v>OPERADOR DE BETONEIRA ESTACIONARIA / MISTURADOR (HORISTA)</v>
      </c>
      <c r="E72" s="23" t="str">
        <f>VLOOKUP(B72,I!$A:$G,4,FALSE)</f>
        <v>H</v>
      </c>
      <c r="F72" s="23">
        <f>SUMIF(CPU!M:M,B72,CPU!O:O)+SUMIF(CPUAUX1!M:M,B72,CPUAUX1!O:O)+SUMIF(CPUAUX2!M:M,B72,CPUAUX2!O:O)+SUMIF(CPUAUX3!M:M,B72,CPUAUX3!O:O)+SUMIF(CPUAUX4!M:M,B72,CPUAUX4!O:O)+SUMIF(CPUAUX5!M:M,B72,CPUAUX5!O:O)</f>
        <v>47.652172142464948</v>
      </c>
      <c r="G72" s="5">
        <f>VLOOKUP(B72,I!$A:$G,5,FALSE)</f>
        <v>21.48</v>
      </c>
      <c r="H72" s="5">
        <f t="shared" si="2"/>
        <v>1023.5686576201471</v>
      </c>
      <c r="I72" s="25">
        <f t="shared" si="3"/>
        <v>1.7553123043446525E-3</v>
      </c>
    </row>
    <row r="73" spans="1:9" x14ac:dyDescent="0.3">
      <c r="A73" s="23">
        <v>67</v>
      </c>
      <c r="B73" s="23" t="s">
        <v>1138</v>
      </c>
      <c r="C73" s="23" t="str">
        <f>VLOOKUP(B73,I!$A:$G,2,FALSE)</f>
        <v>ORSE</v>
      </c>
      <c r="D73" s="24" t="str">
        <f>VLOOKUP(B73,I!$A:$G,3,FALSE)</f>
        <v>AÇO CA-50 6,3 A 12,5 MM</v>
      </c>
      <c r="E73" s="23" t="str">
        <f>VLOOKUP(B73,I!$A:$G,4,FALSE)</f>
        <v>KG</v>
      </c>
      <c r="F73" s="23">
        <f>SUMIF(CPU!M:M,B73,CPU!O:O)+SUMIF(CPUAUX1!M:M,B73,CPUAUX1!O:O)+SUMIF(CPUAUX2!M:M,B73,CPUAUX2!O:O)+SUMIF(CPUAUX3!M:M,B73,CPUAUX3!O:O)+SUMIF(CPUAUX4!M:M,B73,CPUAUX4!O:O)+SUMIF(CPUAUX5!M:M,B73,CPUAUX5!O:O)</f>
        <v>104</v>
      </c>
      <c r="G73" s="5">
        <f>VLOOKUP(B73,I!$A:$G,5,FALSE)</f>
        <v>9.14</v>
      </c>
      <c r="H73" s="5">
        <f t="shared" si="2"/>
        <v>950.56000000000006</v>
      </c>
      <c r="I73" s="25">
        <f t="shared" si="3"/>
        <v>1.6301101558710048E-3</v>
      </c>
    </row>
    <row r="74" spans="1:9" x14ac:dyDescent="0.3">
      <c r="A74" s="23">
        <v>68</v>
      </c>
      <c r="B74" s="23">
        <v>665</v>
      </c>
      <c r="C74" s="23" t="str">
        <f>VLOOKUP(B74,I!$A:$G,2,FALSE)</f>
        <v>SINAPI</v>
      </c>
      <c r="D74" s="24" t="str">
        <f>VLOOKUP(B74,I!$A:$G,3,FALSE)</f>
        <v>ELEMENTO VAZADO DE CONCRETO, QUADRICULADO, 16 FUROS *50 X 50 X 7* CM</v>
      </c>
      <c r="E74" s="23" t="str">
        <f>VLOOKUP(B74,I!$A:$G,4,FALSE)</f>
        <v>UN</v>
      </c>
      <c r="F74" s="23">
        <f>SUMIF(CPU!M:M,B74,CPU!O:O)+SUMIF(CPUAUX1!M:M,B74,CPUAUX1!O:O)+SUMIF(CPUAUX2!M:M,B74,CPUAUX2!O:O)+SUMIF(CPUAUX3!M:M,B74,CPUAUX3!O:O)+SUMIF(CPUAUX4!M:M,B74,CPUAUX4!O:O)+SUMIF(CPUAUX5!M:M,B74,CPUAUX5!O:O)</f>
        <v>29.625</v>
      </c>
      <c r="G74" s="5">
        <f>VLOOKUP(B74,I!$A:$G,5,FALSE)</f>
        <v>30.15</v>
      </c>
      <c r="H74" s="5">
        <f t="shared" si="2"/>
        <v>893.19374999999991</v>
      </c>
      <c r="I74" s="25">
        <f t="shared" si="3"/>
        <v>1.5317330868493382E-3</v>
      </c>
    </row>
    <row r="75" spans="1:9" ht="28.8" x14ac:dyDescent="0.3">
      <c r="A75" s="23">
        <v>69</v>
      </c>
      <c r="B75" s="23">
        <v>4417</v>
      </c>
      <c r="C75" s="23" t="str">
        <f>VLOOKUP(B75,I!$A:$G,2,FALSE)</f>
        <v>SINAPI</v>
      </c>
      <c r="D75" s="24" t="str">
        <f>VLOOKUP(B75,I!$A:$G,3,FALSE)</f>
        <v>SARRAFO NAO APARELHADO *2,5 X 7* CM, EM MACARANDUBA/MASSARANDUBA, ANGELIM, PEROBA-ROSA OU EQUIVALENTE DA REGIAO - BRUTA</v>
      </c>
      <c r="E75" s="23" t="str">
        <f>VLOOKUP(B75,I!$A:$G,4,FALSE)</f>
        <v>M</v>
      </c>
      <c r="F75" s="23">
        <f>SUMIF(CPU!M:M,B75,CPU!O:O)+SUMIF(CPUAUX1!M:M,B75,CPUAUX1!O:O)+SUMIF(CPUAUX2!M:M,B75,CPUAUX2!O:O)+SUMIF(CPUAUX3!M:M,B75,CPUAUX3!O:O)+SUMIF(CPUAUX4!M:M,B75,CPUAUX4!O:O)+SUMIF(CPUAUX5!M:M,B75,CPUAUX5!O:O)</f>
        <v>163.79000000000002</v>
      </c>
      <c r="G75" s="5">
        <f>VLOOKUP(B75,I!$A:$G,5,FALSE)</f>
        <v>5.44</v>
      </c>
      <c r="H75" s="5">
        <f t="shared" si="2"/>
        <v>891.01760000000013</v>
      </c>
      <c r="I75" s="25">
        <f t="shared" si="3"/>
        <v>1.5280012190917024E-3</v>
      </c>
    </row>
    <row r="76" spans="1:9" ht="28.8" x14ac:dyDescent="0.3">
      <c r="A76" s="23">
        <v>70</v>
      </c>
      <c r="B76" s="23">
        <v>43488</v>
      </c>
      <c r="C76" s="23" t="str">
        <f>VLOOKUP(B76,I!$A:$G,2,FALSE)</f>
        <v>SINAPI</v>
      </c>
      <c r="D76" s="24" t="str">
        <f>VLOOKUP(B76,I!$A:$G,3,FALSE)</f>
        <v>EPI - FAMILIA OPERADOR ESCAVADEIRA - HORISTA (ENCARGOS COMPLEMENTARES - COLETADO CAIXA)</v>
      </c>
      <c r="E76" s="23" t="str">
        <f>VLOOKUP(B76,I!$A:$G,4,FALSE)</f>
        <v>H</v>
      </c>
      <c r="F76" s="23">
        <f>SUMIF(CPU!M:M,B76,CPU!O:O)+SUMIF(CPUAUX1!M:M,B76,CPUAUX1!O:O)+SUMIF(CPUAUX2!M:M,B76,CPUAUX2!O:O)+SUMIF(CPUAUX3!M:M,B76,CPUAUX3!O:O)+SUMIF(CPUAUX4!M:M,B76,CPUAUX4!O:O)+SUMIF(CPUAUX5!M:M,B76,CPUAUX5!O:O)</f>
        <v>941.31363780190009</v>
      </c>
      <c r="G76" s="5">
        <f>VLOOKUP(B76,I!$A:$G,5,FALSE)</f>
        <v>0.89</v>
      </c>
      <c r="H76" s="5">
        <f t="shared" si="2"/>
        <v>837.76913764369112</v>
      </c>
      <c r="I76" s="25">
        <f t="shared" si="3"/>
        <v>1.4366857216254361E-3</v>
      </c>
    </row>
    <row r="77" spans="1:9" x14ac:dyDescent="0.3">
      <c r="A77" s="23">
        <v>71</v>
      </c>
      <c r="B77" s="23" t="s">
        <v>1064</v>
      </c>
      <c r="C77" s="23" t="str">
        <f>VLOOKUP(B77,I!$A:$G,2,FALSE)</f>
        <v>SEINFRA</v>
      </c>
      <c r="D77" s="24" t="str">
        <f>VLOOKUP(B77,I!$A:$G,3,FALSE)</f>
        <v>MONTADOR</v>
      </c>
      <c r="E77" s="23" t="str">
        <f>VLOOKUP(B77,I!$A:$G,4,FALSE)</f>
        <v>H</v>
      </c>
      <c r="F77" s="23">
        <f>SUMIF(CPU!M:M,B77,CPU!O:O)+SUMIF(CPUAUX1!M:M,B77,CPUAUX1!O:O)+SUMIF(CPUAUX2!M:M,B77,CPUAUX2!O:O)+SUMIF(CPUAUX3!M:M,B77,CPUAUX3!O:O)+SUMIF(CPUAUX4!M:M,B77,CPUAUX4!O:O)+SUMIF(CPUAUX5!M:M,B77,CPUAUX5!O:O)</f>
        <v>30</v>
      </c>
      <c r="G77" s="5">
        <f>VLOOKUP(B77,I!$A:$G,5,FALSE)</f>
        <v>26.86</v>
      </c>
      <c r="H77" s="5">
        <f t="shared" si="2"/>
        <v>805.8</v>
      </c>
      <c r="I77" s="25">
        <f t="shared" si="3"/>
        <v>1.381862021966899E-3</v>
      </c>
    </row>
    <row r="78" spans="1:9" ht="28.8" x14ac:dyDescent="0.3">
      <c r="A78" s="23">
        <v>72</v>
      </c>
      <c r="B78" s="23">
        <v>4425</v>
      </c>
      <c r="C78" s="23" t="str">
        <f>VLOOKUP(B78,I!$A:$G,2,FALSE)</f>
        <v>SINAPI</v>
      </c>
      <c r="D78" s="24" t="str">
        <f>VLOOKUP(B78,I!$A:$G,3,FALSE)</f>
        <v>VIGA NAO APARELHADA *6 X 12* CM, EM MACARANDUBA/MASSARANDUBA, ANGELIM OU EQUIVALENTE DA REGIAO - BRUTA</v>
      </c>
      <c r="E78" s="23" t="str">
        <f>VLOOKUP(B78,I!$A:$G,4,FALSE)</f>
        <v>M</v>
      </c>
      <c r="F78" s="23">
        <f>SUMIF(CPU!M:M,B78,CPU!O:O)+SUMIF(CPUAUX1!M:M,B78,CPUAUX1!O:O)+SUMIF(CPUAUX2!M:M,B78,CPUAUX2!O:O)+SUMIF(CPUAUX3!M:M,B78,CPUAUX3!O:O)+SUMIF(CPUAUX4!M:M,B78,CPUAUX4!O:O)+SUMIF(CPUAUX5!M:M,B78,CPUAUX5!O:O)</f>
        <v>37.59525</v>
      </c>
      <c r="G78" s="5">
        <f>VLOOKUP(B78,I!$A:$G,5,FALSE)</f>
        <v>21.15</v>
      </c>
      <c r="H78" s="5">
        <f t="shared" si="2"/>
        <v>795.13953749999996</v>
      </c>
      <c r="I78" s="25">
        <f t="shared" si="3"/>
        <v>1.3635804530101451E-3</v>
      </c>
    </row>
    <row r="79" spans="1:9" x14ac:dyDescent="0.3">
      <c r="A79" s="23">
        <v>73</v>
      </c>
      <c r="B79" s="23">
        <v>43489</v>
      </c>
      <c r="C79" s="23" t="str">
        <f>VLOOKUP(B79,I!$A:$G,2,FALSE)</f>
        <v>SINAPI</v>
      </c>
      <c r="D79" s="24" t="str">
        <f>VLOOKUP(B79,I!$A:$G,3,FALSE)</f>
        <v>EPI - FAMILIA PEDREIRO - HORISTA (ENCARGOS COMPLEMENTARES - COLETADO CAIXA)</v>
      </c>
      <c r="E79" s="23" t="str">
        <f>VLOOKUP(B79,I!$A:$G,4,FALSE)</f>
        <v>H</v>
      </c>
      <c r="F79" s="23">
        <f>SUMIF(CPU!M:M,B79,CPU!O:O)+SUMIF(CPUAUX1!M:M,B79,CPUAUX1!O:O)+SUMIF(CPUAUX2!M:M,B79,CPUAUX2!O:O)+SUMIF(CPUAUX3!M:M,B79,CPUAUX3!O:O)+SUMIF(CPUAUX4!M:M,B79,CPUAUX4!O:O)+SUMIF(CPUAUX5!M:M,B79,CPUAUX5!O:O)</f>
        <v>605.97385855499999</v>
      </c>
      <c r="G79" s="5">
        <f>VLOOKUP(B79,I!$A:$G,5,FALSE)</f>
        <v>1.31</v>
      </c>
      <c r="H79" s="5">
        <f t="shared" si="2"/>
        <v>793.82575470705001</v>
      </c>
      <c r="I79" s="25">
        <f t="shared" si="3"/>
        <v>1.3613274540691038E-3</v>
      </c>
    </row>
    <row r="80" spans="1:9" ht="28.8" x14ac:dyDescent="0.3">
      <c r="A80" s="23">
        <v>74</v>
      </c>
      <c r="B80" s="23">
        <v>7156</v>
      </c>
      <c r="C80" s="23" t="str">
        <f>VLOOKUP(B80,I!$A:$G,2,FALSE)</f>
        <v>SINAPI</v>
      </c>
      <c r="D80" s="24" t="str">
        <f>VLOOKUP(B80,I!$A:$G,3,FALSE)</f>
        <v>TELA DE ACO SOLDADA NERVURADA, CA-60, Q-196, (3,11 KG/M2), DIAMETRO DO FIO = 5,0 MM, LARGURA = 2,45 M, ESPACAMENTO DA MALHA = 10 X 10 CM</v>
      </c>
      <c r="E80" s="23" t="str">
        <f>VLOOKUP(B80,I!$A:$G,4,FALSE)</f>
        <v>M2</v>
      </c>
      <c r="F80" s="23">
        <f>SUMIF(CPU!M:M,B80,CPU!O:O)+SUMIF(CPUAUX1!M:M,B80,CPUAUX1!O:O)+SUMIF(CPUAUX2!M:M,B80,CPUAUX2!O:O)+SUMIF(CPUAUX3!M:M,B80,CPUAUX3!O:O)+SUMIF(CPUAUX4!M:M,B80,CPUAUX4!O:O)+SUMIF(CPUAUX5!M:M,B80,CPUAUX5!O:O)</f>
        <v>30.284799999999997</v>
      </c>
      <c r="G80" s="5">
        <f>VLOOKUP(B80,I!$A:$G,5,FALSE)</f>
        <v>26.18</v>
      </c>
      <c r="H80" s="5">
        <f t="shared" si="2"/>
        <v>792.85606399999995</v>
      </c>
      <c r="I80" s="25">
        <f t="shared" si="3"/>
        <v>1.3596645367681274E-3</v>
      </c>
    </row>
    <row r="81" spans="1:9" x14ac:dyDescent="0.3">
      <c r="A81" s="23">
        <v>75</v>
      </c>
      <c r="B81" s="23">
        <v>6127</v>
      </c>
      <c r="C81" s="23" t="str">
        <f>VLOOKUP(B81,I!$A:$G,2,FALSE)</f>
        <v>SINAPI</v>
      </c>
      <c r="D81" s="24" t="str">
        <f>VLOOKUP(B81,I!$A:$G,3,FALSE)</f>
        <v>AUXILIAR DE PEDREIRO (HORISTA)</v>
      </c>
      <c r="E81" s="23" t="str">
        <f>VLOOKUP(B81,I!$A:$G,4,FALSE)</f>
        <v>H</v>
      </c>
      <c r="F81" s="23">
        <f>SUMIF(CPU!M:M,B81,CPU!O:O)+SUMIF(CPUAUX1!M:M,B81,CPUAUX1!O:O)+SUMIF(CPUAUX2!M:M,B81,CPUAUX2!O:O)+SUMIF(CPUAUX3!M:M,B81,CPUAUX3!O:O)+SUMIF(CPUAUX4!M:M,B81,CPUAUX4!O:O)+SUMIF(CPUAUX5!M:M,B81,CPUAUX5!O:O)</f>
        <v>50.799088552000001</v>
      </c>
      <c r="G81" s="5">
        <f>VLOOKUP(B81,I!$A:$G,5,FALSE)</f>
        <v>15.57</v>
      </c>
      <c r="H81" s="5">
        <f t="shared" si="2"/>
        <v>790.94180875464008</v>
      </c>
      <c r="I81" s="25">
        <f t="shared" si="3"/>
        <v>1.3563817908958096E-3</v>
      </c>
    </row>
    <row r="82" spans="1:9" ht="43.2" x14ac:dyDescent="0.3">
      <c r="A82" s="23">
        <v>76</v>
      </c>
      <c r="B82" s="23">
        <v>1020</v>
      </c>
      <c r="C82" s="23" t="str">
        <f>VLOOKUP(B82,I!$A:$G,2,FALSE)</f>
        <v>SINAPI</v>
      </c>
      <c r="D82" s="24" t="str">
        <f>VLOOKUP(B82,I!$A:$G,3,FALSE)</f>
        <v>CABO DE COBRE, FLEXIVEL, CLASSE 4 OU 5, ISOLACAO EM PVC/A, ANTICHAMA BWF-B, COBERTURA PVC-ST1, ANTICHAMA BWF-B, 1 CONDUTOR, 0,6/1 KV, SECAO NOMINAL 10 MM2</v>
      </c>
      <c r="E82" s="23" t="str">
        <f>VLOOKUP(B82,I!$A:$G,4,FALSE)</f>
        <v>M</v>
      </c>
      <c r="F82" s="23">
        <f>SUMIF(CPU!M:M,B82,CPU!O:O)+SUMIF(CPUAUX1!M:M,B82,CPUAUX1!O:O)+SUMIF(CPUAUX2!M:M,B82,CPUAUX2!O:O)+SUMIF(CPUAUX3!M:M,B82,CPUAUX3!O:O)+SUMIF(CPUAUX4!M:M,B82,CPUAUX4!O:O)+SUMIF(CPUAUX5!M:M,B82,CPUAUX5!O:O)</f>
        <v>68.387</v>
      </c>
      <c r="G82" s="5">
        <f>VLOOKUP(B82,I!$A:$G,5,FALSE)</f>
        <v>10.97</v>
      </c>
      <c r="H82" s="5">
        <f t="shared" si="2"/>
        <v>750.20539000000008</v>
      </c>
      <c r="I82" s="25">
        <f t="shared" si="3"/>
        <v>1.286523128711673E-3</v>
      </c>
    </row>
    <row r="83" spans="1:9" ht="28.8" x14ac:dyDescent="0.3">
      <c r="A83" s="23">
        <v>77</v>
      </c>
      <c r="B83" s="23">
        <v>11675</v>
      </c>
      <c r="C83" s="23" t="str">
        <f>VLOOKUP(B83,I!$A:$G,2,FALSE)</f>
        <v>SINAPI</v>
      </c>
      <c r="D83" s="24" t="str">
        <f>VLOOKUP(B83,I!$A:$G,3,FALSE)</f>
        <v>REGISTRO DE ESFERA, PVC, COM VOLANTE, VS, SOLDAVEL, DN 32 MM, COM CORPO DIVIDIDO</v>
      </c>
      <c r="E83" s="23" t="str">
        <f>VLOOKUP(B83,I!$A:$G,4,FALSE)</f>
        <v>UN</v>
      </c>
      <c r="F83" s="23">
        <f>SUMIF(CPU!M:M,B83,CPU!O:O)+SUMIF(CPUAUX1!M:M,B83,CPUAUX1!O:O)+SUMIF(CPUAUX2!M:M,B83,CPUAUX2!O:O)+SUMIF(CPUAUX3!M:M,B83,CPUAUX3!O:O)+SUMIF(CPUAUX4!M:M,B83,CPUAUX4!O:O)+SUMIF(CPUAUX5!M:M,B83,CPUAUX5!O:O)</f>
        <v>15</v>
      </c>
      <c r="G83" s="5">
        <f>VLOOKUP(B83,I!$A:$G,5,FALSE)</f>
        <v>47.8</v>
      </c>
      <c r="H83" s="5">
        <f t="shared" si="2"/>
        <v>717</v>
      </c>
      <c r="I83" s="25">
        <f t="shared" si="3"/>
        <v>1.2295793866347314E-3</v>
      </c>
    </row>
    <row r="84" spans="1:9" x14ac:dyDescent="0.3">
      <c r="A84" s="23">
        <v>78</v>
      </c>
      <c r="B84" s="23">
        <v>1789</v>
      </c>
      <c r="C84" s="23" t="str">
        <f>VLOOKUP(B84,I!$A:$G,2,FALSE)</f>
        <v>SINAPI</v>
      </c>
      <c r="D84" s="24" t="str">
        <f>VLOOKUP(B84,I!$A:$G,3,FALSE)</f>
        <v>CURVA 90 GRAUS DE FERRO GALVANIZADO, COM ROSCA BSP FEMEA, DE 1 1/2"</v>
      </c>
      <c r="E84" s="23" t="str">
        <f>VLOOKUP(B84,I!$A:$G,4,FALSE)</f>
        <v>UN</v>
      </c>
      <c r="F84" s="23">
        <f>SUMIF(CPU!M:M,B84,CPU!O:O)+SUMIF(CPUAUX1!M:M,B84,CPUAUX1!O:O)+SUMIF(CPUAUX2!M:M,B84,CPUAUX2!O:O)+SUMIF(CPUAUX3!M:M,B84,CPUAUX3!O:O)+SUMIF(CPUAUX4!M:M,B84,CPUAUX4!O:O)+SUMIF(CPUAUX5!M:M,B84,CPUAUX5!O:O)</f>
        <v>10</v>
      </c>
      <c r="G84" s="5">
        <f>VLOOKUP(B84,I!$A:$G,5,FALSE)</f>
        <v>68.05</v>
      </c>
      <c r="H84" s="5">
        <f t="shared" si="2"/>
        <v>680.5</v>
      </c>
      <c r="I84" s="25">
        <f t="shared" si="3"/>
        <v>1.1669857358506761E-3</v>
      </c>
    </row>
    <row r="85" spans="1:9" x14ac:dyDescent="0.3">
      <c r="A85" s="23">
        <v>79</v>
      </c>
      <c r="B85" s="23">
        <v>867</v>
      </c>
      <c r="C85" s="23" t="str">
        <f>VLOOKUP(B85,I!$A:$G,2,FALSE)</f>
        <v>SINAPI</v>
      </c>
      <c r="D85" s="24" t="str">
        <f>VLOOKUP(B85,I!$A:$G,3,FALSE)</f>
        <v>CABO DE COBRE NU 50 MM2 MEIO-DURO</v>
      </c>
      <c r="E85" s="23" t="str">
        <f>VLOOKUP(B85,I!$A:$G,4,FALSE)</f>
        <v>M</v>
      </c>
      <c r="F85" s="23">
        <f>SUMIF(CPU!M:M,B85,CPU!O:O)+SUMIF(CPUAUX1!M:M,B85,CPUAUX1!O:O)+SUMIF(CPUAUX2!M:M,B85,CPUAUX2!O:O)+SUMIF(CPUAUX3!M:M,B85,CPUAUX3!O:O)+SUMIF(CPUAUX4!M:M,B85,CPUAUX4!O:O)+SUMIF(CPUAUX5!M:M,B85,CPUAUX5!O:O)</f>
        <v>10.237500000000001</v>
      </c>
      <c r="G85" s="5">
        <f>VLOOKUP(B85,I!$A:$G,5,FALSE)</f>
        <v>59.54</v>
      </c>
      <c r="H85" s="5">
        <f t="shared" si="2"/>
        <v>609.54075</v>
      </c>
      <c r="I85" s="25">
        <f t="shared" si="3"/>
        <v>1.0452981053192109E-3</v>
      </c>
    </row>
    <row r="86" spans="1:9" ht="28.8" x14ac:dyDescent="0.3">
      <c r="A86" s="23">
        <v>80</v>
      </c>
      <c r="B86" s="23">
        <v>3378</v>
      </c>
      <c r="C86" s="23" t="str">
        <f>VLOOKUP(B86,I!$A:$G,2,FALSE)</f>
        <v>SINAPI</v>
      </c>
      <c r="D86" s="24" t="str">
        <f>VLOOKUP(B86,I!$A:$G,3,FALSE)</f>
        <v>HASTE DE ATERRAMENTO EM ACO COM 3,00 M DE COMPRIMENTO E DN = 3/4", REVESTIDA COM BAIXA CAMADA DE COBRE, SEM CONECTOR</v>
      </c>
      <c r="E86" s="23" t="str">
        <f>VLOOKUP(B86,I!$A:$G,4,FALSE)</f>
        <v>UN</v>
      </c>
      <c r="F86" s="23">
        <f>SUMIF(CPU!M:M,B86,CPU!O:O)+SUMIF(CPUAUX1!M:M,B86,CPUAUX1!O:O)+SUMIF(CPUAUX2!M:M,B86,CPUAUX2!O:O)+SUMIF(CPUAUX3!M:M,B86,CPUAUX3!O:O)+SUMIF(CPUAUX4!M:M,B86,CPUAUX4!O:O)+SUMIF(CPUAUX5!M:M,B86,CPUAUX5!O:O)</f>
        <v>5</v>
      </c>
      <c r="G86" s="5">
        <f>VLOOKUP(B86,I!$A:$G,5,FALSE)</f>
        <v>116.99</v>
      </c>
      <c r="H86" s="5">
        <f t="shared" si="2"/>
        <v>584.94999999999993</v>
      </c>
      <c r="I86" s="25">
        <f t="shared" si="3"/>
        <v>1.0031275623598132E-3</v>
      </c>
    </row>
    <row r="87" spans="1:9" ht="28.8" x14ac:dyDescent="0.3">
      <c r="A87" s="23">
        <v>81</v>
      </c>
      <c r="B87" s="23">
        <v>43483</v>
      </c>
      <c r="C87" s="23" t="str">
        <f>VLOOKUP(B87,I!$A:$G,2,FALSE)</f>
        <v>SINAPI</v>
      </c>
      <c r="D87" s="24" t="str">
        <f>VLOOKUP(B87,I!$A:$G,3,FALSE)</f>
        <v>EPI - FAMILIA CARPINTEIRO DE FORMAS - HORISTA (ENCARGOS COMPLEMENTARES - COLETADO CAIXA)</v>
      </c>
      <c r="E87" s="23" t="str">
        <f>VLOOKUP(B87,I!$A:$G,4,FALSE)</f>
        <v>H</v>
      </c>
      <c r="F87" s="23">
        <f>SUMIF(CPU!M:M,B87,CPU!O:O)+SUMIF(CPUAUX1!M:M,B87,CPUAUX1!O:O)+SUMIF(CPUAUX2!M:M,B87,CPUAUX2!O:O)+SUMIF(CPUAUX3!M:M,B87,CPUAUX3!O:O)+SUMIF(CPUAUX4!M:M,B87,CPUAUX4!O:O)+SUMIF(CPUAUX5!M:M,B87,CPUAUX5!O:O)</f>
        <v>407.86783395809999</v>
      </c>
      <c r="G87" s="5">
        <f>VLOOKUP(B87,I!$A:$G,5,FALSE)</f>
        <v>1.43</v>
      </c>
      <c r="H87" s="5">
        <f t="shared" si="2"/>
        <v>583.25100256008295</v>
      </c>
      <c r="I87" s="25">
        <f t="shared" si="3"/>
        <v>1.0002139609231785E-3</v>
      </c>
    </row>
    <row r="88" spans="1:9" x14ac:dyDescent="0.3">
      <c r="A88" s="23">
        <v>82</v>
      </c>
      <c r="B88" s="23">
        <v>3146</v>
      </c>
      <c r="C88" s="23" t="str">
        <f>VLOOKUP(B88,I!$A:$G,2,FALSE)</f>
        <v>SINAPI</v>
      </c>
      <c r="D88" s="24" t="str">
        <f>VLOOKUP(B88,I!$A:$G,3,FALSE)</f>
        <v>FITA VEDA ROSCA, EM PTFE, ROLO DE 18 MM X 10 M (L X C)</v>
      </c>
      <c r="E88" s="23" t="str">
        <f>VLOOKUP(B88,I!$A:$G,4,FALSE)</f>
        <v>UN</v>
      </c>
      <c r="F88" s="23">
        <f>SUMIF(CPU!M:M,B88,CPU!O:O)+SUMIF(CPUAUX1!M:M,B88,CPUAUX1!O:O)+SUMIF(CPUAUX2!M:M,B88,CPUAUX2!O:O)+SUMIF(CPUAUX3!M:M,B88,CPUAUX3!O:O)+SUMIF(CPUAUX4!M:M,B88,CPUAUX4!O:O)+SUMIF(CPUAUX5!M:M,B88,CPUAUX5!O:O)</f>
        <v>139.465</v>
      </c>
      <c r="G88" s="5">
        <f>VLOOKUP(B88,I!$A:$G,5,FALSE)</f>
        <v>4.1399999999999997</v>
      </c>
      <c r="H88" s="5">
        <f t="shared" si="2"/>
        <v>577.38509999999997</v>
      </c>
      <c r="I88" s="25">
        <f t="shared" si="3"/>
        <v>9.9015455663881884E-4</v>
      </c>
    </row>
    <row r="89" spans="1:9" x14ac:dyDescent="0.3">
      <c r="A89" s="23">
        <v>83</v>
      </c>
      <c r="B89" s="23">
        <v>5068</v>
      </c>
      <c r="C89" s="23" t="str">
        <f>VLOOKUP(B89,I!$A:$G,2,FALSE)</f>
        <v>SINAPI</v>
      </c>
      <c r="D89" s="24" t="str">
        <f>VLOOKUP(B89,I!$A:$G,3,FALSE)</f>
        <v>PREGO DE ACO POLIDO COM CABECA 17 X 21 (2 X 11)</v>
      </c>
      <c r="E89" s="23" t="str">
        <f>VLOOKUP(B89,I!$A:$G,4,FALSE)</f>
        <v>KG</v>
      </c>
      <c r="F89" s="23">
        <f>SUMIF(CPU!M:M,B89,CPU!O:O)+SUMIF(CPUAUX1!M:M,B89,CPUAUX1!O:O)+SUMIF(CPUAUX2!M:M,B89,CPUAUX2!O:O)+SUMIF(CPUAUX3!M:M,B89,CPUAUX3!O:O)+SUMIF(CPUAUX4!M:M,B89,CPUAUX4!O:O)+SUMIF(CPUAUX5!M:M,B89,CPUAUX5!O:O)</f>
        <v>28.280129540200001</v>
      </c>
      <c r="G89" s="5">
        <f>VLOOKUP(B89,I!$A:$G,5,FALSE)</f>
        <v>20.34</v>
      </c>
      <c r="H89" s="5">
        <f t="shared" si="2"/>
        <v>575.21783484766797</v>
      </c>
      <c r="I89" s="25">
        <f t="shared" si="3"/>
        <v>9.8643792545795523E-4</v>
      </c>
    </row>
    <row r="90" spans="1:9" x14ac:dyDescent="0.3">
      <c r="A90" s="23">
        <v>84</v>
      </c>
      <c r="B90" s="23">
        <v>37373</v>
      </c>
      <c r="C90" s="23" t="str">
        <f>VLOOKUP(B90,I!$A:$G,2,FALSE)</f>
        <v>SINAPI</v>
      </c>
      <c r="D90" s="24" t="str">
        <f>VLOOKUP(B90,I!$A:$G,3,FALSE)</f>
        <v>SEGURO - HORISTA (COLETADO CAIXA - ENCARGOS COMPLEMENTARES)</v>
      </c>
      <c r="E90" s="23" t="str">
        <f>VLOOKUP(B90,I!$A:$G,4,FALSE)</f>
        <v>H</v>
      </c>
      <c r="F90" s="23">
        <f>SUMIF(CPU!M:M,B90,CPU!O:O)+SUMIF(CPUAUX1!M:M,B90,CPUAUX1!O:O)+SUMIF(CPUAUX2!M:M,B90,CPUAUX2!O:O)+SUMIF(CPUAUX3!M:M,B90,CPUAUX3!O:O)+SUMIF(CPUAUX4!M:M,B90,CPUAUX4!O:O)+SUMIF(CPUAUX5!M:M,B90,CPUAUX5!O:O)</f>
        <v>7076.8595307829992</v>
      </c>
      <c r="G90" s="5">
        <f>VLOOKUP(B90,I!$A:$G,5,FALSE)</f>
        <v>0.08</v>
      </c>
      <c r="H90" s="5">
        <f t="shared" si="2"/>
        <v>566.14876246263998</v>
      </c>
      <c r="I90" s="25">
        <f t="shared" si="3"/>
        <v>9.7088542272360547E-4</v>
      </c>
    </row>
    <row r="91" spans="1:9" x14ac:dyDescent="0.3">
      <c r="A91" s="23">
        <v>85</v>
      </c>
      <c r="B91" s="23" t="s">
        <v>1045</v>
      </c>
      <c r="C91" s="23" t="str">
        <f>VLOOKUP(B91,I!$A:$G,2,FALSE)</f>
        <v>ORSE</v>
      </c>
      <c r="D91" s="24" t="str">
        <f>VLOOKUP(B91,I!$A:$G,3,FALSE)</f>
        <v>TAMPA DE POÇO GALVANIZADA EM 6"</v>
      </c>
      <c r="E91" s="23" t="str">
        <f>VLOOKUP(B91,I!$A:$G,4,FALSE)</f>
        <v>UN</v>
      </c>
      <c r="F91" s="23">
        <f>SUMIF(CPU!M:M,B91,CPU!O:O)+SUMIF(CPUAUX1!M:M,B91,CPUAUX1!O:O)+SUMIF(CPUAUX2!M:M,B91,CPUAUX2!O:O)+SUMIF(CPUAUX3!M:M,B91,CPUAUX3!O:O)+SUMIF(CPUAUX4!M:M,B91,CPUAUX4!O:O)+SUMIF(CPUAUX5!M:M,B91,CPUAUX5!O:O)</f>
        <v>5</v>
      </c>
      <c r="G91" s="5">
        <f>VLOOKUP(B91,I!$A:$G,5,FALSE)</f>
        <v>107.28</v>
      </c>
      <c r="H91" s="5">
        <f t="shared" si="2"/>
        <v>536.4</v>
      </c>
      <c r="I91" s="25">
        <f t="shared" si="3"/>
        <v>9.1986943234430947E-4</v>
      </c>
    </row>
    <row r="92" spans="1:9" ht="28.8" x14ac:dyDescent="0.3">
      <c r="A92" s="23">
        <v>86</v>
      </c>
      <c r="B92" s="23">
        <v>21010</v>
      </c>
      <c r="C92" s="23" t="str">
        <f>VLOOKUP(B92,I!$A:$G,2,FALSE)</f>
        <v>SINAPI</v>
      </c>
      <c r="D92" s="24" t="str">
        <f>VLOOKUP(B92,I!$A:$G,3,FALSE)</f>
        <v>TUBO ACO GALVANIZADO COM COSTURA, CLASSE LEVE, DN 25 MM (1"), E = 2,65 MM, *2,11* KG/M (NBR 5580)</v>
      </c>
      <c r="E92" s="23" t="str">
        <f>VLOOKUP(B92,I!$A:$G,4,FALSE)</f>
        <v>M</v>
      </c>
      <c r="F92" s="23">
        <f>SUMIF(CPU!M:M,B92,CPU!O:O)+SUMIF(CPUAUX1!M:M,B92,CPUAUX1!O:O)+SUMIF(CPUAUX2!M:M,B92,CPUAUX2!O:O)+SUMIF(CPUAUX3!M:M,B92,CPUAUX3!O:O)+SUMIF(CPUAUX4!M:M,B92,CPUAUX4!O:O)+SUMIF(CPUAUX5!M:M,B92,CPUAUX5!O:O)</f>
        <v>15.584999999999999</v>
      </c>
      <c r="G92" s="5">
        <f>VLOOKUP(B92,I!$A:$G,5,FALSE)</f>
        <v>31.97</v>
      </c>
      <c r="H92" s="5">
        <f t="shared" si="2"/>
        <v>498.25244999999995</v>
      </c>
      <c r="I92" s="25">
        <f t="shared" si="3"/>
        <v>8.5445040705753436E-4</v>
      </c>
    </row>
    <row r="93" spans="1:9" ht="28.8" x14ac:dyDescent="0.3">
      <c r="A93" s="23">
        <v>87</v>
      </c>
      <c r="B93" s="23">
        <v>39808</v>
      </c>
      <c r="C93" s="23" t="str">
        <f>VLOOKUP(B93,I!$A:$G,2,FALSE)</f>
        <v>SINAPI</v>
      </c>
      <c r="D93" s="24" t="str">
        <f>VLOOKUP(B93,I!$A:$G,3,FALSE)</f>
        <v>CAIXA PARA MEDIDOR MONOFASICO, EM POLICARBONATO / TERMOPLASTICO, PARA ALOJAR 1 DISJUNTOR (PADRAO DA CONCESSIONARIA LOCAL)</v>
      </c>
      <c r="E93" s="23" t="str">
        <f>VLOOKUP(B93,I!$A:$G,4,FALSE)</f>
        <v>UN</v>
      </c>
      <c r="F93" s="23">
        <f>SUMIF(CPU!M:M,B93,CPU!O:O)+SUMIF(CPUAUX1!M:M,B93,CPUAUX1!O:O)+SUMIF(CPUAUX2!M:M,B93,CPUAUX2!O:O)+SUMIF(CPUAUX3!M:M,B93,CPUAUX3!O:O)+SUMIF(CPUAUX4!M:M,B93,CPUAUX4!O:O)+SUMIF(CPUAUX5!M:M,B93,CPUAUX5!O:O)</f>
        <v>5</v>
      </c>
      <c r="G93" s="5">
        <f>VLOOKUP(B93,I!$A:$G,5,FALSE)</f>
        <v>98.35</v>
      </c>
      <c r="H93" s="5">
        <f t="shared" si="2"/>
        <v>491.75</v>
      </c>
      <c r="I93" s="25">
        <f t="shared" si="3"/>
        <v>8.4329939104271854E-4</v>
      </c>
    </row>
    <row r="94" spans="1:9" ht="28.8" x14ac:dyDescent="0.3">
      <c r="A94" s="23">
        <v>88</v>
      </c>
      <c r="B94" s="23">
        <v>43465</v>
      </c>
      <c r="C94" s="23" t="str">
        <f>VLOOKUP(B94,I!$A:$G,2,FALSE)</f>
        <v>SINAPI</v>
      </c>
      <c r="D94" s="24" t="str">
        <f>VLOOKUP(B94,I!$A:$G,3,FALSE)</f>
        <v>FERRAMENTAS - FAMILIA PEDREIRO - HORISTA (ENCARGOS COMPLEMENTARES - COLETADO CAIXA)</v>
      </c>
      <c r="E94" s="23" t="str">
        <f>VLOOKUP(B94,I!$A:$G,4,FALSE)</f>
        <v>H</v>
      </c>
      <c r="F94" s="23">
        <f>SUMIF(CPU!M:M,B94,CPU!O:O)+SUMIF(CPUAUX1!M:M,B94,CPUAUX1!O:O)+SUMIF(CPUAUX2!M:M,B94,CPUAUX2!O:O)+SUMIF(CPUAUX3!M:M,B94,CPUAUX3!O:O)+SUMIF(CPUAUX4!M:M,B94,CPUAUX4!O:O)+SUMIF(CPUAUX5!M:M,B94,CPUAUX5!O:O)</f>
        <v>605.97385855499999</v>
      </c>
      <c r="G94" s="5">
        <f>VLOOKUP(B94,I!$A:$G,5,FALSE)</f>
        <v>0.78</v>
      </c>
      <c r="H94" s="5">
        <f t="shared" si="2"/>
        <v>472.65960967289999</v>
      </c>
      <c r="I94" s="25">
        <f t="shared" si="3"/>
        <v>8.1056138486557312E-4</v>
      </c>
    </row>
    <row r="95" spans="1:9" x14ac:dyDescent="0.3">
      <c r="A95" s="23">
        <v>89</v>
      </c>
      <c r="B95" s="23" t="s">
        <v>1028</v>
      </c>
      <c r="C95" s="23" t="str">
        <f>VLOOKUP(B95,I!$A:$G,2,FALSE)</f>
        <v>SEINFRA</v>
      </c>
      <c r="D95" s="24" t="str">
        <f>VLOOKUP(B95,I!$A:$G,3,FALSE)</f>
        <v>PONTALETE / BARROTE DE 3"X3"</v>
      </c>
      <c r="E95" s="23" t="str">
        <f>VLOOKUP(B95,I!$A:$G,4,FALSE)</f>
        <v>M</v>
      </c>
      <c r="F95" s="23">
        <f>SUMIF(CPU!M:M,B95,CPU!O:O)+SUMIF(CPUAUX1!M:M,B95,CPUAUX1!O:O)+SUMIF(CPUAUX2!M:M,B95,CPUAUX2!O:O)+SUMIF(CPUAUX3!M:M,B95,CPUAUX3!O:O)+SUMIF(CPUAUX4!M:M,B95,CPUAUX4!O:O)+SUMIF(CPUAUX5!M:M,B95,CPUAUX5!O:O)</f>
        <v>29.160000000000004</v>
      </c>
      <c r="G95" s="5">
        <f>VLOOKUP(B95,I!$A:$G,5,FALSE)</f>
        <v>16.09</v>
      </c>
      <c r="H95" s="5">
        <f t="shared" si="2"/>
        <v>469.18440000000004</v>
      </c>
      <c r="I95" s="25">
        <f t="shared" si="3"/>
        <v>8.0460176676511099E-4</v>
      </c>
    </row>
    <row r="96" spans="1:9" ht="28.8" x14ac:dyDescent="0.3">
      <c r="A96" s="23">
        <v>90</v>
      </c>
      <c r="B96" s="23">
        <v>43484</v>
      </c>
      <c r="C96" s="23" t="str">
        <f>VLOOKUP(B96,I!$A:$G,2,FALSE)</f>
        <v>SINAPI</v>
      </c>
      <c r="D96" s="24" t="str">
        <f>VLOOKUP(B96,I!$A:$G,3,FALSE)</f>
        <v>EPI - FAMILIA ELETRICISTA - HORISTA (ENCARGOS COMPLEMENTARES - COLETADO CAIXA)</v>
      </c>
      <c r="E96" s="23" t="str">
        <f>VLOOKUP(B96,I!$A:$G,4,FALSE)</f>
        <v>H</v>
      </c>
      <c r="F96" s="23">
        <f>SUMIF(CPU!M:M,B96,CPU!O:O)+SUMIF(CPUAUX1!M:M,B96,CPUAUX1!O:O)+SUMIF(CPUAUX2!M:M,B96,CPUAUX2!O:O)+SUMIF(CPUAUX3!M:M,B96,CPUAUX3!O:O)+SUMIF(CPUAUX4!M:M,B96,CPUAUX4!O:O)+SUMIF(CPUAUX5!M:M,B96,CPUAUX5!O:O)</f>
        <v>335.91068749999994</v>
      </c>
      <c r="G96" s="5">
        <f>VLOOKUP(B96,I!$A:$G,5,FALSE)</f>
        <v>1.26</v>
      </c>
      <c r="H96" s="5">
        <f t="shared" si="2"/>
        <v>423.24746624999995</v>
      </c>
      <c r="I96" s="25">
        <f t="shared" si="3"/>
        <v>7.25824769799692E-4</v>
      </c>
    </row>
    <row r="97" spans="1:9" x14ac:dyDescent="0.3">
      <c r="A97" s="23">
        <v>91</v>
      </c>
      <c r="B97" s="23">
        <v>12424</v>
      </c>
      <c r="C97" s="23" t="str">
        <f>VLOOKUP(B97,I!$A:$G,2,FALSE)</f>
        <v>SINAPI</v>
      </c>
      <c r="D97" s="24" t="str">
        <f>VLOOKUP(B97,I!$A:$G,3,FALSE)</f>
        <v>UNIAO DE FERRO GALVANIZADO, COM ASSENTO CONICO DE BRONZE, DE 1 1/2"</v>
      </c>
      <c r="E97" s="23" t="str">
        <f>VLOOKUP(B97,I!$A:$G,4,FALSE)</f>
        <v>UN</v>
      </c>
      <c r="F97" s="23">
        <f>SUMIF(CPU!M:M,B97,CPU!O:O)+SUMIF(CPUAUX1!M:M,B97,CPUAUX1!O:O)+SUMIF(CPUAUX2!M:M,B97,CPUAUX2!O:O)+SUMIF(CPUAUX3!M:M,B97,CPUAUX3!O:O)+SUMIF(CPUAUX4!M:M,B97,CPUAUX4!O:O)+SUMIF(CPUAUX5!M:M,B97,CPUAUX5!O:O)</f>
        <v>5</v>
      </c>
      <c r="G97" s="5">
        <f>VLOOKUP(B97,I!$A:$G,5,FALSE)</f>
        <v>82.38</v>
      </c>
      <c r="H97" s="5">
        <f t="shared" si="2"/>
        <v>411.9</v>
      </c>
      <c r="I97" s="25">
        <f t="shared" si="3"/>
        <v>7.0636506186170969E-4</v>
      </c>
    </row>
    <row r="98" spans="1:9" ht="28.8" x14ac:dyDescent="0.3">
      <c r="A98" s="23">
        <v>92</v>
      </c>
      <c r="B98" s="23">
        <v>43485</v>
      </c>
      <c r="C98" s="23" t="str">
        <f>VLOOKUP(B98,I!$A:$G,2,FALSE)</f>
        <v>SINAPI</v>
      </c>
      <c r="D98" s="24" t="str">
        <f>VLOOKUP(B98,I!$A:$G,3,FALSE)</f>
        <v>EPI - FAMILIA ENCANADOR - HORISTA (ENCARGOS COMPLEMENTARES - COLETADO CAIXA)</v>
      </c>
      <c r="E98" s="23" t="str">
        <f>VLOOKUP(B98,I!$A:$G,4,FALSE)</f>
        <v>H</v>
      </c>
      <c r="F98" s="23">
        <f>SUMIF(CPU!M:M,B98,CPU!O:O)+SUMIF(CPUAUX1!M:M,B98,CPUAUX1!O:O)+SUMIF(CPUAUX2!M:M,B98,CPUAUX2!O:O)+SUMIF(CPUAUX3!M:M,B98,CPUAUX3!O:O)+SUMIF(CPUAUX4!M:M,B98,CPUAUX4!O:O)+SUMIF(CPUAUX5!M:M,B98,CPUAUX5!O:O)</f>
        <v>353.17500000000001</v>
      </c>
      <c r="G98" s="5">
        <f>VLOOKUP(B98,I!$A:$G,5,FALSE)</f>
        <v>1.1299999999999999</v>
      </c>
      <c r="H98" s="5">
        <f t="shared" si="2"/>
        <v>399.08774999999997</v>
      </c>
      <c r="I98" s="25">
        <f t="shared" si="3"/>
        <v>6.8439340426559977E-4</v>
      </c>
    </row>
    <row r="99" spans="1:9" x14ac:dyDescent="0.3">
      <c r="A99" s="23">
        <v>93</v>
      </c>
      <c r="B99" s="23">
        <v>4254</v>
      </c>
      <c r="C99" s="23" t="str">
        <f>VLOOKUP(B99,I!$A:$G,2,FALSE)</f>
        <v>SINAPI</v>
      </c>
      <c r="D99" s="24" t="str">
        <f>VLOOKUP(B99,I!$A:$G,3,FALSE)</f>
        <v>OPERADOR DE GUINDASTE (HORISTA)</v>
      </c>
      <c r="E99" s="23" t="str">
        <f>VLOOKUP(B99,I!$A:$G,4,FALSE)</f>
        <v>H</v>
      </c>
      <c r="F99" s="23">
        <f>SUMIF(CPU!M:M,B99,CPU!O:O)+SUMIF(CPUAUX1!M:M,B99,CPUAUX1!O:O)+SUMIF(CPUAUX2!M:M,B99,CPUAUX2!O:O)+SUMIF(CPUAUX3!M:M,B99,CPUAUX3!O:O)+SUMIF(CPUAUX4!M:M,B99,CPUAUX4!O:O)+SUMIF(CPUAUX5!M:M,B99,CPUAUX5!O:O)</f>
        <v>13.337315325</v>
      </c>
      <c r="G99" s="5">
        <f>VLOOKUP(B99,I!$A:$G,5,FALSE)</f>
        <v>29.16</v>
      </c>
      <c r="H99" s="5">
        <f t="shared" si="2"/>
        <v>388.91611487700004</v>
      </c>
      <c r="I99" s="25">
        <f t="shared" si="3"/>
        <v>6.6695012270965757E-4</v>
      </c>
    </row>
    <row r="100" spans="1:9" x14ac:dyDescent="0.3">
      <c r="A100" s="23">
        <v>94</v>
      </c>
      <c r="B100" s="23">
        <v>4209</v>
      </c>
      <c r="C100" s="23" t="str">
        <f>VLOOKUP(B100,I!$A:$G,2,FALSE)</f>
        <v>SINAPI</v>
      </c>
      <c r="D100" s="24" t="str">
        <f>VLOOKUP(B100,I!$A:$G,3,FALSE)</f>
        <v>NIPLE DE FERRO GALVANIZADO, COM ROSCA BSP, DE 1 1/2"</v>
      </c>
      <c r="E100" s="23" t="str">
        <f>VLOOKUP(B100,I!$A:$G,4,FALSE)</f>
        <v>UN</v>
      </c>
      <c r="F100" s="23">
        <f>SUMIF(CPU!M:M,B100,CPU!O:O)+SUMIF(CPUAUX1!M:M,B100,CPUAUX1!O:O)+SUMIF(CPUAUX2!M:M,B100,CPUAUX2!O:O)+SUMIF(CPUAUX3!M:M,B100,CPUAUX3!O:O)+SUMIF(CPUAUX4!M:M,B100,CPUAUX4!O:O)+SUMIF(CPUAUX5!M:M,B100,CPUAUX5!O:O)</f>
        <v>20</v>
      </c>
      <c r="G100" s="5">
        <f>VLOOKUP(B100,I!$A:$G,5,FALSE)</f>
        <v>19.38</v>
      </c>
      <c r="H100" s="5">
        <f t="shared" si="2"/>
        <v>387.59999999999997</v>
      </c>
      <c r="I100" s="25">
        <f t="shared" si="3"/>
        <v>6.6469312449040708E-4</v>
      </c>
    </row>
    <row r="101" spans="1:9" ht="28.8" x14ac:dyDescent="0.3">
      <c r="A101" s="23">
        <v>95</v>
      </c>
      <c r="B101" s="23">
        <v>43487</v>
      </c>
      <c r="C101" s="23" t="str">
        <f>VLOOKUP(B101,I!$A:$G,2,FALSE)</f>
        <v>SINAPI</v>
      </c>
      <c r="D101" s="24" t="str">
        <f>VLOOKUP(B101,I!$A:$G,3,FALSE)</f>
        <v>EPI - FAMILIA ENCARREGADO GERAL - HORISTA (ENCARGOS COMPLEMENTARES - COLETADO CAIXA)</v>
      </c>
      <c r="E101" s="23" t="str">
        <f>VLOOKUP(B101,I!$A:$G,4,FALSE)</f>
        <v>H</v>
      </c>
      <c r="F101" s="23">
        <f>SUMIF(CPU!M:M,B101,CPU!O:O)+SUMIF(CPUAUX1!M:M,B101,CPUAUX1!O:O)+SUMIF(CPUAUX2!M:M,B101,CPUAUX2!O:O)+SUMIF(CPUAUX3!M:M,B101,CPUAUX3!O:O)+SUMIF(CPUAUX4!M:M,B101,CPUAUX4!O:O)+SUMIF(CPUAUX5!M:M,B101,CPUAUX5!O:O)</f>
        <v>300</v>
      </c>
      <c r="G101" s="5">
        <f>VLOOKUP(B101,I!$A:$G,5,FALSE)</f>
        <v>1.28</v>
      </c>
      <c r="H101" s="5">
        <f t="shared" si="2"/>
        <v>384</v>
      </c>
      <c r="I101" s="25">
        <f t="shared" si="3"/>
        <v>6.5851950413910306E-4</v>
      </c>
    </row>
    <row r="102" spans="1:9" x14ac:dyDescent="0.3">
      <c r="A102" s="23">
        <v>96</v>
      </c>
      <c r="B102" s="23" t="s">
        <v>1075</v>
      </c>
      <c r="C102" s="23" t="str">
        <f>VLOOKUP(B102,I!$A:$G,2,FALSE)</f>
        <v>ORSE</v>
      </c>
      <c r="D102" s="24" t="str">
        <f>VLOOKUP(B102,I!$A:$G,3,FALSE)</f>
        <v>DISPOSITIVO DE PROTEÇÃO CONTRA SURTO DE TENSÃO DPS 60KA - 275V (PARA-RAIO)</v>
      </c>
      <c r="E102" s="23" t="str">
        <f>VLOOKUP(B102,I!$A:$G,4,FALSE)</f>
        <v>UN</v>
      </c>
      <c r="F102" s="23">
        <f>SUMIF(CPU!M:M,B102,CPU!O:O)+SUMIF(CPUAUX1!M:M,B102,CPUAUX1!O:O)+SUMIF(CPUAUX2!M:M,B102,CPUAUX2!O:O)+SUMIF(CPUAUX3!M:M,B102,CPUAUX3!O:O)+SUMIF(CPUAUX4!M:M,B102,CPUAUX4!O:O)+SUMIF(CPUAUX5!M:M,B102,CPUAUX5!O:O)</f>
        <v>5</v>
      </c>
      <c r="G102" s="5">
        <f>VLOOKUP(B102,I!$A:$G,5,FALSE)</f>
        <v>75.2</v>
      </c>
      <c r="H102" s="5">
        <f t="shared" si="2"/>
        <v>376</v>
      </c>
      <c r="I102" s="25">
        <f t="shared" si="3"/>
        <v>6.4480034780287174E-4</v>
      </c>
    </row>
    <row r="103" spans="1:9" ht="57.6" x14ac:dyDescent="0.3">
      <c r="A103" s="23">
        <v>97</v>
      </c>
      <c r="B103" s="23">
        <v>743</v>
      </c>
      <c r="C103" s="23" t="str">
        <f>VLOOKUP(B103,I!$A:$G,2,FALSE)</f>
        <v>SINAPI</v>
      </c>
      <c r="D103" s="24" t="str">
        <f>VLOOKUP(B103,I!$A:$G,3,FALSE)</f>
        <v>LOCACAO DE BOMBA SUBMERSIVEL PARA DRENAGEM E ESGOTAMENTO, MOTOR ELETRICO TRIFASICO, POTENCIA DE 2 CV, DIAMETRO DE RECALQUE DE 2", FAIXA DE OPERACAO Q=35 M3/H (+ OU - 3 M3/H) E AMT=2 M, Q=13 M3/H (+ OU - 3 M3/H) E AMT = 17 M (+ OU - 3 M)</v>
      </c>
      <c r="E103" s="23" t="str">
        <f>VLOOKUP(B103,I!$A:$G,4,FALSE)</f>
        <v>H</v>
      </c>
      <c r="F103" s="23">
        <f>SUMIF(CPU!M:M,B103,CPU!O:O)+SUMIF(CPUAUX1!M:M,B103,CPUAUX1!O:O)+SUMIF(CPUAUX2!M:M,B103,CPUAUX2!O:O)+SUMIF(CPUAUX3!M:M,B103,CPUAUX3!O:O)+SUMIF(CPUAUX4!M:M,B103,CPUAUX4!O:O)+SUMIF(CPUAUX5!M:M,B103,CPUAUX5!O:O)</f>
        <v>150</v>
      </c>
      <c r="G103" s="5">
        <f>VLOOKUP(B103,I!$A:$G,5,FALSE)</f>
        <v>2.4300000000000002</v>
      </c>
      <c r="H103" s="5">
        <f t="shared" si="2"/>
        <v>364.5</v>
      </c>
      <c r="I103" s="25">
        <f t="shared" si="3"/>
        <v>6.2507906056953925E-4</v>
      </c>
    </row>
    <row r="104" spans="1:9" x14ac:dyDescent="0.3">
      <c r="A104" s="23">
        <v>98</v>
      </c>
      <c r="B104" s="23">
        <v>6297</v>
      </c>
      <c r="C104" s="23" t="str">
        <f>VLOOKUP(B104,I!$A:$G,2,FALSE)</f>
        <v>SINAPI</v>
      </c>
      <c r="D104" s="24" t="str">
        <f>VLOOKUP(B104,I!$A:$G,3,FALSE)</f>
        <v>TE DE FERRO GALVANIZADO, DE 1 1/2"</v>
      </c>
      <c r="E104" s="23" t="str">
        <f>VLOOKUP(B104,I!$A:$G,4,FALSE)</f>
        <v>UN</v>
      </c>
      <c r="F104" s="23">
        <f>SUMIF(CPU!M:M,B104,CPU!O:O)+SUMIF(CPUAUX1!M:M,B104,CPUAUX1!O:O)+SUMIF(CPUAUX2!M:M,B104,CPUAUX2!O:O)+SUMIF(CPUAUX3!M:M,B104,CPUAUX3!O:O)+SUMIF(CPUAUX4!M:M,B104,CPUAUX4!O:O)+SUMIF(CPUAUX5!M:M,B104,CPUAUX5!O:O)</f>
        <v>10</v>
      </c>
      <c r="G104" s="5">
        <f>VLOOKUP(B104,I!$A:$G,5,FALSE)</f>
        <v>35.909999999999997</v>
      </c>
      <c r="H104" s="5">
        <f t="shared" si="2"/>
        <v>359.09999999999997</v>
      </c>
      <c r="I104" s="25">
        <f t="shared" si="3"/>
        <v>6.1581863004258307E-4</v>
      </c>
    </row>
    <row r="105" spans="1:9" ht="28.8" x14ac:dyDescent="0.3">
      <c r="A105" s="23">
        <v>99</v>
      </c>
      <c r="B105" s="23">
        <v>43130</v>
      </c>
      <c r="C105" s="23" t="str">
        <f>VLOOKUP(B105,I!$A:$G,2,FALSE)</f>
        <v>SINAPI</v>
      </c>
      <c r="D105" s="24" t="str">
        <f>VLOOKUP(B105,I!$A:$G,3,FALSE)</f>
        <v>ARAME GALVANIZADO 12 BWG, D = 2,76 MM (0,048 KG/M) OU 14 BWG, D = 2,11 MM (0,026 KG/M)</v>
      </c>
      <c r="E105" s="23" t="str">
        <f>VLOOKUP(B105,I!$A:$G,4,FALSE)</f>
        <v>KG</v>
      </c>
      <c r="F105" s="23">
        <f>SUMIF(CPU!M:M,B105,CPU!O:O)+SUMIF(CPUAUX1!M:M,B105,CPUAUX1!O:O)+SUMIF(CPUAUX2!M:M,B105,CPUAUX2!O:O)+SUMIF(CPUAUX3!M:M,B105,CPUAUX3!O:O)+SUMIF(CPUAUX4!M:M,B105,CPUAUX4!O:O)+SUMIF(CPUAUX5!M:M,B105,CPUAUX5!O:O)</f>
        <v>16.565000000000001</v>
      </c>
      <c r="G105" s="5">
        <f>VLOOKUP(B105,I!$A:$G,5,FALSE)</f>
        <v>21.59</v>
      </c>
      <c r="H105" s="5">
        <f t="shared" si="2"/>
        <v>357.63835</v>
      </c>
      <c r="I105" s="25">
        <f t="shared" si="3"/>
        <v>6.1331205443522648E-4</v>
      </c>
    </row>
    <row r="106" spans="1:9" ht="28.8" x14ac:dyDescent="0.3">
      <c r="A106" s="23">
        <v>100</v>
      </c>
      <c r="B106" s="23">
        <v>7267</v>
      </c>
      <c r="C106" s="23" t="str">
        <f>VLOOKUP(B106,I!$A:$G,2,FALSE)</f>
        <v>SINAPI</v>
      </c>
      <c r="D106" s="24" t="str">
        <f>VLOOKUP(B106,I!$A:$G,3,FALSE)</f>
        <v>BLOCO CERAMICO / TIJOLO VAZADO PARA ALVENARIA DE VEDACAO, 6 FUROS NA HORIZONTAL DE 9 X 14 X 19 CM (L X A X C)</v>
      </c>
      <c r="E106" s="23" t="str">
        <f>VLOOKUP(B106,I!$A:$G,4,FALSE)</f>
        <v>UN</v>
      </c>
      <c r="F106" s="23">
        <f>SUMIF(CPU!M:M,B106,CPU!O:O)+SUMIF(CPUAUX1!M:M,B106,CPUAUX1!O:O)+SUMIF(CPUAUX2!M:M,B106,CPUAUX2!O:O)+SUMIF(CPUAUX3!M:M,B106,CPUAUX3!O:O)+SUMIF(CPUAUX4!M:M,B106,CPUAUX4!O:O)+SUMIF(CPUAUX5!M:M,B106,CPUAUX5!O:O)</f>
        <v>486.93200000000007</v>
      </c>
      <c r="G106" s="5">
        <f>VLOOKUP(B106,I!$A:$G,5,FALSE)</f>
        <v>0.71</v>
      </c>
      <c r="H106" s="5">
        <f t="shared" si="2"/>
        <v>345.72172000000006</v>
      </c>
      <c r="I106" s="25">
        <f t="shared" si="3"/>
        <v>5.9287629068884864E-4</v>
      </c>
    </row>
    <row r="107" spans="1:9" x14ac:dyDescent="0.3">
      <c r="A107" s="23">
        <v>101</v>
      </c>
      <c r="B107" s="23">
        <v>33</v>
      </c>
      <c r="C107" s="23" t="str">
        <f>VLOOKUP(B107,I!$A:$G,2,FALSE)</f>
        <v>SINAPI</v>
      </c>
      <c r="D107" s="24" t="str">
        <f>VLOOKUP(B107,I!$A:$G,3,FALSE)</f>
        <v>ACO CA-50, 8,0 MM, VERGALHAO</v>
      </c>
      <c r="E107" s="23" t="str">
        <f>VLOOKUP(B107,I!$A:$G,4,FALSE)</f>
        <v>KG</v>
      </c>
      <c r="F107" s="23">
        <f>SUMIF(CPU!M:M,B107,CPU!O:O)+SUMIF(CPUAUX1!M:M,B107,CPUAUX1!O:O)+SUMIF(CPUAUX2!M:M,B107,CPUAUX2!O:O)+SUMIF(CPUAUX3!M:M,B107,CPUAUX3!O:O)+SUMIF(CPUAUX4!M:M,B107,CPUAUX4!O:O)+SUMIF(CPUAUX5!M:M,B107,CPUAUX5!O:O)</f>
        <v>39.626278500000005</v>
      </c>
      <c r="G107" s="5">
        <f>VLOOKUP(B107,I!$A:$G,5,FALSE)</f>
        <v>8.57</v>
      </c>
      <c r="H107" s="5">
        <f t="shared" si="2"/>
        <v>339.59720674500005</v>
      </c>
      <c r="I107" s="25">
        <f t="shared" si="3"/>
        <v>5.8237339633526535E-4</v>
      </c>
    </row>
    <row r="108" spans="1:9" x14ac:dyDescent="0.3">
      <c r="A108" s="23">
        <v>102</v>
      </c>
      <c r="B108" s="23">
        <v>4517</v>
      </c>
      <c r="C108" s="23" t="str">
        <f>VLOOKUP(B108,I!$A:$G,2,FALSE)</f>
        <v>SINAPI</v>
      </c>
      <c r="D108" s="24" t="str">
        <f>VLOOKUP(B108,I!$A:$G,3,FALSE)</f>
        <v>SARRAFO *2,5 X 7,5* CM EM PINUS, MISTA OU EQUIVALENTE DA REGIAO - BRUTA</v>
      </c>
      <c r="E108" s="23" t="str">
        <f>VLOOKUP(B108,I!$A:$G,4,FALSE)</f>
        <v>M</v>
      </c>
      <c r="F108" s="23">
        <f>SUMIF(CPU!M:M,B108,CPU!O:O)+SUMIF(CPUAUX1!M:M,B108,CPUAUX1!O:O)+SUMIF(CPUAUX2!M:M,B108,CPUAUX2!O:O)+SUMIF(CPUAUX3!M:M,B108,CPUAUX3!O:O)+SUMIF(CPUAUX4!M:M,B108,CPUAUX4!O:O)+SUMIF(CPUAUX5!M:M,B108,CPUAUX5!O:O)</f>
        <v>94.855609176649978</v>
      </c>
      <c r="G108" s="5">
        <f>VLOOKUP(B108,I!$A:$G,5,FALSE)</f>
        <v>3.52</v>
      </c>
      <c r="H108" s="5">
        <f t="shared" si="2"/>
        <v>333.89174430180793</v>
      </c>
      <c r="I108" s="25">
        <f t="shared" si="3"/>
        <v>5.725891299316842E-4</v>
      </c>
    </row>
    <row r="109" spans="1:9" ht="28.8" x14ac:dyDescent="0.3">
      <c r="A109" s="23">
        <v>103</v>
      </c>
      <c r="B109" s="23">
        <v>1014</v>
      </c>
      <c r="C109" s="23" t="str">
        <f>VLOOKUP(B109,I!$A:$G,2,FALSE)</f>
        <v>SINAPI</v>
      </c>
      <c r="D109" s="24" t="str">
        <f>VLOOKUP(B109,I!$A:$G,3,FALSE)</f>
        <v>CABO DE COBRE, FLEXIVEL, CLASSE 4 OU 5, ISOLACAO EM PVC/A, ANTICHAMA BWF-B, 1 CONDUTOR, 450/750 V, SECAO NOMINAL 2,5 MM2</v>
      </c>
      <c r="E109" s="23" t="str">
        <f>VLOOKUP(B109,I!$A:$G,4,FALSE)</f>
        <v>M</v>
      </c>
      <c r="F109" s="23">
        <f>SUMIF(CPU!M:M,B109,CPU!O:O)+SUMIF(CPUAUX1!M:M,B109,CPUAUX1!O:O)+SUMIF(CPUAUX2!M:M,B109,CPUAUX2!O:O)+SUMIF(CPUAUX3!M:M,B109,CPUAUX3!O:O)+SUMIF(CPUAUX4!M:M,B109,CPUAUX4!O:O)+SUMIF(CPUAUX5!M:M,B109,CPUAUX5!O:O)</f>
        <v>130.55700000000002</v>
      </c>
      <c r="G109" s="5">
        <f>VLOOKUP(B109,I!$A:$G,5,FALSE)</f>
        <v>2.5299999999999998</v>
      </c>
      <c r="H109" s="5">
        <f t="shared" si="2"/>
        <v>330.30921000000001</v>
      </c>
      <c r="I109" s="25">
        <f t="shared" si="3"/>
        <v>5.6644546141088243E-4</v>
      </c>
    </row>
    <row r="110" spans="1:9" ht="28.8" x14ac:dyDescent="0.3">
      <c r="A110" s="23">
        <v>104</v>
      </c>
      <c r="B110" s="23">
        <v>38769</v>
      </c>
      <c r="C110" s="23" t="str">
        <f>VLOOKUP(B110,I!$A:$G,2,FALSE)</f>
        <v>SINAPI</v>
      </c>
      <c r="D110" s="24" t="str">
        <f>VLOOKUP(B110,I!$A:$G,3,FALSE)</f>
        <v>LUMINARIA ARANDELA TIPO MEIA-LUA COM VIDRO FOSCO *30 X 15* CM, PARA 1 LAMPADA, BASE E27, POTENCIA MAXIMA 40/60 W (NAO INCLUI LAMPADA)</v>
      </c>
      <c r="E110" s="23" t="str">
        <f>VLOOKUP(B110,I!$A:$G,4,FALSE)</f>
        <v>UN</v>
      </c>
      <c r="F110" s="23">
        <f>SUMIF(CPU!M:M,B110,CPU!O:O)+SUMIF(CPUAUX1!M:M,B110,CPUAUX1!O:O)+SUMIF(CPUAUX2!M:M,B110,CPUAUX2!O:O)+SUMIF(CPUAUX3!M:M,B110,CPUAUX3!O:O)+SUMIF(CPUAUX4!M:M,B110,CPUAUX4!O:O)+SUMIF(CPUAUX5!M:M,B110,CPUAUX5!O:O)</f>
        <v>5</v>
      </c>
      <c r="G110" s="5">
        <f>VLOOKUP(B110,I!$A:$G,5,FALSE)</f>
        <v>65.27</v>
      </c>
      <c r="H110" s="5">
        <f t="shared" si="2"/>
        <v>326.34999999999997</v>
      </c>
      <c r="I110" s="25">
        <f t="shared" si="3"/>
        <v>5.5965583379113612E-4</v>
      </c>
    </row>
    <row r="111" spans="1:9" x14ac:dyDescent="0.3">
      <c r="A111" s="23">
        <v>105</v>
      </c>
      <c r="B111" s="23" t="s">
        <v>1066</v>
      </c>
      <c r="C111" s="23" t="str">
        <f>VLOOKUP(B111,I!$A:$G,2,FALSE)</f>
        <v>SEINFRA</v>
      </c>
      <c r="D111" s="24" t="str">
        <f>VLOOKUP(B111,I!$A:$G,3,FALSE)</f>
        <v>SERVENTE</v>
      </c>
      <c r="E111" s="23" t="str">
        <f>VLOOKUP(B111,I!$A:$G,4,FALSE)</f>
        <v>H</v>
      </c>
      <c r="F111" s="23">
        <f>SUMIF(CPU!M:M,B111,CPU!O:O)+SUMIF(CPUAUX1!M:M,B111,CPUAUX1!O:O)+SUMIF(CPUAUX2!M:M,B111,CPUAUX2!O:O)+SUMIF(CPUAUX3!M:M,B111,CPUAUX3!O:O)+SUMIF(CPUAUX4!M:M,B111,CPUAUX4!O:O)+SUMIF(CPUAUX5!M:M,B111,CPUAUX5!O:O)</f>
        <v>15.3</v>
      </c>
      <c r="G111" s="5">
        <f>VLOOKUP(B111,I!$A:$G,5,FALSE)</f>
        <v>20.260000000000002</v>
      </c>
      <c r="H111" s="5">
        <f t="shared" si="2"/>
        <v>309.97800000000007</v>
      </c>
      <c r="I111" s="25">
        <f t="shared" si="3"/>
        <v>5.3157958034903891E-4</v>
      </c>
    </row>
    <row r="112" spans="1:9" x14ac:dyDescent="0.3">
      <c r="A112" s="23">
        <v>106</v>
      </c>
      <c r="B112" s="23">
        <v>34</v>
      </c>
      <c r="C112" s="23" t="str">
        <f>VLOOKUP(B112,I!$A:$G,2,FALSE)</f>
        <v>SINAPI</v>
      </c>
      <c r="D112" s="24" t="str">
        <f>VLOOKUP(B112,I!$A:$G,3,FALSE)</f>
        <v>ACO CA-50, 10,0 MM, VERGALHAO</v>
      </c>
      <c r="E112" s="23" t="str">
        <f>VLOOKUP(B112,I!$A:$G,4,FALSE)</f>
        <v>KG</v>
      </c>
      <c r="F112" s="23">
        <f>SUMIF(CPU!M:M,B112,CPU!O:O)+SUMIF(CPUAUX1!M:M,B112,CPUAUX1!O:O)+SUMIF(CPUAUX2!M:M,B112,CPUAUX2!O:O)+SUMIF(CPUAUX3!M:M,B112,CPUAUX3!O:O)+SUMIF(CPUAUX4!M:M,B112,CPUAUX4!O:O)+SUMIF(CPUAUX5!M:M,B112,CPUAUX5!O:O)</f>
        <v>38.330464500000012</v>
      </c>
      <c r="G112" s="5">
        <f>VLOOKUP(B112,I!$A:$G,5,FALSE)</f>
        <v>8.08</v>
      </c>
      <c r="H112" s="5">
        <f t="shared" si="2"/>
        <v>309.71015316000012</v>
      </c>
      <c r="I112" s="25">
        <f t="shared" si="3"/>
        <v>5.3112025126502327E-4</v>
      </c>
    </row>
    <row r="113" spans="1:9" ht="28.8" x14ac:dyDescent="0.3">
      <c r="A113" s="23">
        <v>107</v>
      </c>
      <c r="B113" s="23">
        <v>43460</v>
      </c>
      <c r="C113" s="23" t="str">
        <f>VLOOKUP(B113,I!$A:$G,2,FALSE)</f>
        <v>SINAPI</v>
      </c>
      <c r="D113" s="24" t="str">
        <f>VLOOKUP(B113,I!$A:$G,3,FALSE)</f>
        <v>FERRAMENTAS - FAMILIA ELETRICISTA - HORISTA (ENCARGOS COMPLEMENTARES - COLETADO CAIXA)</v>
      </c>
      <c r="E113" s="23" t="str">
        <f>VLOOKUP(B113,I!$A:$G,4,FALSE)</f>
        <v>H</v>
      </c>
      <c r="F113" s="23">
        <f>SUMIF(CPU!M:M,B113,CPU!O:O)+SUMIF(CPUAUX1!M:M,B113,CPUAUX1!O:O)+SUMIF(CPUAUX2!M:M,B113,CPUAUX2!O:O)+SUMIF(CPUAUX3!M:M,B113,CPUAUX3!O:O)+SUMIF(CPUAUX4!M:M,B113,CPUAUX4!O:O)+SUMIF(CPUAUX5!M:M,B113,CPUAUX5!O:O)</f>
        <v>335.91068749999994</v>
      </c>
      <c r="G113" s="5">
        <f>VLOOKUP(B113,I!$A:$G,5,FALSE)</f>
        <v>0.86</v>
      </c>
      <c r="H113" s="5">
        <f t="shared" si="2"/>
        <v>288.88319124999992</v>
      </c>
      <c r="I113" s="25">
        <f t="shared" si="3"/>
        <v>4.9540420795851983E-4</v>
      </c>
    </row>
    <row r="114" spans="1:9" x14ac:dyDescent="0.3">
      <c r="A114" s="23">
        <v>108</v>
      </c>
      <c r="B114" s="23" t="s">
        <v>1065</v>
      </c>
      <c r="C114" s="23" t="str">
        <f>VLOOKUP(B114,I!$A:$G,2,FALSE)</f>
        <v>SEINFRA</v>
      </c>
      <c r="D114" s="24" t="str">
        <f>VLOOKUP(B114,I!$A:$G,3,FALSE)</f>
        <v>PEDREIRO</v>
      </c>
      <c r="E114" s="23" t="str">
        <f>VLOOKUP(B114,I!$A:$G,4,FALSE)</f>
        <v>H</v>
      </c>
      <c r="F114" s="23">
        <f>SUMIF(CPU!M:M,B114,CPU!O:O)+SUMIF(CPUAUX1!M:M,B114,CPUAUX1!O:O)+SUMIF(CPUAUX2!M:M,B114,CPUAUX2!O:O)+SUMIF(CPUAUX3!M:M,B114,CPUAUX3!O:O)+SUMIF(CPUAUX4!M:M,B114,CPUAUX4!O:O)+SUMIF(CPUAUX5!M:M,B114,CPUAUX5!O:O)</f>
        <v>10.5</v>
      </c>
      <c r="G114" s="5">
        <f>VLOOKUP(B114,I!$A:$G,5,FALSE)</f>
        <v>26.86</v>
      </c>
      <c r="H114" s="5">
        <f t="shared" si="2"/>
        <v>282.02999999999997</v>
      </c>
      <c r="I114" s="25">
        <f t="shared" si="3"/>
        <v>4.8365170768841463E-4</v>
      </c>
    </row>
    <row r="115" spans="1:9" x14ac:dyDescent="0.3">
      <c r="A115" s="23">
        <v>109</v>
      </c>
      <c r="B115" s="23" t="s">
        <v>1048</v>
      </c>
      <c r="C115" s="23" t="str">
        <f>VLOOKUP(B115,I!$A:$G,2,FALSE)</f>
        <v>ORSE</v>
      </c>
      <c r="D115" s="24" t="str">
        <f>VLOOKUP(B115,I!$A:$G,3,FALSE)</f>
        <v>ABRAÇADEIRA EM FERRO GALVANIZADO DN 150MM</v>
      </c>
      <c r="E115" s="23" t="str">
        <f>VLOOKUP(B115,I!$A:$G,4,FALSE)</f>
        <v>UN</v>
      </c>
      <c r="F115" s="23">
        <f>SUMIF(CPU!M:M,B115,CPU!O:O)+SUMIF(CPUAUX1!M:M,B115,CPUAUX1!O:O)+SUMIF(CPUAUX2!M:M,B115,CPUAUX2!O:O)+SUMIF(CPUAUX3!M:M,B115,CPUAUX3!O:O)+SUMIF(CPUAUX4!M:M,B115,CPUAUX4!O:O)+SUMIF(CPUAUX5!M:M,B115,CPUAUX5!O:O)</f>
        <v>5</v>
      </c>
      <c r="G115" s="5">
        <f>VLOOKUP(B115,I!$A:$G,5,FALSE)</f>
        <v>55.73</v>
      </c>
      <c r="H115" s="5">
        <f t="shared" si="2"/>
        <v>278.64999999999998</v>
      </c>
      <c r="I115" s="25">
        <f t="shared" si="3"/>
        <v>4.7785536413635688E-4</v>
      </c>
    </row>
    <row r="116" spans="1:9" x14ac:dyDescent="0.3">
      <c r="A116" s="23">
        <v>110</v>
      </c>
      <c r="B116" s="23">
        <v>378</v>
      </c>
      <c r="C116" s="23" t="str">
        <f>VLOOKUP(B116,I!$A:$G,2,FALSE)</f>
        <v>SINAPI</v>
      </c>
      <c r="D116" s="24" t="str">
        <f>VLOOKUP(B116,I!$A:$G,3,FALSE)</f>
        <v>ARMADOR (HORISTA)</v>
      </c>
      <c r="E116" s="23" t="str">
        <f>VLOOKUP(B116,I!$A:$G,4,FALSE)</f>
        <v>H</v>
      </c>
      <c r="F116" s="23">
        <f>SUMIF(CPU!M:M,B116,CPU!O:O)+SUMIF(CPUAUX1!M:M,B116,CPUAUX1!O:O)+SUMIF(CPUAUX2!M:M,B116,CPUAUX2!O:O)+SUMIF(CPUAUX3!M:M,B116,CPUAUX3!O:O)+SUMIF(CPUAUX4!M:M,B116,CPUAUX4!O:O)+SUMIF(CPUAUX5!M:M,B116,CPUAUX5!O:O)</f>
        <v>13.3053299034232</v>
      </c>
      <c r="G116" s="5">
        <f>VLOOKUP(B116,I!$A:$G,5,FALSE)</f>
        <v>20.329999999999998</v>
      </c>
      <c r="H116" s="5">
        <f t="shared" si="2"/>
        <v>270.49735693659363</v>
      </c>
      <c r="I116" s="25">
        <f t="shared" si="3"/>
        <v>4.6387444104381147E-4</v>
      </c>
    </row>
    <row r="117" spans="1:9" x14ac:dyDescent="0.3">
      <c r="A117" s="23">
        <v>111</v>
      </c>
      <c r="B117" s="23" t="s">
        <v>1027</v>
      </c>
      <c r="C117" s="23" t="str">
        <f>VLOOKUP(B117,I!$A:$G,2,FALSE)</f>
        <v>SEINFRA</v>
      </c>
      <c r="D117" s="24" t="str">
        <f>VLOOKUP(B117,I!$A:$G,3,FALSE)</f>
        <v>CHAPA DE AÇO GALVANIZADA ESP. 0.3MM</v>
      </c>
      <c r="E117" s="23" t="str">
        <f>VLOOKUP(B117,I!$A:$G,4,FALSE)</f>
        <v>M2</v>
      </c>
      <c r="F117" s="23">
        <f>SUMIF(CPU!M:M,B117,CPU!O:O)+SUMIF(CPUAUX1!M:M,B117,CPUAUX1!O:O)+SUMIF(CPUAUX2!M:M,B117,CPUAUX2!O:O)+SUMIF(CPUAUX3!M:M,B117,CPUAUX3!O:O)+SUMIF(CPUAUX4!M:M,B117,CPUAUX4!O:O)+SUMIF(CPUAUX5!M:M,B117,CPUAUX5!O:O)</f>
        <v>6.6096000000000004</v>
      </c>
      <c r="G117" s="5">
        <f>VLOOKUP(B117,I!$A:$G,5,FALSE)</f>
        <v>39.03</v>
      </c>
      <c r="H117" s="5">
        <f t="shared" si="2"/>
        <v>257.97268800000001</v>
      </c>
      <c r="I117" s="25">
        <f t="shared" si="3"/>
        <v>4.4239595464372794E-4</v>
      </c>
    </row>
    <row r="118" spans="1:9" ht="28.8" x14ac:dyDescent="0.3">
      <c r="A118" s="23">
        <v>112</v>
      </c>
      <c r="B118" s="23">
        <v>72</v>
      </c>
      <c r="C118" s="23" t="str">
        <f>VLOOKUP(B118,I!$A:$G,2,FALSE)</f>
        <v>SINAPI</v>
      </c>
      <c r="D118" s="24" t="str">
        <f>VLOOKUP(B118,I!$A:$G,3,FALSE)</f>
        <v>ADAPTADOR PVC, ROSCAVEL, COM FLANGES E ANEL DE VEDACAO, 1 1/2", PARA CAIXA D'AGUA</v>
      </c>
      <c r="E118" s="23" t="str">
        <f>VLOOKUP(B118,I!$A:$G,4,FALSE)</f>
        <v>UN</v>
      </c>
      <c r="F118" s="23">
        <f>SUMIF(CPU!M:M,B118,CPU!O:O)+SUMIF(CPUAUX1!M:M,B118,CPUAUX1!O:O)+SUMIF(CPUAUX2!M:M,B118,CPUAUX2!O:O)+SUMIF(CPUAUX3!M:M,B118,CPUAUX3!O:O)+SUMIF(CPUAUX4!M:M,B118,CPUAUX4!O:O)+SUMIF(CPUAUX5!M:M,B118,CPUAUX5!O:O)</f>
        <v>5</v>
      </c>
      <c r="G118" s="5">
        <f>VLOOKUP(B118,I!$A:$G,5,FALSE)</f>
        <v>50.26</v>
      </c>
      <c r="H118" s="5">
        <f t="shared" si="2"/>
        <v>251.29999999999998</v>
      </c>
      <c r="I118" s="25">
        <f t="shared" si="3"/>
        <v>4.3095299841186611E-4</v>
      </c>
    </row>
    <row r="119" spans="1:9" ht="28.8" x14ac:dyDescent="0.3">
      <c r="A119" s="23">
        <v>113</v>
      </c>
      <c r="B119" s="23">
        <v>4408</v>
      </c>
      <c r="C119" s="23" t="str">
        <f>VLOOKUP(B119,I!$A:$G,2,FALSE)</f>
        <v>SINAPI</v>
      </c>
      <c r="D119" s="24" t="str">
        <f>VLOOKUP(B119,I!$A:$G,3,FALSE)</f>
        <v>RIPA NAO APARELHADA, *1,5 X 5* CM, EM MACARANDUBA/MASSARANDUBA, ANGELIM OU EQUIVALENTE DA REGIAO - BRUTA</v>
      </c>
      <c r="E119" s="23" t="str">
        <f>VLOOKUP(B119,I!$A:$G,4,FALSE)</f>
        <v>M</v>
      </c>
      <c r="F119" s="23">
        <f>SUMIF(CPU!M:M,B119,CPU!O:O)+SUMIF(CPUAUX1!M:M,B119,CPUAUX1!O:O)+SUMIF(CPUAUX2!M:M,B119,CPUAUX2!O:O)+SUMIF(CPUAUX3!M:M,B119,CPUAUX3!O:O)+SUMIF(CPUAUX4!M:M,B119,CPUAUX4!O:O)+SUMIF(CPUAUX5!M:M,B119,CPUAUX5!O:O)</f>
        <v>131.60895000000002</v>
      </c>
      <c r="G119" s="5">
        <f>VLOOKUP(B119,I!$A:$G,5,FALSE)</f>
        <v>1.9</v>
      </c>
      <c r="H119" s="5">
        <f t="shared" si="2"/>
        <v>250.05700500000003</v>
      </c>
      <c r="I119" s="25">
        <f t="shared" si="3"/>
        <v>4.2882139307059698E-4</v>
      </c>
    </row>
    <row r="120" spans="1:9" x14ac:dyDescent="0.3">
      <c r="A120" s="23">
        <v>114</v>
      </c>
      <c r="B120" s="23">
        <v>2685</v>
      </c>
      <c r="C120" s="23" t="str">
        <f>VLOOKUP(B120,I!$A:$G,2,FALSE)</f>
        <v>SINAPI</v>
      </c>
      <c r="D120" s="24" t="str">
        <f>VLOOKUP(B120,I!$A:$G,3,FALSE)</f>
        <v>ELETRODUTO DE PVC RIGIDO ROSCAVEL DE 1", SEM LUVA</v>
      </c>
      <c r="E120" s="23" t="str">
        <f>VLOOKUP(B120,I!$A:$G,4,FALSE)</f>
        <v>M</v>
      </c>
      <c r="F120" s="23">
        <f>SUMIF(CPU!M:M,B120,CPU!O:O)+SUMIF(CPUAUX1!M:M,B120,CPUAUX1!O:O)+SUMIF(CPUAUX2!M:M,B120,CPUAUX2!O:O)+SUMIF(CPUAUX3!M:M,B120,CPUAUX3!O:O)+SUMIF(CPUAUX4!M:M,B120,CPUAUX4!O:O)+SUMIF(CPUAUX5!M:M,B120,CPUAUX5!O:O)</f>
        <v>30.764249999999997</v>
      </c>
      <c r="G120" s="5">
        <f>VLOOKUP(B120,I!$A:$G,5,FALSE)</f>
        <v>8.09</v>
      </c>
      <c r="H120" s="5">
        <f t="shared" si="2"/>
        <v>248.88278249999996</v>
      </c>
      <c r="I120" s="25">
        <f t="shared" si="3"/>
        <v>4.268077253142193E-4</v>
      </c>
    </row>
    <row r="121" spans="1:9" ht="28.8" x14ac:dyDescent="0.3">
      <c r="A121" s="23">
        <v>115</v>
      </c>
      <c r="B121" s="23">
        <v>43482</v>
      </c>
      <c r="C121" s="23" t="str">
        <f>VLOOKUP(B121,I!$A:$G,2,FALSE)</f>
        <v>SINAPI</v>
      </c>
      <c r="D121" s="24" t="str">
        <f>VLOOKUP(B121,I!$A:$G,3,FALSE)</f>
        <v>EPI - FAMILIA ALMOXARIFE - HORISTA (ENCARGOS COMPLEMENTARES - COLETADO CAIXA)</v>
      </c>
      <c r="E121" s="23" t="str">
        <f>VLOOKUP(B121,I!$A:$G,4,FALSE)</f>
        <v>H</v>
      </c>
      <c r="F121" s="23">
        <f>SUMIF(CPU!M:M,B121,CPU!O:O)+SUMIF(CPUAUX1!M:M,B121,CPUAUX1!O:O)+SUMIF(CPUAUX2!M:M,B121,CPUAUX2!O:O)+SUMIF(CPUAUX3!M:M,B121,CPUAUX3!O:O)+SUMIF(CPUAUX4!M:M,B121,CPUAUX4!O:O)+SUMIF(CPUAUX5!M:M,B121,CPUAUX5!O:O)</f>
        <v>300</v>
      </c>
      <c r="G121" s="5">
        <f>VLOOKUP(B121,I!$A:$G,5,FALSE)</f>
        <v>0.81</v>
      </c>
      <c r="H121" s="5">
        <f t="shared" si="2"/>
        <v>243.00000000000003</v>
      </c>
      <c r="I121" s="25">
        <f t="shared" si="3"/>
        <v>4.167193737130262E-4</v>
      </c>
    </row>
    <row r="122" spans="1:9" x14ac:dyDescent="0.3">
      <c r="A122" s="23">
        <v>116</v>
      </c>
      <c r="B122" s="23">
        <v>788</v>
      </c>
      <c r="C122" s="23" t="str">
        <f>VLOOKUP(B122,I!$A:$G,2,FALSE)</f>
        <v>SINAPI</v>
      </c>
      <c r="D122" s="24" t="str">
        <f>VLOOKUP(B122,I!$A:$G,3,FALSE)</f>
        <v>BUCHA DE REDUCAO DE FERRO GALVANIZADO, COM ROSCA BSP, DE 2" X 1 1/2"</v>
      </c>
      <c r="E122" s="23" t="str">
        <f>VLOOKUP(B122,I!$A:$G,4,FALSE)</f>
        <v>UN</v>
      </c>
      <c r="F122" s="23">
        <f>SUMIF(CPU!M:M,B122,CPU!O:O)+SUMIF(CPUAUX1!M:M,B122,CPUAUX1!O:O)+SUMIF(CPUAUX2!M:M,B122,CPUAUX2!O:O)+SUMIF(CPUAUX3!M:M,B122,CPUAUX3!O:O)+SUMIF(CPUAUX4!M:M,B122,CPUAUX4!O:O)+SUMIF(CPUAUX5!M:M,B122,CPUAUX5!O:O)</f>
        <v>10</v>
      </c>
      <c r="G122" s="5">
        <f>VLOOKUP(B122,I!$A:$G,5,FALSE)</f>
        <v>23.82</v>
      </c>
      <c r="H122" s="5">
        <f t="shared" si="2"/>
        <v>238.2</v>
      </c>
      <c r="I122" s="25">
        <f t="shared" si="3"/>
        <v>4.0848787991128735E-4</v>
      </c>
    </row>
    <row r="123" spans="1:9" x14ac:dyDescent="0.3">
      <c r="A123" s="23">
        <v>117</v>
      </c>
      <c r="B123" s="23" t="s">
        <v>1068</v>
      </c>
      <c r="C123" s="23" t="str">
        <f>VLOOKUP(B123,I!$A:$G,2,FALSE)</f>
        <v>SEINFRA</v>
      </c>
      <c r="D123" s="24" t="str">
        <f>VLOOKUP(B123,I!$A:$G,3,FALSE)</f>
        <v>CIMENTO PORTLAND</v>
      </c>
      <c r="E123" s="23" t="str">
        <f>VLOOKUP(B123,I!$A:$G,4,FALSE)</f>
        <v>KG</v>
      </c>
      <c r="F123" s="23">
        <f>SUMIF(CPU!M:M,B123,CPU!O:O)+SUMIF(CPUAUX1!M:M,B123,CPUAUX1!O:O)+SUMIF(CPUAUX2!M:M,B123,CPUAUX2!O:O)+SUMIF(CPUAUX3!M:M,B123,CPUAUX3!O:O)+SUMIF(CPUAUX4!M:M,B123,CPUAUX4!O:O)+SUMIF(CPUAUX5!M:M,B123,CPUAUX5!O:O)</f>
        <v>334.7</v>
      </c>
      <c r="G123" s="5">
        <f>VLOOKUP(B123,I!$A:$G,5,FALSE)</f>
        <v>0.71</v>
      </c>
      <c r="H123" s="5">
        <f t="shared" si="2"/>
        <v>237.63699999999997</v>
      </c>
      <c r="I123" s="25">
        <f t="shared" si="3"/>
        <v>4.0752239428412505E-4</v>
      </c>
    </row>
    <row r="124" spans="1:9" x14ac:dyDescent="0.3">
      <c r="A124" s="23">
        <v>118</v>
      </c>
      <c r="B124" s="23">
        <v>3919</v>
      </c>
      <c r="C124" s="23" t="str">
        <f>VLOOKUP(B124,I!$A:$G,2,FALSE)</f>
        <v>SINAPI</v>
      </c>
      <c r="D124" s="24" t="str">
        <f>VLOOKUP(B124,I!$A:$G,3,FALSE)</f>
        <v>LUVA DE REDUCAO DE FERRO GALVANIZADO, COM ROSCA BSP, DE 1" X 3/4"</v>
      </c>
      <c r="E124" s="23" t="str">
        <f>VLOOKUP(B124,I!$A:$G,4,FALSE)</f>
        <v>UN</v>
      </c>
      <c r="F124" s="23">
        <f>SUMIF(CPU!M:M,B124,CPU!O:O)+SUMIF(CPUAUX1!M:M,B124,CPUAUX1!O:O)+SUMIF(CPUAUX2!M:M,B124,CPUAUX2!O:O)+SUMIF(CPUAUX3!M:M,B124,CPUAUX3!O:O)+SUMIF(CPUAUX4!M:M,B124,CPUAUX4!O:O)+SUMIF(CPUAUX5!M:M,B124,CPUAUX5!O:O)</f>
        <v>20</v>
      </c>
      <c r="G124" s="5">
        <f>VLOOKUP(B124,I!$A:$G,5,FALSE)</f>
        <v>11.58</v>
      </c>
      <c r="H124" s="5">
        <f t="shared" si="2"/>
        <v>231.6</v>
      </c>
      <c r="I124" s="25">
        <f t="shared" si="3"/>
        <v>3.971695759338965E-4</v>
      </c>
    </row>
    <row r="125" spans="1:9" ht="28.8" x14ac:dyDescent="0.3">
      <c r="A125" s="23">
        <v>119</v>
      </c>
      <c r="B125" s="23">
        <v>39794</v>
      </c>
      <c r="C125" s="23" t="str">
        <f>VLOOKUP(B125,I!$A:$G,2,FALSE)</f>
        <v>SINAPI</v>
      </c>
      <c r="D125" s="24" t="str">
        <f>VLOOKUP(B125,I!$A:$G,3,FALSE)</f>
        <v>QUADRO DE DISTRIBUICAO, SEM BARRAMENTO, EM PVC, DE EMBUTIR, PARA 3 DISJUNTORES NEMA OU 4 DISJUNTORES DIN</v>
      </c>
      <c r="E125" s="23" t="str">
        <f>VLOOKUP(B125,I!$A:$G,4,FALSE)</f>
        <v>UN</v>
      </c>
      <c r="F125" s="23">
        <f>SUMIF(CPU!M:M,B125,CPU!O:O)+SUMIF(CPUAUX1!M:M,B125,CPUAUX1!O:O)+SUMIF(CPUAUX2!M:M,B125,CPUAUX2!O:O)+SUMIF(CPUAUX3!M:M,B125,CPUAUX3!O:O)+SUMIF(CPUAUX4!M:M,B125,CPUAUX4!O:O)+SUMIF(CPUAUX5!M:M,B125,CPUAUX5!O:O)</f>
        <v>5</v>
      </c>
      <c r="G125" s="5">
        <f>VLOOKUP(B125,I!$A:$G,5,FALSE)</f>
        <v>46.21</v>
      </c>
      <c r="H125" s="5">
        <f t="shared" si="2"/>
        <v>231.05</v>
      </c>
      <c r="I125" s="25">
        <f t="shared" si="3"/>
        <v>3.9622638393578064E-4</v>
      </c>
    </row>
    <row r="126" spans="1:9" ht="28.8" x14ac:dyDescent="0.3">
      <c r="A126" s="23">
        <v>120</v>
      </c>
      <c r="B126" s="23">
        <v>1358</v>
      </c>
      <c r="C126" s="23" t="str">
        <f>VLOOKUP(B126,I!$A:$G,2,FALSE)</f>
        <v>SINAPI</v>
      </c>
      <c r="D126" s="24" t="str">
        <f>VLOOKUP(B126,I!$A:$G,3,FALSE)</f>
        <v>CHAPA/PAINEL DE MADEIRA COMPENSADA RESINADA (MADEIRITE RESINADO ROSA) PARA FORMA DE CONCRETO, DE 2200 X 1100 MM, E = 17 MM</v>
      </c>
      <c r="E126" s="23" t="str">
        <f>VLOOKUP(B126,I!$A:$G,4,FALSE)</f>
        <v>M2</v>
      </c>
      <c r="F126" s="23">
        <f>SUMIF(CPU!M:M,B126,CPU!O:O)+SUMIF(CPUAUX1!M:M,B126,CPUAUX1!O:O)+SUMIF(CPUAUX2!M:M,B126,CPUAUX2!O:O)+SUMIF(CPUAUX3!M:M,B126,CPUAUX3!O:O)+SUMIF(CPUAUX4!M:M,B126,CPUAUX4!O:O)+SUMIF(CPUAUX5!M:M,B126,CPUAUX5!O:O)</f>
        <v>3.5929005192000005</v>
      </c>
      <c r="G126" s="5">
        <f>VLOOKUP(B126,I!$A:$G,5,FALSE)</f>
        <v>62.96</v>
      </c>
      <c r="H126" s="5">
        <f t="shared" si="2"/>
        <v>226.20901668883204</v>
      </c>
      <c r="I126" s="25">
        <f t="shared" si="3"/>
        <v>3.8792460807740559E-4</v>
      </c>
    </row>
    <row r="127" spans="1:9" ht="28.8" x14ac:dyDescent="0.3">
      <c r="A127" s="23">
        <v>121</v>
      </c>
      <c r="B127" s="23">
        <v>34643</v>
      </c>
      <c r="C127" s="23" t="str">
        <f>VLOOKUP(B127,I!$A:$G,2,FALSE)</f>
        <v>SINAPI</v>
      </c>
      <c r="D127" s="24" t="str">
        <f>VLOOKUP(B127,I!$A:$G,3,FALSE)</f>
        <v>CAIXA DE INSPECAO PARA ATERRAMENTO E PARA RAIOS, EM POLIPROPILENO, DIAMETRO = 300 MM X ALTURA = 400 MM (INCLUIDA TAMPA SEM ESCOTILHA)</v>
      </c>
      <c r="E127" s="23" t="str">
        <f>VLOOKUP(B127,I!$A:$G,4,FALSE)</f>
        <v>UN</v>
      </c>
      <c r="F127" s="23">
        <f>SUMIF(CPU!M:M,B127,CPU!O:O)+SUMIF(CPUAUX1!M:M,B127,CPUAUX1!O:O)+SUMIF(CPUAUX2!M:M,B127,CPUAUX2!O:O)+SUMIF(CPUAUX3!M:M,B127,CPUAUX3!O:O)+SUMIF(CPUAUX4!M:M,B127,CPUAUX4!O:O)+SUMIF(CPUAUX5!M:M,B127,CPUAUX5!O:O)</f>
        <v>5</v>
      </c>
      <c r="G127" s="5">
        <f>VLOOKUP(B127,I!$A:$G,5,FALSE)</f>
        <v>41.96</v>
      </c>
      <c r="H127" s="5">
        <f t="shared" si="2"/>
        <v>209.8</v>
      </c>
      <c r="I127" s="25">
        <f t="shared" si="3"/>
        <v>3.5978487491766618E-4</v>
      </c>
    </row>
    <row r="128" spans="1:9" x14ac:dyDescent="0.3">
      <c r="A128" s="23">
        <v>122</v>
      </c>
      <c r="B128" s="23" t="s">
        <v>1030</v>
      </c>
      <c r="C128" s="23" t="str">
        <f>VLOOKUP(B128,I!$A:$G,2,FALSE)</f>
        <v>SEINFRA</v>
      </c>
      <c r="D128" s="24" t="str">
        <f>VLOOKUP(B128,I!$A:$G,3,FALSE)</f>
        <v>ESMALTE SINTETICO</v>
      </c>
      <c r="E128" s="23" t="str">
        <f>VLOOKUP(B128,I!$A:$G,4,FALSE)</f>
        <v>L</v>
      </c>
      <c r="F128" s="23">
        <f>SUMIF(CPU!M:M,B128,CPU!O:O)+SUMIF(CPUAUX1!M:M,B128,CPUAUX1!O:O)+SUMIF(CPUAUX2!M:M,B128,CPUAUX2!O:O)+SUMIF(CPUAUX3!M:M,B128,CPUAUX3!O:O)+SUMIF(CPUAUX4!M:M,B128,CPUAUX4!O:O)+SUMIF(CPUAUX5!M:M,B128,CPUAUX5!O:O)</f>
        <v>6.48</v>
      </c>
      <c r="G128" s="5">
        <f>VLOOKUP(B128,I!$A:$G,5,FALSE)</f>
        <v>31.88</v>
      </c>
      <c r="H128" s="5">
        <f t="shared" si="2"/>
        <v>206.58240000000001</v>
      </c>
      <c r="I128" s="25">
        <f t="shared" si="3"/>
        <v>3.5426703023923398E-4</v>
      </c>
    </row>
    <row r="129" spans="1:9" x14ac:dyDescent="0.3">
      <c r="A129" s="23">
        <v>123</v>
      </c>
      <c r="B129" s="23">
        <v>4718</v>
      </c>
      <c r="C129" s="23" t="str">
        <f>VLOOKUP(B129,I!$A:$G,2,FALSE)</f>
        <v>SINAPI</v>
      </c>
      <c r="D129" s="24" t="str">
        <f>VLOOKUP(B129,I!$A:$G,3,FALSE)</f>
        <v>PEDRA BRITADA N. 2 (19 A 38 MM) POSTO PEDREIRA/FORNECEDOR, SEM FRETE</v>
      </c>
      <c r="E129" s="23" t="str">
        <f>VLOOKUP(B129,I!$A:$G,4,FALSE)</f>
        <v>M3</v>
      </c>
      <c r="F129" s="23">
        <f>SUMIF(CPU!M:M,B129,CPU!O:O)+SUMIF(CPUAUX1!M:M,B129,CPUAUX1!O:O)+SUMIF(CPUAUX2!M:M,B129,CPUAUX2!O:O)+SUMIF(CPUAUX3!M:M,B129,CPUAUX3!O:O)+SUMIF(CPUAUX4!M:M,B129,CPUAUX4!O:O)+SUMIF(CPUAUX5!M:M,B129,CPUAUX5!O:O)</f>
        <v>0.81510000000000005</v>
      </c>
      <c r="G129" s="5">
        <f>VLOOKUP(B129,I!$A:$G,5,FALSE)</f>
        <v>250.2</v>
      </c>
      <c r="H129" s="5">
        <f t="shared" si="2"/>
        <v>203.93801999999999</v>
      </c>
      <c r="I129" s="25">
        <f t="shared" si="3"/>
        <v>3.4973219741018353E-4</v>
      </c>
    </row>
    <row r="130" spans="1:9" x14ac:dyDescent="0.3">
      <c r="A130" s="23">
        <v>124</v>
      </c>
      <c r="B130" s="23" t="s">
        <v>1050</v>
      </c>
      <c r="C130" s="23" t="str">
        <f>VLOOKUP(B130,I!$A:$G,2,FALSE)</f>
        <v>PRÓPRIA</v>
      </c>
      <c r="D130" s="24" t="str">
        <f>VLOOKUP(B130,I!$A:$G,3,FALSE)</f>
        <v>COLAR DE TOMADA FOFO PARA PVC 40MM X 32MM</v>
      </c>
      <c r="E130" s="23" t="str">
        <f>VLOOKUP(B130,I!$A:$G,4,FALSE)</f>
        <v>UND</v>
      </c>
      <c r="F130" s="23">
        <f>SUMIF(CPU!M:M,B130,CPU!O:O)+SUMIF(CPUAUX1!M:M,B130,CPUAUX1!O:O)+SUMIF(CPUAUX2!M:M,B130,CPUAUX2!O:O)+SUMIF(CPUAUX3!M:M,B130,CPUAUX3!O:O)+SUMIF(CPUAUX4!M:M,B130,CPUAUX4!O:O)+SUMIF(CPUAUX5!M:M,B130,CPUAUX5!O:O)</f>
        <v>10</v>
      </c>
      <c r="G130" s="5">
        <f>VLOOKUP(B130,I!$A:$G,5,FALSE)</f>
        <v>20</v>
      </c>
      <c r="H130" s="5">
        <f t="shared" si="2"/>
        <v>200</v>
      </c>
      <c r="I130" s="25">
        <f t="shared" si="3"/>
        <v>3.4297890840578286E-4</v>
      </c>
    </row>
    <row r="131" spans="1:9" x14ac:dyDescent="0.3">
      <c r="A131" s="23">
        <v>125</v>
      </c>
      <c r="B131" s="23">
        <v>4491</v>
      </c>
      <c r="C131" s="23" t="str">
        <f>VLOOKUP(B131,I!$A:$G,2,FALSE)</f>
        <v>SINAPI</v>
      </c>
      <c r="D131" s="24" t="str">
        <f>VLOOKUP(B131,I!$A:$G,3,FALSE)</f>
        <v>PONTALETE *7,5 X 7,5* CM EM PINUS, MISTA OU EQUIVALENTE DA REGIAO - BRUTA</v>
      </c>
      <c r="E131" s="23" t="str">
        <f>VLOOKUP(B131,I!$A:$G,4,FALSE)</f>
        <v>M</v>
      </c>
      <c r="F131" s="23">
        <f>SUMIF(CPU!M:M,B131,CPU!O:O)+SUMIF(CPUAUX1!M:M,B131,CPUAUX1!O:O)+SUMIF(CPUAUX2!M:M,B131,CPUAUX2!O:O)+SUMIF(CPUAUX3!M:M,B131,CPUAUX3!O:O)+SUMIF(CPUAUX4!M:M,B131,CPUAUX4!O:O)+SUMIF(CPUAUX5!M:M,B131,CPUAUX5!O:O)</f>
        <v>19.390636392600001</v>
      </c>
      <c r="G131" s="5">
        <f>VLOOKUP(B131,I!$A:$G,5,FALSE)</f>
        <v>10.050000000000001</v>
      </c>
      <c r="H131" s="5">
        <f t="shared" si="2"/>
        <v>194.87589574563003</v>
      </c>
      <c r="I131" s="25">
        <f t="shared" si="3"/>
        <v>3.3419160998717661E-4</v>
      </c>
    </row>
    <row r="132" spans="1:9" ht="28.8" x14ac:dyDescent="0.3">
      <c r="A132" s="23">
        <v>126</v>
      </c>
      <c r="B132" s="23">
        <v>43466</v>
      </c>
      <c r="C132" s="23" t="str">
        <f>VLOOKUP(B132,I!$A:$G,2,FALSE)</f>
        <v>SINAPI</v>
      </c>
      <c r="D132" s="24" t="str">
        <f>VLOOKUP(B132,I!$A:$G,3,FALSE)</f>
        <v>FERRAMENTAS - FAMILIA PINTOR - HORISTA (ENCARGOS COMPLEMENTARES - COLETADO CAIXA)</v>
      </c>
      <c r="E132" s="23" t="str">
        <f>VLOOKUP(B132,I!$A:$G,4,FALSE)</f>
        <v>H</v>
      </c>
      <c r="F132" s="23">
        <f>SUMIF(CPU!M:M,B132,CPU!O:O)+SUMIF(CPUAUX1!M:M,B132,CPUAUX1!O:O)+SUMIF(CPUAUX2!M:M,B132,CPUAUX2!O:O)+SUMIF(CPUAUX3!M:M,B132,CPUAUX3!O:O)+SUMIF(CPUAUX4!M:M,B132,CPUAUX4!O:O)+SUMIF(CPUAUX5!M:M,B132,CPUAUX5!O:O)</f>
        <v>90.709119999999999</v>
      </c>
      <c r="G132" s="5">
        <f>VLOOKUP(B132,I!$A:$G,5,FALSE)</f>
        <v>2.0499999999999998</v>
      </c>
      <c r="H132" s="5">
        <f t="shared" si="2"/>
        <v>185.95369599999998</v>
      </c>
      <c r="I132" s="25">
        <f t="shared" si="3"/>
        <v>3.1889097834050388E-4</v>
      </c>
    </row>
    <row r="133" spans="1:9" x14ac:dyDescent="0.3">
      <c r="A133" s="23">
        <v>127</v>
      </c>
      <c r="B133" s="23" t="s">
        <v>1126</v>
      </c>
      <c r="C133" s="23" t="str">
        <f>VLOOKUP(B133,I!$A:$G,2,FALSE)</f>
        <v>SEINFRA</v>
      </c>
      <c r="D133" s="24" t="str">
        <f>VLOOKUP(B133,I!$A:$G,3,FALSE)</f>
        <v>CARPINTEIRO</v>
      </c>
      <c r="E133" s="23" t="str">
        <f>VLOOKUP(B133,I!$A:$G,4,FALSE)</f>
        <v>H</v>
      </c>
      <c r="F133" s="23">
        <f>SUMIF(CPU!M:M,B133,CPU!O:O)+SUMIF(CPUAUX1!M:M,B133,CPUAUX1!O:O)+SUMIF(CPUAUX2!M:M,B133,CPUAUX2!O:O)+SUMIF(CPUAUX3!M:M,B133,CPUAUX3!O:O)+SUMIF(CPUAUX4!M:M,B133,CPUAUX4!O:O)+SUMIF(CPUAUX5!M:M,B133,CPUAUX5!O:O)</f>
        <v>6.7600000000000007</v>
      </c>
      <c r="G133" s="5">
        <f>VLOOKUP(B133,I!$A:$G,5,FALSE)</f>
        <v>26.86</v>
      </c>
      <c r="H133" s="5">
        <f t="shared" si="2"/>
        <v>181.57360000000003</v>
      </c>
      <c r="I133" s="25">
        <f t="shared" si="3"/>
        <v>3.1137957561654128E-4</v>
      </c>
    </row>
    <row r="134" spans="1:9" ht="28.8" x14ac:dyDescent="0.3">
      <c r="A134" s="23">
        <v>128</v>
      </c>
      <c r="B134" s="23">
        <v>43459</v>
      </c>
      <c r="C134" s="23" t="str">
        <f>VLOOKUP(B134,I!$A:$G,2,FALSE)</f>
        <v>SINAPI</v>
      </c>
      <c r="D134" s="24" t="str">
        <f>VLOOKUP(B134,I!$A:$G,3,FALSE)</f>
        <v>FERRAMENTAS - FAMILIA CARPINTEIRO DE FORMAS - HORISTA (ENCARGOS COMPLEMENTARES - COLETADO CAIXA)</v>
      </c>
      <c r="E134" s="23" t="str">
        <f>VLOOKUP(B134,I!$A:$G,4,FALSE)</f>
        <v>H</v>
      </c>
      <c r="F134" s="23">
        <f>SUMIF(CPU!M:M,B134,CPU!O:O)+SUMIF(CPUAUX1!M:M,B134,CPUAUX1!O:O)+SUMIF(CPUAUX2!M:M,B134,CPUAUX2!O:O)+SUMIF(CPUAUX3!M:M,B134,CPUAUX3!O:O)+SUMIF(CPUAUX4!M:M,B134,CPUAUX4!O:O)+SUMIF(CPUAUX5!M:M,B134,CPUAUX5!O:O)</f>
        <v>407.86783395809999</v>
      </c>
      <c r="G134" s="5">
        <f>VLOOKUP(B134,I!$A:$G,5,FALSE)</f>
        <v>0.44</v>
      </c>
      <c r="H134" s="5">
        <f t="shared" si="2"/>
        <v>179.461846941564</v>
      </c>
      <c r="I134" s="25">
        <f t="shared" si="3"/>
        <v>3.077581418225165E-4</v>
      </c>
    </row>
    <row r="135" spans="1:9" x14ac:dyDescent="0.3">
      <c r="A135" s="23">
        <v>129</v>
      </c>
      <c r="B135" s="23">
        <v>367</v>
      </c>
      <c r="C135" s="23" t="str">
        <f>VLOOKUP(B135,I!$A:$G,2,FALSE)</f>
        <v>SINAPI</v>
      </c>
      <c r="D135" s="24" t="str">
        <f>VLOOKUP(B135,I!$A:$G,3,FALSE)</f>
        <v>AREIA GROSSA - POSTO JAZIDA/FORNECEDOR (RETIRADO NA JAZIDA, SEM TRANSPORTE)</v>
      </c>
      <c r="E135" s="23" t="str">
        <f>VLOOKUP(B135,I!$A:$G,4,FALSE)</f>
        <v>M3</v>
      </c>
      <c r="F135" s="23">
        <f>SUMIF(CPU!M:M,B135,CPU!O:O)+SUMIF(CPUAUX1!M:M,B135,CPUAUX1!O:O)+SUMIF(CPUAUX2!M:M,B135,CPUAUX2!O:O)+SUMIF(CPUAUX3!M:M,B135,CPUAUX3!O:O)+SUMIF(CPUAUX4!M:M,B135,CPUAUX4!O:O)+SUMIF(CPUAUX5!M:M,B135,CPUAUX5!O:O)</f>
        <v>1.8585018</v>
      </c>
      <c r="G135" s="5">
        <f>VLOOKUP(B135,I!$A:$G,5,FALSE)</f>
        <v>96.24</v>
      </c>
      <c r="H135" s="5">
        <f t="shared" ref="H135:H198" si="4">F135*G135</f>
        <v>178.86221323199999</v>
      </c>
      <c r="I135" s="25">
        <f t="shared" ref="I135:I198" si="5">H135/$H$281</f>
        <v>3.0672983324676862E-4</v>
      </c>
    </row>
    <row r="136" spans="1:9" x14ac:dyDescent="0.3">
      <c r="A136" s="23">
        <v>130</v>
      </c>
      <c r="B136" s="23">
        <v>1648</v>
      </c>
      <c r="C136" s="23" t="str">
        <f>VLOOKUP(B136,I!$A:$G,2,FALSE)</f>
        <v>SINAPI</v>
      </c>
      <c r="D136" s="24" t="str">
        <f>VLOOKUP(B136,I!$A:$G,3,FALSE)</f>
        <v>CRUZETA DE FERRO GALVANIZADO, COM ROSCA BSP, DE 1"</v>
      </c>
      <c r="E136" s="23" t="str">
        <f>VLOOKUP(B136,I!$A:$G,4,FALSE)</f>
        <v>UN</v>
      </c>
      <c r="F136" s="23">
        <f>SUMIF(CPU!M:M,B136,CPU!O:O)+SUMIF(CPUAUX1!M:M,B136,CPUAUX1!O:O)+SUMIF(CPUAUX2!M:M,B136,CPUAUX2!O:O)+SUMIF(CPUAUX3!M:M,B136,CPUAUX3!O:O)+SUMIF(CPUAUX4!M:M,B136,CPUAUX4!O:O)+SUMIF(CPUAUX5!M:M,B136,CPUAUX5!O:O)</f>
        <v>5</v>
      </c>
      <c r="G136" s="5">
        <f>VLOOKUP(B136,I!$A:$G,5,FALSE)</f>
        <v>35.42</v>
      </c>
      <c r="H136" s="5">
        <f t="shared" si="4"/>
        <v>177.10000000000002</v>
      </c>
      <c r="I136" s="25">
        <f t="shared" si="5"/>
        <v>3.0370782339332071E-4</v>
      </c>
    </row>
    <row r="137" spans="1:9" x14ac:dyDescent="0.3">
      <c r="A137" s="23">
        <v>131</v>
      </c>
      <c r="B137" s="23">
        <v>7311</v>
      </c>
      <c r="C137" s="23" t="str">
        <f>VLOOKUP(B137,I!$A:$G,2,FALSE)</f>
        <v>SINAPI</v>
      </c>
      <c r="D137" s="24" t="str">
        <f>VLOOKUP(B137,I!$A:$G,3,FALSE)</f>
        <v>TINTA ESMALTE SINTETICO PREMIUM ACETINADO</v>
      </c>
      <c r="E137" s="23" t="str">
        <f>VLOOKUP(B137,I!$A:$G,4,FALSE)</f>
        <v>L</v>
      </c>
      <c r="F137" s="23">
        <f>SUMIF(CPU!M:M,B137,CPU!O:O)+SUMIF(CPUAUX1!M:M,B137,CPUAUX1!O:O)+SUMIF(CPUAUX2!M:M,B137,CPUAUX2!O:O)+SUMIF(CPUAUX3!M:M,B137,CPUAUX3!O:O)+SUMIF(CPUAUX4!M:M,B137,CPUAUX4!O:O)+SUMIF(CPUAUX5!M:M,B137,CPUAUX5!O:O)</f>
        <v>4.2823200000000003</v>
      </c>
      <c r="G137" s="5">
        <f>VLOOKUP(B137,I!$A:$G,5,FALSE)</f>
        <v>39.74</v>
      </c>
      <c r="H137" s="5">
        <f t="shared" si="4"/>
        <v>170.17939680000003</v>
      </c>
      <c r="I137" s="25">
        <f t="shared" si="5"/>
        <v>2.9183971873809292E-4</v>
      </c>
    </row>
    <row r="138" spans="1:9" ht="28.8" x14ac:dyDescent="0.3">
      <c r="A138" s="23">
        <v>132</v>
      </c>
      <c r="B138" s="23">
        <v>4346</v>
      </c>
      <c r="C138" s="23" t="str">
        <f>VLOOKUP(B138,I!$A:$G,2,FALSE)</f>
        <v>SINAPI</v>
      </c>
      <c r="D138" s="24" t="str">
        <f>VLOOKUP(B138,I!$A:$G,3,FALSE)</f>
        <v>PARAFUSO DE FERRO POLIDO, SEXTAVADO, COM ROSCA PARCIAL, DIAMETRO 5/8", COMPRIMENTO 6", COM PORCA E ARRUELA DE PRESSAO MEDIA</v>
      </c>
      <c r="E138" s="23" t="str">
        <f>VLOOKUP(B138,I!$A:$G,4,FALSE)</f>
        <v>UN</v>
      </c>
      <c r="F138" s="23">
        <f>SUMIF(CPU!M:M,B138,CPU!O:O)+SUMIF(CPUAUX1!M:M,B138,CPUAUX1!O:O)+SUMIF(CPUAUX2!M:M,B138,CPUAUX2!O:O)+SUMIF(CPUAUX3!M:M,B138,CPUAUX3!O:O)+SUMIF(CPUAUX4!M:M,B138,CPUAUX4!O:O)+SUMIF(CPUAUX5!M:M,B138,CPUAUX5!O:O)</f>
        <v>15</v>
      </c>
      <c r="G138" s="5">
        <f>VLOOKUP(B138,I!$A:$G,5,FALSE)</f>
        <v>11.24</v>
      </c>
      <c r="H138" s="5">
        <f t="shared" si="4"/>
        <v>168.6</v>
      </c>
      <c r="I138" s="25">
        <f t="shared" si="5"/>
        <v>2.891312197860749E-4</v>
      </c>
    </row>
    <row r="139" spans="1:9" x14ac:dyDescent="0.3">
      <c r="A139" s="23">
        <v>133</v>
      </c>
      <c r="B139" s="23">
        <v>43490</v>
      </c>
      <c r="C139" s="23" t="str">
        <f>VLOOKUP(B139,I!$A:$G,2,FALSE)</f>
        <v>SINAPI</v>
      </c>
      <c r="D139" s="24" t="str">
        <f>VLOOKUP(B139,I!$A:$G,3,FALSE)</f>
        <v>EPI - FAMILIA PINTOR - HORISTA (ENCARGOS COMPLEMENTARES - COLETADO CAIXA)</v>
      </c>
      <c r="E139" s="23" t="str">
        <f>VLOOKUP(B139,I!$A:$G,4,FALSE)</f>
        <v>H</v>
      </c>
      <c r="F139" s="23">
        <f>SUMIF(CPU!M:M,B139,CPU!O:O)+SUMIF(CPUAUX1!M:M,B139,CPUAUX1!O:O)+SUMIF(CPUAUX2!M:M,B139,CPUAUX2!O:O)+SUMIF(CPUAUX3!M:M,B139,CPUAUX3!O:O)+SUMIF(CPUAUX4!M:M,B139,CPUAUX4!O:O)+SUMIF(CPUAUX5!M:M,B139,CPUAUX5!O:O)</f>
        <v>90.709119999999999</v>
      </c>
      <c r="G139" s="5">
        <f>VLOOKUP(B139,I!$A:$G,5,FALSE)</f>
        <v>1.85</v>
      </c>
      <c r="H139" s="5">
        <f t="shared" si="4"/>
        <v>167.81187199999999</v>
      </c>
      <c r="I139" s="25">
        <f t="shared" si="5"/>
        <v>2.8777966338045473E-4</v>
      </c>
    </row>
    <row r="140" spans="1:9" ht="28.8" x14ac:dyDescent="0.3">
      <c r="A140" s="23">
        <v>134</v>
      </c>
      <c r="B140" s="23">
        <v>43486</v>
      </c>
      <c r="C140" s="23" t="str">
        <f>VLOOKUP(B140,I!$A:$G,2,FALSE)</f>
        <v>SINAPI</v>
      </c>
      <c r="D140" s="24" t="str">
        <f>VLOOKUP(B140,I!$A:$G,3,FALSE)</f>
        <v>EPI - FAMILIA ENGENHEIRO CIVIL - HORISTA (ENCARGOS COMPLEMENTARES - COLETADO CAIXA)</v>
      </c>
      <c r="E140" s="23" t="str">
        <f>VLOOKUP(B140,I!$A:$G,4,FALSE)</f>
        <v>H</v>
      </c>
      <c r="F140" s="23">
        <f>SUMIF(CPU!M:M,B140,CPU!O:O)+SUMIF(CPUAUX1!M:M,B140,CPUAUX1!O:O)+SUMIF(CPUAUX2!M:M,B140,CPUAUX2!O:O)+SUMIF(CPUAUX3!M:M,B140,CPUAUX3!O:O)+SUMIF(CPUAUX4!M:M,B140,CPUAUX4!O:O)+SUMIF(CPUAUX5!M:M,B140,CPUAUX5!O:O)</f>
        <v>212</v>
      </c>
      <c r="G140" s="5">
        <f>VLOOKUP(B140,I!$A:$G,5,FALSE)</f>
        <v>0.77</v>
      </c>
      <c r="H140" s="5">
        <f t="shared" si="4"/>
        <v>163.24</v>
      </c>
      <c r="I140" s="25">
        <f t="shared" si="5"/>
        <v>2.7993938504079996E-4</v>
      </c>
    </row>
    <row r="141" spans="1:9" x14ac:dyDescent="0.3">
      <c r="A141" s="23">
        <v>135</v>
      </c>
      <c r="B141" s="23">
        <v>7356</v>
      </c>
      <c r="C141" s="23" t="str">
        <f>VLOOKUP(B141,I!$A:$G,2,FALSE)</f>
        <v>SINAPI</v>
      </c>
      <c r="D141" s="24" t="str">
        <f>VLOOKUP(B141,I!$A:$G,3,FALSE)</f>
        <v>TINTA LATEX ACRILICA PREMIUM, COR BRANCO FOSCO</v>
      </c>
      <c r="E141" s="23" t="str">
        <f>VLOOKUP(B141,I!$A:$G,4,FALSE)</f>
        <v>L</v>
      </c>
      <c r="F141" s="23">
        <f>SUMIF(CPU!M:M,B141,CPU!O:O)+SUMIF(CPUAUX1!M:M,B141,CPUAUX1!O:O)+SUMIF(CPUAUX2!M:M,B141,CPUAUX2!O:O)+SUMIF(CPUAUX3!M:M,B141,CPUAUX3!O:O)+SUMIF(CPUAUX4!M:M,B141,CPUAUX4!O:O)+SUMIF(CPUAUX5!M:M,B141,CPUAUX5!O:O)</f>
        <v>5.6320000000000006</v>
      </c>
      <c r="G141" s="5">
        <f>VLOOKUP(B141,I!$A:$G,5,FALSE)</f>
        <v>28.97</v>
      </c>
      <c r="H141" s="5">
        <f t="shared" si="4"/>
        <v>163.15904</v>
      </c>
      <c r="I141" s="25">
        <f t="shared" si="5"/>
        <v>2.7980054717867728E-4</v>
      </c>
    </row>
    <row r="142" spans="1:9" x14ac:dyDescent="0.3">
      <c r="A142" s="23">
        <v>136</v>
      </c>
      <c r="B142" s="23">
        <v>1787</v>
      </c>
      <c r="C142" s="23" t="str">
        <f>VLOOKUP(B142,I!$A:$G,2,FALSE)</f>
        <v>SINAPI</v>
      </c>
      <c r="D142" s="24" t="str">
        <f>VLOOKUP(B142,I!$A:$G,3,FALSE)</f>
        <v>CURVA 90 GRAUS DE FERRO GALVANIZADO, COM ROSCA BSP FEMEA, DE 1"</v>
      </c>
      <c r="E142" s="23" t="str">
        <f>VLOOKUP(B142,I!$A:$G,4,FALSE)</f>
        <v>UN</v>
      </c>
      <c r="F142" s="23">
        <f>SUMIF(CPU!M:M,B142,CPU!O:O)+SUMIF(CPUAUX1!M:M,B142,CPUAUX1!O:O)+SUMIF(CPUAUX2!M:M,B142,CPUAUX2!O:O)+SUMIF(CPUAUX3!M:M,B142,CPUAUX3!O:O)+SUMIF(CPUAUX4!M:M,B142,CPUAUX4!O:O)+SUMIF(CPUAUX5!M:M,B142,CPUAUX5!O:O)</f>
        <v>5</v>
      </c>
      <c r="G142" s="5">
        <f>VLOOKUP(B142,I!$A:$G,5,FALSE)</f>
        <v>32.43</v>
      </c>
      <c r="H142" s="5">
        <f t="shared" si="4"/>
        <v>162.15</v>
      </c>
      <c r="I142" s="25">
        <f t="shared" si="5"/>
        <v>2.7807014998998842E-4</v>
      </c>
    </row>
    <row r="143" spans="1:9" x14ac:dyDescent="0.3">
      <c r="A143" s="23">
        <v>137</v>
      </c>
      <c r="B143" s="23" t="s">
        <v>1125</v>
      </c>
      <c r="C143" s="23" t="str">
        <f>VLOOKUP(B143,I!$A:$G,2,FALSE)</f>
        <v>SEINFRA</v>
      </c>
      <c r="D143" s="24" t="str">
        <f>VLOOKUP(B143,I!$A:$G,3,FALSE)</f>
        <v>AJUDANTE DE CARPINTEIRO</v>
      </c>
      <c r="E143" s="23" t="str">
        <f>VLOOKUP(B143,I!$A:$G,4,FALSE)</f>
        <v>H</v>
      </c>
      <c r="F143" s="23">
        <f>SUMIF(CPU!M:M,B143,CPU!O:O)+SUMIF(CPUAUX1!M:M,B143,CPUAUX1!O:O)+SUMIF(CPUAUX2!M:M,B143,CPUAUX2!O:O)+SUMIF(CPUAUX3!M:M,B143,CPUAUX3!O:O)+SUMIF(CPUAUX4!M:M,B143,CPUAUX4!O:O)+SUMIF(CPUAUX5!M:M,B143,CPUAUX5!O:O)</f>
        <v>6.7600000000000007</v>
      </c>
      <c r="G143" s="5">
        <f>VLOOKUP(B143,I!$A:$G,5,FALSE)</f>
        <v>21.1</v>
      </c>
      <c r="H143" s="5">
        <f t="shared" si="4"/>
        <v>142.63600000000002</v>
      </c>
      <c r="I143" s="25">
        <f t="shared" si="5"/>
        <v>2.4460569789683625E-4</v>
      </c>
    </row>
    <row r="144" spans="1:9" x14ac:dyDescent="0.3">
      <c r="A144" s="23">
        <v>138</v>
      </c>
      <c r="B144" s="23">
        <v>43055</v>
      </c>
      <c r="C144" s="23" t="str">
        <f>VLOOKUP(B144,I!$A:$G,2,FALSE)</f>
        <v>SINAPI</v>
      </c>
      <c r="D144" s="24" t="str">
        <f>VLOOKUP(B144,I!$A:$G,3,FALSE)</f>
        <v>ACO CA-50, 12,5 MM OU 16,0 MM, VERGALHAO</v>
      </c>
      <c r="E144" s="23" t="str">
        <f>VLOOKUP(B144,I!$A:$G,4,FALSE)</f>
        <v>KG</v>
      </c>
      <c r="F144" s="23">
        <f>SUMIF(CPU!M:M,B144,CPU!O:O)+SUMIF(CPUAUX1!M:M,B144,CPUAUX1!O:O)+SUMIF(CPUAUX2!M:M,B144,CPUAUX2!O:O)+SUMIF(CPUAUX3!M:M,B144,CPUAUX3!O:O)+SUMIF(CPUAUX4!M:M,B144,CPUAUX4!O:O)+SUMIF(CPUAUX5!M:M,B144,CPUAUX5!O:O)</f>
        <v>19.752061500000003</v>
      </c>
      <c r="G144" s="5">
        <f>VLOOKUP(B144,I!$A:$G,5,FALSE)</f>
        <v>7</v>
      </c>
      <c r="H144" s="5">
        <f t="shared" si="4"/>
        <v>138.26443050000003</v>
      </c>
      <c r="I144" s="25">
        <f t="shared" si="5"/>
        <v>2.3710891722118619E-4</v>
      </c>
    </row>
    <row r="145" spans="1:9" x14ac:dyDescent="0.3">
      <c r="A145" s="23">
        <v>139</v>
      </c>
      <c r="B145" s="23">
        <v>12869</v>
      </c>
      <c r="C145" s="23" t="str">
        <f>VLOOKUP(B145,I!$A:$G,2,FALSE)</f>
        <v>SINAPI</v>
      </c>
      <c r="D145" s="24" t="str">
        <f>VLOOKUP(B145,I!$A:$G,3,FALSE)</f>
        <v>TELHADOR / TELHADISTA (HORISTA)</v>
      </c>
      <c r="E145" s="23" t="str">
        <f>VLOOKUP(B145,I!$A:$G,4,FALSE)</f>
        <v>H</v>
      </c>
      <c r="F145" s="23">
        <f>SUMIF(CPU!M:M,B145,CPU!O:O)+SUMIF(CPUAUX1!M:M,B145,CPUAUX1!O:O)+SUMIF(CPUAUX2!M:M,B145,CPUAUX2!O:O)+SUMIF(CPUAUX3!M:M,B145,CPUAUX3!O:O)+SUMIF(CPUAUX4!M:M,B145,CPUAUX4!O:O)+SUMIF(CPUAUX5!M:M,B145,CPUAUX5!O:O)</f>
        <v>6.8814560430000009</v>
      </c>
      <c r="G145" s="5">
        <f>VLOOKUP(B145,I!$A:$G,5,FALSE)</f>
        <v>20.07</v>
      </c>
      <c r="H145" s="5">
        <f t="shared" si="4"/>
        <v>138.11082278301001</v>
      </c>
      <c r="I145" s="25">
        <f t="shared" si="5"/>
        <v>2.3684549618570647E-4</v>
      </c>
    </row>
    <row r="146" spans="1:9" x14ac:dyDescent="0.3">
      <c r="A146" s="23">
        <v>140</v>
      </c>
      <c r="B146" s="23" t="s">
        <v>1133</v>
      </c>
      <c r="C146" s="23" t="str">
        <f>VLOOKUP(B146,I!$A:$G,2,FALSE)</f>
        <v>ORSE</v>
      </c>
      <c r="D146" s="24" t="str">
        <f>VLOOKUP(B146,I!$A:$G,3,FALSE)</f>
        <v>COMPENSADO RESINADO 12MM - MADEIRIT OU SIMILAR</v>
      </c>
      <c r="E146" s="23" t="str">
        <f>VLOOKUP(B146,I!$A:$G,4,FALSE)</f>
        <v>M2</v>
      </c>
      <c r="F146" s="23">
        <f>SUMIF(CPU!M:M,B146,CPU!O:O)+SUMIF(CPUAUX1!M:M,B146,CPUAUX1!O:O)+SUMIF(CPUAUX2!M:M,B146,CPUAUX2!O:O)+SUMIF(CPUAUX3!M:M,B146,CPUAUX3!O:O)+SUMIF(CPUAUX4!M:M,B146,CPUAUX4!O:O)+SUMIF(CPUAUX5!M:M,B146,CPUAUX5!O:O)</f>
        <v>3.0420000000000003</v>
      </c>
      <c r="G146" s="5">
        <f>VLOOKUP(B146,I!$A:$G,5,FALSE)</f>
        <v>44.17</v>
      </c>
      <c r="H146" s="5">
        <f t="shared" si="4"/>
        <v>134.36514000000003</v>
      </c>
      <c r="I146" s="25">
        <f t="shared" si="5"/>
        <v>2.3042204522495097E-4</v>
      </c>
    </row>
    <row r="147" spans="1:9" x14ac:dyDescent="0.3">
      <c r="A147" s="23">
        <v>141</v>
      </c>
      <c r="B147" s="23">
        <v>1957</v>
      </c>
      <c r="C147" s="23" t="str">
        <f>VLOOKUP(B147,I!$A:$G,2,FALSE)</f>
        <v>SINAPI</v>
      </c>
      <c r="D147" s="24" t="str">
        <f>VLOOKUP(B147,I!$A:$G,3,FALSE)</f>
        <v>CURVA DE PVC 90 GRAUS, SOLDAVEL, 32 MM, COR MARROM, PARA AGUA FRIA PREDIAL</v>
      </c>
      <c r="E147" s="23" t="str">
        <f>VLOOKUP(B147,I!$A:$G,4,FALSE)</f>
        <v>UN</v>
      </c>
      <c r="F147" s="23">
        <f>SUMIF(CPU!M:M,B147,CPU!O:O)+SUMIF(CPUAUX1!M:M,B147,CPUAUX1!O:O)+SUMIF(CPUAUX2!M:M,B147,CPUAUX2!O:O)+SUMIF(CPUAUX3!M:M,B147,CPUAUX3!O:O)+SUMIF(CPUAUX4!M:M,B147,CPUAUX4!O:O)+SUMIF(CPUAUX5!M:M,B147,CPUAUX5!O:O)</f>
        <v>20</v>
      </c>
      <c r="G147" s="5">
        <f>VLOOKUP(B147,I!$A:$G,5,FALSE)</f>
        <v>6.45</v>
      </c>
      <c r="H147" s="5">
        <f t="shared" si="4"/>
        <v>129</v>
      </c>
      <c r="I147" s="25">
        <f t="shared" si="5"/>
        <v>2.2122139592172993E-4</v>
      </c>
    </row>
    <row r="148" spans="1:9" ht="28.8" x14ac:dyDescent="0.3">
      <c r="A148" s="23">
        <v>142</v>
      </c>
      <c r="B148" s="23">
        <v>1094</v>
      </c>
      <c r="C148" s="23" t="str">
        <f>VLOOKUP(B148,I!$A:$G,2,FALSE)</f>
        <v>SINAPI</v>
      </c>
      <c r="D148" s="24" t="str">
        <f>VLOOKUP(B148,I!$A:$G,3,FALSE)</f>
        <v>ARMACAO VERTICAL COM HASTE E CONTRA-PINO, EM CHAPA DE ACO GALVANIZADO 3/16", COM 1 ESTRIBO, SEM ISOLADOR</v>
      </c>
      <c r="E148" s="23" t="str">
        <f>VLOOKUP(B148,I!$A:$G,4,FALSE)</f>
        <v>UN</v>
      </c>
      <c r="F148" s="23">
        <f>SUMIF(CPU!M:M,B148,CPU!O:O)+SUMIF(CPUAUX1!M:M,B148,CPUAUX1!O:O)+SUMIF(CPUAUX2!M:M,B148,CPUAUX2!O:O)+SUMIF(CPUAUX3!M:M,B148,CPUAUX3!O:O)+SUMIF(CPUAUX4!M:M,B148,CPUAUX4!O:O)+SUMIF(CPUAUX5!M:M,B148,CPUAUX5!O:O)</f>
        <v>5</v>
      </c>
      <c r="G148" s="5">
        <f>VLOOKUP(B148,I!$A:$G,5,FALSE)</f>
        <v>25.72</v>
      </c>
      <c r="H148" s="5">
        <f t="shared" si="4"/>
        <v>128.6</v>
      </c>
      <c r="I148" s="25">
        <f t="shared" si="5"/>
        <v>2.2053543810491834E-4</v>
      </c>
    </row>
    <row r="149" spans="1:9" x14ac:dyDescent="0.3">
      <c r="A149" s="23">
        <v>143</v>
      </c>
      <c r="B149" s="23" t="s">
        <v>1070</v>
      </c>
      <c r="C149" s="23" t="str">
        <f>VLOOKUP(B149,I!$A:$G,2,FALSE)</f>
        <v>SEINFRA</v>
      </c>
      <c r="D149" s="24" t="str">
        <f>VLOOKUP(B149,I!$A:$G,3,FALSE)</f>
        <v>SUPERCAL</v>
      </c>
      <c r="E149" s="23" t="str">
        <f>VLOOKUP(B149,I!$A:$G,4,FALSE)</f>
        <v>KG</v>
      </c>
      <c r="F149" s="23">
        <f>SUMIF(CPU!M:M,B149,CPU!O:O)+SUMIF(CPUAUX1!M:M,B149,CPUAUX1!O:O)+SUMIF(CPUAUX2!M:M,B149,CPUAUX2!O:O)+SUMIF(CPUAUX3!M:M,B149,CPUAUX3!O:O)+SUMIF(CPUAUX4!M:M,B149,CPUAUX4!O:O)+SUMIF(CPUAUX5!M:M,B149,CPUAUX5!O:O)</f>
        <v>86.894999999999996</v>
      </c>
      <c r="G149" s="5">
        <f>VLOOKUP(B149,I!$A:$G,5,FALSE)</f>
        <v>1.47</v>
      </c>
      <c r="H149" s="5">
        <f t="shared" si="4"/>
        <v>127.73564999999999</v>
      </c>
      <c r="I149" s="25">
        <f t="shared" si="5"/>
        <v>2.1905316900751564E-4</v>
      </c>
    </row>
    <row r="150" spans="1:9" x14ac:dyDescent="0.3">
      <c r="A150" s="23">
        <v>144</v>
      </c>
      <c r="B150" s="23" t="s">
        <v>1041</v>
      </c>
      <c r="C150" s="23" t="str">
        <f>VLOOKUP(B150,I!$A:$G,2,FALSE)</f>
        <v>PRÓPRIA</v>
      </c>
      <c r="D150" s="24" t="str">
        <f>VLOOKUP(B150,I!$A:$G,3,FALSE)</f>
        <v>HIPOCLORITO DE SÓDIO</v>
      </c>
      <c r="E150" s="23" t="str">
        <f>VLOOKUP(B150,I!$A:$G,4,FALSE)</f>
        <v>L</v>
      </c>
      <c r="F150" s="23">
        <f>SUMIF(CPU!M:M,B150,CPU!O:O)+SUMIF(CPUAUX1!M:M,B150,CPUAUX1!O:O)+SUMIF(CPUAUX2!M:M,B150,CPUAUX2!O:O)+SUMIF(CPUAUX3!M:M,B150,CPUAUX3!O:O)+SUMIF(CPUAUX4!M:M,B150,CPUAUX4!O:O)+SUMIF(CPUAUX5!M:M,B150,CPUAUX5!O:O)</f>
        <v>30</v>
      </c>
      <c r="G150" s="5">
        <f>VLOOKUP(B150,I!$A:$G,5,FALSE)</f>
        <v>4.2</v>
      </c>
      <c r="H150" s="5">
        <f t="shared" si="4"/>
        <v>126</v>
      </c>
      <c r="I150" s="25">
        <f t="shared" si="5"/>
        <v>2.1607671229564317E-4</v>
      </c>
    </row>
    <row r="151" spans="1:9" ht="43.2" x14ac:dyDescent="0.3">
      <c r="A151" s="23">
        <v>145</v>
      </c>
      <c r="B151" s="23">
        <v>1527</v>
      </c>
      <c r="C151" s="23" t="str">
        <f>VLOOKUP(B151,I!$A:$G,2,FALSE)</f>
        <v>SINAPI</v>
      </c>
      <c r="D151" s="24" t="str">
        <f>VLOOKUP(B151,I!$A:$G,3,FALSE)</f>
        <v>CONCRETO USINADO BOMBEAVEL, CLASSE DE RESISTENCIA C25, BRITA 0 E 1, SLUMP = 100 +/- 20 MM, COM BOMBEAMENTO (DISPONIBILIZACAO DE BOMBA), SEM O LANCAMENTO (NBR 8953)</v>
      </c>
      <c r="E151" s="23" t="str">
        <f>VLOOKUP(B151,I!$A:$G,4,FALSE)</f>
        <v>M3</v>
      </c>
      <c r="F151" s="23">
        <f>SUMIF(CPU!M:M,B151,CPU!O:O)+SUMIF(CPUAUX1!M:M,B151,CPUAUX1!O:O)+SUMIF(CPUAUX2!M:M,B151,CPUAUX2!O:O)+SUMIF(CPUAUX3!M:M,B151,CPUAUX3!O:O)+SUMIF(CPUAUX4!M:M,B151,CPUAUX4!O:O)+SUMIF(CPUAUX5!M:M,B151,CPUAUX5!O:O)</f>
        <v>0.20433075000000003</v>
      </c>
      <c r="G151" s="5">
        <f>VLOOKUP(B151,I!$A:$G,5,FALSE)</f>
        <v>601.49</v>
      </c>
      <c r="H151" s="5">
        <f t="shared" si="4"/>
        <v>122.90290281750002</v>
      </c>
      <c r="I151" s="25">
        <f t="shared" si="5"/>
        <v>2.1076551724124085E-4</v>
      </c>
    </row>
    <row r="152" spans="1:9" ht="28.8" x14ac:dyDescent="0.3">
      <c r="A152" s="23">
        <v>146</v>
      </c>
      <c r="B152" s="23">
        <v>43461</v>
      </c>
      <c r="C152" s="23" t="str">
        <f>VLOOKUP(B152,I!$A:$G,2,FALSE)</f>
        <v>SINAPI</v>
      </c>
      <c r="D152" s="24" t="str">
        <f>VLOOKUP(B152,I!$A:$G,3,FALSE)</f>
        <v>FERRAMENTAS - FAMILIA ENCANADOR - HORISTA (ENCARGOS COMPLEMENTARES - COLETADO CAIXA)</v>
      </c>
      <c r="E152" s="23" t="str">
        <f>VLOOKUP(B152,I!$A:$G,4,FALSE)</f>
        <v>H</v>
      </c>
      <c r="F152" s="23">
        <f>SUMIF(CPU!M:M,B152,CPU!O:O)+SUMIF(CPUAUX1!M:M,B152,CPUAUX1!O:O)+SUMIF(CPUAUX2!M:M,B152,CPUAUX2!O:O)+SUMIF(CPUAUX3!M:M,B152,CPUAUX3!O:O)+SUMIF(CPUAUX4!M:M,B152,CPUAUX4!O:O)+SUMIF(CPUAUX5!M:M,B152,CPUAUX5!O:O)</f>
        <v>353.17500000000001</v>
      </c>
      <c r="G152" s="5">
        <f>VLOOKUP(B152,I!$A:$G,5,FALSE)</f>
        <v>0.31</v>
      </c>
      <c r="H152" s="5">
        <f t="shared" si="4"/>
        <v>109.48425</v>
      </c>
      <c r="I152" s="25">
        <f t="shared" si="5"/>
        <v>1.8775394276312915E-4</v>
      </c>
    </row>
    <row r="153" spans="1:9" x14ac:dyDescent="0.3">
      <c r="A153" s="23">
        <v>147</v>
      </c>
      <c r="B153" s="23" t="s">
        <v>1124</v>
      </c>
      <c r="C153" s="23" t="str">
        <f>VLOOKUP(B153,I!$A:$G,2,FALSE)</f>
        <v>SEINFRA</v>
      </c>
      <c r="D153" s="24" t="str">
        <f>VLOOKUP(B153,I!$A:$G,3,FALSE)</f>
        <v>PEDRISCO</v>
      </c>
      <c r="E153" s="23" t="str">
        <f>VLOOKUP(B153,I!$A:$G,4,FALSE)</f>
        <v>M3</v>
      </c>
      <c r="F153" s="23">
        <f>SUMIF(CPU!M:M,B153,CPU!O:O)+SUMIF(CPUAUX1!M:M,B153,CPUAUX1!O:O)+SUMIF(CPUAUX2!M:M,B153,CPUAUX2!O:O)+SUMIF(CPUAUX3!M:M,B153,CPUAUX3!O:O)+SUMIF(CPUAUX4!M:M,B153,CPUAUX4!O:O)+SUMIF(CPUAUX5!M:M,B153,CPUAUX5!O:O)</f>
        <v>1.0868</v>
      </c>
      <c r="G153" s="5">
        <f>VLOOKUP(B153,I!$A:$G,5,FALSE)</f>
        <v>100.5</v>
      </c>
      <c r="H153" s="5">
        <f t="shared" si="4"/>
        <v>109.2234</v>
      </c>
      <c r="I153" s="25">
        <f t="shared" si="5"/>
        <v>1.873066125218409E-4</v>
      </c>
    </row>
    <row r="154" spans="1:9" x14ac:dyDescent="0.3">
      <c r="A154" s="23">
        <v>148</v>
      </c>
      <c r="B154" s="23">
        <v>4509</v>
      </c>
      <c r="C154" s="23" t="str">
        <f>VLOOKUP(B154,I!$A:$G,2,FALSE)</f>
        <v>SINAPI</v>
      </c>
      <c r="D154" s="24" t="str">
        <f>VLOOKUP(B154,I!$A:$G,3,FALSE)</f>
        <v>SARRAFO *2,5 X 10* CM EM PINUS, MISTA OU EQUIVALENTE DA REGIAO - BRUTA</v>
      </c>
      <c r="E154" s="23" t="str">
        <f>VLOOKUP(B154,I!$A:$G,4,FALSE)</f>
        <v>M</v>
      </c>
      <c r="F154" s="23">
        <f>SUMIF(CPU!M:M,B154,CPU!O:O)+SUMIF(CPUAUX1!M:M,B154,CPUAUX1!O:O)+SUMIF(CPUAUX2!M:M,B154,CPUAUX2!O:O)+SUMIF(CPUAUX3!M:M,B154,CPUAUX3!O:O)+SUMIF(CPUAUX4!M:M,B154,CPUAUX4!O:O)+SUMIF(CPUAUX5!M:M,B154,CPUAUX5!O:O)</f>
        <v>21.157</v>
      </c>
      <c r="G154" s="5">
        <f>VLOOKUP(B154,I!$A:$G,5,FALSE)</f>
        <v>5.0999999999999996</v>
      </c>
      <c r="H154" s="5">
        <f t="shared" si="4"/>
        <v>107.90069999999999</v>
      </c>
      <c r="I154" s="25">
        <f t="shared" si="5"/>
        <v>1.8503832151109924E-4</v>
      </c>
    </row>
    <row r="155" spans="1:9" ht="28.8" x14ac:dyDescent="0.3">
      <c r="A155" s="23">
        <v>149</v>
      </c>
      <c r="B155" s="23">
        <v>6193</v>
      </c>
      <c r="C155" s="23" t="str">
        <f>VLOOKUP(B155,I!$A:$G,2,FALSE)</f>
        <v>SINAPI</v>
      </c>
      <c r="D155" s="24" t="str">
        <f>VLOOKUP(B155,I!$A:$G,3,FALSE)</f>
        <v>TABUA NAO APARELHADA *2,5 X 20* CM, EM MACARANDUBA/MASSARANDUBA, ANGELIM OU EQUIVALENTE DA REGIAO - BRUTA</v>
      </c>
      <c r="E155" s="23" t="str">
        <f>VLOOKUP(B155,I!$A:$G,4,FALSE)</f>
        <v>M</v>
      </c>
      <c r="F155" s="23">
        <f>SUMIF(CPU!M:M,B155,CPU!O:O)+SUMIF(CPUAUX1!M:M,B155,CPUAUX1!O:O)+SUMIF(CPUAUX2!M:M,B155,CPUAUX2!O:O)+SUMIF(CPUAUX3!M:M,B155,CPUAUX3!O:O)+SUMIF(CPUAUX4!M:M,B155,CPUAUX4!O:O)+SUMIF(CPUAUX5!M:M,B155,CPUAUX5!O:O)</f>
        <v>7.5616597999999993</v>
      </c>
      <c r="G155" s="5">
        <f>VLOOKUP(B155,I!$A:$G,5,FALSE)</f>
        <v>14.13</v>
      </c>
      <c r="H155" s="5">
        <f t="shared" si="4"/>
        <v>106.846252974</v>
      </c>
      <c r="I155" s="25">
        <f t="shared" si="5"/>
        <v>1.8323005606135322E-4</v>
      </c>
    </row>
    <row r="156" spans="1:9" x14ac:dyDescent="0.3">
      <c r="A156" s="23">
        <v>150</v>
      </c>
      <c r="B156" s="23" t="s">
        <v>1134</v>
      </c>
      <c r="C156" s="23" t="str">
        <f>VLOOKUP(B156,I!$A:$G,2,FALSE)</f>
        <v>ORSE</v>
      </c>
      <c r="D156" s="24" t="str">
        <f>VLOOKUP(B156,I!$A:$G,3,FALSE)</f>
        <v>MADEIRA MISTA SERRADA (BARROTE) 6 X 6CM - 0,0036 M3/M (ANGELIM, LOURO)</v>
      </c>
      <c r="E156" s="23" t="str">
        <f>VLOOKUP(B156,I!$A:$G,4,FALSE)</f>
        <v>M</v>
      </c>
      <c r="F156" s="23">
        <f>SUMIF(CPU!M:M,B156,CPU!O:O)+SUMIF(CPUAUX1!M:M,B156,CPUAUX1!O:O)+SUMIF(CPUAUX2!M:M,B156,CPUAUX2!O:O)+SUMIF(CPUAUX3!M:M,B156,CPUAUX3!O:O)+SUMIF(CPUAUX4!M:M,B156,CPUAUX4!O:O)+SUMIF(CPUAUX5!M:M,B156,CPUAUX5!O:O)</f>
        <v>15.951000000000001</v>
      </c>
      <c r="G156" s="5">
        <f>VLOOKUP(B156,I!$A:$G,5,FALSE)</f>
        <v>6.69</v>
      </c>
      <c r="H156" s="5">
        <f t="shared" si="4"/>
        <v>106.71219000000001</v>
      </c>
      <c r="I156" s="25">
        <f t="shared" si="5"/>
        <v>1.8300015219895247E-4</v>
      </c>
    </row>
    <row r="157" spans="1:9" ht="28.8" x14ac:dyDescent="0.3">
      <c r="A157" s="23">
        <v>151</v>
      </c>
      <c r="B157" s="23">
        <v>1345</v>
      </c>
      <c r="C157" s="23" t="str">
        <f>VLOOKUP(B157,I!$A:$G,2,FALSE)</f>
        <v>SINAPI</v>
      </c>
      <c r="D157" s="24" t="str">
        <f>VLOOKUP(B157,I!$A:$G,3,FALSE)</f>
        <v>CHAPA/PAINEL DE MADEIRA COMPENSADA PLASTIFICADA (MADEIRITE PLASTIFICADO) PARA FORMA DE CONCRETO, DE 2200 X 1100 MM, E = *17* MM</v>
      </c>
      <c r="E157" s="23" t="str">
        <f>VLOOKUP(B157,I!$A:$G,4,FALSE)</f>
        <v>M2</v>
      </c>
      <c r="F157" s="23">
        <f>SUMIF(CPU!M:M,B157,CPU!O:O)+SUMIF(CPUAUX1!M:M,B157,CPUAUX1!O:O)+SUMIF(CPUAUX2!M:M,B157,CPUAUX2!O:O)+SUMIF(CPUAUX3!M:M,B157,CPUAUX3!O:O)+SUMIF(CPUAUX4!M:M,B157,CPUAUX4!O:O)+SUMIF(CPUAUX5!M:M,B157,CPUAUX5!O:O)</f>
        <v>0.95646395520000016</v>
      </c>
      <c r="G157" s="5">
        <f>VLOOKUP(B157,I!$A:$G,5,FALSE)</f>
        <v>106.63</v>
      </c>
      <c r="H157" s="5">
        <f t="shared" si="4"/>
        <v>101.98775154297601</v>
      </c>
      <c r="I157" s="25">
        <f t="shared" si="5"/>
        <v>1.7489823847485054E-4</v>
      </c>
    </row>
    <row r="158" spans="1:9" x14ac:dyDescent="0.3">
      <c r="A158" s="23">
        <v>152</v>
      </c>
      <c r="B158" s="23" t="s">
        <v>1123</v>
      </c>
      <c r="C158" s="23" t="str">
        <f>VLOOKUP(B158,I!$A:$G,2,FALSE)</f>
        <v>SEINFRA</v>
      </c>
      <c r="D158" s="24" t="str">
        <f>VLOOKUP(B158,I!$A:$G,3,FALSE)</f>
        <v>AREIA MEDIA</v>
      </c>
      <c r="E158" s="23" t="str">
        <f>VLOOKUP(B158,I!$A:$G,4,FALSE)</f>
        <v>M3</v>
      </c>
      <c r="F158" s="23">
        <f>SUMIF(CPU!M:M,B158,CPU!O:O)+SUMIF(CPUAUX1!M:M,B158,CPUAUX1!O:O)+SUMIF(CPUAUX2!M:M,B158,CPUAUX2!O:O)+SUMIF(CPUAUX3!M:M,B158,CPUAUX3!O:O)+SUMIF(CPUAUX4!M:M,B158,CPUAUX4!O:O)+SUMIF(CPUAUX5!M:M,B158,CPUAUX5!O:O)</f>
        <v>1.1956100000000001</v>
      </c>
      <c r="G158" s="5">
        <f>VLOOKUP(B158,I!$A:$G,5,FALSE)</f>
        <v>83.58</v>
      </c>
      <c r="H158" s="5">
        <f t="shared" si="4"/>
        <v>99.929083800000001</v>
      </c>
      <c r="I158" s="25">
        <f t="shared" si="5"/>
        <v>1.7136784039856998E-4</v>
      </c>
    </row>
    <row r="159" spans="1:9" ht="28.8" x14ac:dyDescent="0.3">
      <c r="A159" s="23">
        <v>153</v>
      </c>
      <c r="B159" s="23">
        <v>3671</v>
      </c>
      <c r="C159" s="23" t="str">
        <f>VLOOKUP(B159,I!$A:$G,2,FALSE)</f>
        <v>SINAPI</v>
      </c>
      <c r="D159" s="24" t="str">
        <f>VLOOKUP(B159,I!$A:$G,3,FALSE)</f>
        <v>JUNTA PLASTICA DE DILATACAO PARA PISOS, COR CINZA, 17 X 3 MM (ALTURA X ESPESSURA)</v>
      </c>
      <c r="E159" s="23" t="str">
        <f>VLOOKUP(B159,I!$A:$G,4,FALSE)</f>
        <v>M</v>
      </c>
      <c r="F159" s="23">
        <f>SUMIF(CPU!M:M,B159,CPU!O:O)+SUMIF(CPUAUX1!M:M,B159,CPUAUX1!O:O)+SUMIF(CPUAUX2!M:M,B159,CPUAUX2!O:O)+SUMIF(CPUAUX3!M:M,B159,CPUAUX3!O:O)+SUMIF(CPUAUX4!M:M,B159,CPUAUX4!O:O)+SUMIF(CPUAUX5!M:M,B159,CPUAUX5!O:O)</f>
        <v>33.4</v>
      </c>
      <c r="G159" s="5">
        <f>VLOOKUP(B159,I!$A:$G,5,FALSE)</f>
        <v>2.95</v>
      </c>
      <c r="H159" s="5">
        <f t="shared" si="4"/>
        <v>98.53</v>
      </c>
      <c r="I159" s="25">
        <f t="shared" si="5"/>
        <v>1.6896855922610891E-4</v>
      </c>
    </row>
    <row r="160" spans="1:9" ht="28.8" x14ac:dyDescent="0.3">
      <c r="A160" s="23">
        <v>154</v>
      </c>
      <c r="B160" s="23">
        <v>34557</v>
      </c>
      <c r="C160" s="23" t="str">
        <f>VLOOKUP(B160,I!$A:$G,2,FALSE)</f>
        <v>SINAPI</v>
      </c>
      <c r="D160" s="24" t="str">
        <f>VLOOKUP(B160,I!$A:$G,3,FALSE)</f>
        <v>TELA DE ACO SOLDADA GALVANIZADA/ZINCADA PARA ALVENARIA, FIO D = *1,20 A 1,70* MM, MALHA 15 X 15 MM, (C X L) *50 X 7,5* CM</v>
      </c>
      <c r="E160" s="23" t="str">
        <f>VLOOKUP(B160,I!$A:$G,4,FALSE)</f>
        <v>M</v>
      </c>
      <c r="F160" s="23">
        <f>SUMIF(CPU!M:M,B160,CPU!O:O)+SUMIF(CPUAUX1!M:M,B160,CPUAUX1!O:O)+SUMIF(CPUAUX2!M:M,B160,CPUAUX2!O:O)+SUMIF(CPUAUX3!M:M,B160,CPUAUX3!O:O)+SUMIF(CPUAUX4!M:M,B160,CPUAUX4!O:O)+SUMIF(CPUAUX5!M:M,B160,CPUAUX5!O:O)</f>
        <v>40.551000000000002</v>
      </c>
      <c r="G160" s="5">
        <f>VLOOKUP(B160,I!$A:$G,5,FALSE)</f>
        <v>2.3199999999999998</v>
      </c>
      <c r="H160" s="5">
        <f t="shared" si="4"/>
        <v>94.078320000000005</v>
      </c>
      <c r="I160" s="25">
        <f t="shared" si="5"/>
        <v>1.6133439749124964E-4</v>
      </c>
    </row>
    <row r="161" spans="1:9" x14ac:dyDescent="0.3">
      <c r="A161" s="23">
        <v>155</v>
      </c>
      <c r="B161" s="23">
        <v>6323</v>
      </c>
      <c r="C161" s="23" t="str">
        <f>VLOOKUP(B161,I!$A:$G,2,FALSE)</f>
        <v>SINAPI</v>
      </c>
      <c r="D161" s="24" t="str">
        <f>VLOOKUP(B161,I!$A:$G,3,FALSE)</f>
        <v>TE DE FERRO GALVANIZADO, DE 1"</v>
      </c>
      <c r="E161" s="23" t="str">
        <f>VLOOKUP(B161,I!$A:$G,4,FALSE)</f>
        <v>UN</v>
      </c>
      <c r="F161" s="23">
        <f>SUMIF(CPU!M:M,B161,CPU!O:O)+SUMIF(CPUAUX1!M:M,B161,CPUAUX1!O:O)+SUMIF(CPUAUX2!M:M,B161,CPUAUX2!O:O)+SUMIF(CPUAUX3!M:M,B161,CPUAUX3!O:O)+SUMIF(CPUAUX4!M:M,B161,CPUAUX4!O:O)+SUMIF(CPUAUX5!M:M,B161,CPUAUX5!O:O)</f>
        <v>5</v>
      </c>
      <c r="G161" s="5">
        <f>VLOOKUP(B161,I!$A:$G,5,FALSE)</f>
        <v>18.52</v>
      </c>
      <c r="H161" s="5">
        <f t="shared" si="4"/>
        <v>92.6</v>
      </c>
      <c r="I161" s="25">
        <f t="shared" si="5"/>
        <v>1.5879923459187744E-4</v>
      </c>
    </row>
    <row r="162" spans="1:9" x14ac:dyDescent="0.3">
      <c r="A162" s="23">
        <v>156</v>
      </c>
      <c r="B162" s="23">
        <v>9869</v>
      </c>
      <c r="C162" s="23" t="str">
        <f>VLOOKUP(B162,I!$A:$G,2,FALSE)</f>
        <v>SINAPI</v>
      </c>
      <c r="D162" s="24" t="str">
        <f>VLOOKUP(B162,I!$A:$G,3,FALSE)</f>
        <v>TUBO PVC, SOLDAVEL, DE 32 MM, AGUA FRIA (NBR-5648)</v>
      </c>
      <c r="E162" s="23" t="str">
        <f>VLOOKUP(B162,I!$A:$G,4,FALSE)</f>
        <v>M</v>
      </c>
      <c r="F162" s="23">
        <f>SUMIF(CPU!M:M,B162,CPU!O:O)+SUMIF(CPUAUX1!M:M,B162,CPUAUX1!O:O)+SUMIF(CPUAUX2!M:M,B162,CPUAUX2!O:O)+SUMIF(CPUAUX3!M:M,B162,CPUAUX3!O:O)+SUMIF(CPUAUX4!M:M,B162,CPUAUX4!O:O)+SUMIF(CPUAUX5!M:M,B162,CPUAUX5!O:O)</f>
        <v>10</v>
      </c>
      <c r="G162" s="5">
        <f>VLOOKUP(B162,I!$A:$G,5,FALSE)</f>
        <v>8.9499999999999993</v>
      </c>
      <c r="H162" s="5">
        <f t="shared" si="4"/>
        <v>89.5</v>
      </c>
      <c r="I162" s="25">
        <f t="shared" si="5"/>
        <v>1.5348306151158781E-4</v>
      </c>
    </row>
    <row r="163" spans="1:9" x14ac:dyDescent="0.3">
      <c r="A163" s="23">
        <v>157</v>
      </c>
      <c r="B163" s="23">
        <v>791</v>
      </c>
      <c r="C163" s="23" t="str">
        <f>VLOOKUP(B163,I!$A:$G,2,FALSE)</f>
        <v>SINAPI</v>
      </c>
      <c r="D163" s="24" t="str">
        <f>VLOOKUP(B163,I!$A:$G,3,FALSE)</f>
        <v>BUCHA DE REDUCAO DE FERRO GALVANIZADO, COM ROSCA BSP, DE 1 1/2" X 1"</v>
      </c>
      <c r="E163" s="23" t="str">
        <f>VLOOKUP(B163,I!$A:$G,4,FALSE)</f>
        <v>UN</v>
      </c>
      <c r="F163" s="23">
        <f>SUMIF(CPU!M:M,B163,CPU!O:O)+SUMIF(CPUAUX1!M:M,B163,CPUAUX1!O:O)+SUMIF(CPUAUX2!M:M,B163,CPUAUX2!O:O)+SUMIF(CPUAUX3!M:M,B163,CPUAUX3!O:O)+SUMIF(CPUAUX4!M:M,B163,CPUAUX4!O:O)+SUMIF(CPUAUX5!M:M,B163,CPUAUX5!O:O)</f>
        <v>5</v>
      </c>
      <c r="G163" s="5">
        <f>VLOOKUP(B163,I!$A:$G,5,FALSE)</f>
        <v>17.75</v>
      </c>
      <c r="H163" s="5">
        <f t="shared" si="4"/>
        <v>88.75</v>
      </c>
      <c r="I163" s="25">
        <f t="shared" si="5"/>
        <v>1.5219689060506613E-4</v>
      </c>
    </row>
    <row r="164" spans="1:9" x14ac:dyDescent="0.3">
      <c r="A164" s="23">
        <v>158</v>
      </c>
      <c r="B164" s="23" t="s">
        <v>1104</v>
      </c>
      <c r="C164" s="23" t="str">
        <f>VLOOKUP(B164,I!$A:$G,2,FALSE)</f>
        <v>ORSE</v>
      </c>
      <c r="D164" s="24" t="str">
        <f>VLOOKUP(B164,I!$A:$G,3,FALSE)</f>
        <v>ALMOÇO (PARTICIPAÇÃO DO EMPREGADOR)</v>
      </c>
      <c r="E164" s="23" t="str">
        <f>VLOOKUP(B164,I!$A:$G,4,FALSE)</f>
        <v>UN</v>
      </c>
      <c r="F164" s="23">
        <f>SUMIF(CPU!M:M,B164,CPU!O:O)+SUMIF(CPUAUX1!M:M,B164,CPUAUX1!O:O)+SUMIF(CPUAUX2!M:M,B164,CPUAUX2!O:O)+SUMIF(CPUAUX3!M:M,B164,CPUAUX3!O:O)+SUMIF(CPUAUX4!M:M,B164,CPUAUX4!O:O)+SUMIF(CPUAUX5!M:M,B164,CPUAUX5!O:O)</f>
        <v>6.2011469999999989</v>
      </c>
      <c r="G164" s="5">
        <f>VLOOKUP(B164,I!$A:$G,5,FALSE)</f>
        <v>14</v>
      </c>
      <c r="H164" s="5">
        <f t="shared" si="4"/>
        <v>86.816057999999984</v>
      </c>
      <c r="I164" s="25">
        <f t="shared" si="5"/>
        <v>1.4888038402466563E-4</v>
      </c>
    </row>
    <row r="165" spans="1:9" x14ac:dyDescent="0.3">
      <c r="A165" s="23">
        <v>159</v>
      </c>
      <c r="B165" s="23">
        <v>34653</v>
      </c>
      <c r="C165" s="23" t="str">
        <f>VLOOKUP(B165,I!$A:$G,2,FALSE)</f>
        <v>SINAPI</v>
      </c>
      <c r="D165" s="24" t="str">
        <f>VLOOKUP(B165,I!$A:$G,3,FALSE)</f>
        <v>DISJUNTOR TERMOMAGNETICO PARA TRILHO DIN (IEC), MONOPOLAR, 6 - 32 A</v>
      </c>
      <c r="E165" s="23" t="str">
        <f>VLOOKUP(B165,I!$A:$G,4,FALSE)</f>
        <v>UN</v>
      </c>
      <c r="F165" s="23">
        <f>SUMIF(CPU!M:M,B165,CPU!O:O)+SUMIF(CPUAUX1!M:M,B165,CPUAUX1!O:O)+SUMIF(CPUAUX2!M:M,B165,CPUAUX2!O:O)+SUMIF(CPUAUX3!M:M,B165,CPUAUX3!O:O)+SUMIF(CPUAUX4!M:M,B165,CPUAUX4!O:O)+SUMIF(CPUAUX5!M:M,B165,CPUAUX5!O:O)</f>
        <v>10</v>
      </c>
      <c r="G165" s="5">
        <f>VLOOKUP(B165,I!$A:$G,5,FALSE)</f>
        <v>8.33</v>
      </c>
      <c r="H165" s="5">
        <f t="shared" si="4"/>
        <v>83.3</v>
      </c>
      <c r="I165" s="25">
        <f t="shared" si="5"/>
        <v>1.4285071535100855E-4</v>
      </c>
    </row>
    <row r="166" spans="1:9" x14ac:dyDescent="0.3">
      <c r="A166" s="23">
        <v>160</v>
      </c>
      <c r="B166" s="23">
        <v>325</v>
      </c>
      <c r="C166" s="23" t="str">
        <f>VLOOKUP(B166,I!$A:$G,2,FALSE)</f>
        <v>SINAPI</v>
      </c>
      <c r="D166" s="24" t="str">
        <f>VLOOKUP(B166,I!$A:$G,3,FALSE)</f>
        <v>ANEL BORRACHA, PARA TUBO/CONEXAO PVC PBA, DN 50 MM, PARA REDE AGUA</v>
      </c>
      <c r="E166" s="23" t="str">
        <f>VLOOKUP(B166,I!$A:$G,4,FALSE)</f>
        <v>UN</v>
      </c>
      <c r="F166" s="23">
        <f>SUMIF(CPU!M:M,B166,CPU!O:O)+SUMIF(CPUAUX1!M:M,B166,CPUAUX1!O:O)+SUMIF(CPUAUX2!M:M,B166,CPUAUX2!O:O)+SUMIF(CPUAUX3!M:M,B166,CPUAUX3!O:O)+SUMIF(CPUAUX4!M:M,B166,CPUAUX4!O:O)+SUMIF(CPUAUX5!M:M,B166,CPUAUX5!O:O)</f>
        <v>28.900000000000002</v>
      </c>
      <c r="G166" s="5">
        <f>VLOOKUP(B166,I!$A:$G,5,FALSE)</f>
        <v>2.96</v>
      </c>
      <c r="H166" s="5">
        <f t="shared" si="4"/>
        <v>85.544000000000011</v>
      </c>
      <c r="I166" s="25">
        <f t="shared" si="5"/>
        <v>1.4669893870332146E-4</v>
      </c>
    </row>
    <row r="167" spans="1:9" ht="28.8" x14ac:dyDescent="0.3">
      <c r="A167" s="23">
        <v>161</v>
      </c>
      <c r="B167" s="23">
        <v>43132</v>
      </c>
      <c r="C167" s="23" t="str">
        <f>VLOOKUP(B167,I!$A:$G,2,FALSE)</f>
        <v>SINAPI</v>
      </c>
      <c r="D167" s="24" t="str">
        <f>VLOOKUP(B167,I!$A:$G,3,FALSE)</f>
        <v>ARAME RECOZIDO 16 BWG, D = 1,65 MM (0,016 KG/M) OU 18 BWG, D = 1,25 MM (0,01 KG/M)</v>
      </c>
      <c r="E167" s="23" t="str">
        <f>VLOOKUP(B167,I!$A:$G,4,FALSE)</f>
        <v>KG</v>
      </c>
      <c r="F167" s="23">
        <f>SUMIF(CPU!M:M,B167,CPU!O:O)+SUMIF(CPUAUX1!M:M,B167,CPUAUX1!O:O)+SUMIF(CPUAUX2!M:M,B167,CPUAUX2!O:O)+SUMIF(CPUAUX3!M:M,B167,CPUAUX3!O:O)+SUMIF(CPUAUX4!M:M,B167,CPUAUX4!O:O)+SUMIF(CPUAUX5!M:M,B167,CPUAUX5!O:O)</f>
        <v>3.8156950000000007</v>
      </c>
      <c r="G167" s="5">
        <f>VLOOKUP(B167,I!$A:$G,5,FALSE)</f>
        <v>21.59</v>
      </c>
      <c r="H167" s="5">
        <f t="shared" si="4"/>
        <v>82.380855050000008</v>
      </c>
      <c r="I167" s="25">
        <f t="shared" si="5"/>
        <v>1.4127447869292012E-4</v>
      </c>
    </row>
    <row r="168" spans="1:9" x14ac:dyDescent="0.3">
      <c r="A168" s="23">
        <v>162</v>
      </c>
      <c r="B168" s="23">
        <v>20247</v>
      </c>
      <c r="C168" s="23" t="str">
        <f>VLOOKUP(B168,I!$A:$G,2,FALSE)</f>
        <v>SINAPI</v>
      </c>
      <c r="D168" s="24" t="str">
        <f>VLOOKUP(B168,I!$A:$G,3,FALSE)</f>
        <v>PREGO DE ACO POLIDO COM CABECA 15 X 15 (1 1/4 X 13)</v>
      </c>
      <c r="E168" s="23" t="str">
        <f>VLOOKUP(B168,I!$A:$G,4,FALSE)</f>
        <v>KG</v>
      </c>
      <c r="F168" s="23">
        <f>SUMIF(CPU!M:M,B168,CPU!O:O)+SUMIF(CPUAUX1!M:M,B168,CPUAUX1!O:O)+SUMIF(CPUAUX2!M:M,B168,CPUAUX2!O:O)+SUMIF(CPUAUX3!M:M,B168,CPUAUX3!O:O)+SUMIF(CPUAUX4!M:M,B168,CPUAUX4!O:O)+SUMIF(CPUAUX5!M:M,B168,CPUAUX5!O:O)</f>
        <v>3.5805000000000007</v>
      </c>
      <c r="G168" s="5">
        <f>VLOOKUP(B168,I!$A:$G,5,FALSE)</f>
        <v>22.53</v>
      </c>
      <c r="H168" s="5">
        <f t="shared" si="4"/>
        <v>80.668665000000018</v>
      </c>
      <c r="I168" s="25">
        <f t="shared" si="5"/>
        <v>1.3833825332125894E-4</v>
      </c>
    </row>
    <row r="169" spans="1:9" ht="28.8" x14ac:dyDescent="0.3">
      <c r="A169" s="23">
        <v>163</v>
      </c>
      <c r="B169" s="23">
        <v>39017</v>
      </c>
      <c r="C169" s="23" t="str">
        <f>VLOOKUP(B169,I!$A:$G,2,FALSE)</f>
        <v>SINAPI</v>
      </c>
      <c r="D169" s="24" t="str">
        <f>VLOOKUP(B169,I!$A:$G,3,FALSE)</f>
        <v>ESPACADOR / DISTANCIADOR CIRCULAR COM ENTRADA LATERAL, EM PLASTICO, PARA VERGALHAO *4,2 A 12,5* MM, COBRIMENTO 20 MM</v>
      </c>
      <c r="E169" s="23" t="str">
        <f>VLOOKUP(B169,I!$A:$G,4,FALSE)</f>
        <v>UN</v>
      </c>
      <c r="F169" s="23">
        <f>SUMIF(CPU!M:M,B169,CPU!O:O)+SUMIF(CPUAUX1!M:M,B169,CPUAUX1!O:O)+SUMIF(CPUAUX2!M:M,B169,CPUAUX2!O:O)+SUMIF(CPUAUX3!M:M,B169,CPUAUX3!O:O)+SUMIF(CPUAUX4!M:M,B169,CPUAUX4!O:O)+SUMIF(CPUAUX5!M:M,B169,CPUAUX5!O:O)</f>
        <v>335.54762900000003</v>
      </c>
      <c r="G169" s="5">
        <f>VLOOKUP(B169,I!$A:$G,5,FALSE)</f>
        <v>0.22</v>
      </c>
      <c r="H169" s="5">
        <f t="shared" si="4"/>
        <v>73.820478380000011</v>
      </c>
      <c r="I169" s="25">
        <f t="shared" si="5"/>
        <v>1.2659433546382547E-4</v>
      </c>
    </row>
    <row r="170" spans="1:9" x14ac:dyDescent="0.3">
      <c r="A170" s="23">
        <v>164</v>
      </c>
      <c r="B170" s="23">
        <v>40331</v>
      </c>
      <c r="C170" s="23" t="str">
        <f>VLOOKUP(B170,I!$A:$G,2,FALSE)</f>
        <v>SINAPI</v>
      </c>
      <c r="D170" s="24" t="str">
        <f>VLOOKUP(B170,I!$A:$G,3,FALSE)</f>
        <v>ASSENTADOR DE MANILHAS (HORISTA)</v>
      </c>
      <c r="E170" s="23" t="str">
        <f>VLOOKUP(B170,I!$A:$G,4,FALSE)</f>
        <v>H</v>
      </c>
      <c r="F170" s="23">
        <f>SUMIF(CPU!M:M,B170,CPU!O:O)+SUMIF(CPUAUX1!M:M,B170,CPUAUX1!O:O)+SUMIF(CPUAUX2!M:M,B170,CPUAUX2!O:O)+SUMIF(CPUAUX3!M:M,B170,CPUAUX3!O:O)+SUMIF(CPUAUX4!M:M,B170,CPUAUX4!O:O)+SUMIF(CPUAUX5!M:M,B170,CPUAUX5!O:O)</f>
        <v>5.1752759999999993</v>
      </c>
      <c r="G170" s="5">
        <f>VLOOKUP(B170,I!$A:$G,5,FALSE)</f>
        <v>13.99</v>
      </c>
      <c r="H170" s="5">
        <f t="shared" si="4"/>
        <v>72.402111239999996</v>
      </c>
      <c r="I170" s="25">
        <f t="shared" si="5"/>
        <v>1.2416198539684628E-4</v>
      </c>
    </row>
    <row r="171" spans="1:9" x14ac:dyDescent="0.3">
      <c r="A171" s="23">
        <v>165</v>
      </c>
      <c r="B171" s="23" t="s">
        <v>1130</v>
      </c>
      <c r="C171" s="23" t="str">
        <f>VLOOKUP(B171,I!$A:$G,2,FALSE)</f>
        <v>SEINFRA</v>
      </c>
      <c r="D171" s="24" t="str">
        <f>VLOOKUP(B171,I!$A:$G,3,FALSE)</f>
        <v>TABUA DE 1" DE 3A. - L = 30cm</v>
      </c>
      <c r="E171" s="23" t="str">
        <f>VLOOKUP(B171,I!$A:$G,4,FALSE)</f>
        <v>M</v>
      </c>
      <c r="F171" s="23">
        <f>SUMIF(CPU!M:M,B171,CPU!O:O)+SUMIF(CPUAUX1!M:M,B171,CPUAUX1!O:O)+SUMIF(CPUAUX2!M:M,B171,CPUAUX2!O:O)+SUMIF(CPUAUX3!M:M,B171,CPUAUX3!O:O)+SUMIF(CPUAUX4!M:M,B171,CPUAUX4!O:O)+SUMIF(CPUAUX5!M:M,B171,CPUAUX5!O:O)</f>
        <v>5.2</v>
      </c>
      <c r="G171" s="5">
        <f>VLOOKUP(B171,I!$A:$G,5,FALSE)</f>
        <v>12.77</v>
      </c>
      <c r="H171" s="5">
        <f t="shared" si="4"/>
        <v>66.403999999999996</v>
      </c>
      <c r="I171" s="25">
        <f t="shared" si="5"/>
        <v>1.1387585716888801E-4</v>
      </c>
    </row>
    <row r="172" spans="1:9" x14ac:dyDescent="0.3">
      <c r="A172" s="23">
        <v>166</v>
      </c>
      <c r="B172" s="23">
        <v>34686</v>
      </c>
      <c r="C172" s="23" t="str">
        <f>VLOOKUP(B172,I!$A:$G,2,FALSE)</f>
        <v>SINAPI</v>
      </c>
      <c r="D172" s="24" t="str">
        <f>VLOOKUP(B172,I!$A:$G,3,FALSE)</f>
        <v>DISJUNTOR TERMOMAGNETICO PARA TRILHO DIN (IEC), MONOPOLAR, 40 - 50 A</v>
      </c>
      <c r="E172" s="23" t="str">
        <f>VLOOKUP(B172,I!$A:$G,4,FALSE)</f>
        <v>UN</v>
      </c>
      <c r="F172" s="23">
        <f>SUMIF(CPU!M:M,B172,CPU!O:O)+SUMIF(CPUAUX1!M:M,B172,CPUAUX1!O:O)+SUMIF(CPUAUX2!M:M,B172,CPUAUX2!O:O)+SUMIF(CPUAUX3!M:M,B172,CPUAUX3!O:O)+SUMIF(CPUAUX4!M:M,B172,CPUAUX4!O:O)+SUMIF(CPUAUX5!M:M,B172,CPUAUX5!O:O)</f>
        <v>5</v>
      </c>
      <c r="G172" s="5">
        <f>VLOOKUP(B172,I!$A:$G,5,FALSE)</f>
        <v>12.35</v>
      </c>
      <c r="H172" s="5">
        <f t="shared" si="4"/>
        <v>61.75</v>
      </c>
      <c r="I172" s="25">
        <f t="shared" si="5"/>
        <v>1.0589473797028545E-4</v>
      </c>
    </row>
    <row r="173" spans="1:9" ht="28.8" x14ac:dyDescent="0.3">
      <c r="A173" s="23">
        <v>167</v>
      </c>
      <c r="B173" s="23">
        <v>416</v>
      </c>
      <c r="C173" s="23" t="str">
        <f>VLOOKUP(B173,I!$A:$G,2,FALSE)</f>
        <v>SINAPI</v>
      </c>
      <c r="D173" s="24" t="str">
        <f>VLOOKUP(B173,I!$A:$G,3,FALSE)</f>
        <v>GRAMPO METALICO TIPO OLHAL PARA HASTE DE ATERRAMENTO DE 3/4", CONDUTOR DE *10* A 50 MM2</v>
      </c>
      <c r="E173" s="23" t="str">
        <f>VLOOKUP(B173,I!$A:$G,4,FALSE)</f>
        <v>UN</v>
      </c>
      <c r="F173" s="23">
        <f>SUMIF(CPU!M:M,B173,CPU!O:O)+SUMIF(CPUAUX1!M:M,B173,CPUAUX1!O:O)+SUMIF(CPUAUX2!M:M,B173,CPUAUX2!O:O)+SUMIF(CPUAUX3!M:M,B173,CPUAUX3!O:O)+SUMIF(CPUAUX4!M:M,B173,CPUAUX4!O:O)+SUMIF(CPUAUX5!M:M,B173,CPUAUX5!O:O)</f>
        <v>5</v>
      </c>
      <c r="G173" s="5">
        <f>VLOOKUP(B173,I!$A:$G,5,FALSE)</f>
        <v>12.1</v>
      </c>
      <c r="H173" s="5">
        <f t="shared" si="4"/>
        <v>60.5</v>
      </c>
      <c r="I173" s="25">
        <f t="shared" si="5"/>
        <v>1.037511197927493E-4</v>
      </c>
    </row>
    <row r="174" spans="1:9" x14ac:dyDescent="0.3">
      <c r="A174" s="23">
        <v>168</v>
      </c>
      <c r="B174" s="23">
        <v>4893</v>
      </c>
      <c r="C174" s="23" t="str">
        <f>VLOOKUP(B174,I!$A:$G,2,FALSE)</f>
        <v>SINAPI</v>
      </c>
      <c r="D174" s="24" t="str">
        <f>VLOOKUP(B174,I!$A:$G,3,FALSE)</f>
        <v>PLUG OU BUJAO DE FERRO GALVANIZADO, DE 1 1/2"</v>
      </c>
      <c r="E174" s="23" t="str">
        <f>VLOOKUP(B174,I!$A:$G,4,FALSE)</f>
        <v>UN</v>
      </c>
      <c r="F174" s="23">
        <f>SUMIF(CPU!M:M,B174,CPU!O:O)+SUMIF(CPUAUX1!M:M,B174,CPUAUX1!O:O)+SUMIF(CPUAUX2!M:M,B174,CPUAUX2!O:O)+SUMIF(CPUAUX3!M:M,B174,CPUAUX3!O:O)+SUMIF(CPUAUX4!M:M,B174,CPUAUX4!O:O)+SUMIF(CPUAUX5!M:M,B174,CPUAUX5!O:O)</f>
        <v>5</v>
      </c>
      <c r="G174" s="5">
        <f>VLOOKUP(B174,I!$A:$G,5,FALSE)</f>
        <v>12.09</v>
      </c>
      <c r="H174" s="5">
        <f t="shared" si="4"/>
        <v>60.45</v>
      </c>
      <c r="I174" s="25">
        <f t="shared" si="5"/>
        <v>1.0366537506564787E-4</v>
      </c>
    </row>
    <row r="175" spans="1:9" x14ac:dyDescent="0.3">
      <c r="A175" s="23">
        <v>169</v>
      </c>
      <c r="B175" s="23">
        <v>43056</v>
      </c>
      <c r="C175" s="23" t="str">
        <f>VLOOKUP(B175,I!$A:$G,2,FALSE)</f>
        <v>SINAPI</v>
      </c>
      <c r="D175" s="24" t="str">
        <f>VLOOKUP(B175,I!$A:$G,3,FALSE)</f>
        <v>ACO CA-50, 20,0 MM OU 25,0 MM, VERGALHAO</v>
      </c>
      <c r="E175" s="23" t="str">
        <f>VLOOKUP(B175,I!$A:$G,4,FALSE)</f>
        <v>KG</v>
      </c>
      <c r="F175" s="23">
        <f>SUMIF(CPU!M:M,B175,CPU!O:O)+SUMIF(CPUAUX1!M:M,B175,CPUAUX1!O:O)+SUMIF(CPUAUX2!M:M,B175,CPUAUX2!O:O)+SUMIF(CPUAUX3!M:M,B175,CPUAUX3!O:O)+SUMIF(CPUAUX4!M:M,B175,CPUAUX4!O:O)+SUMIF(CPUAUX5!M:M,B175,CPUAUX5!O:O)</f>
        <v>7.2921240000000003</v>
      </c>
      <c r="G175" s="5">
        <f>VLOOKUP(B175,I!$A:$G,5,FALSE)</f>
        <v>8.07</v>
      </c>
      <c r="H175" s="5">
        <f t="shared" si="4"/>
        <v>58.847440680000005</v>
      </c>
      <c r="I175" s="25">
        <f t="shared" si="5"/>
        <v>1.009171548345023E-4</v>
      </c>
    </row>
    <row r="176" spans="1:9" x14ac:dyDescent="0.3">
      <c r="A176" s="23">
        <v>170</v>
      </c>
      <c r="B176" s="23">
        <v>3910</v>
      </c>
      <c r="C176" s="23" t="str">
        <f>VLOOKUP(B176,I!$A:$G,2,FALSE)</f>
        <v>SINAPI</v>
      </c>
      <c r="D176" s="24" t="str">
        <f>VLOOKUP(B176,I!$A:$G,3,FALSE)</f>
        <v>LUVA DE FERRO GALVANIZADO, COM ROSCA BSP, DE 1"</v>
      </c>
      <c r="E176" s="23" t="str">
        <f>VLOOKUP(B176,I!$A:$G,4,FALSE)</f>
        <v>UN</v>
      </c>
      <c r="F176" s="23">
        <f>SUMIF(CPU!M:M,B176,CPU!O:O)+SUMIF(CPUAUX1!M:M,B176,CPUAUX1!O:O)+SUMIF(CPUAUX2!M:M,B176,CPUAUX2!O:O)+SUMIF(CPUAUX3!M:M,B176,CPUAUX3!O:O)+SUMIF(CPUAUX4!M:M,B176,CPUAUX4!O:O)+SUMIF(CPUAUX5!M:M,B176,CPUAUX5!O:O)</f>
        <v>5</v>
      </c>
      <c r="G176" s="5">
        <f>VLOOKUP(B176,I!$A:$G,5,FALSE)</f>
        <v>11.49</v>
      </c>
      <c r="H176" s="5">
        <f t="shared" si="4"/>
        <v>57.45</v>
      </c>
      <c r="I176" s="25">
        <f t="shared" si="5"/>
        <v>9.8520691439561123E-5</v>
      </c>
    </row>
    <row r="177" spans="1:9" x14ac:dyDescent="0.3">
      <c r="A177" s="23">
        <v>171</v>
      </c>
      <c r="B177" s="23" t="s">
        <v>1111</v>
      </c>
      <c r="C177" s="23" t="str">
        <f>VLOOKUP(B177,I!$A:$G,2,FALSE)</f>
        <v>ORSE</v>
      </c>
      <c r="D177" s="24" t="str">
        <f>VLOOKUP(B177,I!$A:$G,3,FALSE)</f>
        <v>CESTA BÁSICA</v>
      </c>
      <c r="E177" s="23" t="str">
        <f>VLOOKUP(B177,I!$A:$G,4,FALSE)</f>
        <v>UN</v>
      </c>
      <c r="F177" s="23">
        <f>SUMIF(CPU!M:M,B177,CPU!O:O)+SUMIF(CPUAUX1!M:M,B177,CPUAUX1!O:O)+SUMIF(CPUAUX2!M:M,B177,CPUAUX2!O:O)+SUMIF(CPUAUX3!M:M,B177,CPUAUX3!O:O)+SUMIF(CPUAUX4!M:M,B177,CPUAUX4!O:O)+SUMIF(CPUAUX5!M:M,B177,CPUAUX5!O:O)</f>
        <v>0.27411749999999996</v>
      </c>
      <c r="G177" s="5">
        <f>VLOOKUP(B177,I!$A:$G,5,FALSE)</f>
        <v>205</v>
      </c>
      <c r="H177" s="5">
        <f t="shared" si="4"/>
        <v>56.194087499999995</v>
      </c>
      <c r="I177" s="25">
        <f t="shared" si="5"/>
        <v>9.6366933948045222E-5</v>
      </c>
    </row>
    <row r="178" spans="1:9" x14ac:dyDescent="0.3">
      <c r="A178" s="23">
        <v>172</v>
      </c>
      <c r="B178" s="23">
        <v>2705</v>
      </c>
      <c r="C178" s="23" t="str">
        <f>VLOOKUP(B178,I!$A:$G,2,FALSE)</f>
        <v>SINAPI</v>
      </c>
      <c r="D178" s="24" t="str">
        <f>VLOOKUP(B178,I!$A:$G,3,FALSE)</f>
        <v>ENERGIA ELETRICA ATE 2000 KWH INDUSTRIAL, SEM DEMANDA</v>
      </c>
      <c r="E178" s="23" t="str">
        <f>VLOOKUP(B178,I!$A:$G,4,FALSE)</f>
        <v>KWH</v>
      </c>
      <c r="F178" s="23">
        <f>SUMIF(CPU!M:M,B178,CPU!O:O)+SUMIF(CPUAUX1!M:M,B178,CPUAUX1!O:O)+SUMIF(CPUAUX2!M:M,B178,CPUAUX2!O:O)+SUMIF(CPUAUX3!M:M,B178,CPUAUX3!O:O)+SUMIF(CPUAUX4!M:M,B178,CPUAUX4!O:O)+SUMIF(CPUAUX5!M:M,B178,CPUAUX5!O:O)</f>
        <v>47.443444735143999</v>
      </c>
      <c r="G178" s="5">
        <f>VLOOKUP(B178,I!$A:$G,5,FALSE)</f>
        <v>1.1000000000000001</v>
      </c>
      <c r="H178" s="5">
        <f t="shared" si="4"/>
        <v>52.187789208658401</v>
      </c>
      <c r="I178" s="25">
        <f t="shared" si="5"/>
        <v>8.9496554874483761E-5</v>
      </c>
    </row>
    <row r="179" spans="1:9" x14ac:dyDescent="0.3">
      <c r="A179" s="23">
        <v>173</v>
      </c>
      <c r="B179" s="23">
        <v>39027</v>
      </c>
      <c r="C179" s="23" t="str">
        <f>VLOOKUP(B179,I!$A:$G,2,FALSE)</f>
        <v>SINAPI</v>
      </c>
      <c r="D179" s="24" t="str">
        <f>VLOOKUP(B179,I!$A:$G,3,FALSE)</f>
        <v>PREGO DE ACO POLIDO COM CABECA 19 X 36 (3 1/4 X 9)</v>
      </c>
      <c r="E179" s="23" t="str">
        <f>VLOOKUP(B179,I!$A:$G,4,FALSE)</f>
        <v>KG</v>
      </c>
      <c r="F179" s="23">
        <f>SUMIF(CPU!M:M,B179,CPU!O:O)+SUMIF(CPUAUX1!M:M,B179,CPUAUX1!O:O)+SUMIF(CPUAUX2!M:M,B179,CPUAUX2!O:O)+SUMIF(CPUAUX3!M:M,B179,CPUAUX3!O:O)+SUMIF(CPUAUX4!M:M,B179,CPUAUX4!O:O)+SUMIF(CPUAUX5!M:M,B179,CPUAUX5!O:O)</f>
        <v>2.5575000000000006</v>
      </c>
      <c r="G179" s="5">
        <f>VLOOKUP(B179,I!$A:$G,5,FALSE)</f>
        <v>20.32</v>
      </c>
      <c r="H179" s="5">
        <f t="shared" si="4"/>
        <v>51.96840000000001</v>
      </c>
      <c r="I179" s="25">
        <f t="shared" si="5"/>
        <v>8.9120325517975436E-5</v>
      </c>
    </row>
    <row r="180" spans="1:9" x14ac:dyDescent="0.3">
      <c r="A180" s="23">
        <v>174</v>
      </c>
      <c r="B180" s="23">
        <v>38101</v>
      </c>
      <c r="C180" s="23" t="str">
        <f>VLOOKUP(B180,I!$A:$G,2,FALSE)</f>
        <v>SINAPI</v>
      </c>
      <c r="D180" s="24" t="str">
        <f>VLOOKUP(B180,I!$A:$G,3,FALSE)</f>
        <v>TOMADA 2P+T 10A, 250V (APENAS MODULO)</v>
      </c>
      <c r="E180" s="23" t="str">
        <f>VLOOKUP(B180,I!$A:$G,4,FALSE)</f>
        <v>UN</v>
      </c>
      <c r="F180" s="23">
        <f>SUMIF(CPU!M:M,B180,CPU!O:O)+SUMIF(CPUAUX1!M:M,B180,CPUAUX1!O:O)+SUMIF(CPUAUX2!M:M,B180,CPUAUX2!O:O)+SUMIF(CPUAUX3!M:M,B180,CPUAUX3!O:O)+SUMIF(CPUAUX4!M:M,B180,CPUAUX4!O:O)+SUMIF(CPUAUX5!M:M,B180,CPUAUX5!O:O)</f>
        <v>5</v>
      </c>
      <c r="G180" s="5">
        <f>VLOOKUP(B180,I!$A:$G,5,FALSE)</f>
        <v>9.2799999999999994</v>
      </c>
      <c r="H180" s="5">
        <f t="shared" si="4"/>
        <v>46.4</v>
      </c>
      <c r="I180" s="25">
        <f t="shared" si="5"/>
        <v>7.9571106750141618E-5</v>
      </c>
    </row>
    <row r="181" spans="1:9" x14ac:dyDescent="0.3">
      <c r="A181" s="23">
        <v>175</v>
      </c>
      <c r="B181" s="23" t="s">
        <v>1049</v>
      </c>
      <c r="C181" s="23" t="str">
        <f>VLOOKUP(B181,I!$A:$G,2,FALSE)</f>
        <v>ORSE</v>
      </c>
      <c r="D181" s="24" t="str">
        <f>VLOOKUP(B181,I!$A:$G,3,FALSE)</f>
        <v>LUVA PVC RIGIDO ROSCAVEL D=1 "</v>
      </c>
      <c r="E181" s="23" t="str">
        <f>VLOOKUP(B181,I!$A:$G,4,FALSE)</f>
        <v>UN</v>
      </c>
      <c r="F181" s="23">
        <f>SUMIF(CPU!M:M,B181,CPU!O:O)+SUMIF(CPUAUX1!M:M,B181,CPUAUX1!O:O)+SUMIF(CPUAUX2!M:M,B181,CPUAUX2!O:O)+SUMIF(CPUAUX3!M:M,B181,CPUAUX3!O:O)+SUMIF(CPUAUX4!M:M,B181,CPUAUX4!O:O)+SUMIF(CPUAUX5!M:M,B181,CPUAUX5!O:O)</f>
        <v>10</v>
      </c>
      <c r="G181" s="5">
        <f>VLOOKUP(B181,I!$A:$G,5,FALSE)</f>
        <v>4.3899999999999997</v>
      </c>
      <c r="H181" s="5">
        <f t="shared" si="4"/>
        <v>43.9</v>
      </c>
      <c r="I181" s="25">
        <f t="shared" si="5"/>
        <v>7.5283870395069323E-5</v>
      </c>
    </row>
    <row r="182" spans="1:9" x14ac:dyDescent="0.3">
      <c r="A182" s="23">
        <v>176</v>
      </c>
      <c r="B182" s="23">
        <v>32</v>
      </c>
      <c r="C182" s="23" t="str">
        <f>VLOOKUP(B182,I!$A:$G,2,FALSE)</f>
        <v>SINAPI</v>
      </c>
      <c r="D182" s="24" t="str">
        <f>VLOOKUP(B182,I!$A:$G,3,FALSE)</f>
        <v>ACO CA-50, 6,3 MM, VERGALHAO</v>
      </c>
      <c r="E182" s="23" t="str">
        <f>VLOOKUP(B182,I!$A:$G,4,FALSE)</f>
        <v>KG</v>
      </c>
      <c r="F182" s="23">
        <f>SUMIF(CPU!M:M,B182,CPU!O:O)+SUMIF(CPUAUX1!M:M,B182,CPUAUX1!O:O)+SUMIF(CPUAUX2!M:M,B182,CPUAUX2!O:O)+SUMIF(CPUAUX3!M:M,B182,CPUAUX3!O:O)+SUMIF(CPUAUX4!M:M,B182,CPUAUX4!O:O)+SUMIF(CPUAUX5!M:M,B182,CPUAUX5!O:O)</f>
        <v>4.8512729999999999</v>
      </c>
      <c r="G182" s="5">
        <f>VLOOKUP(B182,I!$A:$G,5,FALSE)</f>
        <v>8.52</v>
      </c>
      <c r="H182" s="5">
        <f t="shared" si="4"/>
        <v>41.33284596</v>
      </c>
      <c r="I182" s="25">
        <f t="shared" si="5"/>
        <v>7.0881471943325851E-5</v>
      </c>
    </row>
    <row r="183" spans="1:9" x14ac:dyDescent="0.3">
      <c r="A183" s="23">
        <v>177</v>
      </c>
      <c r="B183" s="23">
        <v>38112</v>
      </c>
      <c r="C183" s="23" t="str">
        <f>VLOOKUP(B183,I!$A:$G,2,FALSE)</f>
        <v>SINAPI</v>
      </c>
      <c r="D183" s="24" t="str">
        <f>VLOOKUP(B183,I!$A:$G,3,FALSE)</f>
        <v>INTERRUPTOR SIMPLES 10A, 250V (APENAS MODULO)</v>
      </c>
      <c r="E183" s="23" t="str">
        <f>VLOOKUP(B183,I!$A:$G,4,FALSE)</f>
        <v>UN</v>
      </c>
      <c r="F183" s="23">
        <f>SUMIF(CPU!M:M,B183,CPU!O:O)+SUMIF(CPUAUX1!M:M,B183,CPUAUX1!O:O)+SUMIF(CPUAUX2!M:M,B183,CPUAUX2!O:O)+SUMIF(CPUAUX3!M:M,B183,CPUAUX3!O:O)+SUMIF(CPUAUX4!M:M,B183,CPUAUX4!O:O)+SUMIF(CPUAUX5!M:M,B183,CPUAUX5!O:O)</f>
        <v>5</v>
      </c>
      <c r="G183" s="5">
        <f>VLOOKUP(B183,I!$A:$G,5,FALSE)</f>
        <v>8.16</v>
      </c>
      <c r="H183" s="5">
        <f t="shared" si="4"/>
        <v>40.799999999999997</v>
      </c>
      <c r="I183" s="25">
        <f t="shared" si="5"/>
        <v>6.9967697314779692E-5</v>
      </c>
    </row>
    <row r="184" spans="1:9" x14ac:dyDescent="0.3">
      <c r="A184" s="23">
        <v>178</v>
      </c>
      <c r="B184" s="23">
        <v>43059</v>
      </c>
      <c r="C184" s="23" t="str">
        <f>VLOOKUP(B184,I!$A:$G,2,FALSE)</f>
        <v>SINAPI</v>
      </c>
      <c r="D184" s="24" t="str">
        <f>VLOOKUP(B184,I!$A:$G,3,FALSE)</f>
        <v>ACO CA-60, 4,2 MM, OU 5,0 MM, OU 6,0 MM, OU 7,0 MM, VERGALHAO</v>
      </c>
      <c r="E184" s="23" t="str">
        <f>VLOOKUP(B184,I!$A:$G,4,FALSE)</f>
        <v>KG</v>
      </c>
      <c r="F184" s="23">
        <f>SUMIF(CPU!M:M,B184,CPU!O:O)+SUMIF(CPUAUX1!M:M,B184,CPUAUX1!O:O)+SUMIF(CPUAUX2!M:M,B184,CPUAUX2!O:O)+SUMIF(CPUAUX3!M:M,B184,CPUAUX3!O:O)+SUMIF(CPUAUX4!M:M,B184,CPUAUX4!O:O)+SUMIF(CPUAUX5!M:M,B184,CPUAUX5!O:O)</f>
        <v>4.7522445000000024</v>
      </c>
      <c r="G184" s="5">
        <f>VLOOKUP(B184,I!$A:$G,5,FALSE)</f>
        <v>7.65</v>
      </c>
      <c r="H184" s="5">
        <f t="shared" si="4"/>
        <v>36.354670425000023</v>
      </c>
      <c r="I184" s="25">
        <f t="shared" si="5"/>
        <v>6.2344425889092532E-5</v>
      </c>
    </row>
    <row r="185" spans="1:9" x14ac:dyDescent="0.3">
      <c r="A185" s="23">
        <v>179</v>
      </c>
      <c r="B185" s="23">
        <v>108</v>
      </c>
      <c r="C185" s="23" t="str">
        <f>VLOOKUP(B185,I!$A:$G,2,FALSE)</f>
        <v>SINAPI</v>
      </c>
      <c r="D185" s="24" t="str">
        <f>VLOOKUP(B185,I!$A:$G,3,FALSE)</f>
        <v>ADAPTADOR PVC SOLDAVEL CURTO COM BOLSA E ROSCA, 32 MM X 1", PARA AGUA FRIA</v>
      </c>
      <c r="E185" s="23" t="str">
        <f>VLOOKUP(B185,I!$A:$G,4,FALSE)</f>
        <v>UN</v>
      </c>
      <c r="F185" s="23">
        <f>SUMIF(CPU!M:M,B185,CPU!O:O)+SUMIF(CPUAUX1!M:M,B185,CPUAUX1!O:O)+SUMIF(CPUAUX2!M:M,B185,CPUAUX2!O:O)+SUMIF(CPUAUX3!M:M,B185,CPUAUX3!O:O)+SUMIF(CPUAUX4!M:M,B185,CPUAUX4!O:O)+SUMIF(CPUAUX5!M:M,B185,CPUAUX5!O:O)</f>
        <v>20</v>
      </c>
      <c r="G185" s="5">
        <f>VLOOKUP(B185,I!$A:$G,5,FALSE)</f>
        <v>1.79</v>
      </c>
      <c r="H185" s="5">
        <f t="shared" si="4"/>
        <v>35.799999999999997</v>
      </c>
      <c r="I185" s="25">
        <f t="shared" si="5"/>
        <v>6.1393224604635116E-5</v>
      </c>
    </row>
    <row r="186" spans="1:9" x14ac:dyDescent="0.3">
      <c r="A186" s="23">
        <v>180</v>
      </c>
      <c r="B186" s="23">
        <v>40568</v>
      </c>
      <c r="C186" s="23" t="str">
        <f>VLOOKUP(B186,I!$A:$G,2,FALSE)</f>
        <v>SINAPI</v>
      </c>
      <c r="D186" s="24" t="str">
        <f>VLOOKUP(B186,I!$A:$G,3,FALSE)</f>
        <v>PREGO DE ACO POLIDO COM CABECA 22 X 48 (4 1/4 X 5)</v>
      </c>
      <c r="E186" s="23" t="str">
        <f>VLOOKUP(B186,I!$A:$G,4,FALSE)</f>
        <v>KG</v>
      </c>
      <c r="F186" s="23">
        <f>SUMIF(CPU!M:M,B186,CPU!O:O)+SUMIF(CPUAUX1!M:M,B186,CPUAUX1!O:O)+SUMIF(CPUAUX2!M:M,B186,CPUAUX2!O:O)+SUMIF(CPUAUX3!M:M,B186,CPUAUX3!O:O)+SUMIF(CPUAUX4!M:M,B186,CPUAUX4!O:O)+SUMIF(CPUAUX5!M:M,B186,CPUAUX5!O:O)</f>
        <v>1.5345000000000002</v>
      </c>
      <c r="G186" s="5">
        <f>VLOOKUP(B186,I!$A:$G,5,FALSE)</f>
        <v>20.5</v>
      </c>
      <c r="H186" s="5">
        <f t="shared" si="4"/>
        <v>31.457250000000005</v>
      </c>
      <c r="I186" s="25">
        <f t="shared" si="5"/>
        <v>5.3945866332239066E-5</v>
      </c>
    </row>
    <row r="187" spans="1:9" ht="28.8" x14ac:dyDescent="0.3">
      <c r="A187" s="23">
        <v>181</v>
      </c>
      <c r="B187" s="23">
        <v>10535</v>
      </c>
      <c r="C187" s="23" t="str">
        <f>VLOOKUP(B187,I!$A:$G,2,FALSE)</f>
        <v>SINAPI</v>
      </c>
      <c r="D187" s="24" t="str">
        <f>VLOOKUP(B187,I!$A:$G,3,FALSE)</f>
        <v>BETONEIRA CAPACIDADE NOMINAL 400 L, CAPACIDADE DE MISTURA 280 L, MOTOR ELETRICO TRIFASICO 220/380 V POTENCIA 2 CV, SEM CARREGADOR</v>
      </c>
      <c r="E187" s="23" t="str">
        <f>VLOOKUP(B187,I!$A:$G,4,FALSE)</f>
        <v>UN</v>
      </c>
      <c r="F187" s="23">
        <f>SUMIF(CPU!M:M,B187,CPU!O:O)+SUMIF(CPUAUX1!M:M,B187,CPUAUX1!O:O)+SUMIF(CPUAUX2!M:M,B187,CPUAUX2!O:O)+SUMIF(CPUAUX3!M:M,B187,CPUAUX3!O:O)+SUMIF(CPUAUX4!M:M,B187,CPUAUX4!O:O)+SUMIF(CPUAUX5!M:M,B187,CPUAUX5!O:O)</f>
        <v>4.8730068146400005E-3</v>
      </c>
      <c r="G187" s="5">
        <f>VLOOKUP(B187,I!$A:$G,5,FALSE)</f>
        <v>6439.62</v>
      </c>
      <c r="H187" s="5">
        <f t="shared" si="4"/>
        <v>31.380312143692038</v>
      </c>
      <c r="I187" s="25">
        <f t="shared" si="5"/>
        <v>5.3813926022381132E-5</v>
      </c>
    </row>
    <row r="188" spans="1:9" ht="28.8" x14ac:dyDescent="0.3">
      <c r="A188" s="23">
        <v>182</v>
      </c>
      <c r="B188" s="23">
        <v>110</v>
      </c>
      <c r="C188" s="23" t="str">
        <f>VLOOKUP(B188,I!$A:$G,2,FALSE)</f>
        <v>SINAPI</v>
      </c>
      <c r="D188" s="24" t="str">
        <f>VLOOKUP(B188,I!$A:$G,3,FALSE)</f>
        <v>ADAPTADOR PVC SOLDAVEL CURTO COM BOLSA E ROSCA, 40 MM X 1 1/2", PARA AGUA FRIA</v>
      </c>
      <c r="E188" s="23" t="str">
        <f>VLOOKUP(B188,I!$A:$G,4,FALSE)</f>
        <v>UN</v>
      </c>
      <c r="F188" s="23">
        <f>SUMIF(CPU!M:M,B188,CPU!O:O)+SUMIF(CPUAUX1!M:M,B188,CPUAUX1!O:O)+SUMIF(CPUAUX2!M:M,B188,CPUAUX2!O:O)+SUMIF(CPUAUX3!M:M,B188,CPUAUX3!O:O)+SUMIF(CPUAUX4!M:M,B188,CPUAUX4!O:O)+SUMIF(CPUAUX5!M:M,B188,CPUAUX5!O:O)</f>
        <v>5</v>
      </c>
      <c r="G188" s="5">
        <f>VLOOKUP(B188,I!$A:$G,5,FALSE)</f>
        <v>6.22</v>
      </c>
      <c r="H188" s="5">
        <f t="shared" si="4"/>
        <v>31.099999999999998</v>
      </c>
      <c r="I188" s="25">
        <f t="shared" si="5"/>
        <v>5.3333220257099227E-5</v>
      </c>
    </row>
    <row r="189" spans="1:9" x14ac:dyDescent="0.3">
      <c r="A189" s="23">
        <v>183</v>
      </c>
      <c r="B189" s="23" t="s">
        <v>1115</v>
      </c>
      <c r="C189" s="23" t="str">
        <f>VLOOKUP(B189,I!$A:$G,2,FALSE)</f>
        <v>ORSE</v>
      </c>
      <c r="D189" s="24" t="str">
        <f>VLOOKUP(B189,I!$A:$G,3,FALSE)</f>
        <v>REFEIÇÃO - CAFÉ DA MANHÃ ( CAFÉ COM LEITE E DOIS PÃES COM MANTEIGA)</v>
      </c>
      <c r="E189" s="23" t="str">
        <f>VLOOKUP(B189,I!$A:$G,4,FALSE)</f>
        <v>UN</v>
      </c>
      <c r="F189" s="23">
        <f>SUMIF(CPU!M:M,B189,CPU!O:O)+SUMIF(CPUAUX1!M:M,B189,CPUAUX1!O:O)+SUMIF(CPUAUX2!M:M,B189,CPUAUX2!O:O)+SUMIF(CPUAUX3!M:M,B189,CPUAUX3!O:O)+SUMIF(CPUAUX4!M:M,B189,CPUAUX4!O:O)+SUMIF(CPUAUX5!M:M,B189,CPUAUX5!O:O)</f>
        <v>6.2011469999999989</v>
      </c>
      <c r="G189" s="5">
        <f>VLOOKUP(B189,I!$A:$G,5,FALSE)</f>
        <v>5</v>
      </c>
      <c r="H189" s="5">
        <f t="shared" si="4"/>
        <v>31.005734999999994</v>
      </c>
      <c r="I189" s="25">
        <f t="shared" si="5"/>
        <v>5.3171565723094865E-5</v>
      </c>
    </row>
    <row r="190" spans="1:9" x14ac:dyDescent="0.3">
      <c r="A190" s="23">
        <v>184</v>
      </c>
      <c r="B190" s="23">
        <v>39276</v>
      </c>
      <c r="C190" s="23" t="str">
        <f>VLOOKUP(B190,I!$A:$G,2,FALSE)</f>
        <v>SINAPI</v>
      </c>
      <c r="D190" s="24" t="str">
        <f>VLOOKUP(B190,I!$A:$G,3,FALSE)</f>
        <v>CURVA 180 GRAUS, DE PVC RIGIDO ROSCAVEL, DE 1", PARA ELETRODUTO</v>
      </c>
      <c r="E190" s="23" t="str">
        <f>VLOOKUP(B190,I!$A:$G,4,FALSE)</f>
        <v>UN</v>
      </c>
      <c r="F190" s="23">
        <f>SUMIF(CPU!M:M,B190,CPU!O:O)+SUMIF(CPUAUX1!M:M,B190,CPUAUX1!O:O)+SUMIF(CPUAUX2!M:M,B190,CPUAUX2!O:O)+SUMIF(CPUAUX3!M:M,B190,CPUAUX3!O:O)+SUMIF(CPUAUX4!M:M,B190,CPUAUX4!O:O)+SUMIF(CPUAUX5!M:M,B190,CPUAUX5!O:O)</f>
        <v>5</v>
      </c>
      <c r="G190" s="5">
        <f>VLOOKUP(B190,I!$A:$G,5,FALSE)</f>
        <v>5.9</v>
      </c>
      <c r="H190" s="5">
        <f t="shared" si="4"/>
        <v>29.5</v>
      </c>
      <c r="I190" s="25">
        <f t="shared" si="5"/>
        <v>5.0589388989852969E-5</v>
      </c>
    </row>
    <row r="191" spans="1:9" x14ac:dyDescent="0.3">
      <c r="A191" s="23">
        <v>185</v>
      </c>
      <c r="B191" s="23">
        <v>37395</v>
      </c>
      <c r="C191" s="23" t="str">
        <f>VLOOKUP(B191,I!$A:$G,2,FALSE)</f>
        <v>SINAPI</v>
      </c>
      <c r="D191" s="24" t="str">
        <f>VLOOKUP(B191,I!$A:$G,3,FALSE)</f>
        <v>PINO DE ACO COM FURO, HASTE = 27 MM (ACAO DIRETA)</v>
      </c>
      <c r="E191" s="23" t="str">
        <f>VLOOKUP(B191,I!$A:$G,4,FALSE)</f>
        <v>CENTO</v>
      </c>
      <c r="F191" s="23">
        <f>SUMIF(CPU!M:M,B191,CPU!O:O)+SUMIF(CPUAUX1!M:M,B191,CPUAUX1!O:O)+SUMIF(CPUAUX2!M:M,B191,CPUAUX2!O:O)+SUMIF(CPUAUX3!M:M,B191,CPUAUX3!O:O)+SUMIF(CPUAUX4!M:M,B191,CPUAUX4!O:O)+SUMIF(CPUAUX5!M:M,B191,CPUAUX5!O:O)</f>
        <v>0.64873000000000014</v>
      </c>
      <c r="G191" s="5">
        <f>VLOOKUP(B191,I!$A:$G,5,FALSE)</f>
        <v>44.82</v>
      </c>
      <c r="H191" s="5">
        <f t="shared" si="4"/>
        <v>29.076078600000006</v>
      </c>
      <c r="I191" s="25">
        <f t="shared" si="5"/>
        <v>4.9862408494743719E-5</v>
      </c>
    </row>
    <row r="192" spans="1:9" x14ac:dyDescent="0.3">
      <c r="A192" s="23">
        <v>186</v>
      </c>
      <c r="B192" s="23">
        <v>2689</v>
      </c>
      <c r="C192" s="23" t="str">
        <f>VLOOKUP(B192,I!$A:$G,2,FALSE)</f>
        <v>SINAPI</v>
      </c>
      <c r="D192" s="24" t="str">
        <f>VLOOKUP(B192,I!$A:$G,3,FALSE)</f>
        <v>ELETRODUTO PVC FLEXIVEL CORRUGADO, COR AMARELA, DE 20 MM</v>
      </c>
      <c r="E192" s="23" t="str">
        <f>VLOOKUP(B192,I!$A:$G,4,FALSE)</f>
        <v>M</v>
      </c>
      <c r="F192" s="23">
        <f>SUMIF(CPU!M:M,B192,CPU!O:O)+SUMIF(CPUAUX1!M:M,B192,CPUAUX1!O:O)+SUMIF(CPUAUX2!M:M,B192,CPUAUX2!O:O)+SUMIF(CPUAUX3!M:M,B192,CPUAUX3!O:O)+SUMIF(CPUAUX4!M:M,B192,CPUAUX4!O:O)+SUMIF(CPUAUX5!M:M,B192,CPUAUX5!O:O)</f>
        <v>11.186999999999999</v>
      </c>
      <c r="G192" s="5">
        <f>VLOOKUP(B192,I!$A:$G,5,FALSE)</f>
        <v>2.5099999999999998</v>
      </c>
      <c r="H192" s="5">
        <f t="shared" si="4"/>
        <v>28.079369999999997</v>
      </c>
      <c r="I192" s="25">
        <f t="shared" si="5"/>
        <v>4.8153158356610429E-5</v>
      </c>
    </row>
    <row r="193" spans="1:9" x14ac:dyDescent="0.3">
      <c r="A193" s="23">
        <v>187</v>
      </c>
      <c r="B193" s="23">
        <v>5069</v>
      </c>
      <c r="C193" s="23" t="str">
        <f>VLOOKUP(B193,I!$A:$G,2,FALSE)</f>
        <v>SINAPI</v>
      </c>
      <c r="D193" s="24" t="str">
        <f>VLOOKUP(B193,I!$A:$G,3,FALSE)</f>
        <v>PREGO DE ACO POLIDO COM CABECA 17 X 27 (2 1/2 X 11)</v>
      </c>
      <c r="E193" s="23" t="str">
        <f>VLOOKUP(B193,I!$A:$G,4,FALSE)</f>
        <v>KG</v>
      </c>
      <c r="F193" s="23">
        <f>SUMIF(CPU!M:M,B193,CPU!O:O)+SUMIF(CPUAUX1!M:M,B193,CPUAUX1!O:O)+SUMIF(CPUAUX2!M:M,B193,CPUAUX2!O:O)+SUMIF(CPUAUX3!M:M,B193,CPUAUX3!O:O)+SUMIF(CPUAUX4!M:M,B193,CPUAUX4!O:O)+SUMIF(CPUAUX5!M:M,B193,CPUAUX5!O:O)</f>
        <v>1.3</v>
      </c>
      <c r="G193" s="5">
        <f>VLOOKUP(B193,I!$A:$G,5,FALSE)</f>
        <v>20.74</v>
      </c>
      <c r="H193" s="5">
        <f t="shared" si="4"/>
        <v>26.962</v>
      </c>
      <c r="I193" s="25">
        <f t="shared" si="5"/>
        <v>4.6236986642183585E-5</v>
      </c>
    </row>
    <row r="194" spans="1:9" x14ac:dyDescent="0.3">
      <c r="A194" s="23">
        <v>188</v>
      </c>
      <c r="B194" s="23" t="s">
        <v>1122</v>
      </c>
      <c r="C194" s="23" t="str">
        <f>VLOOKUP(B194,I!$A:$G,2,FALSE)</f>
        <v>SEINFRA</v>
      </c>
      <c r="D194" s="24" t="str">
        <f>VLOOKUP(B194,I!$A:$G,3,FALSE)</f>
        <v>BETONEIRA ELÉTRICA 580L (CHP)</v>
      </c>
      <c r="E194" s="23" t="str">
        <f>VLOOKUP(B194,I!$A:$G,4,FALSE)</f>
        <v>H</v>
      </c>
      <c r="F194" s="23">
        <f>SUMIF(CPU!M:M,B194,CPU!O:O)+SUMIF(CPUAUX1!M:M,B194,CPUAUX1!O:O)+SUMIF(CPUAUX2!M:M,B194,CPUAUX2!O:O)+SUMIF(CPUAUX3!M:M,B194,CPUAUX3!O:O)+SUMIF(CPUAUX4!M:M,B194,CPUAUX4!O:O)+SUMIF(CPUAUX5!M:M,B194,CPUAUX5!O:O)</f>
        <v>0.92820000000000003</v>
      </c>
      <c r="G194" s="5">
        <f>VLOOKUP(B194,I!$A:$G,5,FALSE)</f>
        <v>27.6</v>
      </c>
      <c r="H194" s="5">
        <f t="shared" si="4"/>
        <v>25.618320000000001</v>
      </c>
      <c r="I194" s="25">
        <f t="shared" si="5"/>
        <v>4.3932717143950173E-5</v>
      </c>
    </row>
    <row r="195" spans="1:9" x14ac:dyDescent="0.3">
      <c r="A195" s="23">
        <v>189</v>
      </c>
      <c r="B195" s="23">
        <v>38194</v>
      </c>
      <c r="C195" s="23" t="str">
        <f>VLOOKUP(B195,I!$A:$G,2,FALSE)</f>
        <v>SINAPI</v>
      </c>
      <c r="D195" s="24" t="str">
        <f>VLOOKUP(B195,I!$A:$G,3,FALSE)</f>
        <v>LAMPADA LED 10 W BIVOLT BRANCA, FORMATO TRADICIONAL (BASE E27)</v>
      </c>
      <c r="E195" s="23" t="str">
        <f>VLOOKUP(B195,I!$A:$G,4,FALSE)</f>
        <v>UN</v>
      </c>
      <c r="F195" s="23">
        <f>SUMIF(CPU!M:M,B195,CPU!O:O)+SUMIF(CPUAUX1!M:M,B195,CPUAUX1!O:O)+SUMIF(CPUAUX2!M:M,B195,CPUAUX2!O:O)+SUMIF(CPUAUX3!M:M,B195,CPUAUX3!O:O)+SUMIF(CPUAUX4!M:M,B195,CPUAUX4!O:O)+SUMIF(CPUAUX5!M:M,B195,CPUAUX5!O:O)</f>
        <v>5</v>
      </c>
      <c r="G195" s="5">
        <f>VLOOKUP(B195,I!$A:$G,5,FALSE)</f>
        <v>5.08</v>
      </c>
      <c r="H195" s="5">
        <f t="shared" si="4"/>
        <v>25.4</v>
      </c>
      <c r="I195" s="25">
        <f t="shared" si="5"/>
        <v>4.3558321367534416E-5</v>
      </c>
    </row>
    <row r="196" spans="1:9" ht="28.8" x14ac:dyDescent="0.3">
      <c r="A196" s="23">
        <v>190</v>
      </c>
      <c r="B196" s="23">
        <v>34547</v>
      </c>
      <c r="C196" s="23" t="str">
        <f>VLOOKUP(B196,I!$A:$G,2,FALSE)</f>
        <v>SINAPI</v>
      </c>
      <c r="D196" s="24" t="str">
        <f>VLOOKUP(B196,I!$A:$G,3,FALSE)</f>
        <v>TELA DE ACO SOLDADA GALVANIZADA/ZINCADA PARA ALVENARIA, FIO D = *1,20 A 1,70* MM, MALHA 15 X 15 MM, (C X L) *50 X 12* CM</v>
      </c>
      <c r="E196" s="23" t="str">
        <f>VLOOKUP(B196,I!$A:$G,4,FALSE)</f>
        <v>M</v>
      </c>
      <c r="F196" s="23">
        <f>SUMIF(CPU!M:M,B196,CPU!O:O)+SUMIF(CPUAUX1!M:M,B196,CPUAUX1!O:O)+SUMIF(CPUAUX2!M:M,B196,CPUAUX2!O:O)+SUMIF(CPUAUX3!M:M,B196,CPUAUX3!O:O)+SUMIF(CPUAUX4!M:M,B196,CPUAUX4!O:O)+SUMIF(CPUAUX5!M:M,B196,CPUAUX5!O:O)</f>
        <v>6.9230000000000018</v>
      </c>
      <c r="G196" s="5">
        <f>VLOOKUP(B196,I!$A:$G,5,FALSE)</f>
        <v>3.66</v>
      </c>
      <c r="H196" s="5">
        <f t="shared" si="4"/>
        <v>25.338180000000008</v>
      </c>
      <c r="I196" s="25">
        <f t="shared" si="5"/>
        <v>4.3452306586946209E-5</v>
      </c>
    </row>
    <row r="197" spans="1:9" ht="28.8" x14ac:dyDescent="0.3">
      <c r="A197" s="23">
        <v>191</v>
      </c>
      <c r="B197" s="23">
        <v>43463</v>
      </c>
      <c r="C197" s="23" t="str">
        <f>VLOOKUP(B197,I!$A:$G,2,FALSE)</f>
        <v>SINAPI</v>
      </c>
      <c r="D197" s="24" t="str">
        <f>VLOOKUP(B197,I!$A:$G,3,FALSE)</f>
        <v>FERRAMENTAS - FAMILIA ENCARREGADO GERAL - HORISTA (ENCARGOS COMPLEMENTARES - COLETADO CAIXA)</v>
      </c>
      <c r="E197" s="23" t="str">
        <f>VLOOKUP(B197,I!$A:$G,4,FALSE)</f>
        <v>H</v>
      </c>
      <c r="F197" s="23">
        <f>SUMIF(CPU!M:M,B197,CPU!O:O)+SUMIF(CPUAUX1!M:M,B197,CPUAUX1!O:O)+SUMIF(CPUAUX2!M:M,B197,CPUAUX2!O:O)+SUMIF(CPUAUX3!M:M,B197,CPUAUX3!O:O)+SUMIF(CPUAUX4!M:M,B197,CPUAUX4!O:O)+SUMIF(CPUAUX5!M:M,B197,CPUAUX5!O:O)</f>
        <v>300</v>
      </c>
      <c r="G197" s="5">
        <f>VLOOKUP(B197,I!$A:$G,5,FALSE)</f>
        <v>0.08</v>
      </c>
      <c r="H197" s="5">
        <f t="shared" si="4"/>
        <v>24</v>
      </c>
      <c r="I197" s="25">
        <f t="shared" si="5"/>
        <v>4.1157469008693942E-5</v>
      </c>
    </row>
    <row r="198" spans="1:9" x14ac:dyDescent="0.3">
      <c r="A198" s="23">
        <v>192</v>
      </c>
      <c r="B198" s="23">
        <v>3148</v>
      </c>
      <c r="C198" s="23" t="str">
        <f>VLOOKUP(B198,I!$A:$G,2,FALSE)</f>
        <v>SINAPI</v>
      </c>
      <c r="D198" s="24" t="str">
        <f>VLOOKUP(B198,I!$A:$G,3,FALSE)</f>
        <v>FITA VEDA ROSCA, EM PTFE, ROLO DE 18 MM X 50 M (L X C)</v>
      </c>
      <c r="E198" s="23" t="str">
        <f>VLOOKUP(B198,I!$A:$G,4,FALSE)</f>
        <v>UN</v>
      </c>
      <c r="F198" s="23">
        <f>SUMIF(CPU!M:M,B198,CPU!O:O)+SUMIF(CPUAUX1!M:M,B198,CPUAUX1!O:O)+SUMIF(CPUAUX2!M:M,B198,CPUAUX2!O:O)+SUMIF(CPUAUX3!M:M,B198,CPUAUX3!O:O)+SUMIF(CPUAUX4!M:M,B198,CPUAUX4!O:O)+SUMIF(CPUAUX5!M:M,B198,CPUAUX5!O:O)</f>
        <v>1.548</v>
      </c>
      <c r="G198" s="5">
        <f>VLOOKUP(B198,I!$A:$G,5,FALSE)</f>
        <v>15.26</v>
      </c>
      <c r="H198" s="5">
        <f t="shared" si="4"/>
        <v>23.622479999999999</v>
      </c>
      <c r="I198" s="25">
        <f t="shared" si="5"/>
        <v>4.051006202118718E-5</v>
      </c>
    </row>
    <row r="199" spans="1:9" x14ac:dyDescent="0.3">
      <c r="A199" s="23">
        <v>193</v>
      </c>
      <c r="B199" s="23">
        <v>43776</v>
      </c>
      <c r="C199" s="23" t="str">
        <f>VLOOKUP(B199,I!$A:$G,2,FALSE)</f>
        <v>SINAPI</v>
      </c>
      <c r="D199" s="24" t="str">
        <f>VLOOKUP(B199,I!$A:$G,3,FALSE)</f>
        <v>TINTA A OLEO BRILHANTE, PARA MADEIRAS E METAIS</v>
      </c>
      <c r="E199" s="23" t="str">
        <f>VLOOKUP(B199,I!$A:$G,4,FALSE)</f>
        <v>L</v>
      </c>
      <c r="F199" s="23">
        <f>SUMIF(CPU!M:M,B199,CPU!O:O)+SUMIF(CPUAUX1!M:M,B199,CPUAUX1!O:O)+SUMIF(CPUAUX2!M:M,B199,CPUAUX2!O:O)+SUMIF(CPUAUX3!M:M,B199,CPUAUX3!O:O)+SUMIF(CPUAUX4!M:M,B199,CPUAUX4!O:O)+SUMIF(CPUAUX5!M:M,B199,CPUAUX5!O:O)</f>
        <v>0.85000000000000009</v>
      </c>
      <c r="G199" s="5">
        <f>VLOOKUP(B199,I!$A:$G,5,FALSE)</f>
        <v>26.79</v>
      </c>
      <c r="H199" s="5">
        <f t="shared" ref="H199:H262" si="6">F199*G199</f>
        <v>22.771500000000003</v>
      </c>
      <c r="I199" s="25">
        <f t="shared" ref="I199:I262" si="7">H199/$H$281</f>
        <v>3.9050721063811423E-5</v>
      </c>
    </row>
    <row r="200" spans="1:9" x14ac:dyDescent="0.3">
      <c r="A200" s="23">
        <v>194</v>
      </c>
      <c r="B200" s="23" t="s">
        <v>1107</v>
      </c>
      <c r="C200" s="23" t="str">
        <f>VLOOKUP(B200,I!$A:$G,2,FALSE)</f>
        <v>ORSE</v>
      </c>
      <c r="D200" s="24" t="str">
        <f>VLOOKUP(B200,I!$A:$G,3,FALSE)</f>
        <v>VALE TRANSPORTE</v>
      </c>
      <c r="E200" s="23" t="str">
        <f>VLOOKUP(B200,I!$A:$G,4,FALSE)</f>
        <v>UN</v>
      </c>
      <c r="F200" s="23">
        <f>SUMIF(CPU!M:M,B200,CPU!O:O)+SUMIF(CPUAUX1!M:M,B200,CPUAUX1!O:O)+SUMIF(CPUAUX2!M:M,B200,CPUAUX2!O:O)+SUMIF(CPUAUX3!M:M,B200,CPUAUX3!O:O)+SUMIF(CPUAUX4!M:M,B200,CPUAUX4!O:O)+SUMIF(CPUAUX5!M:M,B200,CPUAUX5!O:O)</f>
        <v>5.0536621999999998</v>
      </c>
      <c r="G200" s="5">
        <f>VLOOKUP(B200,I!$A:$G,5,FALSE)</f>
        <v>4.5</v>
      </c>
      <c r="H200" s="5">
        <f t="shared" si="6"/>
        <v>22.741479899999998</v>
      </c>
      <c r="I200" s="25">
        <f t="shared" si="7"/>
        <v>3.8999239758170251E-5</v>
      </c>
    </row>
    <row r="201" spans="1:9" x14ac:dyDescent="0.3">
      <c r="A201" s="23">
        <v>195</v>
      </c>
      <c r="B201" s="23">
        <v>38193</v>
      </c>
      <c r="C201" s="23" t="str">
        <f>VLOOKUP(B201,I!$A:$G,2,FALSE)</f>
        <v>SINAPI</v>
      </c>
      <c r="D201" s="24" t="str">
        <f>VLOOKUP(B201,I!$A:$G,3,FALSE)</f>
        <v>LAMPADA LED 6 W BIVOLT BRANCA, FORMATO TRADICIONAL (BASE E27)</v>
      </c>
      <c r="E201" s="23" t="str">
        <f>VLOOKUP(B201,I!$A:$G,4,FALSE)</f>
        <v>UN</v>
      </c>
      <c r="F201" s="23">
        <f>SUMIF(CPU!M:M,B201,CPU!O:O)+SUMIF(CPUAUX1!M:M,B201,CPUAUX1!O:O)+SUMIF(CPUAUX2!M:M,B201,CPUAUX2!O:O)+SUMIF(CPUAUX3!M:M,B201,CPUAUX3!O:O)+SUMIF(CPUAUX4!M:M,B201,CPUAUX4!O:O)+SUMIF(CPUAUX5!M:M,B201,CPUAUX5!O:O)</f>
        <v>5</v>
      </c>
      <c r="G201" s="5">
        <f>VLOOKUP(B201,I!$A:$G,5,FALSE)</f>
        <v>4.41</v>
      </c>
      <c r="H201" s="5">
        <f t="shared" si="6"/>
        <v>22.05</v>
      </c>
      <c r="I201" s="25">
        <f t="shared" si="7"/>
        <v>3.781342465173756E-5</v>
      </c>
    </row>
    <row r="202" spans="1:9" x14ac:dyDescent="0.3">
      <c r="A202" s="23">
        <v>196</v>
      </c>
      <c r="B202" s="23">
        <v>1884</v>
      </c>
      <c r="C202" s="23" t="str">
        <f>VLOOKUP(B202,I!$A:$G,2,FALSE)</f>
        <v>SINAPI</v>
      </c>
      <c r="D202" s="24" t="str">
        <f>VLOOKUP(B202,I!$A:$G,3,FALSE)</f>
        <v>CURVA 90 GRAUS, LONGA, DE PVC RIGIDO ROSCAVEL, DE 1", PARA ELETRODUTO</v>
      </c>
      <c r="E202" s="23" t="str">
        <f>VLOOKUP(B202,I!$A:$G,4,FALSE)</f>
        <v>UN</v>
      </c>
      <c r="F202" s="23">
        <f>SUMIF(CPU!M:M,B202,CPU!O:O)+SUMIF(CPUAUX1!M:M,B202,CPUAUX1!O:O)+SUMIF(CPUAUX2!M:M,B202,CPUAUX2!O:O)+SUMIF(CPUAUX3!M:M,B202,CPUAUX3!O:O)+SUMIF(CPUAUX4!M:M,B202,CPUAUX4!O:O)+SUMIF(CPUAUX5!M:M,B202,CPUAUX5!O:O)</f>
        <v>5</v>
      </c>
      <c r="G202" s="5">
        <f>VLOOKUP(B202,I!$A:$G,5,FALSE)</f>
        <v>3.99</v>
      </c>
      <c r="H202" s="5">
        <f t="shared" si="6"/>
        <v>19.950000000000003</v>
      </c>
      <c r="I202" s="25">
        <f t="shared" si="7"/>
        <v>3.4212146113476844E-5</v>
      </c>
    </row>
    <row r="203" spans="1:9" x14ac:dyDescent="0.3">
      <c r="A203" s="23">
        <v>197</v>
      </c>
      <c r="B203" s="23" t="s">
        <v>1040</v>
      </c>
      <c r="C203" s="23" t="str">
        <f>VLOOKUP(B203,I!$A:$G,2,FALSE)</f>
        <v>PRÓPRIA</v>
      </c>
      <c r="D203" s="24" t="str">
        <f>VLOOKUP(B203,I!$A:$G,3,FALSE)</f>
        <v>MEDIDOR DE VAZÃO</v>
      </c>
      <c r="E203" s="23" t="str">
        <f>VLOOKUP(B203,I!$A:$G,4,FALSE)</f>
        <v>H</v>
      </c>
      <c r="F203" s="23">
        <f>SUMIF(CPU!M:M,B203,CPU!O:O)+SUMIF(CPUAUX1!M:M,B203,CPUAUX1!O:O)+SUMIF(CPUAUX2!M:M,B203,CPUAUX2!O:O)+SUMIF(CPUAUX3!M:M,B203,CPUAUX3!O:O)+SUMIF(CPUAUX4!M:M,B203,CPUAUX4!O:O)+SUMIF(CPUAUX5!M:M,B203,CPUAUX5!O:O)</f>
        <v>120</v>
      </c>
      <c r="G203" s="5">
        <f>VLOOKUP(B203,I!$A:$G,5,FALSE)</f>
        <v>0.16</v>
      </c>
      <c r="H203" s="5">
        <f t="shared" si="6"/>
        <v>19.2</v>
      </c>
      <c r="I203" s="25">
        <f t="shared" si="7"/>
        <v>3.2925975206955148E-5</v>
      </c>
    </row>
    <row r="204" spans="1:9" x14ac:dyDescent="0.3">
      <c r="A204" s="23">
        <v>198</v>
      </c>
      <c r="B204" s="23">
        <v>7140</v>
      </c>
      <c r="C204" s="23" t="str">
        <f>VLOOKUP(B204,I!$A:$G,2,FALSE)</f>
        <v>SINAPI</v>
      </c>
      <c r="D204" s="24" t="str">
        <f>VLOOKUP(B204,I!$A:$G,3,FALSE)</f>
        <v>TE SOLDAVEL, PVC, 90 GRAUS, 32 MM, PARA AGUA FRIA PREDIAL (NBR 5648)</v>
      </c>
      <c r="E204" s="23" t="str">
        <f>VLOOKUP(B204,I!$A:$G,4,FALSE)</f>
        <v>UN</v>
      </c>
      <c r="F204" s="23">
        <f>SUMIF(CPU!M:M,B204,CPU!O:O)+SUMIF(CPUAUX1!M:M,B204,CPUAUX1!O:O)+SUMIF(CPUAUX2!M:M,B204,CPUAUX2!O:O)+SUMIF(CPUAUX3!M:M,B204,CPUAUX3!O:O)+SUMIF(CPUAUX4!M:M,B204,CPUAUX4!O:O)+SUMIF(CPUAUX5!M:M,B204,CPUAUX5!O:O)</f>
        <v>5</v>
      </c>
      <c r="G204" s="5">
        <f>VLOOKUP(B204,I!$A:$G,5,FALSE)</f>
        <v>3.77</v>
      </c>
      <c r="H204" s="5">
        <f t="shared" si="6"/>
        <v>18.850000000000001</v>
      </c>
      <c r="I204" s="25">
        <f t="shared" si="7"/>
        <v>3.2325762117245038E-5</v>
      </c>
    </row>
    <row r="205" spans="1:9" ht="28.8" x14ac:dyDescent="0.3">
      <c r="A205" s="23">
        <v>199</v>
      </c>
      <c r="B205" s="23">
        <v>14153</v>
      </c>
      <c r="C205" s="23" t="str">
        <f>VLOOKUP(B205,I!$A:$G,2,FALSE)</f>
        <v>SINAPI</v>
      </c>
      <c r="D205" s="24" t="str">
        <f>VLOOKUP(B205,I!$A:$G,3,FALSE)</f>
        <v>FITA METALICA PERFURADA, L = *18* MM, ROLO DE 30 M, CARGA RECOMENDADA = *30* KGF</v>
      </c>
      <c r="E205" s="23" t="str">
        <f>VLOOKUP(B205,I!$A:$G,4,FALSE)</f>
        <v>UN</v>
      </c>
      <c r="F205" s="23">
        <f>SUMIF(CPU!M:M,B205,CPU!O:O)+SUMIF(CPUAUX1!M:M,B205,CPUAUX1!O:O)+SUMIF(CPUAUX2!M:M,B205,CPUAUX2!O:O)+SUMIF(CPUAUX3!M:M,B205,CPUAUX3!O:O)+SUMIF(CPUAUX4!M:M,B205,CPUAUX4!O:O)+SUMIF(CPUAUX5!M:M,B205,CPUAUX5!O:O)</f>
        <v>0.3</v>
      </c>
      <c r="G205" s="5">
        <f>VLOOKUP(B205,I!$A:$G,5,FALSE)</f>
        <v>61.66</v>
      </c>
      <c r="H205" s="5">
        <f t="shared" si="6"/>
        <v>18.497999999999998</v>
      </c>
      <c r="I205" s="25">
        <f t="shared" si="7"/>
        <v>3.1722119238450852E-5</v>
      </c>
    </row>
    <row r="206" spans="1:9" ht="28.8" x14ac:dyDescent="0.3">
      <c r="A206" s="23">
        <v>200</v>
      </c>
      <c r="B206" s="23">
        <v>43458</v>
      </c>
      <c r="C206" s="23" t="str">
        <f>VLOOKUP(B206,I!$A:$G,2,FALSE)</f>
        <v>SINAPI</v>
      </c>
      <c r="D206" s="24" t="str">
        <f>VLOOKUP(B206,I!$A:$G,3,FALSE)</f>
        <v>FERRAMENTAS - FAMILIA ALMOXARIFE - HORISTA (ENCARGOS COMPLEMENTARES - COLETADO CAIXA)</v>
      </c>
      <c r="E206" s="23" t="str">
        <f>VLOOKUP(B206,I!$A:$G,4,FALSE)</f>
        <v>H</v>
      </c>
      <c r="F206" s="23">
        <f>SUMIF(CPU!M:M,B206,CPU!O:O)+SUMIF(CPUAUX1!M:M,B206,CPUAUX1!O:O)+SUMIF(CPUAUX2!M:M,B206,CPUAUX2!O:O)+SUMIF(CPUAUX3!M:M,B206,CPUAUX3!O:O)+SUMIF(CPUAUX4!M:M,B206,CPUAUX4!O:O)+SUMIF(CPUAUX5!M:M,B206,CPUAUX5!O:O)</f>
        <v>300</v>
      </c>
      <c r="G206" s="5">
        <f>VLOOKUP(B206,I!$A:$G,5,FALSE)</f>
        <v>0.06</v>
      </c>
      <c r="H206" s="5">
        <f t="shared" si="6"/>
        <v>18</v>
      </c>
      <c r="I206" s="25">
        <f t="shared" si="7"/>
        <v>3.0868101756520456E-5</v>
      </c>
    </row>
    <row r="207" spans="1:9" x14ac:dyDescent="0.3">
      <c r="A207" s="23">
        <v>201</v>
      </c>
      <c r="B207" s="23" t="s">
        <v>1105</v>
      </c>
      <c r="C207" s="23" t="str">
        <f>VLOOKUP(B207,I!$A:$G,2,FALSE)</f>
        <v>ORSE</v>
      </c>
      <c r="D207" s="24" t="str">
        <f>VLOOKUP(B207,I!$A:$G,3,FALSE)</f>
        <v>FARDAMENTO COM MANGAS CURTA</v>
      </c>
      <c r="E207" s="23" t="str">
        <f>VLOOKUP(B207,I!$A:$G,4,FALSE)</f>
        <v>UN</v>
      </c>
      <c r="F207" s="23">
        <f>SUMIF(CPU!M:M,B207,CPU!O:O)+SUMIF(CPUAUX1!M:M,B207,CPUAUX1!O:O)+SUMIF(CPUAUX2!M:M,B207,CPUAUX2!O:O)+SUMIF(CPUAUX3!M:M,B207,CPUAUX3!O:O)+SUMIF(CPUAUX4!M:M,B207,CPUAUX4!O:O)+SUMIF(CPUAUX5!M:M,B207,CPUAUX5!O:O)</f>
        <v>9.1372500000000009E-2</v>
      </c>
      <c r="G207" s="5">
        <f>VLOOKUP(B207,I!$A:$G,5,FALSE)</f>
        <v>196.71</v>
      </c>
      <c r="H207" s="5">
        <f t="shared" si="6"/>
        <v>17.973884475000002</v>
      </c>
      <c r="I207" s="25">
        <f t="shared" si="7"/>
        <v>3.0823316385235738E-5</v>
      </c>
    </row>
    <row r="208" spans="1:9" x14ac:dyDescent="0.3">
      <c r="A208" s="23">
        <v>202</v>
      </c>
      <c r="B208" s="23" t="s">
        <v>1127</v>
      </c>
      <c r="C208" s="23" t="str">
        <f>VLOOKUP(B208,I!$A:$G,2,FALSE)</f>
        <v>SEINFRA</v>
      </c>
      <c r="D208" s="24" t="str">
        <f>VLOOKUP(B208,I!$A:$G,3,FALSE)</f>
        <v>DESMOLDANTE PARA FORMAS</v>
      </c>
      <c r="E208" s="23" t="str">
        <f>VLOOKUP(B208,I!$A:$G,4,FALSE)</f>
        <v>L</v>
      </c>
      <c r="F208" s="23">
        <f>SUMIF(CPU!M:M,B208,CPU!O:O)+SUMIF(CPUAUX1!M:M,B208,CPUAUX1!O:O)+SUMIF(CPUAUX2!M:M,B208,CPUAUX2!O:O)+SUMIF(CPUAUX3!M:M,B208,CPUAUX3!O:O)+SUMIF(CPUAUX4!M:M,B208,CPUAUX4!O:O)+SUMIF(CPUAUX5!M:M,B208,CPUAUX5!O:O)</f>
        <v>2.08</v>
      </c>
      <c r="G208" s="5">
        <f>VLOOKUP(B208,I!$A:$G,5,FALSE)</f>
        <v>8.4499999999999993</v>
      </c>
      <c r="H208" s="5">
        <f t="shared" si="6"/>
        <v>17.576000000000001</v>
      </c>
      <c r="I208" s="25">
        <f t="shared" si="7"/>
        <v>3.0140986470700197E-5</v>
      </c>
    </row>
    <row r="209" spans="1:9" ht="28.8" x14ac:dyDescent="0.3">
      <c r="A209" s="23">
        <v>203</v>
      </c>
      <c r="B209" s="23">
        <v>38094</v>
      </c>
      <c r="C209" s="23" t="str">
        <f>VLOOKUP(B209,I!$A:$G,2,FALSE)</f>
        <v>SINAPI</v>
      </c>
      <c r="D209" s="24" t="str">
        <f>VLOOKUP(B209,I!$A:$G,3,FALSE)</f>
        <v>ESPELHO / PLACA DE 3 POSTOS 4" X 2", PARA INSTALACAO DE TOMADAS E INTERRUPTORES</v>
      </c>
      <c r="E209" s="23" t="str">
        <f>VLOOKUP(B209,I!$A:$G,4,FALSE)</f>
        <v>UN</v>
      </c>
      <c r="F209" s="23">
        <f>SUMIF(CPU!M:M,B209,CPU!O:O)+SUMIF(CPUAUX1!M:M,B209,CPUAUX1!O:O)+SUMIF(CPUAUX2!M:M,B209,CPUAUX2!O:O)+SUMIF(CPUAUX3!M:M,B209,CPUAUX3!O:O)+SUMIF(CPUAUX4!M:M,B209,CPUAUX4!O:O)+SUMIF(CPUAUX5!M:M,B209,CPUAUX5!O:O)</f>
        <v>5</v>
      </c>
      <c r="G209" s="5">
        <f>VLOOKUP(B209,I!$A:$G,5,FALSE)</f>
        <v>3.46</v>
      </c>
      <c r="H209" s="5">
        <f t="shared" si="6"/>
        <v>17.3</v>
      </c>
      <c r="I209" s="25">
        <f t="shared" si="7"/>
        <v>2.9667675577100215E-5</v>
      </c>
    </row>
    <row r="210" spans="1:9" x14ac:dyDescent="0.3">
      <c r="A210" s="23">
        <v>204</v>
      </c>
      <c r="B210" s="23" t="s">
        <v>1129</v>
      </c>
      <c r="C210" s="23" t="str">
        <f>VLOOKUP(B210,I!$A:$G,2,FALSE)</f>
        <v>SEINFRA</v>
      </c>
      <c r="D210" s="24" t="str">
        <f>VLOOKUP(B210,I!$A:$G,3,FALSE)</f>
        <v>SARRAFO DE 1"X4"</v>
      </c>
      <c r="E210" s="23" t="str">
        <f>VLOOKUP(B210,I!$A:$G,4,FALSE)</f>
        <v>M</v>
      </c>
      <c r="F210" s="23">
        <f>SUMIF(CPU!M:M,B210,CPU!O:O)+SUMIF(CPUAUX1!M:M,B210,CPUAUX1!O:O)+SUMIF(CPUAUX2!M:M,B210,CPUAUX2!O:O)+SUMIF(CPUAUX3!M:M,B210,CPUAUX3!O:O)+SUMIF(CPUAUX4!M:M,B210,CPUAUX4!O:O)+SUMIF(CPUAUX5!M:M,B210,CPUAUX5!O:O)</f>
        <v>2.6</v>
      </c>
      <c r="G210" s="5">
        <f>VLOOKUP(B210,I!$A:$G,5,FALSE)</f>
        <v>6.05</v>
      </c>
      <c r="H210" s="5">
        <f t="shared" si="6"/>
        <v>15.73</v>
      </c>
      <c r="I210" s="25">
        <f t="shared" si="7"/>
        <v>2.6975291146114821E-5</v>
      </c>
    </row>
    <row r="211" spans="1:9" x14ac:dyDescent="0.3">
      <c r="A211" s="23">
        <v>205</v>
      </c>
      <c r="B211" s="23" t="s">
        <v>1029</v>
      </c>
      <c r="C211" s="23" t="str">
        <f>VLOOKUP(B211,I!$A:$G,2,FALSE)</f>
        <v>SEINFRA</v>
      </c>
      <c r="D211" s="24" t="str">
        <f>VLOOKUP(B211,I!$A:$G,3,FALSE)</f>
        <v>PREGO 15X15 (1.1/4" X 13) (APROXIMADAMENTE 672UN/KG)</v>
      </c>
      <c r="E211" s="23" t="str">
        <f>VLOOKUP(B211,I!$A:$G,4,FALSE)</f>
        <v>KG</v>
      </c>
      <c r="F211" s="23">
        <f>SUMIF(CPU!M:M,B211,CPU!O:O)+SUMIF(CPUAUX1!M:M,B211,CPUAUX1!O:O)+SUMIF(CPUAUX2!M:M,B211,CPUAUX2!O:O)+SUMIF(CPUAUX3!M:M,B211,CPUAUX3!O:O)+SUMIF(CPUAUX4!M:M,B211,CPUAUX4!O:O)+SUMIF(CPUAUX5!M:M,B211,CPUAUX5!O:O)</f>
        <v>0.97199999999999998</v>
      </c>
      <c r="G211" s="5">
        <f>VLOOKUP(B211,I!$A:$G,5,FALSE)</f>
        <v>15.99</v>
      </c>
      <c r="H211" s="5">
        <f t="shared" si="6"/>
        <v>15.54228</v>
      </c>
      <c r="I211" s="25">
        <f t="shared" si="7"/>
        <v>2.6653371142685152E-5</v>
      </c>
    </row>
    <row r="212" spans="1:9" ht="28.8" x14ac:dyDescent="0.3">
      <c r="A212" s="23">
        <v>206</v>
      </c>
      <c r="B212" s="23">
        <v>39315</v>
      </c>
      <c r="C212" s="23" t="str">
        <f>VLOOKUP(B212,I!$A:$G,2,FALSE)</f>
        <v>SINAPI</v>
      </c>
      <c r="D212" s="24" t="str">
        <f>VLOOKUP(B212,I!$A:$G,3,FALSE)</f>
        <v>ESPACADOR / DISTANCIADOR TIPO GARRA DUPLA, EM PLASTICO, COBRIMENTO *20* MM, PARA FERRAGENS DE LAJES E FUNDO DE VIGAS</v>
      </c>
      <c r="E212" s="23" t="str">
        <f>VLOOKUP(B212,I!$A:$G,4,FALSE)</f>
        <v>UN</v>
      </c>
      <c r="F212" s="23">
        <f>SUMIF(CPU!M:M,B212,CPU!O:O)+SUMIF(CPUAUX1!M:M,B212,CPUAUX1!O:O)+SUMIF(CPUAUX2!M:M,B212,CPUAUX2!O:O)+SUMIF(CPUAUX3!M:M,B212,CPUAUX3!O:O)+SUMIF(CPUAUX4!M:M,B212,CPUAUX4!O:O)+SUMIF(CPUAUX5!M:M,B212,CPUAUX5!O:O)</f>
        <v>41.6</v>
      </c>
      <c r="G212" s="5">
        <f>VLOOKUP(B212,I!$A:$G,5,FALSE)</f>
        <v>0.36</v>
      </c>
      <c r="H212" s="5">
        <f t="shared" si="6"/>
        <v>14.975999999999999</v>
      </c>
      <c r="I212" s="25">
        <f t="shared" si="7"/>
        <v>2.5682260661425017E-5</v>
      </c>
    </row>
    <row r="213" spans="1:9" x14ac:dyDescent="0.3">
      <c r="A213" s="23">
        <v>207</v>
      </c>
      <c r="B213" s="23">
        <v>5318</v>
      </c>
      <c r="C213" s="23" t="str">
        <f>VLOOKUP(B213,I!$A:$G,2,FALSE)</f>
        <v>SINAPI</v>
      </c>
      <c r="D213" s="24" t="str">
        <f>VLOOKUP(B213,I!$A:$G,3,FALSE)</f>
        <v>DILUENTE AGUARRAS</v>
      </c>
      <c r="E213" s="23" t="str">
        <f>VLOOKUP(B213,I!$A:$G,4,FALSE)</f>
        <v>L</v>
      </c>
      <c r="F213" s="23">
        <f>SUMIF(CPU!M:M,B213,CPU!O:O)+SUMIF(CPUAUX1!M:M,B213,CPUAUX1!O:O)+SUMIF(CPUAUX2!M:M,B213,CPUAUX2!O:O)+SUMIF(CPUAUX3!M:M,B213,CPUAUX3!O:O)+SUMIF(CPUAUX4!M:M,B213,CPUAUX4!O:O)+SUMIF(CPUAUX5!M:M,B213,CPUAUX5!O:O)</f>
        <v>0.51339999999999997</v>
      </c>
      <c r="G213" s="5">
        <f>VLOOKUP(B213,I!$A:$G,5,FALSE)</f>
        <v>29.16</v>
      </c>
      <c r="H213" s="5">
        <f t="shared" si="6"/>
        <v>14.970744</v>
      </c>
      <c r="I213" s="25">
        <f t="shared" si="7"/>
        <v>2.5673247175712115E-5</v>
      </c>
    </row>
    <row r="214" spans="1:9" x14ac:dyDescent="0.3">
      <c r="A214" s="23">
        <v>208</v>
      </c>
      <c r="B214" s="23">
        <v>6114</v>
      </c>
      <c r="C214" s="23" t="str">
        <f>VLOOKUP(B214,I!$A:$G,2,FALSE)</f>
        <v>SINAPI</v>
      </c>
      <c r="D214" s="24" t="str">
        <f>VLOOKUP(B214,I!$A:$G,3,FALSE)</f>
        <v>AJUDANTE DE ARMADOR (HORISTA)</v>
      </c>
      <c r="E214" s="23" t="str">
        <f>VLOOKUP(B214,I!$A:$G,4,FALSE)</f>
        <v>H</v>
      </c>
      <c r="F214" s="23">
        <f>SUMIF(CPU!M:M,B214,CPU!O:O)+SUMIF(CPUAUX1!M:M,B214,CPUAUX1!O:O)+SUMIF(CPUAUX2!M:M,B214,CPUAUX2!O:O)+SUMIF(CPUAUX3!M:M,B214,CPUAUX3!O:O)+SUMIF(CPUAUX4!M:M,B214,CPUAUX4!O:O)+SUMIF(CPUAUX5!M:M,B214,CPUAUX5!O:O)</f>
        <v>0.95117885406150016</v>
      </c>
      <c r="G214" s="5">
        <f>VLOOKUP(B214,I!$A:$G,5,FALSE)</f>
        <v>15.57</v>
      </c>
      <c r="H214" s="5">
        <f t="shared" si="6"/>
        <v>14.809854757737558</v>
      </c>
      <c r="I214" s="25">
        <f t="shared" si="7"/>
        <v>2.5397339092285085E-5</v>
      </c>
    </row>
    <row r="215" spans="1:9" ht="28.8" x14ac:dyDescent="0.3">
      <c r="A215" s="23">
        <v>209</v>
      </c>
      <c r="B215" s="23">
        <v>11267</v>
      </c>
      <c r="C215" s="23" t="str">
        <f>VLOOKUP(B215,I!$A:$G,2,FALSE)</f>
        <v>SINAPI</v>
      </c>
      <c r="D215" s="24" t="str">
        <f>VLOOKUP(B215,I!$A:$G,3,FALSE)</f>
        <v>ARRUELA LISA, REDONDA, DE LATAO POLIDO, DIAMETRO NOMINAL 5/8", DIAMETRO EXTERNO = 34 MM, DIAMETRO DO FURO = 17 MM, ESPESSURA = *2,5* MM</v>
      </c>
      <c r="E215" s="23" t="str">
        <f>VLOOKUP(B215,I!$A:$G,4,FALSE)</f>
        <v>UN</v>
      </c>
      <c r="F215" s="23">
        <f>SUMIF(CPU!M:M,B215,CPU!O:O)+SUMIF(CPUAUX1!M:M,B215,CPUAUX1!O:O)+SUMIF(CPUAUX2!M:M,B215,CPUAUX2!O:O)+SUMIF(CPUAUX3!M:M,B215,CPUAUX3!O:O)+SUMIF(CPUAUX4!M:M,B215,CPUAUX4!O:O)+SUMIF(CPUAUX5!M:M,B215,CPUAUX5!O:O)</f>
        <v>10</v>
      </c>
      <c r="G215" s="5">
        <f>VLOOKUP(B215,I!$A:$G,5,FALSE)</f>
        <v>1.42</v>
      </c>
      <c r="H215" s="5">
        <f t="shared" si="6"/>
        <v>14.2</v>
      </c>
      <c r="I215" s="25">
        <f t="shared" si="7"/>
        <v>2.4351502496810581E-5</v>
      </c>
    </row>
    <row r="216" spans="1:9" ht="28.8" x14ac:dyDescent="0.3">
      <c r="A216" s="23">
        <v>210</v>
      </c>
      <c r="B216" s="23">
        <v>1575</v>
      </c>
      <c r="C216" s="23" t="str">
        <f>VLOOKUP(B216,I!$A:$G,2,FALSE)</f>
        <v>SINAPI</v>
      </c>
      <c r="D216" s="24" t="str">
        <f>VLOOKUP(B216,I!$A:$G,3,FALSE)</f>
        <v>TERMINAL A COMPRESSAO EM COBRE ESTANHADO PARA CABO 16 MM2, 1 FURO E 1 COMPRESSAO, PARA PARAFUSO DE FIXACAO M6</v>
      </c>
      <c r="E216" s="23" t="str">
        <f>VLOOKUP(B216,I!$A:$G,4,FALSE)</f>
        <v>UN</v>
      </c>
      <c r="F216" s="23">
        <f>SUMIF(CPU!M:M,B216,CPU!O:O)+SUMIF(CPUAUX1!M:M,B216,CPUAUX1!O:O)+SUMIF(CPUAUX2!M:M,B216,CPUAUX2!O:O)+SUMIF(CPUAUX3!M:M,B216,CPUAUX3!O:O)+SUMIF(CPUAUX4!M:M,B216,CPUAUX4!O:O)+SUMIF(CPUAUX5!M:M,B216,CPUAUX5!O:O)</f>
        <v>5</v>
      </c>
      <c r="G216" s="5">
        <f>VLOOKUP(B216,I!$A:$G,5,FALSE)</f>
        <v>2.54</v>
      </c>
      <c r="H216" s="5">
        <f t="shared" si="6"/>
        <v>12.7</v>
      </c>
      <c r="I216" s="25">
        <f t="shared" si="7"/>
        <v>2.1779160683767208E-5</v>
      </c>
    </row>
    <row r="217" spans="1:9" x14ac:dyDescent="0.3">
      <c r="A217" s="23">
        <v>211</v>
      </c>
      <c r="B217" s="23">
        <v>3536</v>
      </c>
      <c r="C217" s="23" t="str">
        <f>VLOOKUP(B217,I!$A:$G,2,FALSE)</f>
        <v>SINAPI</v>
      </c>
      <c r="D217" s="24" t="str">
        <f>VLOOKUP(B217,I!$A:$G,3,FALSE)</f>
        <v>JOELHO PVC, SOLDAVEL, 90 GRAUS, 32 MM, COR MARROM, PARA AGUA FRIA PREDIAL</v>
      </c>
      <c r="E217" s="23" t="str">
        <f>VLOOKUP(B217,I!$A:$G,4,FALSE)</f>
        <v>UN</v>
      </c>
      <c r="F217" s="23">
        <f>SUMIF(CPU!M:M,B217,CPU!O:O)+SUMIF(CPUAUX1!M:M,B217,CPUAUX1!O:O)+SUMIF(CPUAUX2!M:M,B217,CPUAUX2!O:O)+SUMIF(CPUAUX3!M:M,B217,CPUAUX3!O:O)+SUMIF(CPUAUX4!M:M,B217,CPUAUX4!O:O)+SUMIF(CPUAUX5!M:M,B217,CPUAUX5!O:O)</f>
        <v>5</v>
      </c>
      <c r="G217" s="5">
        <f>VLOOKUP(B217,I!$A:$G,5,FALSE)</f>
        <v>2.42</v>
      </c>
      <c r="H217" s="5">
        <f t="shared" si="6"/>
        <v>12.1</v>
      </c>
      <c r="I217" s="25">
        <f t="shared" si="7"/>
        <v>2.0750223958549862E-5</v>
      </c>
    </row>
    <row r="218" spans="1:9" x14ac:dyDescent="0.3">
      <c r="A218" s="23">
        <v>212</v>
      </c>
      <c r="B218" s="23">
        <v>12295</v>
      </c>
      <c r="C218" s="23" t="str">
        <f>VLOOKUP(B218,I!$A:$G,2,FALSE)</f>
        <v>SINAPI</v>
      </c>
      <c r="D218" s="24" t="str">
        <f>VLOOKUP(B218,I!$A:$G,3,FALSE)</f>
        <v>SOQUETE DE BAQUELITE BASE E27, PARA LAMPADAS</v>
      </c>
      <c r="E218" s="23" t="str">
        <f>VLOOKUP(B218,I!$A:$G,4,FALSE)</f>
        <v>UN</v>
      </c>
      <c r="F218" s="23">
        <f>SUMIF(CPU!M:M,B218,CPU!O:O)+SUMIF(CPUAUX1!M:M,B218,CPUAUX1!O:O)+SUMIF(CPUAUX2!M:M,B218,CPUAUX2!O:O)+SUMIF(CPUAUX3!M:M,B218,CPUAUX3!O:O)+SUMIF(CPUAUX4!M:M,B218,CPUAUX4!O:O)+SUMIF(CPUAUX5!M:M,B218,CPUAUX5!O:O)</f>
        <v>5</v>
      </c>
      <c r="G218" s="5">
        <f>VLOOKUP(B218,I!$A:$G,5,FALSE)</f>
        <v>2.2999999999999998</v>
      </c>
      <c r="H218" s="5">
        <f t="shared" si="6"/>
        <v>11.5</v>
      </c>
      <c r="I218" s="25">
        <f t="shared" si="7"/>
        <v>1.9721287233332513E-5</v>
      </c>
    </row>
    <row r="219" spans="1:9" x14ac:dyDescent="0.3">
      <c r="A219" s="23">
        <v>213</v>
      </c>
      <c r="B219" s="23">
        <v>1872</v>
      </c>
      <c r="C219" s="23" t="str">
        <f>VLOOKUP(B219,I!$A:$G,2,FALSE)</f>
        <v>SINAPI</v>
      </c>
      <c r="D219" s="24" t="str">
        <f>VLOOKUP(B219,I!$A:$G,3,FALSE)</f>
        <v>CAIXA DE PASSAGEM, EM PVC, DE 4" X 2", PARA ELETRODUTO FLEXIVEL CORRUGADO</v>
      </c>
      <c r="E219" s="23" t="str">
        <f>VLOOKUP(B219,I!$A:$G,4,FALSE)</f>
        <v>UN</v>
      </c>
      <c r="F219" s="23">
        <f>SUMIF(CPU!M:M,B219,CPU!O:O)+SUMIF(CPUAUX1!M:M,B219,CPUAUX1!O:O)+SUMIF(CPUAUX2!M:M,B219,CPUAUX2!O:O)+SUMIF(CPUAUX3!M:M,B219,CPUAUX3!O:O)+SUMIF(CPUAUX4!M:M,B219,CPUAUX4!O:O)+SUMIF(CPUAUX5!M:M,B219,CPUAUX5!O:O)</f>
        <v>5</v>
      </c>
      <c r="G219" s="5">
        <f>VLOOKUP(B219,I!$A:$G,5,FALSE)</f>
        <v>2.27</v>
      </c>
      <c r="H219" s="5">
        <f t="shared" si="6"/>
        <v>11.35</v>
      </c>
      <c r="I219" s="25">
        <f t="shared" si="7"/>
        <v>1.9464053052028176E-5</v>
      </c>
    </row>
    <row r="220" spans="1:9" x14ac:dyDescent="0.3">
      <c r="A220" s="23">
        <v>214</v>
      </c>
      <c r="B220" s="23" t="s">
        <v>1128</v>
      </c>
      <c r="C220" s="23" t="str">
        <f>VLOOKUP(B220,I!$A:$G,2,FALSE)</f>
        <v>SEINFRA</v>
      </c>
      <c r="D220" s="24" t="str">
        <f>VLOOKUP(B220,I!$A:$G,3,FALSE)</f>
        <v>PREGO 18X27 (2.1/2" X 10) (APROXIMADAMENTE 198UN/KG)</v>
      </c>
      <c r="E220" s="23" t="str">
        <f>VLOOKUP(B220,I!$A:$G,4,FALSE)</f>
        <v>KG</v>
      </c>
      <c r="F220" s="23">
        <f>SUMIF(CPU!M:M,B220,CPU!O:O)+SUMIF(CPUAUX1!M:M,B220,CPUAUX1!O:O)+SUMIF(CPUAUX2!M:M,B220,CPUAUX2!O:O)+SUMIF(CPUAUX3!M:M,B220,CPUAUX3!O:O)+SUMIF(CPUAUX4!M:M,B220,CPUAUX4!O:O)+SUMIF(CPUAUX5!M:M,B220,CPUAUX5!O:O)</f>
        <v>0.78</v>
      </c>
      <c r="G220" s="5">
        <f>VLOOKUP(B220,I!$A:$G,5,FALSE)</f>
        <v>14.2</v>
      </c>
      <c r="H220" s="5">
        <f t="shared" si="6"/>
        <v>11.076000000000001</v>
      </c>
      <c r="I220" s="25">
        <f t="shared" si="7"/>
        <v>1.8994171947512254E-5</v>
      </c>
    </row>
    <row r="221" spans="1:9" ht="28.8" x14ac:dyDescent="0.3">
      <c r="A221" s="23">
        <v>215</v>
      </c>
      <c r="B221" s="23">
        <v>43464</v>
      </c>
      <c r="C221" s="23" t="str">
        <f>VLOOKUP(B221,I!$A:$G,2,FALSE)</f>
        <v>SINAPI</v>
      </c>
      <c r="D221" s="24" t="str">
        <f>VLOOKUP(B221,I!$A:$G,3,FALSE)</f>
        <v>FERRAMENTAS - FAMILIA OPERADOR ESCAVADEIRA - HORISTA (ENCARGOS COMPLEMENTARES - COLETADO CAIXA)</v>
      </c>
      <c r="E221" s="23" t="str">
        <f>VLOOKUP(B221,I!$A:$G,4,FALSE)</f>
        <v>H</v>
      </c>
      <c r="F221" s="23">
        <f>SUMIF(CPU!M:M,B221,CPU!O:O)+SUMIF(CPUAUX1!M:M,B221,CPUAUX1!O:O)+SUMIF(CPUAUX2!M:M,B221,CPUAUX2!O:O)+SUMIF(CPUAUX3!M:M,B221,CPUAUX3!O:O)+SUMIF(CPUAUX4!M:M,B221,CPUAUX4!O:O)+SUMIF(CPUAUX5!M:M,B221,CPUAUX5!O:O)</f>
        <v>941.31363780190009</v>
      </c>
      <c r="G221" s="5">
        <f>VLOOKUP(B221,I!$A:$G,5,FALSE)</f>
        <v>0.01</v>
      </c>
      <c r="H221" s="5">
        <f t="shared" si="6"/>
        <v>9.4131363780190007</v>
      </c>
      <c r="I221" s="25">
        <f t="shared" si="7"/>
        <v>1.6142536198038605E-5</v>
      </c>
    </row>
    <row r="222" spans="1:9" ht="28.8" x14ac:dyDescent="0.3">
      <c r="A222" s="23">
        <v>216</v>
      </c>
      <c r="B222" s="23">
        <v>38099</v>
      </c>
      <c r="C222" s="23" t="str">
        <f>VLOOKUP(B222,I!$A:$G,2,FALSE)</f>
        <v>SINAPI</v>
      </c>
      <c r="D222" s="24" t="str">
        <f>VLOOKUP(B222,I!$A:$G,3,FALSE)</f>
        <v>SUPORTE DE FIXACAO PARA ESPELHO / PLACA 4" X 2", PARA 3 MODULOS, PARA INSTALACAO DE TOMADAS E INTERRUPTORES (SOMENTE SUPORTE)</v>
      </c>
      <c r="E222" s="23" t="str">
        <f>VLOOKUP(B222,I!$A:$G,4,FALSE)</f>
        <v>UN</v>
      </c>
      <c r="F222" s="23">
        <f>SUMIF(CPU!M:M,B222,CPU!O:O)+SUMIF(CPUAUX1!M:M,B222,CPUAUX1!O:O)+SUMIF(CPUAUX2!M:M,B222,CPUAUX2!O:O)+SUMIF(CPUAUX3!M:M,B222,CPUAUX3!O:O)+SUMIF(CPUAUX4!M:M,B222,CPUAUX4!O:O)+SUMIF(CPUAUX5!M:M,B222,CPUAUX5!O:O)</f>
        <v>5</v>
      </c>
      <c r="G222" s="5">
        <f>VLOOKUP(B222,I!$A:$G,5,FALSE)</f>
        <v>1.79</v>
      </c>
      <c r="H222" s="5">
        <f t="shared" si="6"/>
        <v>8.9499999999999993</v>
      </c>
      <c r="I222" s="25">
        <f t="shared" si="7"/>
        <v>1.5348306151158779E-5</v>
      </c>
    </row>
    <row r="223" spans="1:9" ht="28.8" x14ac:dyDescent="0.3">
      <c r="A223" s="23">
        <v>217</v>
      </c>
      <c r="B223" s="23">
        <v>3398</v>
      </c>
      <c r="C223" s="23" t="str">
        <f>VLOOKUP(B223,I!$A:$G,2,FALSE)</f>
        <v>SINAPI</v>
      </c>
      <c r="D223" s="24" t="str">
        <f>VLOOKUP(B223,I!$A:$G,3,FALSE)</f>
        <v>ISOLADOR DE PORCELANA, TIPO ROLDANA, DIMENSOES DE *72* X *72* MM, PARA USO EM BAIXA TENSAO</v>
      </c>
      <c r="E223" s="23" t="str">
        <f>VLOOKUP(B223,I!$A:$G,4,FALSE)</f>
        <v>UN</v>
      </c>
      <c r="F223" s="23">
        <f>SUMIF(CPU!M:M,B223,CPU!O:O)+SUMIF(CPUAUX1!M:M,B223,CPUAUX1!O:O)+SUMIF(CPUAUX2!M:M,B223,CPUAUX2!O:O)+SUMIF(CPUAUX3!M:M,B223,CPUAUX3!O:O)+SUMIF(CPUAUX4!M:M,B223,CPUAUX4!O:O)+SUMIF(CPUAUX5!M:M,B223,CPUAUX5!O:O)</f>
        <v>5</v>
      </c>
      <c r="G223" s="5">
        <f>VLOOKUP(B223,I!$A:$G,5,FALSE)</f>
        <v>1.69</v>
      </c>
      <c r="H223" s="5">
        <f t="shared" si="6"/>
        <v>8.4499999999999993</v>
      </c>
      <c r="I223" s="25">
        <f t="shared" si="7"/>
        <v>1.4490858880144323E-5</v>
      </c>
    </row>
    <row r="224" spans="1:9" ht="28.8" x14ac:dyDescent="0.3">
      <c r="A224" s="23">
        <v>218</v>
      </c>
      <c r="B224" s="23">
        <v>1571</v>
      </c>
      <c r="C224" s="23" t="str">
        <f>VLOOKUP(B224,I!$A:$G,2,FALSE)</f>
        <v>SINAPI</v>
      </c>
      <c r="D224" s="24" t="str">
        <f>VLOOKUP(B224,I!$A:$G,3,FALSE)</f>
        <v>TERMINAL A COMPRESSAO EM COBRE ESTANHADO PARA CABO 4 MM2, 1 FURO E 1 COMPRESSAO, PARA PARAFUSO DE FIXACAO M5</v>
      </c>
      <c r="E224" s="23" t="str">
        <f>VLOOKUP(B224,I!$A:$G,4,FALSE)</f>
        <v>UN</v>
      </c>
      <c r="F224" s="23">
        <f>SUMIF(CPU!M:M,B224,CPU!O:O)+SUMIF(CPUAUX1!M:M,B224,CPUAUX1!O:O)+SUMIF(CPUAUX2!M:M,B224,CPUAUX2!O:O)+SUMIF(CPUAUX3!M:M,B224,CPUAUX3!O:O)+SUMIF(CPUAUX4!M:M,B224,CPUAUX4!O:O)+SUMIF(CPUAUX5!M:M,B224,CPUAUX5!O:O)</f>
        <v>5</v>
      </c>
      <c r="G224" s="5">
        <f>VLOOKUP(B224,I!$A:$G,5,FALSE)</f>
        <v>1.66</v>
      </c>
      <c r="H224" s="5">
        <f t="shared" si="6"/>
        <v>8.2999999999999989</v>
      </c>
      <c r="I224" s="25">
        <f t="shared" si="7"/>
        <v>1.4233624698839986E-5</v>
      </c>
    </row>
    <row r="225" spans="1:9" x14ac:dyDescent="0.3">
      <c r="A225" s="23">
        <v>219</v>
      </c>
      <c r="B225" s="23">
        <v>1892</v>
      </c>
      <c r="C225" s="23" t="str">
        <f>VLOOKUP(B225,I!$A:$G,2,FALSE)</f>
        <v>SINAPI</v>
      </c>
      <c r="D225" s="24" t="str">
        <f>VLOOKUP(B225,I!$A:$G,3,FALSE)</f>
        <v>LUVA EM PVC RIGIDO ROSCAVEL, DE 1", PARA ELETRODUTO</v>
      </c>
      <c r="E225" s="23" t="str">
        <f>VLOOKUP(B225,I!$A:$G,4,FALSE)</f>
        <v>UN</v>
      </c>
      <c r="F225" s="23">
        <f>SUMIF(CPU!M:M,B225,CPU!O:O)+SUMIF(CPUAUX1!M:M,B225,CPUAUX1!O:O)+SUMIF(CPUAUX2!M:M,B225,CPUAUX2!O:O)+SUMIF(CPUAUX3!M:M,B225,CPUAUX3!O:O)+SUMIF(CPUAUX4!M:M,B225,CPUAUX4!O:O)+SUMIF(CPUAUX5!M:M,B225,CPUAUX5!O:O)</f>
        <v>5</v>
      </c>
      <c r="G225" s="5">
        <f>VLOOKUP(B225,I!$A:$G,5,FALSE)</f>
        <v>1.59</v>
      </c>
      <c r="H225" s="5">
        <f t="shared" si="6"/>
        <v>7.95</v>
      </c>
      <c r="I225" s="25">
        <f t="shared" si="7"/>
        <v>1.3633411609129869E-5</v>
      </c>
    </row>
    <row r="226" spans="1:9" x14ac:dyDescent="0.3">
      <c r="A226" s="23">
        <v>220</v>
      </c>
      <c r="B226" s="23" t="s">
        <v>1112</v>
      </c>
      <c r="C226" s="23" t="str">
        <f>VLOOKUP(B226,I!$A:$G,2,FALSE)</f>
        <v>ORSE</v>
      </c>
      <c r="D226" s="24" t="str">
        <f>VLOOKUP(B226,I!$A:$G,3,FALSE)</f>
        <v>EXAMES ADMISSIONAIS/DEMISSIONAIS (CHECKUP)</v>
      </c>
      <c r="E226" s="23" t="str">
        <f>VLOOKUP(B226,I!$A:$G,4,FALSE)</f>
        <v>CJ</v>
      </c>
      <c r="F226" s="23">
        <f>SUMIF(CPU!M:M,B226,CPU!O:O)+SUMIF(CPUAUX1!M:M,B226,CPUAUX1!O:O)+SUMIF(CPUAUX2!M:M,B226,CPUAUX2!O:O)+SUMIF(CPUAUX3!M:M,B226,CPUAUX3!O:O)+SUMIF(CPUAUX4!M:M,B226,CPUAUX4!O:O)+SUMIF(CPUAUX5!M:M,B226,CPUAUX5!O:O)</f>
        <v>2.4366000000000002E-2</v>
      </c>
      <c r="G226" s="5">
        <f>VLOOKUP(B226,I!$A:$G,5,FALSE)</f>
        <v>300</v>
      </c>
      <c r="H226" s="5">
        <f t="shared" si="6"/>
        <v>7.309800000000001</v>
      </c>
      <c r="I226" s="25">
        <f t="shared" si="7"/>
        <v>1.2535536123322958E-5</v>
      </c>
    </row>
    <row r="227" spans="1:9" ht="28.8" x14ac:dyDescent="0.3">
      <c r="A227" s="23">
        <v>221</v>
      </c>
      <c r="B227" s="23">
        <v>40275</v>
      </c>
      <c r="C227" s="23" t="str">
        <f>VLOOKUP(B227,I!$A:$G,2,FALSE)</f>
        <v>SINAPI</v>
      </c>
      <c r="D227" s="24" t="str">
        <f>VLOOKUP(B227,I!$A:$G,3,FALSE)</f>
        <v>LOCACAO DE VIGA SANDUICHE METALICA VAZADA PARA TRAVAMENTO DE PILARES, ALTURA DE *8* CM, LARGURA DE *6* CM E EXTENSAO DE 2 M</v>
      </c>
      <c r="E227" s="23" t="str">
        <f>VLOOKUP(B227,I!$A:$G,4,FALSE)</f>
        <v>UNXMES</v>
      </c>
      <c r="F227" s="23">
        <f>SUMIF(CPU!M:M,B227,CPU!O:O)+SUMIF(CPUAUX1!M:M,B227,CPUAUX1!O:O)+SUMIF(CPUAUX2!M:M,B227,CPUAUX2!O:O)+SUMIF(CPUAUX3!M:M,B227,CPUAUX3!O:O)+SUMIF(CPUAUX4!M:M,B227,CPUAUX4!O:O)+SUMIF(CPUAUX5!M:M,B227,CPUAUX5!O:O)</f>
        <v>0.45644985000000005</v>
      </c>
      <c r="G227" s="5">
        <f>VLOOKUP(B227,I!$A:$G,5,FALSE)</f>
        <v>16</v>
      </c>
      <c r="H227" s="5">
        <f t="shared" si="6"/>
        <v>7.3031976000000007</v>
      </c>
      <c r="I227" s="25">
        <f t="shared" si="7"/>
        <v>1.2524213703598667E-5</v>
      </c>
    </row>
    <row r="228" spans="1:9" ht="28.8" x14ac:dyDescent="0.3">
      <c r="A228" s="23">
        <v>222</v>
      </c>
      <c r="B228" s="23">
        <v>36397</v>
      </c>
      <c r="C228" s="23" t="str">
        <f>VLOOKUP(B228,I!$A:$G,2,FALSE)</f>
        <v>SINAPI</v>
      </c>
      <c r="D228" s="24" t="str">
        <f>VLOOKUP(B228,I!$A:$G,3,FALSE)</f>
        <v>BETONEIRA, CAPACIDADE NOMINAL 600 L, CAPACIDADE DE MISTURA 360L, MOTOR ELETRICO TRIFASICO 220/380V, POTENCIA 4CV, EXCLUSO CARREGADOR</v>
      </c>
      <c r="E228" s="23" t="str">
        <f>VLOOKUP(B228,I!$A:$G,4,FALSE)</f>
        <v>UN</v>
      </c>
      <c r="F228" s="23">
        <f>SUMIF(CPU!M:M,B228,CPU!O:O)+SUMIF(CPUAUX1!M:M,B228,CPUAUX1!O:O)+SUMIF(CPUAUX2!M:M,B228,CPUAUX2!O:O)+SUMIF(CPUAUX3!M:M,B228,CPUAUX3!O:O)+SUMIF(CPUAUX4!M:M,B228,CPUAUX4!O:O)+SUMIF(CPUAUX5!M:M,B228,CPUAUX5!O:O)</f>
        <v>2.6170260842399998E-4</v>
      </c>
      <c r="G228" s="5">
        <f>VLOOKUP(B228,I!$A:$G,5,FALSE)</f>
        <v>26195.06</v>
      </c>
      <c r="H228" s="5">
        <f t="shared" si="6"/>
        <v>6.8553155298231854</v>
      </c>
      <c r="I228" s="25">
        <f t="shared" si="7"/>
        <v>1.1756143185979834E-5</v>
      </c>
    </row>
    <row r="229" spans="1:9" ht="28.8" x14ac:dyDescent="0.3">
      <c r="A229" s="23">
        <v>223</v>
      </c>
      <c r="B229" s="23">
        <v>1570</v>
      </c>
      <c r="C229" s="23" t="str">
        <f>VLOOKUP(B229,I!$A:$G,2,FALSE)</f>
        <v>SINAPI</v>
      </c>
      <c r="D229" s="24" t="str">
        <f>VLOOKUP(B229,I!$A:$G,3,FALSE)</f>
        <v>TERMINAL A COMPRESSAO EM COBRE ESTANHADO PARA CABO 2,5 MM2, 1 FURO E 1 COMPRESSAO, PARA PARAFUSO DE FIXACAO M5</v>
      </c>
      <c r="E229" s="23" t="str">
        <f>VLOOKUP(B229,I!$A:$G,4,FALSE)</f>
        <v>UN</v>
      </c>
      <c r="F229" s="23">
        <f>SUMIF(CPU!M:M,B229,CPU!O:O)+SUMIF(CPUAUX1!M:M,B229,CPUAUX1!O:O)+SUMIF(CPUAUX2!M:M,B229,CPUAUX2!O:O)+SUMIF(CPUAUX3!M:M,B229,CPUAUX3!O:O)+SUMIF(CPUAUX4!M:M,B229,CPUAUX4!O:O)+SUMIF(CPUAUX5!M:M,B229,CPUAUX5!O:O)</f>
        <v>5</v>
      </c>
      <c r="G229" s="5">
        <f>VLOOKUP(B229,I!$A:$G,5,FALSE)</f>
        <v>1.28</v>
      </c>
      <c r="H229" s="5">
        <f t="shared" si="6"/>
        <v>6.4</v>
      </c>
      <c r="I229" s="25">
        <f t="shared" si="7"/>
        <v>1.0975325068985052E-5</v>
      </c>
    </row>
    <row r="230" spans="1:9" ht="28.8" x14ac:dyDescent="0.3">
      <c r="A230" s="23">
        <v>224</v>
      </c>
      <c r="B230" s="23">
        <v>2692</v>
      </c>
      <c r="C230" s="23" t="str">
        <f>VLOOKUP(B230,I!$A:$G,2,FALSE)</f>
        <v>SINAPI</v>
      </c>
      <c r="D230" s="24" t="str">
        <f>VLOOKUP(B230,I!$A:$G,3,FALSE)</f>
        <v>DESMOLDANTE PROTETOR PARA FORMAS DE MADEIRA, DE BASE OLEOSA EMULSIONADA EM AGUA</v>
      </c>
      <c r="E230" s="23" t="str">
        <f>VLOOKUP(B230,I!$A:$G,4,FALSE)</f>
        <v>L</v>
      </c>
      <c r="F230" s="23">
        <f>SUMIF(CPU!M:M,B230,CPU!O:O)+SUMIF(CPUAUX1!M:M,B230,CPUAUX1!O:O)+SUMIF(CPUAUX2!M:M,B230,CPUAUX2!O:O)+SUMIF(CPUAUX3!M:M,B230,CPUAUX3!O:O)+SUMIF(CPUAUX4!M:M,B230,CPUAUX4!O:O)+SUMIF(CPUAUX5!M:M,B230,CPUAUX5!O:O)</f>
        <v>0.55944149999999992</v>
      </c>
      <c r="G230" s="5">
        <f>VLOOKUP(B230,I!$A:$G,5,FALSE)</f>
        <v>10.75</v>
      </c>
      <c r="H230" s="5">
        <f t="shared" si="6"/>
        <v>6.0139961249999994</v>
      </c>
      <c r="I230" s="25">
        <f t="shared" si="7"/>
        <v>1.0313369130545538E-5</v>
      </c>
    </row>
    <row r="231" spans="1:9" x14ac:dyDescent="0.3">
      <c r="A231" s="23">
        <v>225</v>
      </c>
      <c r="B231" s="23">
        <v>21127</v>
      </c>
      <c r="C231" s="23" t="str">
        <f>VLOOKUP(B231,I!$A:$G,2,FALSE)</f>
        <v>SINAPI</v>
      </c>
      <c r="D231" s="24" t="str">
        <f>VLOOKUP(B231,I!$A:$G,3,FALSE)</f>
        <v>FITA ISOLANTE ADESIVA ANTICHAMA, USO ATE 750 V, EM ROLO DE 19 MM X 5 M</v>
      </c>
      <c r="E231" s="23" t="str">
        <f>VLOOKUP(B231,I!$A:$G,4,FALSE)</f>
        <v>UN</v>
      </c>
      <c r="F231" s="23">
        <f>SUMIF(CPU!M:M,B231,CPU!O:O)+SUMIF(CPUAUX1!M:M,B231,CPUAUX1!O:O)+SUMIF(CPUAUX2!M:M,B231,CPUAUX2!O:O)+SUMIF(CPUAUX3!M:M,B231,CPUAUX3!O:O)+SUMIF(CPUAUX4!M:M,B231,CPUAUX4!O:O)+SUMIF(CPUAUX5!M:M,B231,CPUAUX5!O:O)</f>
        <v>1.504</v>
      </c>
      <c r="G231" s="5">
        <f>VLOOKUP(B231,I!$A:$G,5,FALSE)</f>
        <v>3.69</v>
      </c>
      <c r="H231" s="5">
        <f t="shared" si="6"/>
        <v>5.54976</v>
      </c>
      <c r="I231" s="25">
        <f t="shared" si="7"/>
        <v>9.5172531335703865E-6</v>
      </c>
    </row>
    <row r="232" spans="1:9" ht="28.8" x14ac:dyDescent="0.3">
      <c r="A232" s="23">
        <v>226</v>
      </c>
      <c r="B232" s="23">
        <v>40287</v>
      </c>
      <c r="C232" s="23" t="str">
        <f>VLOOKUP(B232,I!$A:$G,2,FALSE)</f>
        <v>SINAPI</v>
      </c>
      <c r="D232" s="24" t="str">
        <f>VLOOKUP(B232,I!$A:$G,3,FALSE)</f>
        <v>LOCACAO DE BARRA DE ANCORAGEM DE 0,80 A 1,20 M DE EXTENSAO, COM ROSCA DE 5/8", INCLUINDO PORCA E FLANGE</v>
      </c>
      <c r="E232" s="23" t="str">
        <f>VLOOKUP(B232,I!$A:$G,4,FALSE)</f>
        <v>MES</v>
      </c>
      <c r="F232" s="23">
        <f>SUMIF(CPU!M:M,B232,CPU!O:O)+SUMIF(CPUAUX1!M:M,B232,CPUAUX1!O:O)+SUMIF(CPUAUX2!M:M,B232,CPUAUX2!O:O)+SUMIF(CPUAUX3!M:M,B232,CPUAUX3!O:O)+SUMIF(CPUAUX4!M:M,B232,CPUAUX4!O:O)+SUMIF(CPUAUX5!M:M,B232,CPUAUX5!O:O)</f>
        <v>0.91173825000000008</v>
      </c>
      <c r="G232" s="5">
        <f>VLOOKUP(B232,I!$A:$G,5,FALSE)</f>
        <v>5.89</v>
      </c>
      <c r="H232" s="5">
        <f t="shared" si="6"/>
        <v>5.3701382925000001</v>
      </c>
      <c r="I232" s="25">
        <f t="shared" si="7"/>
        <v>9.2092208477487235E-6</v>
      </c>
    </row>
    <row r="233" spans="1:9" x14ac:dyDescent="0.3">
      <c r="A233" s="23">
        <v>227</v>
      </c>
      <c r="B233" s="23">
        <v>40304</v>
      </c>
      <c r="C233" s="23" t="str">
        <f>VLOOKUP(B233,I!$A:$G,2,FALSE)</f>
        <v>SINAPI</v>
      </c>
      <c r="D233" s="24" t="str">
        <f>VLOOKUP(B233,I!$A:$G,3,FALSE)</f>
        <v>PREGO DE ACO POLIDO COM CABECA DUPLA 17 X 27 (2 1/2 X 11)</v>
      </c>
      <c r="E233" s="23" t="str">
        <f>VLOOKUP(B233,I!$A:$G,4,FALSE)</f>
        <v>KG</v>
      </c>
      <c r="F233" s="23">
        <f>SUMIF(CPU!M:M,B233,CPU!O:O)+SUMIF(CPUAUX1!M:M,B233,CPUAUX1!O:O)+SUMIF(CPUAUX2!M:M,B233,CPUAUX2!O:O)+SUMIF(CPUAUX3!M:M,B233,CPUAUX3!O:O)+SUMIF(CPUAUX4!M:M,B233,CPUAUX4!O:O)+SUMIF(CPUAUX5!M:M,B233,CPUAUX5!O:O)</f>
        <v>0.21182985000000001</v>
      </c>
      <c r="G233" s="5">
        <f>VLOOKUP(B233,I!$A:$G,5,FALSE)</f>
        <v>25.11</v>
      </c>
      <c r="H233" s="5">
        <f t="shared" si="6"/>
        <v>5.3190475335</v>
      </c>
      <c r="I233" s="25">
        <f t="shared" si="7"/>
        <v>9.1216055839915085E-6</v>
      </c>
    </row>
    <row r="234" spans="1:9" x14ac:dyDescent="0.3">
      <c r="A234" s="23">
        <v>228</v>
      </c>
      <c r="B234" s="23">
        <v>20083</v>
      </c>
      <c r="C234" s="23" t="str">
        <f>VLOOKUP(B234,I!$A:$G,2,FALSE)</f>
        <v>SINAPI</v>
      </c>
      <c r="D234" s="24" t="str">
        <f>VLOOKUP(B234,I!$A:$G,3,FALSE)</f>
        <v>SOLUCAO PREPARADORA / LIMPADORA PARA PVC, FRASCO COM 1000 CM3</v>
      </c>
      <c r="E234" s="23" t="str">
        <f>VLOOKUP(B234,I!$A:$G,4,FALSE)</f>
        <v>UN</v>
      </c>
      <c r="F234" s="23">
        <f>SUMIF(CPU!M:M,B234,CPU!O:O)+SUMIF(CPUAUX1!M:M,B234,CPUAUX1!O:O)+SUMIF(CPUAUX2!M:M,B234,CPUAUX2!O:O)+SUMIF(CPUAUX3!M:M,B234,CPUAUX3!O:O)+SUMIF(CPUAUX4!M:M,B234,CPUAUX4!O:O)+SUMIF(CPUAUX5!M:M,B234,CPUAUX5!O:O)</f>
        <v>6.25E-2</v>
      </c>
      <c r="G234" s="5">
        <f>VLOOKUP(B234,I!$A:$G,5,FALSE)</f>
        <v>79.760000000000005</v>
      </c>
      <c r="H234" s="5">
        <f t="shared" si="6"/>
        <v>4.9850000000000003</v>
      </c>
      <c r="I234" s="25">
        <f t="shared" si="7"/>
        <v>8.5487492920141383E-6</v>
      </c>
    </row>
    <row r="235" spans="1:9" x14ac:dyDescent="0.3">
      <c r="A235" s="23">
        <v>229</v>
      </c>
      <c r="B235" s="23">
        <v>12893</v>
      </c>
      <c r="C235" s="23" t="str">
        <f>VLOOKUP(B235,I!$A:$G,2,FALSE)</f>
        <v>SINAPI</v>
      </c>
      <c r="D235" s="24" t="str">
        <f>VLOOKUP(B235,I!$A:$G,3,FALSE)</f>
        <v>BOTA DE SEGURANCA COM BIQUEIRA DE ACO E COLARINHO ACOLCHOADO</v>
      </c>
      <c r="E235" s="23" t="str">
        <f>VLOOKUP(B235,I!$A:$G,4,FALSE)</f>
        <v>PAR</v>
      </c>
      <c r="F235" s="23">
        <f>SUMIF(CPU!M:M,B235,CPU!O:O)+SUMIF(CPUAUX1!M:M,B235,CPUAUX1!O:O)+SUMIF(CPUAUX2!M:M,B235,CPUAUX2!O:O)+SUMIF(CPUAUX3!M:M,B235,CPUAUX3!O:O)+SUMIF(CPUAUX4!M:M,B235,CPUAUX4!O:O)+SUMIF(CPUAUX5!M:M,B235,CPUAUX5!O:O)</f>
        <v>4.7270300000000008E-2</v>
      </c>
      <c r="G235" s="5">
        <f>VLOOKUP(B235,I!$A:$G,5,FALSE)</f>
        <v>103.39</v>
      </c>
      <c r="H235" s="5">
        <f t="shared" si="6"/>
        <v>4.8872763170000004</v>
      </c>
      <c r="I235" s="25">
        <f t="shared" si="7"/>
        <v>8.3811634814104733E-6</v>
      </c>
    </row>
    <row r="236" spans="1:9" x14ac:dyDescent="0.3">
      <c r="A236" s="23">
        <v>230</v>
      </c>
      <c r="B236" s="23">
        <v>122</v>
      </c>
      <c r="C236" s="23" t="str">
        <f>VLOOKUP(B236,I!$A:$G,2,FALSE)</f>
        <v>SINAPI</v>
      </c>
      <c r="D236" s="24" t="str">
        <f>VLOOKUP(B236,I!$A:$G,3,FALSE)</f>
        <v>ADESIVO PLASTICO PARA PVC, FRASCO COM *850* GR</v>
      </c>
      <c r="E236" s="23" t="str">
        <f>VLOOKUP(B236,I!$A:$G,4,FALSE)</f>
        <v>UN</v>
      </c>
      <c r="F236" s="23">
        <f>SUMIF(CPU!M:M,B236,CPU!O:O)+SUMIF(CPUAUX1!M:M,B236,CPUAUX1!O:O)+SUMIF(CPUAUX2!M:M,B236,CPUAUX2!O:O)+SUMIF(CPUAUX3!M:M,B236,CPUAUX3!O:O)+SUMIF(CPUAUX4!M:M,B236,CPUAUX4!O:O)+SUMIF(CPUAUX5!M:M,B236,CPUAUX5!O:O)</f>
        <v>5.2999999999999999E-2</v>
      </c>
      <c r="G236" s="5">
        <f>VLOOKUP(B236,I!$A:$G,5,FALSE)</f>
        <v>70.400000000000006</v>
      </c>
      <c r="H236" s="5">
        <f t="shared" si="6"/>
        <v>3.7312000000000003</v>
      </c>
      <c r="I236" s="25">
        <f t="shared" si="7"/>
        <v>6.3986145152182849E-6</v>
      </c>
    </row>
    <row r="237" spans="1:9" x14ac:dyDescent="0.3">
      <c r="A237" s="23">
        <v>231</v>
      </c>
      <c r="B237" s="23" t="s">
        <v>1067</v>
      </c>
      <c r="C237" s="23" t="str">
        <f>VLOOKUP(B237,I!$A:$G,2,FALSE)</f>
        <v>SEINFRA</v>
      </c>
      <c r="D237" s="24" t="str">
        <f>VLOOKUP(B237,I!$A:$G,3,FALSE)</f>
        <v>AREIA GROSSA</v>
      </c>
      <c r="E237" s="23" t="str">
        <f>VLOOKUP(B237,I!$A:$G,4,FALSE)</f>
        <v>M3</v>
      </c>
      <c r="F237" s="23">
        <f>SUMIF(CPU!M:M,B237,CPU!O:O)+SUMIF(CPUAUX1!M:M,B237,CPUAUX1!O:O)+SUMIF(CPUAUX2!M:M,B237,CPUAUX2!O:O)+SUMIF(CPUAUX3!M:M,B237,CPUAUX3!O:O)+SUMIF(CPUAUX4!M:M,B237,CPUAUX4!O:O)+SUMIF(CPUAUX5!M:M,B237,CPUAUX5!O:O)</f>
        <v>0.03</v>
      </c>
      <c r="G237" s="5">
        <f>VLOOKUP(B237,I!$A:$G,5,FALSE)</f>
        <v>119.58</v>
      </c>
      <c r="H237" s="5">
        <f t="shared" si="6"/>
        <v>3.5873999999999997</v>
      </c>
      <c r="I237" s="25">
        <f t="shared" si="7"/>
        <v>6.1520126800745262E-6</v>
      </c>
    </row>
    <row r="238" spans="1:9" x14ac:dyDescent="0.3">
      <c r="A238" s="23">
        <v>232</v>
      </c>
      <c r="B238" s="23">
        <v>7307</v>
      </c>
      <c r="C238" s="23" t="str">
        <f>VLOOKUP(B238,I!$A:$G,2,FALSE)</f>
        <v>SINAPI</v>
      </c>
      <c r="D238" s="24" t="str">
        <f>VLOOKUP(B238,I!$A:$G,3,FALSE)</f>
        <v>FUNDO ANTICORROSIVO PARA METAIS FERROSOS (ZARCAO)</v>
      </c>
      <c r="E238" s="23" t="str">
        <f>VLOOKUP(B238,I!$A:$G,4,FALSE)</f>
        <v>L</v>
      </c>
      <c r="F238" s="23">
        <f>SUMIF(CPU!M:M,B238,CPU!O:O)+SUMIF(CPUAUX1!M:M,B238,CPUAUX1!O:O)+SUMIF(CPUAUX2!M:M,B238,CPUAUX2!O:O)+SUMIF(CPUAUX3!M:M,B238,CPUAUX3!O:O)+SUMIF(CPUAUX4!M:M,B238,CPUAUX4!O:O)+SUMIF(CPUAUX5!M:M,B238,CPUAUX5!O:O)</f>
        <v>8.4999999999999992E-2</v>
      </c>
      <c r="G238" s="5">
        <f>VLOOKUP(B238,I!$A:$G,5,FALSE)</f>
        <v>41.5</v>
      </c>
      <c r="H238" s="5">
        <f t="shared" si="6"/>
        <v>3.5274999999999999</v>
      </c>
      <c r="I238" s="25">
        <f t="shared" si="7"/>
        <v>6.0492904970069944E-6</v>
      </c>
    </row>
    <row r="239" spans="1:9" ht="28.8" x14ac:dyDescent="0.3">
      <c r="A239" s="23">
        <v>233</v>
      </c>
      <c r="B239" s="23">
        <v>40271</v>
      </c>
      <c r="C239" s="23" t="str">
        <f>VLOOKUP(B239,I!$A:$G,2,FALSE)</f>
        <v>SINAPI</v>
      </c>
      <c r="D239" s="24" t="str">
        <f>VLOOKUP(B239,I!$A:$G,3,FALSE)</f>
        <v>LOCACAO DE APRUMADOR METALICO DE PILAR, COM ALTURA E ANGULO REGULAVEIS, EXTENSAO DE *1,50* A *2,80* M</v>
      </c>
      <c r="E239" s="23" t="str">
        <f>VLOOKUP(B239,I!$A:$G,4,FALSE)</f>
        <v>UNXMES</v>
      </c>
      <c r="F239" s="23">
        <f>SUMIF(CPU!M:M,B239,CPU!O:O)+SUMIF(CPUAUX1!M:M,B239,CPUAUX1!O:O)+SUMIF(CPUAUX2!M:M,B239,CPUAUX2!O:O)+SUMIF(CPUAUX3!M:M,B239,CPUAUX3!O:O)+SUMIF(CPUAUX4!M:M,B239,CPUAUX4!O:O)+SUMIF(CPUAUX5!M:M,B239,CPUAUX5!O:O)</f>
        <v>0.22764420000000002</v>
      </c>
      <c r="G239" s="5">
        <f>VLOOKUP(B239,I!$A:$G,5,FALSE)</f>
        <v>15.31</v>
      </c>
      <c r="H239" s="5">
        <f t="shared" si="6"/>
        <v>3.4852327020000002</v>
      </c>
      <c r="I239" s="25">
        <f t="shared" si="7"/>
        <v>5.9768065383604853E-6</v>
      </c>
    </row>
    <row r="240" spans="1:9" x14ac:dyDescent="0.3">
      <c r="A240" s="23">
        <v>234</v>
      </c>
      <c r="B240" s="23" t="s">
        <v>1110</v>
      </c>
      <c r="C240" s="23" t="str">
        <f>VLOOKUP(B240,I!$A:$G,2,FALSE)</f>
        <v>ORSE</v>
      </c>
      <c r="D240" s="24" t="str">
        <f>VLOOKUP(B240,I!$A:$G,3,FALSE)</f>
        <v>SEGURO DE VIDA E ACIDENTE EM GRUPO</v>
      </c>
      <c r="E240" s="23" t="str">
        <f>VLOOKUP(B240,I!$A:$G,4,FALSE)</f>
        <v>UN</v>
      </c>
      <c r="F240" s="23">
        <f>SUMIF(CPU!M:M,B240,CPU!O:O)+SUMIF(CPUAUX1!M:M,B240,CPUAUX1!O:O)+SUMIF(CPUAUX2!M:M,B240,CPUAUX2!O:O)+SUMIF(CPUAUX3!M:M,B240,CPUAUX3!O:O)+SUMIF(CPUAUX4!M:M,B240,CPUAUX4!O:O)+SUMIF(CPUAUX5!M:M,B240,CPUAUX5!O:O)</f>
        <v>0.27411749999999996</v>
      </c>
      <c r="G240" s="5">
        <f>VLOOKUP(B240,I!$A:$G,5,FALSE)</f>
        <v>12.54</v>
      </c>
      <c r="H240" s="5">
        <f t="shared" si="6"/>
        <v>3.4374334499999994</v>
      </c>
      <c r="I240" s="25">
        <f t="shared" si="7"/>
        <v>5.8948358619926195E-6</v>
      </c>
    </row>
    <row r="241" spans="1:9" x14ac:dyDescent="0.3">
      <c r="A241" s="23">
        <v>235</v>
      </c>
      <c r="B241" s="23">
        <v>39997</v>
      </c>
      <c r="C241" s="23" t="str">
        <f>VLOOKUP(B241,I!$A:$G,2,FALSE)</f>
        <v>SINAPI</v>
      </c>
      <c r="D241" s="24" t="str">
        <f>VLOOKUP(B241,I!$A:$G,3,FALSE)</f>
        <v>PORCA ZINCADA, SEXTAVADA, DIAMETRO 1/4"</v>
      </c>
      <c r="E241" s="23" t="str">
        <f>VLOOKUP(B241,I!$A:$G,4,FALSE)</f>
        <v>UN</v>
      </c>
      <c r="F241" s="23">
        <f>SUMIF(CPU!M:M,B241,CPU!O:O)+SUMIF(CPUAUX1!M:M,B241,CPUAUX1!O:O)+SUMIF(CPUAUX2!M:M,B241,CPUAUX2!O:O)+SUMIF(CPUAUX3!M:M,B241,CPUAUX3!O:O)+SUMIF(CPUAUX4!M:M,B241,CPUAUX4!O:O)+SUMIF(CPUAUX5!M:M,B241,CPUAUX5!O:O)</f>
        <v>10</v>
      </c>
      <c r="G241" s="5">
        <f>VLOOKUP(B241,I!$A:$G,5,FALSE)</f>
        <v>0.33</v>
      </c>
      <c r="H241" s="5">
        <f t="shared" si="6"/>
        <v>3.3000000000000003</v>
      </c>
      <c r="I241" s="25">
        <f t="shared" si="7"/>
        <v>5.6591519886954173E-6</v>
      </c>
    </row>
    <row r="242" spans="1:9" x14ac:dyDescent="0.3">
      <c r="A242" s="23">
        <v>236</v>
      </c>
      <c r="B242" s="23">
        <v>39996</v>
      </c>
      <c r="C242" s="23" t="str">
        <f>VLOOKUP(B242,I!$A:$G,2,FALSE)</f>
        <v>SINAPI</v>
      </c>
      <c r="D242" s="24" t="str">
        <f>VLOOKUP(B242,I!$A:$G,3,FALSE)</f>
        <v>VERGALHAO ZINCADO ROSCA TOTAL, 1/4" (6,3 MM)</v>
      </c>
      <c r="E242" s="23" t="str">
        <f>VLOOKUP(B242,I!$A:$G,4,FALSE)</f>
        <v>M</v>
      </c>
      <c r="F242" s="23">
        <f>SUMIF(CPU!M:M,B242,CPU!O:O)+SUMIF(CPUAUX1!M:M,B242,CPUAUX1!O:O)+SUMIF(CPUAUX2!M:M,B242,CPUAUX2!O:O)+SUMIF(CPUAUX3!M:M,B242,CPUAUX3!O:O)+SUMIF(CPUAUX4!M:M,B242,CPUAUX4!O:O)+SUMIF(CPUAUX5!M:M,B242,CPUAUX5!O:O)</f>
        <v>0.83199999999999996</v>
      </c>
      <c r="G242" s="5">
        <f>VLOOKUP(B242,I!$A:$G,5,FALSE)</f>
        <v>3.62</v>
      </c>
      <c r="H242" s="5">
        <f t="shared" si="6"/>
        <v>3.0118399999999999</v>
      </c>
      <c r="I242" s="25">
        <f t="shared" si="7"/>
        <v>5.1649879774643642E-6</v>
      </c>
    </row>
    <row r="243" spans="1:9" ht="28.8" x14ac:dyDescent="0.3">
      <c r="A243" s="23">
        <v>237</v>
      </c>
      <c r="B243" s="23">
        <v>2711</v>
      </c>
      <c r="C243" s="23" t="str">
        <f>VLOOKUP(B243,I!$A:$G,2,FALSE)</f>
        <v>SINAPI</v>
      </c>
      <c r="D243" s="24" t="str">
        <f>VLOOKUP(B243,I!$A:$G,3,FALSE)</f>
        <v>CARRINHO DE MAO, EM ACO, COM CAPACIDADE DE *45 A 65* L / *100* KG, PNEU COM CAMARA</v>
      </c>
      <c r="E243" s="23" t="str">
        <f>VLOOKUP(B243,I!$A:$G,4,FALSE)</f>
        <v>UN</v>
      </c>
      <c r="F243" s="23">
        <f>SUMIF(CPU!M:M,B243,CPU!O:O)+SUMIF(CPUAUX1!M:M,B243,CPUAUX1!O:O)+SUMIF(CPUAUX2!M:M,B243,CPUAUX2!O:O)+SUMIF(CPUAUX3!M:M,B243,CPUAUX3!O:O)+SUMIF(CPUAUX4!M:M,B243,CPUAUX4!O:O)+SUMIF(CPUAUX5!M:M,B243,CPUAUX5!O:O)</f>
        <v>7.4552000000000004E-3</v>
      </c>
      <c r="G243" s="5">
        <f>VLOOKUP(B243,I!$A:$G,5,FALSE)</f>
        <v>369</v>
      </c>
      <c r="H243" s="5">
        <f t="shared" si="6"/>
        <v>2.7509688000000003</v>
      </c>
      <c r="I243" s="25">
        <f t="shared" si="7"/>
        <v>4.7176213804118321E-6</v>
      </c>
    </row>
    <row r="244" spans="1:9" ht="28.8" x14ac:dyDescent="0.3">
      <c r="A244" s="23">
        <v>238</v>
      </c>
      <c r="B244" s="23">
        <v>14618</v>
      </c>
      <c r="C244" s="23" t="str">
        <f>VLOOKUP(B244,I!$A:$G,2,FALSE)</f>
        <v>SINAPI</v>
      </c>
      <c r="D244" s="24" t="str">
        <f>VLOOKUP(B244,I!$A:$G,3,FALSE)</f>
        <v>SERRA CIRCULAR DE BANCADA COM MOTOR ELETRICO, POTENCIA DE *1600* W, PARA DISCO DE DIAMETRO DE 10" (250 MM)</v>
      </c>
      <c r="E244" s="23" t="str">
        <f>VLOOKUP(B244,I!$A:$G,4,FALSE)</f>
        <v>UN</v>
      </c>
      <c r="F244" s="23">
        <f>SUMIF(CPU!M:M,B244,CPU!O:O)+SUMIF(CPUAUX1!M:M,B244,CPUAUX1!O:O)+SUMIF(CPUAUX2!M:M,B244,CPUAUX2!O:O)+SUMIF(CPUAUX3!M:M,B244,CPUAUX3!O:O)+SUMIF(CPUAUX4!M:M,B244,CPUAUX4!O:O)+SUMIF(CPUAUX5!M:M,B244,CPUAUX5!O:O)</f>
        <v>1.3250212647764202E-3</v>
      </c>
      <c r="G244" s="5">
        <f>VLOOKUP(B244,I!$A:$G,5,FALSE)</f>
        <v>1705.61</v>
      </c>
      <c r="H244" s="5">
        <f t="shared" si="6"/>
        <v>2.2599695194153098</v>
      </c>
      <c r="I244" s="25">
        <f t="shared" si="7"/>
        <v>3.8756093939970225E-6</v>
      </c>
    </row>
    <row r="245" spans="1:9" x14ac:dyDescent="0.3">
      <c r="A245" s="23">
        <v>239</v>
      </c>
      <c r="B245" s="23">
        <v>12892</v>
      </c>
      <c r="C245" s="23" t="str">
        <f>VLOOKUP(B245,I!$A:$G,2,FALSE)</f>
        <v>SINAPI</v>
      </c>
      <c r="D245" s="24" t="str">
        <f>VLOOKUP(B245,I!$A:$G,3,FALSE)</f>
        <v>LUVA RASPA DE COURO, CANO CURTO (PUNHO *7* CM)</v>
      </c>
      <c r="E245" s="23" t="str">
        <f>VLOOKUP(B245,I!$A:$G,4,FALSE)</f>
        <v>PAR</v>
      </c>
      <c r="F245" s="23">
        <f>SUMIF(CPU!M:M,B245,CPU!O:O)+SUMIF(CPUAUX1!M:M,B245,CPUAUX1!O:O)+SUMIF(CPUAUX2!M:M,B245,CPUAUX2!O:O)+SUMIF(CPUAUX3!M:M,B245,CPUAUX3!O:O)+SUMIF(CPUAUX4!M:M,B245,CPUAUX4!O:O)+SUMIF(CPUAUX5!M:M,B245,CPUAUX5!O:O)</f>
        <v>0.14010449999999999</v>
      </c>
      <c r="G245" s="5">
        <f>VLOOKUP(B245,I!$A:$G,5,FALSE)</f>
        <v>15.21</v>
      </c>
      <c r="H245" s="5">
        <f t="shared" si="6"/>
        <v>2.130989445</v>
      </c>
      <c r="I245" s="25">
        <f t="shared" si="7"/>
        <v>3.654422168351725E-6</v>
      </c>
    </row>
    <row r="246" spans="1:9" ht="28.8" x14ac:dyDescent="0.3">
      <c r="A246" s="23">
        <v>240</v>
      </c>
      <c r="B246" s="23">
        <v>43462</v>
      </c>
      <c r="C246" s="23" t="str">
        <f>VLOOKUP(B246,I!$A:$G,2,FALSE)</f>
        <v>SINAPI</v>
      </c>
      <c r="D246" s="24" t="str">
        <f>VLOOKUP(B246,I!$A:$G,3,FALSE)</f>
        <v>FERRAMENTAS - FAMILIA ENGENHEIRO CIVIL - HORISTA (ENCARGOS COMPLEMENTARES - COLETADO CAIXA)</v>
      </c>
      <c r="E246" s="23" t="str">
        <f>VLOOKUP(B246,I!$A:$G,4,FALSE)</f>
        <v>H</v>
      </c>
      <c r="F246" s="23">
        <f>SUMIF(CPU!M:M,B246,CPU!O:O)+SUMIF(CPUAUX1!M:M,B246,CPUAUX1!O:O)+SUMIF(CPUAUX2!M:M,B246,CPUAUX2!O:O)+SUMIF(CPUAUX3!M:M,B246,CPUAUX3!O:O)+SUMIF(CPUAUX4!M:M,B246,CPUAUX4!O:O)+SUMIF(CPUAUX5!M:M,B246,CPUAUX5!O:O)</f>
        <v>212</v>
      </c>
      <c r="G246" s="5">
        <f>VLOOKUP(B246,I!$A:$G,5,FALSE)</f>
        <v>0.01</v>
      </c>
      <c r="H246" s="5">
        <f t="shared" si="6"/>
        <v>2.12</v>
      </c>
      <c r="I246" s="25">
        <f t="shared" si="7"/>
        <v>3.6355764291012983E-6</v>
      </c>
    </row>
    <row r="247" spans="1:9" x14ac:dyDescent="0.3">
      <c r="A247" s="23">
        <v>241</v>
      </c>
      <c r="B247" s="23" t="s">
        <v>1114</v>
      </c>
      <c r="C247" s="23" t="str">
        <f>VLOOKUP(B247,I!$A:$G,2,FALSE)</f>
        <v>ORSE</v>
      </c>
      <c r="D247" s="24" t="str">
        <f>VLOOKUP(B247,I!$A:$G,3,FALSE)</f>
        <v>PROTETOR SOLAR FPS 30 COM 120ML</v>
      </c>
      <c r="E247" s="23" t="str">
        <f>VLOOKUP(B247,I!$A:$G,4,FALSE)</f>
        <v>UN</v>
      </c>
      <c r="F247" s="23">
        <f>SUMIF(CPU!M:M,B247,CPU!O:O)+SUMIF(CPUAUX1!M:M,B247,CPUAUX1!O:O)+SUMIF(CPUAUX2!M:M,B247,CPUAUX2!O:O)+SUMIF(CPUAUX3!M:M,B247,CPUAUX3!O:O)+SUMIF(CPUAUX4!M:M,B247,CPUAUX4!O:O)+SUMIF(CPUAUX5!M:M,B247,CPUAUX5!O:O)</f>
        <v>0.10964700000000001</v>
      </c>
      <c r="G247" s="5">
        <f>VLOOKUP(B247,I!$A:$G,5,FALSE)</f>
        <v>18</v>
      </c>
      <c r="H247" s="5">
        <f t="shared" si="6"/>
        <v>1.9736460000000002</v>
      </c>
      <c r="I247" s="25">
        <f t="shared" si="7"/>
        <v>3.3845947532971985E-6</v>
      </c>
    </row>
    <row r="248" spans="1:9" x14ac:dyDescent="0.3">
      <c r="A248" s="23">
        <v>242</v>
      </c>
      <c r="B248" s="23" t="s">
        <v>1113</v>
      </c>
      <c r="C248" s="23" t="str">
        <f>VLOOKUP(B248,I!$A:$G,2,FALSE)</f>
        <v>ORSE</v>
      </c>
      <c r="D248" s="24" t="str">
        <f>VLOOKUP(B248,I!$A:$G,3,FALSE)</f>
        <v>PROTETOR AURICULAR</v>
      </c>
      <c r="E248" s="23" t="str">
        <f>VLOOKUP(B248,I!$A:$G,4,FALSE)</f>
        <v>UN</v>
      </c>
      <c r="F248" s="23">
        <f>SUMIF(CPU!M:M,B248,CPU!O:O)+SUMIF(CPUAUX1!M:M,B248,CPUAUX1!O:O)+SUMIF(CPUAUX2!M:M,B248,CPUAUX2!O:O)+SUMIF(CPUAUX3!M:M,B248,CPUAUX3!O:O)+SUMIF(CPUAUX4!M:M,B248,CPUAUX4!O:O)+SUMIF(CPUAUX5!M:M,B248,CPUAUX5!O:O)</f>
        <v>0.27411749999999996</v>
      </c>
      <c r="G248" s="5">
        <f>VLOOKUP(B248,I!$A:$G,5,FALSE)</f>
        <v>4.9000000000000004</v>
      </c>
      <c r="H248" s="5">
        <f t="shared" si="6"/>
        <v>1.3431757499999999</v>
      </c>
      <c r="I248" s="25">
        <f t="shared" si="7"/>
        <v>2.3034047626605929E-6</v>
      </c>
    </row>
    <row r="249" spans="1:9" x14ac:dyDescent="0.3">
      <c r="A249" s="23">
        <v>243</v>
      </c>
      <c r="B249" s="23" t="s">
        <v>1146</v>
      </c>
      <c r="C249" s="23" t="str">
        <f>VLOOKUP(B249,I!$A:$G,2,FALSE)</f>
        <v>ORSE</v>
      </c>
      <c r="D249" s="24" t="str">
        <f>VLOOKUP(B249,I!$A:$G,3,FALSE)</f>
        <v>SERRA CIRCULAR ELETRICA PORTATIL</v>
      </c>
      <c r="E249" s="23" t="str">
        <f>VLOOKUP(B249,I!$A:$G,4,FALSE)</f>
        <v>UN</v>
      </c>
      <c r="F249" s="23">
        <f>SUMIF(CPU!M:M,B249,CPU!O:O)+SUMIF(CPUAUX1!M:M,B249,CPUAUX1!O:O)+SUMIF(CPUAUX2!M:M,B249,CPUAUX2!O:O)+SUMIF(CPUAUX3!M:M,B249,CPUAUX3!O:O)+SUMIF(CPUAUX4!M:M,B249,CPUAUX4!O:O)+SUMIF(CPUAUX5!M:M,B249,CPUAUX5!O:O)</f>
        <v>1.3117000000000001E-3</v>
      </c>
      <c r="G249" s="5">
        <f>VLOOKUP(B249,I!$A:$G,5,FALSE)</f>
        <v>617.95000000000005</v>
      </c>
      <c r="H249" s="5">
        <f t="shared" si="6"/>
        <v>0.81056501500000011</v>
      </c>
      <c r="I249" s="25">
        <f t="shared" si="7"/>
        <v>1.3900335201830852E-6</v>
      </c>
    </row>
    <row r="250" spans="1:9" ht="28.8" x14ac:dyDescent="0.3">
      <c r="A250" s="23">
        <v>244</v>
      </c>
      <c r="B250" s="23">
        <v>12895</v>
      </c>
      <c r="C250" s="23" t="str">
        <f>VLOOKUP(B250,I!$A:$G,2,FALSE)</f>
        <v>SINAPI</v>
      </c>
      <c r="D250" s="24" t="str">
        <f>VLOOKUP(B250,I!$A:$G,3,FALSE)</f>
        <v>CAPACETE DE SEGURANCA ABA FRONTAL COM SUSPENSAO DE POLIETILENO, SEM JUGULAR (CLASSE B)</v>
      </c>
      <c r="E250" s="23" t="str">
        <f>VLOOKUP(B250,I!$A:$G,4,FALSE)</f>
        <v>UN</v>
      </c>
      <c r="F250" s="23">
        <f>SUMIF(CPU!M:M,B250,CPU!O:O)+SUMIF(CPUAUX1!M:M,B250,CPUAUX1!O:O)+SUMIF(CPUAUX2!M:M,B250,CPUAUX2!O:O)+SUMIF(CPUAUX3!M:M,B250,CPUAUX3!O:O)+SUMIF(CPUAUX4!M:M,B250,CPUAUX4!O:O)+SUMIF(CPUAUX5!M:M,B250,CPUAUX5!O:O)</f>
        <v>3.6548999999999998E-2</v>
      </c>
      <c r="G250" s="5">
        <f>VLOOKUP(B250,I!$A:$G,5,FALSE)</f>
        <v>18.88</v>
      </c>
      <c r="H250" s="5">
        <f t="shared" si="6"/>
        <v>0.69004511999999996</v>
      </c>
      <c r="I250" s="25">
        <f t="shared" si="7"/>
        <v>1.183354610041687E-6</v>
      </c>
    </row>
    <row r="251" spans="1:9" ht="28.8" x14ac:dyDescent="0.3">
      <c r="A251" s="23">
        <v>245</v>
      </c>
      <c r="B251" s="23">
        <v>12894</v>
      </c>
      <c r="C251" s="23" t="str">
        <f>VLOOKUP(B251,I!$A:$G,2,FALSE)</f>
        <v>SINAPI</v>
      </c>
      <c r="D251" s="24" t="str">
        <f>VLOOKUP(B251,I!$A:$G,3,FALSE)</f>
        <v>CAPA PARA CHUVA EM PVC COM FORRO DE POLIESTER, COM CAPUZ (AMARELA OU AZUL)</v>
      </c>
      <c r="E251" s="23" t="str">
        <f>VLOOKUP(B251,I!$A:$G,4,FALSE)</f>
        <v>UN</v>
      </c>
      <c r="F251" s="23">
        <f>SUMIF(CPU!M:M,B251,CPU!O:O)+SUMIF(CPUAUX1!M:M,B251,CPUAUX1!O:O)+SUMIF(CPUAUX2!M:M,B251,CPUAUX2!O:O)+SUMIF(CPUAUX3!M:M,B251,CPUAUX3!O:O)+SUMIF(CPUAUX4!M:M,B251,CPUAUX4!O:O)+SUMIF(CPUAUX5!M:M,B251,CPUAUX5!O:O)</f>
        <v>1.2183000000000001E-2</v>
      </c>
      <c r="G251" s="5">
        <f>VLOOKUP(B251,I!$A:$G,5,FALSE)</f>
        <v>28.12</v>
      </c>
      <c r="H251" s="5">
        <f t="shared" si="6"/>
        <v>0.34258596000000002</v>
      </c>
      <c r="I251" s="25">
        <f t="shared" si="7"/>
        <v>5.8749879297973596E-7</v>
      </c>
    </row>
    <row r="252" spans="1:9" x14ac:dyDescent="0.3">
      <c r="A252" s="23">
        <v>246</v>
      </c>
      <c r="B252" s="23" t="s">
        <v>1106</v>
      </c>
      <c r="C252" s="23" t="str">
        <f>VLOOKUP(B252,I!$A:$G,2,FALSE)</f>
        <v>ORSE</v>
      </c>
      <c r="D252" s="24" t="str">
        <f>VLOOKUP(B252,I!$A:$G,3,FALSE)</f>
        <v>ÓCULOS BRANCO PROTEÇÃO</v>
      </c>
      <c r="E252" s="23" t="str">
        <f>VLOOKUP(B252,I!$A:$G,4,FALSE)</f>
        <v>PR</v>
      </c>
      <c r="F252" s="23">
        <f>SUMIF(CPU!M:M,B252,CPU!O:O)+SUMIF(CPUAUX1!M:M,B252,CPUAUX1!O:O)+SUMIF(CPUAUX2!M:M,B252,CPUAUX2!O:O)+SUMIF(CPUAUX3!M:M,B252,CPUAUX3!O:O)+SUMIF(CPUAUX4!M:M,B252,CPUAUX4!O:O)+SUMIF(CPUAUX5!M:M,B252,CPUAUX5!O:O)</f>
        <v>4.7420300000000006E-2</v>
      </c>
      <c r="G252" s="5">
        <f>VLOOKUP(B252,I!$A:$G,5,FALSE)</f>
        <v>7</v>
      </c>
      <c r="H252" s="5">
        <f t="shared" si="6"/>
        <v>0.33194210000000002</v>
      </c>
      <c r="I252" s="25">
        <f t="shared" si="7"/>
        <v>5.6924569555961608E-7</v>
      </c>
    </row>
    <row r="253" spans="1:9" x14ac:dyDescent="0.3">
      <c r="A253" s="23">
        <v>247</v>
      </c>
      <c r="B253" s="23" t="s">
        <v>1145</v>
      </c>
      <c r="C253" s="23" t="str">
        <f>VLOOKUP(B253,I!$A:$G,2,FALSE)</f>
        <v>ORSE</v>
      </c>
      <c r="D253" s="24" t="str">
        <f>VLOOKUP(B253,I!$A:$G,3,FALSE)</f>
        <v>FURADEIRA E PARAFUSADEIRA ELETRICA BOSCH OU SIMILAR PROFISSIONAL</v>
      </c>
      <c r="E253" s="23" t="str">
        <f>VLOOKUP(B253,I!$A:$G,4,FALSE)</f>
        <v>UN</v>
      </c>
      <c r="F253" s="23">
        <f>SUMIF(CPU!M:M,B253,CPU!O:O)+SUMIF(CPUAUX1!M:M,B253,CPUAUX1!O:O)+SUMIF(CPUAUX2!M:M,B253,CPUAUX2!O:O)+SUMIF(CPUAUX3!M:M,B253,CPUAUX3!O:O)+SUMIF(CPUAUX4!M:M,B253,CPUAUX4!O:O)+SUMIF(CPUAUX5!M:M,B253,CPUAUX5!O:O)</f>
        <v>1.3117000000000001E-3</v>
      </c>
      <c r="G253" s="5">
        <f>VLOOKUP(B253,I!$A:$G,5,FALSE)</f>
        <v>246</v>
      </c>
      <c r="H253" s="5">
        <f t="shared" si="6"/>
        <v>0.32267820000000003</v>
      </c>
      <c r="I253" s="25">
        <f t="shared" si="7"/>
        <v>5.5335908401171445E-7</v>
      </c>
    </row>
    <row r="254" spans="1:9" x14ac:dyDescent="0.3">
      <c r="A254" s="23">
        <v>248</v>
      </c>
      <c r="B254" s="23" t="s">
        <v>1116</v>
      </c>
      <c r="C254" s="23" t="str">
        <f>VLOOKUP(B254,I!$A:$G,2,FALSE)</f>
        <v>ORSE</v>
      </c>
      <c r="D254" s="24" t="str">
        <f>VLOOKUP(B254,I!$A:$G,3,FALSE)</f>
        <v>PÁ QUADRADA</v>
      </c>
      <c r="E254" s="23" t="str">
        <f>VLOOKUP(B254,I!$A:$G,4,FALSE)</f>
        <v>UN</v>
      </c>
      <c r="F254" s="23">
        <f>SUMIF(CPU!M:M,B254,CPU!O:O)+SUMIF(CPUAUX1!M:M,B254,CPUAUX1!O:O)+SUMIF(CPUAUX2!M:M,B254,CPUAUX2!O:O)+SUMIF(CPUAUX3!M:M,B254,CPUAUX3!O:O)+SUMIF(CPUAUX4!M:M,B254,CPUAUX4!O:O)+SUMIF(CPUAUX5!M:M,B254,CPUAUX5!O:O)</f>
        <v>7.4552000000000004E-3</v>
      </c>
      <c r="G254" s="5">
        <f>VLOOKUP(B254,I!$A:$G,5,FALSE)</f>
        <v>36.9</v>
      </c>
      <c r="H254" s="5">
        <f t="shared" si="6"/>
        <v>0.27509687999999999</v>
      </c>
      <c r="I254" s="25">
        <f t="shared" si="7"/>
        <v>4.7176213804118312E-7</v>
      </c>
    </row>
    <row r="255" spans="1:9" x14ac:dyDescent="0.3">
      <c r="A255" s="23">
        <v>249</v>
      </c>
      <c r="B255" s="23" t="s">
        <v>1108</v>
      </c>
      <c r="C255" s="23" t="str">
        <f>VLOOKUP(B255,I!$A:$G,2,FALSE)</f>
        <v>ORSE</v>
      </c>
      <c r="D255" s="24" t="str">
        <f>VLOOKUP(B255,I!$A:$G,3,FALSE)</f>
        <v>TALHADEIRA CHATA 10"</v>
      </c>
      <c r="E255" s="23" t="str">
        <f>VLOOKUP(B255,I!$A:$G,4,FALSE)</f>
        <v>UN</v>
      </c>
      <c r="F255" s="23">
        <f>SUMIF(CPU!M:M,B255,CPU!O:O)+SUMIF(CPUAUX1!M:M,B255,CPUAUX1!O:O)+SUMIF(CPUAUX2!M:M,B255,CPUAUX2!O:O)+SUMIF(CPUAUX3!M:M,B255,CPUAUX3!O:O)+SUMIF(CPUAUX4!M:M,B255,CPUAUX4!O:O)+SUMIF(CPUAUX5!M:M,B255,CPUAUX5!O:O)</f>
        <v>1.11828E-2</v>
      </c>
      <c r="G255" s="5">
        <f>VLOOKUP(B255,I!$A:$G,5,FALSE)</f>
        <v>18.579999999999998</v>
      </c>
      <c r="H255" s="5">
        <f t="shared" si="6"/>
        <v>0.20777642399999999</v>
      </c>
      <c r="I255" s="25">
        <f t="shared" si="7"/>
        <v>3.5631465547988545E-7</v>
      </c>
    </row>
    <row r="256" spans="1:9" x14ac:dyDescent="0.3">
      <c r="A256" s="23">
        <v>250</v>
      </c>
      <c r="B256" s="23">
        <v>38383</v>
      </c>
      <c r="C256" s="23" t="str">
        <f>VLOOKUP(B256,I!$A:$G,2,FALSE)</f>
        <v>SINAPI</v>
      </c>
      <c r="D256" s="24" t="str">
        <f>VLOOKUP(B256,I!$A:$G,3,FALSE)</f>
        <v>LIXA D'AGUA EM FOLHA, COR PRETA, GRAO 100</v>
      </c>
      <c r="E256" s="23" t="str">
        <f>VLOOKUP(B256,I!$A:$G,4,FALSE)</f>
        <v>UN</v>
      </c>
      <c r="F256" s="23">
        <f>SUMIF(CPU!M:M,B256,CPU!O:O)+SUMIF(CPUAUX1!M:M,B256,CPUAUX1!O:O)+SUMIF(CPUAUX2!M:M,B256,CPUAUX2!O:O)+SUMIF(CPUAUX3!M:M,B256,CPUAUX3!O:O)+SUMIF(CPUAUX4!M:M,B256,CPUAUX4!O:O)+SUMIF(CPUAUX5!M:M,B256,CPUAUX5!O:O)</f>
        <v>7.8499999999999986E-2</v>
      </c>
      <c r="G256" s="5">
        <f>VLOOKUP(B256,I!$A:$G,5,FALSE)</f>
        <v>2.15</v>
      </c>
      <c r="H256" s="5">
        <f t="shared" si="6"/>
        <v>0.16877499999999995</v>
      </c>
      <c r="I256" s="25">
        <f t="shared" si="7"/>
        <v>2.8943132633092991E-7</v>
      </c>
    </row>
    <row r="257" spans="1:9" x14ac:dyDescent="0.3">
      <c r="A257" s="23">
        <v>251</v>
      </c>
      <c r="B257" s="23" t="s">
        <v>1109</v>
      </c>
      <c r="C257" s="23" t="str">
        <f>VLOOKUP(B257,I!$A:$G,2,FALSE)</f>
        <v>ORSE</v>
      </c>
      <c r="D257" s="24" t="str">
        <f>VLOOKUP(B257,I!$A:$G,3,FALSE)</f>
        <v>MARRETA 1 KG COM CABO</v>
      </c>
      <c r="E257" s="23" t="str">
        <f>VLOOKUP(B257,I!$A:$G,4,FALSE)</f>
        <v>UN</v>
      </c>
      <c r="F257" s="23">
        <f>SUMIF(CPU!M:M,B257,CPU!O:O)+SUMIF(CPUAUX1!M:M,B257,CPUAUX1!O:O)+SUMIF(CPUAUX2!M:M,B257,CPUAUX2!O:O)+SUMIF(CPUAUX3!M:M,B257,CPUAUX3!O:O)+SUMIF(CPUAUX4!M:M,B257,CPUAUX4!O:O)+SUMIF(CPUAUX5!M:M,B257,CPUAUX5!O:O)</f>
        <v>3.7276000000000002E-3</v>
      </c>
      <c r="G257" s="5">
        <f>VLOOKUP(B257,I!$A:$G,5,FALSE)</f>
        <v>37.799999999999997</v>
      </c>
      <c r="H257" s="5">
        <f t="shared" si="6"/>
        <v>0.14090327999999999</v>
      </c>
      <c r="I257" s="25">
        <f t="shared" si="7"/>
        <v>2.4163426582597183E-7</v>
      </c>
    </row>
    <row r="258" spans="1:9" x14ac:dyDescent="0.3">
      <c r="A258" s="23">
        <v>252</v>
      </c>
      <c r="B258" s="23" t="s">
        <v>1144</v>
      </c>
      <c r="C258" s="23" t="str">
        <f>VLOOKUP(B258,I!$A:$G,2,FALSE)</f>
        <v>ORSE</v>
      </c>
      <c r="D258" s="24" t="str">
        <f>VLOOKUP(B258,I!$A:$G,3,FALSE)</f>
        <v>MARTELO COM UNHA</v>
      </c>
      <c r="E258" s="23" t="str">
        <f>VLOOKUP(B258,I!$A:$G,4,FALSE)</f>
        <v>UN</v>
      </c>
      <c r="F258" s="23">
        <f>SUMIF(CPU!M:M,B258,CPU!O:O)+SUMIF(CPUAUX1!M:M,B258,CPUAUX1!O:O)+SUMIF(CPUAUX2!M:M,B258,CPUAUX2!O:O)+SUMIF(CPUAUX3!M:M,B258,CPUAUX3!O:O)+SUMIF(CPUAUX4!M:M,B258,CPUAUX4!O:O)+SUMIF(CPUAUX5!M:M,B258,CPUAUX5!O:O)</f>
        <v>2.6234000000000001E-3</v>
      </c>
      <c r="G258" s="5">
        <f>VLOOKUP(B258,I!$A:$G,5,FALSE)</f>
        <v>48.95</v>
      </c>
      <c r="H258" s="5">
        <f t="shared" si="6"/>
        <v>0.12841543000000002</v>
      </c>
      <c r="I258" s="25">
        <f t="shared" si="7"/>
        <v>2.2021892001929612E-7</v>
      </c>
    </row>
    <row r="259" spans="1:9" x14ac:dyDescent="0.3">
      <c r="A259" s="23">
        <v>253</v>
      </c>
      <c r="B259" s="23" t="s">
        <v>1117</v>
      </c>
      <c r="C259" s="23" t="str">
        <f>VLOOKUP(B259,I!$A:$G,2,FALSE)</f>
        <v>ORSE</v>
      </c>
      <c r="D259" s="24" t="str">
        <f>VLOOKUP(B259,I!$A:$G,3,FALSE)</f>
        <v>CHAVE DE FENDA CHATA 30 CM</v>
      </c>
      <c r="E259" s="23" t="str">
        <f>VLOOKUP(B259,I!$A:$G,4,FALSE)</f>
        <v>UN</v>
      </c>
      <c r="F259" s="23">
        <f>SUMIF(CPU!M:M,B259,CPU!O:O)+SUMIF(CPUAUX1!M:M,B259,CPUAUX1!O:O)+SUMIF(CPUAUX2!M:M,B259,CPUAUX2!O:O)+SUMIF(CPUAUX3!M:M,B259,CPUAUX3!O:O)+SUMIF(CPUAUX4!M:M,B259,CPUAUX4!O:O)+SUMIF(CPUAUX5!M:M,B259,CPUAUX5!O:O)</f>
        <v>2.9234E-3</v>
      </c>
      <c r="G259" s="5">
        <f>VLOOKUP(B259,I!$A:$G,5,FALSE)</f>
        <v>26.89</v>
      </c>
      <c r="H259" s="5">
        <f t="shared" si="6"/>
        <v>7.8610226000000005E-2</v>
      </c>
      <c r="I259" s="25">
        <f t="shared" si="7"/>
        <v>1.3480824751505945E-7</v>
      </c>
    </row>
    <row r="260" spans="1:9" x14ac:dyDescent="0.3">
      <c r="A260" s="23">
        <v>254</v>
      </c>
      <c r="B260" s="23" t="s">
        <v>1149</v>
      </c>
      <c r="C260" s="23" t="str">
        <f>VLOOKUP(B260,I!$A:$G,2,FALSE)</f>
        <v>ORSE</v>
      </c>
      <c r="D260" s="24" t="str">
        <f>VLOOKUP(B260,I!$A:$G,3,FALSE)</f>
        <v>TORQUESA</v>
      </c>
      <c r="E260" s="23" t="str">
        <f>VLOOKUP(B260,I!$A:$G,4,FALSE)</f>
        <v>UN</v>
      </c>
      <c r="F260" s="23">
        <f>SUMIF(CPU!M:M,B260,CPU!O:O)+SUMIF(CPUAUX1!M:M,B260,CPUAUX1!O:O)+SUMIF(CPUAUX2!M:M,B260,CPUAUX2!O:O)+SUMIF(CPUAUX3!M:M,B260,CPUAUX3!O:O)+SUMIF(CPUAUX4!M:M,B260,CPUAUX4!O:O)+SUMIF(CPUAUX5!M:M,B260,CPUAUX5!O:O)</f>
        <v>1.7108000000000002E-3</v>
      </c>
      <c r="G260" s="5">
        <f>VLOOKUP(B260,I!$A:$G,5,FALSE)</f>
        <v>39</v>
      </c>
      <c r="H260" s="5">
        <f t="shared" si="6"/>
        <v>6.6721200000000008E-2</v>
      </c>
      <c r="I260" s="25">
        <f t="shared" si="7"/>
        <v>1.144198217176196E-7</v>
      </c>
    </row>
    <row r="261" spans="1:9" x14ac:dyDescent="0.3">
      <c r="A261" s="23">
        <v>255</v>
      </c>
      <c r="B261" s="23" t="s">
        <v>1119</v>
      </c>
      <c r="C261" s="23" t="str">
        <f>VLOOKUP(B261,I!$A:$G,2,FALSE)</f>
        <v>ORSE</v>
      </c>
      <c r="D261" s="24" t="str">
        <f>VLOOKUP(B261,I!$A:$G,3,FALSE)</f>
        <v>ALICATE VOLT-AMPERIMETRO</v>
      </c>
      <c r="E261" s="23" t="str">
        <f>VLOOKUP(B261,I!$A:$G,4,FALSE)</f>
        <v>UN</v>
      </c>
      <c r="F261" s="23">
        <f>SUMIF(CPU!M:M,B261,CPU!O:O)+SUMIF(CPUAUX1!M:M,B261,CPUAUX1!O:O)+SUMIF(CPUAUX2!M:M,B261,CPUAUX2!O:O)+SUMIF(CPUAUX3!M:M,B261,CPUAUX3!O:O)+SUMIF(CPUAUX4!M:M,B261,CPUAUX4!O:O)+SUMIF(CPUAUX5!M:M,B261,CPUAUX5!O:O)</f>
        <v>3.0000000000000003E-4</v>
      </c>
      <c r="G261" s="5">
        <f>VLOOKUP(B261,I!$A:$G,5,FALSE)</f>
        <v>170.6</v>
      </c>
      <c r="H261" s="5">
        <f t="shared" si="6"/>
        <v>5.1180000000000003E-2</v>
      </c>
      <c r="I261" s="25">
        <f t="shared" si="7"/>
        <v>8.7768302661039831E-8</v>
      </c>
    </row>
    <row r="262" spans="1:9" x14ac:dyDescent="0.3">
      <c r="A262" s="23">
        <v>256</v>
      </c>
      <c r="B262" s="23" t="s">
        <v>1143</v>
      </c>
      <c r="C262" s="23" t="str">
        <f>VLOOKUP(B262,I!$A:$G,2,FALSE)</f>
        <v>ORSE</v>
      </c>
      <c r="D262" s="24" t="str">
        <f>VLOOKUP(B262,I!$A:$G,3,FALSE)</f>
        <v>FORMÃO GRANDE</v>
      </c>
      <c r="E262" s="23" t="str">
        <f>VLOOKUP(B262,I!$A:$G,4,FALSE)</f>
        <v>UN</v>
      </c>
      <c r="F262" s="23">
        <f>SUMIF(CPU!M:M,B262,CPU!O:O)+SUMIF(CPUAUX1!M:M,B262,CPUAUX1!O:O)+SUMIF(CPUAUX2!M:M,B262,CPUAUX2!O:O)+SUMIF(CPUAUX3!M:M,B262,CPUAUX3!O:O)+SUMIF(CPUAUX4!M:M,B262,CPUAUX4!O:O)+SUMIF(CPUAUX5!M:M,B262,CPUAUX5!O:O)</f>
        <v>2.6234000000000001E-3</v>
      </c>
      <c r="G262" s="5">
        <f>VLOOKUP(B262,I!$A:$G,5,FALSE)</f>
        <v>15.15</v>
      </c>
      <c r="H262" s="5">
        <f t="shared" si="6"/>
        <v>3.9744510000000004E-2</v>
      </c>
      <c r="I262" s="25">
        <f t="shared" si="7"/>
        <v>6.815764327461361E-8</v>
      </c>
    </row>
    <row r="263" spans="1:9" x14ac:dyDescent="0.3">
      <c r="A263" s="23">
        <v>257</v>
      </c>
      <c r="B263" s="23" t="s">
        <v>1142</v>
      </c>
      <c r="C263" s="23" t="str">
        <f>VLOOKUP(B263,I!$A:$G,2,FALSE)</f>
        <v>ORSE</v>
      </c>
      <c r="D263" s="24" t="str">
        <f>VLOOKUP(B263,I!$A:$G,3,FALSE)</f>
        <v>SERROTE 40CM</v>
      </c>
      <c r="E263" s="23" t="str">
        <f>VLOOKUP(B263,I!$A:$G,4,FALSE)</f>
        <v>UN</v>
      </c>
      <c r="F263" s="23">
        <f>SUMIF(CPU!M:M,B263,CPU!O:O)+SUMIF(CPUAUX1!M:M,B263,CPUAUX1!O:O)+SUMIF(CPUAUX2!M:M,B263,CPUAUX2!O:O)+SUMIF(CPUAUX3!M:M,B263,CPUAUX3!O:O)+SUMIF(CPUAUX4!M:M,B263,CPUAUX4!O:O)+SUMIF(CPUAUX5!M:M,B263,CPUAUX5!O:O)</f>
        <v>1.3117000000000001E-3</v>
      </c>
      <c r="G263" s="5">
        <f>VLOOKUP(B263,I!$A:$G,5,FALSE)</f>
        <v>29.9</v>
      </c>
      <c r="H263" s="5">
        <f t="shared" ref="H263:H280" si="8">F263*G263</f>
        <v>3.9219829999999997E-2</v>
      </c>
      <c r="I263" s="25">
        <f t="shared" ref="I263:I284" si="9">H263/$H$281</f>
        <v>6.7257872406301857E-8</v>
      </c>
    </row>
    <row r="264" spans="1:9" x14ac:dyDescent="0.3">
      <c r="A264" s="23">
        <v>258</v>
      </c>
      <c r="B264" s="23" t="s">
        <v>1148</v>
      </c>
      <c r="C264" s="23" t="str">
        <f>VLOOKUP(B264,I!$A:$G,2,FALSE)</f>
        <v>ORSE</v>
      </c>
      <c r="D264" s="24" t="str">
        <f>VLOOKUP(B264,I!$A:$G,3,FALSE)</f>
        <v>ARCO DE SERRA</v>
      </c>
      <c r="E264" s="23" t="str">
        <f>VLOOKUP(B264,I!$A:$G,4,FALSE)</f>
        <v>UN</v>
      </c>
      <c r="F264" s="23">
        <f>SUMIF(CPU!M:M,B264,CPU!O:O)+SUMIF(CPUAUX1!M:M,B264,CPUAUX1!O:O)+SUMIF(CPUAUX2!M:M,B264,CPUAUX2!O:O)+SUMIF(CPUAUX3!M:M,B264,CPUAUX3!O:O)+SUMIF(CPUAUX4!M:M,B264,CPUAUX4!O:O)+SUMIF(CPUAUX5!M:M,B264,CPUAUX5!O:O)</f>
        <v>1.7108000000000002E-3</v>
      </c>
      <c r="G264" s="5">
        <f>VLOOKUP(B264,I!$A:$G,5,FALSE)</f>
        <v>19.899999999999999</v>
      </c>
      <c r="H264" s="5">
        <f t="shared" si="8"/>
        <v>3.4044919999999999E-2</v>
      </c>
      <c r="I264" s="25">
        <f t="shared" si="9"/>
        <v>5.8383447491811021E-8</v>
      </c>
    </row>
    <row r="265" spans="1:9" ht="28.8" x14ac:dyDescent="0.3">
      <c r="A265" s="23">
        <v>259</v>
      </c>
      <c r="B265" s="23">
        <v>13896</v>
      </c>
      <c r="C265" s="23" t="str">
        <f>VLOOKUP(B265,I!$A:$G,2,FALSE)</f>
        <v>SINAPI</v>
      </c>
      <c r="D265" s="24" t="str">
        <f>VLOOKUP(B265,I!$A:$G,3,FALSE)</f>
        <v>VIBRADOR DE IMERSAO, DIAMETRO DA PONTEIRA DE *45* MM, COM MOTOR ELETRICO TRIFASICO DE 2 HP (2 CV)</v>
      </c>
      <c r="E265" s="23" t="str">
        <f>VLOOKUP(B265,I!$A:$G,4,FALSE)</f>
        <v>UN</v>
      </c>
      <c r="F265" s="23">
        <f>SUMIF(CPU!M:M,B265,CPU!O:O)+SUMIF(CPUAUX1!M:M,B265,CPUAUX1!O:O)+SUMIF(CPUAUX2!M:M,B265,CPUAUX2!O:O)+SUMIF(CPUAUX3!M:M,B265,CPUAUX3!O:O)+SUMIF(CPUAUX4!M:M,B265,CPUAUX4!O:O)+SUMIF(CPUAUX5!M:M,B265,CPUAUX5!O:O)</f>
        <v>8.281119600000001E-6</v>
      </c>
      <c r="G265" s="5">
        <f>VLOOKUP(B265,I!$A:$G,5,FALSE)</f>
        <v>3120.96</v>
      </c>
      <c r="H265" s="5">
        <f t="shared" si="8"/>
        <v>2.5845043026816002E-2</v>
      </c>
      <c r="I265" s="25">
        <f t="shared" si="9"/>
        <v>4.432152322518921E-8</v>
      </c>
    </row>
    <row r="266" spans="1:9" x14ac:dyDescent="0.3">
      <c r="A266" s="23">
        <v>260</v>
      </c>
      <c r="B266" s="23" t="s">
        <v>1159</v>
      </c>
      <c r="C266" s="23" t="str">
        <f>VLOOKUP(B266,I!$A:$G,2,FALSE)</f>
        <v>ORSE</v>
      </c>
      <c r="D266" s="24" t="str">
        <f>VLOOKUP(B266,I!$A:$G,3,FALSE)</f>
        <v>SERRA MÁRMORE</v>
      </c>
      <c r="E266" s="23" t="str">
        <f>VLOOKUP(B266,I!$A:$G,4,FALSE)</f>
        <v>UN</v>
      </c>
      <c r="F266" s="23">
        <f>SUMIF(CPU!M:M,B266,CPU!O:O)+SUMIF(CPUAUX1!M:M,B266,CPUAUX1!O:O)+SUMIF(CPUAUX2!M:M,B266,CPUAUX2!O:O)+SUMIF(CPUAUX3!M:M,B266,CPUAUX3!O:O)+SUMIF(CPUAUX4!M:M,B266,CPUAUX4!O:O)+SUMIF(CPUAUX5!M:M,B266,CPUAUX5!O:O)</f>
        <v>4.6799999999999999E-5</v>
      </c>
      <c r="G266" s="5">
        <f>VLOOKUP(B266,I!$A:$G,5,FALSE)</f>
        <v>327.8</v>
      </c>
      <c r="H266" s="5">
        <f t="shared" si="8"/>
        <v>1.534104E-2</v>
      </c>
      <c r="I266" s="25">
        <f t="shared" si="9"/>
        <v>2.6308265765047253E-8</v>
      </c>
    </row>
    <row r="267" spans="1:9" x14ac:dyDescent="0.3">
      <c r="A267" s="23">
        <v>261</v>
      </c>
      <c r="B267" s="23" t="s">
        <v>1118</v>
      </c>
      <c r="C267" s="23" t="str">
        <f>VLOOKUP(B267,I!$A:$G,2,FALSE)</f>
        <v>ORSE</v>
      </c>
      <c r="D267" s="24" t="str">
        <f>VLOOKUP(B267,I!$A:$G,3,FALSE)</f>
        <v>ALICATE COM ISOLAMENTO</v>
      </c>
      <c r="E267" s="23" t="str">
        <f>VLOOKUP(B267,I!$A:$G,4,FALSE)</f>
        <v>UN</v>
      </c>
      <c r="F267" s="23">
        <f>SUMIF(CPU!M:M,B267,CPU!O:O)+SUMIF(CPUAUX1!M:M,B267,CPUAUX1!O:O)+SUMIF(CPUAUX2!M:M,B267,CPUAUX2!O:O)+SUMIF(CPUAUX3!M:M,B267,CPUAUX3!O:O)+SUMIF(CPUAUX4!M:M,B267,CPUAUX4!O:O)+SUMIF(CPUAUX5!M:M,B267,CPUAUX5!O:O)</f>
        <v>3.0000000000000003E-4</v>
      </c>
      <c r="G267" s="5">
        <f>VLOOKUP(B267,I!$A:$G,5,FALSE)</f>
        <v>47.69</v>
      </c>
      <c r="H267" s="5">
        <f t="shared" si="8"/>
        <v>1.4307E-2</v>
      </c>
      <c r="I267" s="25">
        <f t="shared" si="9"/>
        <v>2.4534996212807674E-8</v>
      </c>
    </row>
    <row r="268" spans="1:9" x14ac:dyDescent="0.3">
      <c r="A268" s="23">
        <v>262</v>
      </c>
      <c r="B268" s="23" t="s">
        <v>1120</v>
      </c>
      <c r="C268" s="23" t="str">
        <f>VLOOKUP(B268,I!$A:$G,2,FALSE)</f>
        <v>ORSE</v>
      </c>
      <c r="D268" s="24" t="str">
        <f>VLOOKUP(B268,I!$A:$G,3,FALSE)</f>
        <v>CHAVE INGLESA 12"</v>
      </c>
      <c r="E268" s="23" t="str">
        <f>VLOOKUP(B268,I!$A:$G,4,FALSE)</f>
        <v>UN</v>
      </c>
      <c r="F268" s="23">
        <f>SUMIF(CPU!M:M,B268,CPU!O:O)+SUMIF(CPUAUX1!M:M,B268,CPUAUX1!O:O)+SUMIF(CPUAUX2!M:M,B268,CPUAUX2!O:O)+SUMIF(CPUAUX3!M:M,B268,CPUAUX3!O:O)+SUMIF(CPUAUX4!M:M,B268,CPUAUX4!O:O)+SUMIF(CPUAUX5!M:M,B268,CPUAUX5!O:O)</f>
        <v>1.5000000000000001E-4</v>
      </c>
      <c r="G268" s="5">
        <f>VLOOKUP(B268,I!$A:$G,5,FALSE)</f>
        <v>34</v>
      </c>
      <c r="H268" s="5">
        <f t="shared" si="8"/>
        <v>5.1000000000000004E-3</v>
      </c>
      <c r="I268" s="25">
        <f t="shared" si="9"/>
        <v>8.7459621643474623E-9</v>
      </c>
    </row>
    <row r="269" spans="1:9" x14ac:dyDescent="0.3">
      <c r="A269" s="23">
        <v>263</v>
      </c>
      <c r="B269" s="23" t="s">
        <v>1153</v>
      </c>
      <c r="C269" s="23" t="str">
        <f>VLOOKUP(B269,I!$A:$G,2,FALSE)</f>
        <v>ORSE</v>
      </c>
      <c r="D269" s="24" t="str">
        <f>VLOOKUP(B269,I!$A:$G,3,FALSE)</f>
        <v>REGUA DE ALUMÍNIO C/ 2,00M (PARA PEDREIRO)</v>
      </c>
      <c r="E269" s="23" t="str">
        <f>VLOOKUP(B269,I!$A:$G,4,FALSE)</f>
        <v>UN</v>
      </c>
      <c r="F269" s="23">
        <f>SUMIF(CPU!M:M,B269,CPU!O:O)+SUMIF(CPUAUX1!M:M,B269,CPUAUX1!O:O)+SUMIF(CPUAUX2!M:M,B269,CPUAUX2!O:O)+SUMIF(CPUAUX3!M:M,B269,CPUAUX3!O:O)+SUMIF(CPUAUX4!M:M,B269,CPUAUX4!O:O)+SUMIF(CPUAUX5!M:M,B269,CPUAUX5!O:O)</f>
        <v>9.3599999999999998E-5</v>
      </c>
      <c r="G269" s="5">
        <f>VLOOKUP(B269,I!$A:$G,5,FALSE)</f>
        <v>44</v>
      </c>
      <c r="H269" s="5">
        <f t="shared" si="8"/>
        <v>4.1183999999999995E-3</v>
      </c>
      <c r="I269" s="25">
        <f t="shared" si="9"/>
        <v>7.0626216818918793E-9</v>
      </c>
    </row>
    <row r="270" spans="1:9" x14ac:dyDescent="0.3">
      <c r="A270" s="23">
        <v>264</v>
      </c>
      <c r="B270" s="23" t="s">
        <v>1157</v>
      </c>
      <c r="C270" s="23" t="str">
        <f>VLOOKUP(B270,I!$A:$G,2,FALSE)</f>
        <v>ORSE</v>
      </c>
      <c r="D270" s="24" t="str">
        <f>VLOOKUP(B270,I!$A:$G,3,FALSE)</f>
        <v>DESEMPOLADEIRA DE MADEIRA 12X22</v>
      </c>
      <c r="E270" s="23" t="str">
        <f>VLOOKUP(B270,I!$A:$G,4,FALSE)</f>
        <v>UN</v>
      </c>
      <c r="F270" s="23">
        <f>SUMIF(CPU!M:M,B270,CPU!O:O)+SUMIF(CPUAUX1!M:M,B270,CPUAUX1!O:O)+SUMIF(CPUAUX2!M:M,B270,CPUAUX2!O:O)+SUMIF(CPUAUX3!M:M,B270,CPUAUX3!O:O)+SUMIF(CPUAUX4!M:M,B270,CPUAUX4!O:O)+SUMIF(CPUAUX5!M:M,B270,CPUAUX5!O:O)</f>
        <v>3.2759999999999999E-4</v>
      </c>
      <c r="G270" s="5">
        <f>VLOOKUP(B270,I!$A:$G,5,FALSE)</f>
        <v>11.6</v>
      </c>
      <c r="H270" s="5">
        <f t="shared" si="8"/>
        <v>3.8001599999999999E-3</v>
      </c>
      <c r="I270" s="25">
        <f t="shared" si="9"/>
        <v>6.5168736428365985E-9</v>
      </c>
    </row>
    <row r="271" spans="1:9" x14ac:dyDescent="0.3">
      <c r="A271" s="23">
        <v>265</v>
      </c>
      <c r="B271" s="23" t="s">
        <v>1152</v>
      </c>
      <c r="C271" s="23" t="str">
        <f>VLOOKUP(B271,I!$A:$G,2,FALSE)</f>
        <v>ORSE</v>
      </c>
      <c r="D271" s="24" t="str">
        <f>VLOOKUP(B271,I!$A:$G,3,FALSE)</f>
        <v>COLHER DE PEDREIRO</v>
      </c>
      <c r="E271" s="23" t="str">
        <f>VLOOKUP(B271,I!$A:$G,4,FALSE)</f>
        <v>UN</v>
      </c>
      <c r="F271" s="23">
        <f>SUMIF(CPU!M:M,B271,CPU!O:O)+SUMIF(CPUAUX1!M:M,B271,CPUAUX1!O:O)+SUMIF(CPUAUX2!M:M,B271,CPUAUX2!O:O)+SUMIF(CPUAUX3!M:M,B271,CPUAUX3!O:O)+SUMIF(CPUAUX4!M:M,B271,CPUAUX4!O:O)+SUMIF(CPUAUX5!M:M,B271,CPUAUX5!O:O)</f>
        <v>1.872E-4</v>
      </c>
      <c r="G271" s="5">
        <f>VLOOKUP(B271,I!$A:$G,5,FALSE)</f>
        <v>18.8</v>
      </c>
      <c r="H271" s="5">
        <f t="shared" si="8"/>
        <v>3.51936E-3</v>
      </c>
      <c r="I271" s="25">
        <f t="shared" si="9"/>
        <v>6.035331255434879E-9</v>
      </c>
    </row>
    <row r="272" spans="1:9" x14ac:dyDescent="0.3">
      <c r="A272" s="23">
        <v>266</v>
      </c>
      <c r="B272" s="23" t="s">
        <v>1161</v>
      </c>
      <c r="C272" s="23" t="str">
        <f>VLOOKUP(B272,I!$A:$G,2,FALSE)</f>
        <v>ORSE</v>
      </c>
      <c r="D272" s="24" t="str">
        <f>VLOOKUP(B272,I!$A:$G,3,FALSE)</f>
        <v>MARTELO DE BORRACHA COM CABO</v>
      </c>
      <c r="E272" s="23" t="str">
        <f>VLOOKUP(B272,I!$A:$G,4,FALSE)</f>
        <v>UN</v>
      </c>
      <c r="F272" s="23">
        <f>SUMIF(CPU!M:M,B272,CPU!O:O)+SUMIF(CPUAUX1!M:M,B272,CPUAUX1!O:O)+SUMIF(CPUAUX2!M:M,B272,CPUAUX2!O:O)+SUMIF(CPUAUX3!M:M,B272,CPUAUX3!O:O)+SUMIF(CPUAUX4!M:M,B272,CPUAUX4!O:O)+SUMIF(CPUAUX5!M:M,B272,CPUAUX5!O:O)</f>
        <v>1.872E-4</v>
      </c>
      <c r="G272" s="5">
        <f>VLOOKUP(B272,I!$A:$G,5,FALSE)</f>
        <v>18.75</v>
      </c>
      <c r="H272" s="5">
        <f t="shared" si="8"/>
        <v>3.5100000000000001E-3</v>
      </c>
      <c r="I272" s="25">
        <f t="shared" si="9"/>
        <v>6.0192798425214889E-9</v>
      </c>
    </row>
    <row r="273" spans="1:9" x14ac:dyDescent="0.3">
      <c r="A273" s="23">
        <v>267</v>
      </c>
      <c r="B273" s="23" t="s">
        <v>1158</v>
      </c>
      <c r="C273" s="23" t="str">
        <f>VLOOKUP(B273,I!$A:$G,2,FALSE)</f>
        <v>ORSE</v>
      </c>
      <c r="D273" s="24" t="str">
        <f>VLOOKUP(B273,I!$A:$G,3,FALSE)</f>
        <v>ESCALA MÉTRICA DE BAMBÚ</v>
      </c>
      <c r="E273" s="23" t="str">
        <f>VLOOKUP(B273,I!$A:$G,4,FALSE)</f>
        <v>UN</v>
      </c>
      <c r="F273" s="23">
        <f>SUMIF(CPU!M:M,B273,CPU!O:O)+SUMIF(CPUAUX1!M:M,B273,CPUAUX1!O:O)+SUMIF(CPUAUX2!M:M,B273,CPUAUX2!O:O)+SUMIF(CPUAUX3!M:M,B273,CPUAUX3!O:O)+SUMIF(CPUAUX4!M:M,B273,CPUAUX4!O:O)+SUMIF(CPUAUX5!M:M,B273,CPUAUX5!O:O)</f>
        <v>3.2759999999999999E-4</v>
      </c>
      <c r="G273" s="5">
        <f>VLOOKUP(B273,I!$A:$G,5,FALSE)</f>
        <v>10.220000000000001</v>
      </c>
      <c r="H273" s="5">
        <f t="shared" si="8"/>
        <v>3.3480720000000001E-3</v>
      </c>
      <c r="I273" s="25">
        <f t="shared" si="9"/>
        <v>5.7415903991198306E-9</v>
      </c>
    </row>
    <row r="274" spans="1:9" x14ac:dyDescent="0.3">
      <c r="A274" s="23">
        <v>268</v>
      </c>
      <c r="B274" s="23" t="s">
        <v>1151</v>
      </c>
      <c r="C274" s="23" t="str">
        <f>VLOOKUP(B274,I!$A:$G,2,FALSE)</f>
        <v>ORSE</v>
      </c>
      <c r="D274" s="24" t="str">
        <f>VLOOKUP(B274,I!$A:$G,3,FALSE)</f>
        <v>DESEMPENADEIRA DE AÇO LISA, CABO MADEIRA, REF:143, ATLAS OU SIMILAR</v>
      </c>
      <c r="E274" s="23" t="str">
        <f>VLOOKUP(B274,I!$A:$G,4,FALSE)</f>
        <v>UN</v>
      </c>
      <c r="F274" s="23">
        <f>SUMIF(CPU!M:M,B274,CPU!O:O)+SUMIF(CPUAUX1!M:M,B274,CPUAUX1!O:O)+SUMIF(CPUAUX2!M:M,B274,CPUAUX2!O:O)+SUMIF(CPUAUX3!M:M,B274,CPUAUX3!O:O)+SUMIF(CPUAUX4!M:M,B274,CPUAUX4!O:O)+SUMIF(CPUAUX5!M:M,B274,CPUAUX5!O:O)</f>
        <v>2.34E-4</v>
      </c>
      <c r="G274" s="5">
        <f>VLOOKUP(B274,I!$A:$G,5,FALSE)</f>
        <v>12</v>
      </c>
      <c r="H274" s="5">
        <f t="shared" si="8"/>
        <v>2.8079999999999997E-3</v>
      </c>
      <c r="I274" s="25">
        <f t="shared" si="9"/>
        <v>4.8154238740171906E-9</v>
      </c>
    </row>
    <row r="275" spans="1:9" x14ac:dyDescent="0.3">
      <c r="A275" s="23">
        <v>269</v>
      </c>
      <c r="B275" s="23" t="s">
        <v>1154</v>
      </c>
      <c r="C275" s="23" t="str">
        <f>VLOOKUP(B275,I!$A:$G,2,FALSE)</f>
        <v>ORSE</v>
      </c>
      <c r="D275" s="24" t="str">
        <f>VLOOKUP(B275,I!$A:$G,3,FALSE)</f>
        <v>NÍVEL DE BOLHA DE MADEIRA</v>
      </c>
      <c r="E275" s="23" t="str">
        <f>VLOOKUP(B275,I!$A:$G,4,FALSE)</f>
        <v>UN</v>
      </c>
      <c r="F275" s="23">
        <f>SUMIF(CPU!M:M,B275,CPU!O:O)+SUMIF(CPUAUX1!M:M,B275,CPUAUX1!O:O)+SUMIF(CPUAUX2!M:M,B275,CPUAUX2!O:O)+SUMIF(CPUAUX3!M:M,B275,CPUAUX3!O:O)+SUMIF(CPUAUX4!M:M,B275,CPUAUX4!O:O)+SUMIF(CPUAUX5!M:M,B275,CPUAUX5!O:O)</f>
        <v>9.3599999999999998E-5</v>
      </c>
      <c r="G275" s="5">
        <f>VLOOKUP(B275,I!$A:$G,5,FALSE)</f>
        <v>15.4</v>
      </c>
      <c r="H275" s="5">
        <f t="shared" si="8"/>
        <v>1.44144E-3</v>
      </c>
      <c r="I275" s="25">
        <f t="shared" si="9"/>
        <v>2.4719175886621579E-9</v>
      </c>
    </row>
    <row r="276" spans="1:9" x14ac:dyDescent="0.3">
      <c r="A276" s="23">
        <v>270</v>
      </c>
      <c r="B276" s="23" t="s">
        <v>1156</v>
      </c>
      <c r="C276" s="23" t="str">
        <f>VLOOKUP(B276,I!$A:$G,2,FALSE)</f>
        <v>ORSE</v>
      </c>
      <c r="D276" s="24" t="str">
        <f>VLOOKUP(B276,I!$A:$G,3,FALSE)</f>
        <v>MARTELO SEM UNHA</v>
      </c>
      <c r="E276" s="23" t="str">
        <f>VLOOKUP(B276,I!$A:$G,4,FALSE)</f>
        <v>UN</v>
      </c>
      <c r="F276" s="23">
        <f>SUMIF(CPU!M:M,B276,CPU!O:O)+SUMIF(CPUAUX1!M:M,B276,CPUAUX1!O:O)+SUMIF(CPUAUX2!M:M,B276,CPUAUX2!O:O)+SUMIF(CPUAUX3!M:M,B276,CPUAUX3!O:O)+SUMIF(CPUAUX4!M:M,B276,CPUAUX4!O:O)+SUMIF(CPUAUX5!M:M,B276,CPUAUX5!O:O)</f>
        <v>4.6799999999999999E-5</v>
      </c>
      <c r="G276" s="5">
        <f>VLOOKUP(B276,I!$A:$G,5,FALSE)</f>
        <v>28</v>
      </c>
      <c r="H276" s="5">
        <f t="shared" si="8"/>
        <v>1.3104E-3</v>
      </c>
      <c r="I276" s="25">
        <f t="shared" si="9"/>
        <v>2.2471978078746891E-9</v>
      </c>
    </row>
    <row r="277" spans="1:9" x14ac:dyDescent="0.3">
      <c r="A277" s="23">
        <v>271</v>
      </c>
      <c r="B277" s="23" t="s">
        <v>1160</v>
      </c>
      <c r="C277" s="23" t="str">
        <f>VLOOKUP(B277,I!$A:$G,2,FALSE)</f>
        <v>ORSE</v>
      </c>
      <c r="D277" s="24" t="str">
        <f>VLOOKUP(B277,I!$A:$G,3,FALSE)</f>
        <v>MARRETA DE 1/2 KG COM CABO</v>
      </c>
      <c r="E277" s="23" t="str">
        <f>VLOOKUP(B277,I!$A:$G,4,FALSE)</f>
        <v>UN</v>
      </c>
      <c r="F277" s="23">
        <f>SUMIF(CPU!M:M,B277,CPU!O:O)+SUMIF(CPUAUX1!M:M,B277,CPUAUX1!O:O)+SUMIF(CPUAUX2!M:M,B277,CPUAUX2!O:O)+SUMIF(CPUAUX3!M:M,B277,CPUAUX3!O:O)+SUMIF(CPUAUX4!M:M,B277,CPUAUX4!O:O)+SUMIF(CPUAUX5!M:M,B277,CPUAUX5!O:O)</f>
        <v>9.3599999999999998E-5</v>
      </c>
      <c r="G277" s="5">
        <f>VLOOKUP(B277,I!$A:$G,5,FALSE)</f>
        <v>13.52</v>
      </c>
      <c r="H277" s="5">
        <f t="shared" si="8"/>
        <v>1.2654719999999999E-3</v>
      </c>
      <c r="I277" s="25">
        <f t="shared" si="9"/>
        <v>2.1701510258904139E-9</v>
      </c>
    </row>
    <row r="278" spans="1:9" x14ac:dyDescent="0.3">
      <c r="A278" s="23">
        <v>272</v>
      </c>
      <c r="B278" s="23" t="s">
        <v>1155</v>
      </c>
      <c r="C278" s="23" t="str">
        <f>VLOOKUP(B278,I!$A:$G,2,FALSE)</f>
        <v>ORSE</v>
      </c>
      <c r="D278" s="24" t="str">
        <f>VLOOKUP(B278,I!$A:$G,3,FALSE)</f>
        <v>PRUMO DE FACE</v>
      </c>
      <c r="E278" s="23" t="str">
        <f>VLOOKUP(B278,I!$A:$G,4,FALSE)</f>
        <v>UN</v>
      </c>
      <c r="F278" s="23">
        <f>SUMIF(CPU!M:M,B278,CPU!O:O)+SUMIF(CPUAUX1!M:M,B278,CPUAUX1!O:O)+SUMIF(CPUAUX2!M:M,B278,CPUAUX2!O:O)+SUMIF(CPUAUX3!M:M,B278,CPUAUX3!O:O)+SUMIF(CPUAUX4!M:M,B278,CPUAUX4!O:O)+SUMIF(CPUAUX5!M:M,B278,CPUAUX5!O:O)</f>
        <v>4.6799999999999999E-5</v>
      </c>
      <c r="G278" s="5">
        <f>VLOOKUP(B278,I!$A:$G,5,FALSE)</f>
        <v>25.95</v>
      </c>
      <c r="H278" s="5">
        <f t="shared" si="8"/>
        <v>1.2144599999999999E-3</v>
      </c>
      <c r="I278" s="25">
        <f t="shared" si="9"/>
        <v>2.0826708255124347E-9</v>
      </c>
    </row>
    <row r="279" spans="1:9" ht="28.8" x14ac:dyDescent="0.3">
      <c r="A279" s="23">
        <v>273</v>
      </c>
      <c r="B279" s="23" t="s">
        <v>1036</v>
      </c>
      <c r="C279" s="23" t="str">
        <f>VLOOKUP(B279,I!$A:$G,2,FALSE)</f>
        <v>PRÓPRIA</v>
      </c>
      <c r="D279" s="24" t="str">
        <f>VLOOKUP(B279,I!$A:$G,3,FALSE)</f>
        <v>EQUIPAMENTOS PARA PERFURAÇÃO PELO ''SISTEMA ROTOPNEUMÁTICO'', COMPOSTO POR MÁQUINA ROTOPNEUMÁTICO, DIESEL</v>
      </c>
      <c r="E279" s="23" t="str">
        <f>VLOOKUP(B279,I!$A:$G,4,FALSE)</f>
        <v>HPROD</v>
      </c>
      <c r="F279" s="23">
        <f>SUMIF(CPU!M:M,B279,CPU!O:O)+SUMIF(CPUAUX1!M:M,B279,CPUAUX1!O:O)+SUMIF(CPUAUX2!M:M,B279,CPUAUX2!O:O)+SUMIF(CPUAUX3!M:M,B279,CPUAUX3!O:O)+SUMIF(CPUAUX4!M:M,B279,CPUAUX4!O:O)+SUMIF(CPUAUX5!M:M,B279,CPUAUX5!O:O)</f>
        <v>0</v>
      </c>
      <c r="G279" s="5">
        <f>VLOOKUP(B279,I!$A:$G,5,FALSE)</f>
        <v>420.5</v>
      </c>
      <c r="H279" s="5">
        <f t="shared" si="8"/>
        <v>0</v>
      </c>
      <c r="I279" s="25">
        <f t="shared" si="9"/>
        <v>0</v>
      </c>
    </row>
    <row r="280" spans="1:9" ht="28.8" x14ac:dyDescent="0.3">
      <c r="A280" s="23">
        <v>274</v>
      </c>
      <c r="B280" s="23" t="s">
        <v>1038</v>
      </c>
      <c r="C280" s="23" t="str">
        <f>VLOOKUP(B280,I!$A:$G,2,FALSE)</f>
        <v>PRÓPRIA</v>
      </c>
      <c r="D280" s="24" t="str">
        <f>VLOOKUP(B280,I!$A:$G,3,FALSE)</f>
        <v>EQUIPAMENTOS PARA PERFURAÇÃO PELO ''SISTEMA ROTOPNEUMÁTICO'', COMPOSTO POR MÁQUINA ROTOPNEUMÁTICO, DIESEL</v>
      </c>
      <c r="E280" s="23" t="str">
        <f>VLOOKUP(B280,I!$A:$G,4,FALSE)</f>
        <v>HPROD</v>
      </c>
      <c r="F280" s="23">
        <f>SUMIF(CPU!M:M,B280,CPU!O:O)+SUMIF(CPUAUX1!M:M,B280,CPUAUX1!O:O)+SUMIF(CPUAUX2!M:M,B280,CPUAUX2!O:O)+SUMIF(CPUAUX3!M:M,B280,CPUAUX3!O:O)+SUMIF(CPUAUX4!M:M,B280,CPUAUX4!O:O)+SUMIF(CPUAUX5!M:M,B280,CPUAUX5!O:O)</f>
        <v>0</v>
      </c>
      <c r="G280" s="5">
        <f>VLOOKUP(B280,I!$A:$G,5,FALSE)</f>
        <v>420.5</v>
      </c>
      <c r="H280" s="5">
        <f t="shared" si="8"/>
        <v>0</v>
      </c>
      <c r="I280" s="25">
        <f t="shared" si="9"/>
        <v>0</v>
      </c>
    </row>
    <row r="281" spans="1:9" x14ac:dyDescent="0.3">
      <c r="A281" s="34" t="s">
        <v>1269</v>
      </c>
      <c r="B281" s="36"/>
      <c r="C281" s="36"/>
      <c r="D281" s="36"/>
      <c r="E281" s="36"/>
      <c r="F281" s="36"/>
      <c r="G281" s="35"/>
      <c r="H281" s="18">
        <f>SUM(H7:H280)</f>
        <v>583126.23633222771</v>
      </c>
      <c r="I281" s="19">
        <f t="shared" si="9"/>
        <v>1</v>
      </c>
    </row>
    <row r="282" spans="1:9" x14ac:dyDescent="0.3">
      <c r="A282" s="34" t="s">
        <v>1270</v>
      </c>
      <c r="B282" s="36"/>
      <c r="C282" s="36"/>
      <c r="D282" s="36"/>
      <c r="E282" s="36"/>
      <c r="F282" s="36"/>
      <c r="G282" s="35"/>
      <c r="H282" s="18">
        <f>SUMIFS(H7:H280,E7:E280,"&lt;&gt;H",E7:E280,"&lt;&gt;CHP",E7:E280,"&lt;&gt;CHI",E7:E280,"&lt;&gt;DIA",E7:E280,"&lt;&gt;MÊS",E7:E280,"&lt;&gt;MESES",E7:E280,"&lt;&gt;DIARIA",E7:E280,"&lt;&gt;DIÁRIA")</f>
        <v>352692.08062756172</v>
      </c>
      <c r="I282" s="19">
        <f t="shared" si="9"/>
        <v>0.60482972408502733</v>
      </c>
    </row>
    <row r="283" spans="1:9" x14ac:dyDescent="0.3">
      <c r="A283" s="34" t="s">
        <v>1271</v>
      </c>
      <c r="B283" s="36"/>
      <c r="C283" s="36"/>
      <c r="D283" s="36"/>
      <c r="E283" s="36"/>
      <c r="F283" s="36"/>
      <c r="G283" s="35"/>
      <c r="H283" s="18">
        <f>SUMIFS(H7:H280,E7:E280,"H")+SUMIFS(H7:H280,E7:E280,"CHP")+SUMIFS(H7:H280,E7:E280,"CHI")+SUMIFS(H7:H280,E7:E280,"DIA")+SUMIFS(H7:H280,E7:E280,"MÊS")+SUMIFS(H7:H280,E7:E280,"MESES")+SUMIFS(H7:H280,E7:E280,"DIARIA")+SUMIFS(H7:H280,E7:E280,"DIÁRIA")</f>
        <v>230434.15570466622</v>
      </c>
      <c r="I283" s="19">
        <f t="shared" si="9"/>
        <v>0.39517027591497306</v>
      </c>
    </row>
    <row r="284" spans="1:9" x14ac:dyDescent="0.3">
      <c r="A284" s="34" t="s">
        <v>1272</v>
      </c>
      <c r="B284" s="36"/>
      <c r="C284" s="36"/>
      <c r="D284" s="36"/>
      <c r="E284" s="36"/>
      <c r="F284" s="36"/>
      <c r="G284" s="35"/>
      <c r="H284" s="18">
        <f>H285+H286</f>
        <v>727974.79343715333</v>
      </c>
      <c r="I284" s="19">
        <f t="shared" si="9"/>
        <v>1.2484000000000004</v>
      </c>
    </row>
    <row r="285" spans="1:9" x14ac:dyDescent="0.3">
      <c r="A285" s="34" t="s">
        <v>1273</v>
      </c>
      <c r="B285" s="36"/>
      <c r="C285" s="36"/>
      <c r="D285" s="36"/>
      <c r="E285" s="36"/>
      <c r="F285" s="36"/>
      <c r="G285" s="35"/>
      <c r="H285" s="18">
        <f>H282*(1+(BDI/100))</f>
        <v>440300.79345544806</v>
      </c>
      <c r="I285" s="19">
        <f>H285/H282</f>
        <v>1.2484</v>
      </c>
    </row>
    <row r="286" spans="1:9" x14ac:dyDescent="0.3">
      <c r="A286" s="34" t="s">
        <v>1274</v>
      </c>
      <c r="B286" s="36"/>
      <c r="C286" s="36"/>
      <c r="D286" s="36"/>
      <c r="E286" s="36"/>
      <c r="F286" s="36"/>
      <c r="G286" s="35"/>
      <c r="H286" s="18">
        <f>H283*(1+(BDI/100))</f>
        <v>287673.99998170527</v>
      </c>
      <c r="I286" s="19">
        <f>H286/H283</f>
        <v>1.2484</v>
      </c>
    </row>
  </sheetData>
  <mergeCells count="9">
    <mergeCell ref="A284:G284"/>
    <mergeCell ref="A285:G285"/>
    <mergeCell ref="A286:G286"/>
    <mergeCell ref="A1:I1"/>
    <mergeCell ref="A2:I2"/>
    <mergeCell ref="A3:I3"/>
    <mergeCell ref="A281:G281"/>
    <mergeCell ref="A282:G282"/>
    <mergeCell ref="A283:G283"/>
  </mergeCells>
  <pageMargins left="0.78740157480314965" right="0.39370078740157483" top="1.1811023622047245" bottom="0.78740157480314965" header="0.31496062992125984" footer="0.31496062992125984"/>
  <pageSetup paperSize="9" scale="48" fitToHeight="0" orientation="portrait" r:id="rId1"/>
  <headerFooter>
    <oddHeader>&amp;C&amp;G</oddHeader>
  </headerFooter>
  <legacyDrawingHF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9A1A3-C90F-45BB-A96E-74D04E1E51F9}">
  <sheetPr>
    <tabColor indexed="30"/>
    <pageSetUpPr fitToPage="1"/>
  </sheetPr>
  <dimension ref="A1:F217"/>
  <sheetViews>
    <sheetView showGridLines="0" workbookViewId="0">
      <selection sqref="A1:F1"/>
    </sheetView>
  </sheetViews>
  <sheetFormatPr defaultRowHeight="14.4" x14ac:dyDescent="0.3"/>
  <cols>
    <col min="1" max="1" width="12" bestFit="1" customWidth="1"/>
    <col min="2" max="2" width="74.109375" bestFit="1" customWidth="1"/>
    <col min="3" max="6" width="15.77734375" bestFit="1" customWidth="1"/>
    <col min="7" max="9" width="14.77734375" bestFit="1" customWidth="1"/>
  </cols>
  <sheetData>
    <row r="1" spans="1:6" x14ac:dyDescent="0.3">
      <c r="A1" s="33" t="str">
        <f>CIDADE</f>
        <v>MUNICÍPIO DE LAGOA DO PIAUI - PI</v>
      </c>
      <c r="B1" s="33"/>
      <c r="C1" s="33"/>
      <c r="D1" s="33"/>
      <c r="E1" s="33"/>
      <c r="F1" s="33"/>
    </row>
    <row r="2" spans="1:6" x14ac:dyDescent="0.3">
      <c r="A2" s="33" t="str">
        <f>OBRA</f>
        <v>IMPLANTAÇÃO DE 5 (CINCO) SISTEMAS SIMPLIFICADOS DE ABASTECIMENTO DE ÁGUA ZONA RURAL DO MUNICÍPIO DE LAGOA DO PIAUÍ-PI</v>
      </c>
      <c r="B2" s="33"/>
      <c r="C2" s="33"/>
      <c r="D2" s="33"/>
      <c r="E2" s="33"/>
      <c r="F2" s="33"/>
    </row>
    <row r="3" spans="1:6" x14ac:dyDescent="0.3">
      <c r="A3" s="33" t="s">
        <v>1275</v>
      </c>
      <c r="B3" s="33"/>
      <c r="C3" s="33"/>
      <c r="D3" s="33"/>
      <c r="E3" s="33"/>
      <c r="F3" s="33"/>
    </row>
    <row r="5" spans="1:6" x14ac:dyDescent="0.3">
      <c r="A5" s="4" t="s">
        <v>1276</v>
      </c>
      <c r="B5" s="91" t="str">
        <f>CO!$J$6</f>
        <v>30 DIAS</v>
      </c>
      <c r="C5" s="92"/>
      <c r="D5" s="92"/>
      <c r="E5" s="92"/>
      <c r="F5" s="93"/>
    </row>
    <row r="6" spans="1:6" x14ac:dyDescent="0.3">
      <c r="A6" s="4" t="s">
        <v>138</v>
      </c>
      <c r="B6" s="4" t="s">
        <v>21</v>
      </c>
      <c r="C6" s="4" t="s">
        <v>140</v>
      </c>
      <c r="D6" s="4" t="s">
        <v>1016</v>
      </c>
      <c r="E6" s="4" t="s">
        <v>1268</v>
      </c>
      <c r="F6" s="4" t="s">
        <v>15</v>
      </c>
    </row>
    <row r="7" spans="1:6" x14ac:dyDescent="0.3">
      <c r="A7" s="23" t="s">
        <v>1048</v>
      </c>
      <c r="B7" s="24" t="s">
        <v>1277</v>
      </c>
      <c r="C7" s="23" t="s">
        <v>1278</v>
      </c>
      <c r="D7" s="23">
        <f ca="1">SUMIF(CPU!M:M,A7,CPU!R:R)+SUMIF(CPUAUX1!M:M,A7,CPUAUX1!R:R)+SUMIF(CPUAUX2!M:M,A7,CPUAUX2!R:R)+SUMIF(CPUAUX3!M:M,A7,CPUAUX3!R:R)+SUMIF(CPUAUX4!M:M,A7,CPUAUX4!R:R)+SUMIF(CPUAUX5!M:M,A7,CPUAUX5!R:R)</f>
        <v>2</v>
      </c>
      <c r="E7" s="5"/>
      <c r="F7" s="5">
        <f t="shared" ref="F7:F70" ca="1" si="0">ROUND(D7*E7,2)</f>
        <v>0</v>
      </c>
    </row>
    <row r="8" spans="1:6" x14ac:dyDescent="0.3">
      <c r="A8" s="23">
        <v>34</v>
      </c>
      <c r="B8" s="24" t="s">
        <v>1279</v>
      </c>
      <c r="C8" s="23" t="s">
        <v>1280</v>
      </c>
      <c r="D8" s="23">
        <f ca="1">SUMIF(CPU!M:M,A8,CPU!R:R)+SUMIF(CPUAUX1!M:M,A8,CPUAUX1!R:R)+SUMIF(CPUAUX2!M:M,A8,CPUAUX2!R:R)+SUMIF(CPUAUX3!M:M,A8,CPUAUX3!R:R)+SUMIF(CPUAUX4!M:M,A8,CPUAUX4!R:R)+SUMIF(CPUAUX5!M:M,A8,CPUAUX5!R:R)</f>
        <v>15.332185800000003</v>
      </c>
      <c r="E8" s="5"/>
      <c r="F8" s="5">
        <f t="shared" ca="1" si="0"/>
        <v>0</v>
      </c>
    </row>
    <row r="9" spans="1:6" x14ac:dyDescent="0.3">
      <c r="A9" s="23">
        <v>43055</v>
      </c>
      <c r="B9" s="24" t="s">
        <v>1281</v>
      </c>
      <c r="C9" s="23" t="s">
        <v>1280</v>
      </c>
      <c r="D9" s="23">
        <f ca="1">SUMIF(CPU!M:M,A9,CPU!R:R)+SUMIF(CPUAUX1!M:M,A9,CPUAUX1!R:R)+SUMIF(CPUAUX2!M:M,A9,CPUAUX2!R:R)+SUMIF(CPUAUX3!M:M,A9,CPUAUX3!R:R)+SUMIF(CPUAUX4!M:M,A9,CPUAUX4!R:R)+SUMIF(CPUAUX5!M:M,A9,CPUAUX5!R:R)</f>
        <v>7.9008246000000018</v>
      </c>
      <c r="E9" s="5"/>
      <c r="F9" s="5">
        <f t="shared" ca="1" si="0"/>
        <v>0</v>
      </c>
    </row>
    <row r="10" spans="1:6" x14ac:dyDescent="0.3">
      <c r="A10" s="23">
        <v>43056</v>
      </c>
      <c r="B10" s="24" t="s">
        <v>1282</v>
      </c>
      <c r="C10" s="23" t="s">
        <v>1280</v>
      </c>
      <c r="D10" s="23">
        <f ca="1">SUMIF(CPU!M:M,A10,CPU!R:R)+SUMIF(CPUAUX1!M:M,A10,CPUAUX1!R:R)+SUMIF(CPUAUX2!M:M,A10,CPUAUX2!R:R)+SUMIF(CPUAUX3!M:M,A10,CPUAUX3!R:R)+SUMIF(CPUAUX4!M:M,A10,CPUAUX4!R:R)+SUMIF(CPUAUX5!M:M,A10,CPUAUX5!R:R)</f>
        <v>2.9168496000000004</v>
      </c>
      <c r="E10" s="5"/>
      <c r="F10" s="5">
        <f t="shared" ca="1" si="0"/>
        <v>0</v>
      </c>
    </row>
    <row r="11" spans="1:6" x14ac:dyDescent="0.3">
      <c r="A11" s="23">
        <v>32</v>
      </c>
      <c r="B11" s="24" t="s">
        <v>1283</v>
      </c>
      <c r="C11" s="23" t="s">
        <v>1280</v>
      </c>
      <c r="D11" s="23">
        <f ca="1">SUMIF(CPU!M:M,A11,CPU!R:R)+SUMIF(CPUAUX1!M:M,A11,CPUAUX1!R:R)+SUMIF(CPUAUX2!M:M,A11,CPUAUX2!R:R)+SUMIF(CPUAUX3!M:M,A11,CPUAUX3!R:R)+SUMIF(CPUAUX4!M:M,A11,CPUAUX4!R:R)+SUMIF(CPUAUX5!M:M,A11,CPUAUX5!R:R)</f>
        <v>1.9405092000000004</v>
      </c>
      <c r="E11" s="5"/>
      <c r="F11" s="5">
        <f t="shared" ca="1" si="0"/>
        <v>0</v>
      </c>
    </row>
    <row r="12" spans="1:6" x14ac:dyDescent="0.3">
      <c r="A12" s="23">
        <v>33</v>
      </c>
      <c r="B12" s="24" t="s">
        <v>1284</v>
      </c>
      <c r="C12" s="23" t="s">
        <v>1280</v>
      </c>
      <c r="D12" s="23">
        <f ca="1">SUMIF(CPU!M:M,A12,CPU!R:R)+SUMIF(CPUAUX1!M:M,A12,CPUAUX1!R:R)+SUMIF(CPUAUX2!M:M,A12,CPUAUX2!R:R)+SUMIF(CPUAUX3!M:M,A12,CPUAUX3!R:R)+SUMIF(CPUAUX4!M:M,A12,CPUAUX4!R:R)+SUMIF(CPUAUX5!M:M,A12,CPUAUX5!R:R)</f>
        <v>15.8505114</v>
      </c>
      <c r="E12" s="5"/>
      <c r="F12" s="5">
        <f t="shared" ca="1" si="0"/>
        <v>0</v>
      </c>
    </row>
    <row r="13" spans="1:6" x14ac:dyDescent="0.3">
      <c r="A13" s="23">
        <v>43059</v>
      </c>
      <c r="B13" s="24" t="s">
        <v>1285</v>
      </c>
      <c r="C13" s="23" t="s">
        <v>1280</v>
      </c>
      <c r="D13" s="23">
        <f ca="1">SUMIF(CPU!M:M,A13,CPU!R:R)+SUMIF(CPUAUX1!M:M,A13,CPUAUX1!R:R)+SUMIF(CPUAUX2!M:M,A13,CPUAUX2!R:R)+SUMIF(CPUAUX3!M:M,A13,CPUAUX3!R:R)+SUMIF(CPUAUX4!M:M,A13,CPUAUX4!R:R)+SUMIF(CPUAUX5!M:M,A13,CPUAUX5!R:R)</f>
        <v>1.9008978000000005</v>
      </c>
      <c r="E13" s="5"/>
      <c r="F13" s="5">
        <f t="shared" ca="1" si="0"/>
        <v>0</v>
      </c>
    </row>
    <row r="14" spans="1:6" x14ac:dyDescent="0.3">
      <c r="A14" s="23">
        <v>108</v>
      </c>
      <c r="B14" s="24" t="s">
        <v>1286</v>
      </c>
      <c r="C14" s="23" t="s">
        <v>1278</v>
      </c>
      <c r="D14" s="23">
        <f ca="1">SUMIF(CPU!M:M,A14,CPU!R:R)+SUMIF(CPUAUX1!M:M,A14,CPUAUX1!R:R)+SUMIF(CPUAUX2!M:M,A14,CPUAUX2!R:R)+SUMIF(CPUAUX3!M:M,A14,CPUAUX3!R:R)+SUMIF(CPUAUX4!M:M,A14,CPUAUX4!R:R)+SUMIF(CPUAUX5!M:M,A14,CPUAUX5!R:R)</f>
        <v>8</v>
      </c>
      <c r="E14" s="5"/>
      <c r="F14" s="5">
        <f t="shared" ca="1" si="0"/>
        <v>0</v>
      </c>
    </row>
    <row r="15" spans="1:6" ht="28.8" x14ac:dyDescent="0.3">
      <c r="A15" s="23">
        <v>110</v>
      </c>
      <c r="B15" s="24" t="s">
        <v>1287</v>
      </c>
      <c r="C15" s="23" t="s">
        <v>1278</v>
      </c>
      <c r="D15" s="23">
        <f ca="1">SUMIF(CPU!M:M,A15,CPU!R:R)+SUMIF(CPUAUX1!M:M,A15,CPUAUX1!R:R)+SUMIF(CPUAUX2!M:M,A15,CPUAUX2!R:R)+SUMIF(CPUAUX3!M:M,A15,CPUAUX3!R:R)+SUMIF(CPUAUX4!M:M,A15,CPUAUX4!R:R)+SUMIF(CPUAUX5!M:M,A15,CPUAUX5!R:R)</f>
        <v>2</v>
      </c>
      <c r="E15" s="5"/>
      <c r="F15" s="5">
        <f t="shared" ca="1" si="0"/>
        <v>0</v>
      </c>
    </row>
    <row r="16" spans="1:6" ht="28.8" x14ac:dyDescent="0.3">
      <c r="A16" s="23">
        <v>72</v>
      </c>
      <c r="B16" s="24" t="s">
        <v>1288</v>
      </c>
      <c r="C16" s="23" t="s">
        <v>1278</v>
      </c>
      <c r="D16" s="23">
        <f ca="1">SUMIF(CPU!M:M,A16,CPU!R:R)+SUMIF(CPUAUX1!M:M,A16,CPUAUX1!R:R)+SUMIF(CPUAUX2!M:M,A16,CPUAUX2!R:R)+SUMIF(CPUAUX3!M:M,A16,CPUAUX3!R:R)+SUMIF(CPUAUX4!M:M,A16,CPUAUX4!R:R)+SUMIF(CPUAUX5!M:M,A16,CPUAUX5!R:R)</f>
        <v>2</v>
      </c>
      <c r="E16" s="5"/>
      <c r="F16" s="5">
        <f t="shared" ca="1" si="0"/>
        <v>0</v>
      </c>
    </row>
    <row r="17" spans="1:6" x14ac:dyDescent="0.3">
      <c r="A17" s="23">
        <v>122</v>
      </c>
      <c r="B17" s="24" t="s">
        <v>1289</v>
      </c>
      <c r="C17" s="23" t="s">
        <v>1278</v>
      </c>
      <c r="D17" s="23">
        <f ca="1">SUMIF(CPU!M:M,A17,CPU!R:R)+SUMIF(CPUAUX1!M:M,A17,CPUAUX1!R:R)+SUMIF(CPUAUX2!M:M,A17,CPUAUX2!R:R)+SUMIF(CPUAUX3!M:M,A17,CPUAUX3!R:R)+SUMIF(CPUAUX4!M:M,A17,CPUAUX4!R:R)+SUMIF(CPUAUX5!M:M,A17,CPUAUX5!R:R)</f>
        <v>2.12E-2</v>
      </c>
      <c r="E17" s="5"/>
      <c r="F17" s="5">
        <f t="shared" ca="1" si="0"/>
        <v>0</v>
      </c>
    </row>
    <row r="18" spans="1:6" x14ac:dyDescent="0.3">
      <c r="A18" s="23" t="s">
        <v>1118</v>
      </c>
      <c r="B18" s="24" t="s">
        <v>1290</v>
      </c>
      <c r="C18" s="23" t="s">
        <v>1278</v>
      </c>
      <c r="D18" s="23">
        <f ca="1">SUMIF(CPU!M:M,A18,CPU!R:R)+SUMIF(CPUAUX1!M:M,A18,CPUAUX1!R:R)+SUMIF(CPUAUX2!M:M,A18,CPUAUX2!R:R)+SUMIF(CPUAUX3!M:M,A18,CPUAUX3!R:R)+SUMIF(CPUAUX4!M:M,A18,CPUAUX4!R:R)+SUMIF(CPUAUX5!M:M,A18,CPUAUX5!R:R)</f>
        <v>1.2E-4</v>
      </c>
      <c r="E18" s="5"/>
      <c r="F18" s="5">
        <f t="shared" ca="1" si="0"/>
        <v>0</v>
      </c>
    </row>
    <row r="19" spans="1:6" x14ac:dyDescent="0.3">
      <c r="A19" s="23" t="s">
        <v>1119</v>
      </c>
      <c r="B19" s="24" t="s">
        <v>1291</v>
      </c>
      <c r="C19" s="23" t="s">
        <v>1278</v>
      </c>
      <c r="D19" s="23">
        <f ca="1">SUMIF(CPU!M:M,A19,CPU!R:R)+SUMIF(CPUAUX1!M:M,A19,CPUAUX1!R:R)+SUMIF(CPUAUX2!M:M,A19,CPUAUX2!R:R)+SUMIF(CPUAUX3!M:M,A19,CPUAUX3!R:R)+SUMIF(CPUAUX4!M:M,A19,CPUAUX4!R:R)+SUMIF(CPUAUX5!M:M,A19,CPUAUX5!R:R)</f>
        <v>1.2E-4</v>
      </c>
      <c r="E19" s="5"/>
      <c r="F19" s="5">
        <f t="shared" ca="1" si="0"/>
        <v>0</v>
      </c>
    </row>
    <row r="20" spans="1:6" x14ac:dyDescent="0.3">
      <c r="A20" s="23" t="s">
        <v>1104</v>
      </c>
      <c r="B20" s="24" t="s">
        <v>1292</v>
      </c>
      <c r="C20" s="23" t="s">
        <v>1278</v>
      </c>
      <c r="D20" s="23">
        <f ca="1">SUMIF(CPU!M:M,A20,CPU!R:R)+SUMIF(CPUAUX1!M:M,A20,CPUAUX1!R:R)+SUMIF(CPUAUX2!M:M,A20,CPUAUX2!R:R)+SUMIF(CPUAUX3!M:M,A20,CPUAUX3!R:R)+SUMIF(CPUAUX4!M:M,A20,CPUAUX4!R:R)+SUMIF(CPUAUX5!M:M,A20,CPUAUX5!R:R)</f>
        <v>2.4804588000000001</v>
      </c>
      <c r="E20" s="5"/>
      <c r="F20" s="5">
        <f t="shared" ca="1" si="0"/>
        <v>0</v>
      </c>
    </row>
    <row r="21" spans="1:6" x14ac:dyDescent="0.3">
      <c r="A21" s="23">
        <v>325</v>
      </c>
      <c r="B21" s="24" t="s">
        <v>1293</v>
      </c>
      <c r="C21" s="23" t="s">
        <v>1278</v>
      </c>
      <c r="D21" s="23">
        <f ca="1">SUMIF(CPU!M:M,A21,CPU!R:R)+SUMIF(CPUAUX1!M:M,A21,CPUAUX1!R:R)+SUMIF(CPUAUX2!M:M,A21,CPUAUX2!R:R)+SUMIF(CPUAUX3!M:M,A21,CPUAUX3!R:R)+SUMIF(CPUAUX4!M:M,A21,CPUAUX4!R:R)+SUMIF(CPUAUX5!M:M,A21,CPUAUX5!R:R)</f>
        <v>11.56</v>
      </c>
      <c r="E21" s="5"/>
      <c r="F21" s="5">
        <f t="shared" ca="1" si="0"/>
        <v>0</v>
      </c>
    </row>
    <row r="22" spans="1:6" x14ac:dyDescent="0.3">
      <c r="A22" s="23" t="s">
        <v>1097</v>
      </c>
      <c r="B22" s="24" t="s">
        <v>1294</v>
      </c>
      <c r="C22" s="23" t="s">
        <v>1278</v>
      </c>
      <c r="D22" s="23">
        <f ca="1">SUMIF(CPU!M:M,A22,CPU!R:R)+SUMIF(CPUAUX1!M:M,A22,CPUAUX1!R:R)+SUMIF(CPUAUX2!M:M,A22,CPUAUX2!R:R)+SUMIF(CPUAUX3!M:M,A22,CPUAUX3!R:R)+SUMIF(CPUAUX4!M:M,A22,CPUAUX4!R:R)+SUMIF(CPUAUX5!M:M,A22,CPUAUX5!R:R)</f>
        <v>2</v>
      </c>
      <c r="E22" s="5"/>
      <c r="F22" s="5">
        <f t="shared" ca="1" si="0"/>
        <v>0</v>
      </c>
    </row>
    <row r="23" spans="1:6" x14ac:dyDescent="0.3">
      <c r="A23" s="23">
        <v>339</v>
      </c>
      <c r="B23" s="24" t="s">
        <v>1295</v>
      </c>
      <c r="C23" s="23" t="s">
        <v>1296</v>
      </c>
      <c r="D23" s="23">
        <f ca="1">SUMIF(CPU!M:M,A23,CPU!R:R)+SUMIF(CPUAUX1!M:M,A23,CPUAUX1!R:R)+SUMIF(CPUAUX2!M:M,A23,CPUAUX2!R:R)+SUMIF(CPUAUX3!M:M,A23,CPUAUX3!R:R)+SUMIF(CPUAUX4!M:M,A23,CPUAUX4!R:R)+SUMIF(CPUAUX5!M:M,A23,CPUAUX5!R:R)</f>
        <v>814</v>
      </c>
      <c r="E23" s="5"/>
      <c r="F23" s="5">
        <f t="shared" ca="1" si="0"/>
        <v>0</v>
      </c>
    </row>
    <row r="24" spans="1:6" ht="28.8" x14ac:dyDescent="0.3">
      <c r="A24" s="23">
        <v>43130</v>
      </c>
      <c r="B24" s="24" t="s">
        <v>1297</v>
      </c>
      <c r="C24" s="23" t="s">
        <v>1280</v>
      </c>
      <c r="D24" s="23">
        <f ca="1">SUMIF(CPU!M:M,A24,CPU!R:R)+SUMIF(CPUAUX1!M:M,A24,CPUAUX1!R:R)+SUMIF(CPUAUX2!M:M,A24,CPUAUX2!R:R)+SUMIF(CPUAUX3!M:M,A24,CPUAUX3!R:R)+SUMIF(CPUAUX4!M:M,A24,CPUAUX4!R:R)+SUMIF(CPUAUX5!M:M,A24,CPUAUX5!R:R)</f>
        <v>6.6260000000000003</v>
      </c>
      <c r="E24" s="5"/>
      <c r="F24" s="5">
        <f t="shared" ca="1" si="0"/>
        <v>0</v>
      </c>
    </row>
    <row r="25" spans="1:6" ht="28.8" x14ac:dyDescent="0.3">
      <c r="A25" s="23">
        <v>43132</v>
      </c>
      <c r="B25" s="24" t="s">
        <v>1298</v>
      </c>
      <c r="C25" s="23" t="s">
        <v>1280</v>
      </c>
      <c r="D25" s="23">
        <f ca="1">SUMIF(CPU!M:M,A25,CPU!R:R)+SUMIF(CPUAUX1!M:M,A25,CPUAUX1!R:R)+SUMIF(CPUAUX2!M:M,A25,CPUAUX2!R:R)+SUMIF(CPUAUX3!M:M,A25,CPUAUX3!R:R)+SUMIF(CPUAUX4!M:M,A25,CPUAUX4!R:R)+SUMIF(CPUAUX5!M:M,A25,CPUAUX5!R:R)</f>
        <v>1.526278</v>
      </c>
      <c r="E25" s="5"/>
      <c r="F25" s="5">
        <f t="shared" ca="1" si="0"/>
        <v>0</v>
      </c>
    </row>
    <row r="26" spans="1:6" x14ac:dyDescent="0.3">
      <c r="A26" s="23" t="s">
        <v>1148</v>
      </c>
      <c r="B26" s="24" t="s">
        <v>1299</v>
      </c>
      <c r="C26" s="23" t="s">
        <v>1278</v>
      </c>
      <c r="D26" s="23">
        <f ca="1">SUMIF(CPU!M:M,A26,CPU!R:R)+SUMIF(CPUAUX1!M:M,A26,CPUAUX1!R:R)+SUMIF(CPUAUX2!M:M,A26,CPUAUX2!R:R)+SUMIF(CPUAUX3!M:M,A26,CPUAUX3!R:R)+SUMIF(CPUAUX4!M:M,A26,CPUAUX4!R:R)+SUMIF(CPUAUX5!M:M,A26,CPUAUX5!R:R)</f>
        <v>6.8432000000000009E-4</v>
      </c>
      <c r="E26" s="5"/>
      <c r="F26" s="5">
        <f t="shared" ca="1" si="0"/>
        <v>0</v>
      </c>
    </row>
    <row r="27" spans="1:6" x14ac:dyDescent="0.3">
      <c r="A27" s="23" t="s">
        <v>1067</v>
      </c>
      <c r="B27" s="24" t="s">
        <v>1300</v>
      </c>
      <c r="C27" s="23" t="s">
        <v>1301</v>
      </c>
      <c r="D27" s="23">
        <f ca="1">SUMIF(CPU!M:M,A27,CPU!R:R)+SUMIF(CPUAUX1!M:M,A27,CPUAUX1!R:R)+SUMIF(CPUAUX2!M:M,A27,CPUAUX2!R:R)+SUMIF(CPUAUX3!M:M,A27,CPUAUX3!R:R)+SUMIF(CPUAUX4!M:M,A27,CPUAUX4!R:R)+SUMIF(CPUAUX5!M:M,A27,CPUAUX5!R:R)</f>
        <v>1.2E-2</v>
      </c>
      <c r="E27" s="5"/>
      <c r="F27" s="5">
        <f t="shared" ca="1" si="0"/>
        <v>0</v>
      </c>
    </row>
    <row r="28" spans="1:6" x14ac:dyDescent="0.3">
      <c r="A28" s="23">
        <v>367</v>
      </c>
      <c r="B28" s="24" t="s">
        <v>1302</v>
      </c>
      <c r="C28" s="23" t="s">
        <v>1301</v>
      </c>
      <c r="D28" s="23">
        <f ca="1">SUMIF(CPU!M:M,A28,CPU!R:R)+SUMIF(CPUAUX1!M:M,A28,CPUAUX1!R:R)+SUMIF(CPUAUX2!M:M,A28,CPUAUX2!R:R)+SUMIF(CPUAUX3!M:M,A28,CPUAUX3!R:R)+SUMIF(CPUAUX4!M:M,A28,CPUAUX4!R:R)+SUMIF(CPUAUX5!M:M,A28,CPUAUX5!R:R)</f>
        <v>0.74340072000000001</v>
      </c>
      <c r="E28" s="5"/>
      <c r="F28" s="5">
        <f t="shared" ca="1" si="0"/>
        <v>0</v>
      </c>
    </row>
    <row r="29" spans="1:6" x14ac:dyDescent="0.3">
      <c r="A29" s="23" t="s">
        <v>1123</v>
      </c>
      <c r="B29" s="24" t="s">
        <v>1303</v>
      </c>
      <c r="C29" s="23" t="s">
        <v>1301</v>
      </c>
      <c r="D29" s="23">
        <f ca="1">SUMIF(CPU!M:M,A29,CPU!R:R)+SUMIF(CPUAUX1!M:M,A29,CPUAUX1!R:R)+SUMIF(CPUAUX2!M:M,A29,CPUAUX2!R:R)+SUMIF(CPUAUX3!M:M,A29,CPUAUX3!R:R)+SUMIF(CPUAUX4!M:M,A29,CPUAUX4!R:R)+SUMIF(CPUAUX5!M:M,A29,CPUAUX5!R:R)</f>
        <v>0.478244</v>
      </c>
      <c r="E29" s="5"/>
      <c r="F29" s="5">
        <f t="shared" ca="1" si="0"/>
        <v>0</v>
      </c>
    </row>
    <row r="30" spans="1:6" x14ac:dyDescent="0.3">
      <c r="A30" s="23">
        <v>370</v>
      </c>
      <c r="B30" s="24" t="s">
        <v>1304</v>
      </c>
      <c r="C30" s="23" t="s">
        <v>1301</v>
      </c>
      <c r="D30" s="23">
        <f ca="1">SUMIF(CPU!M:M,A30,CPU!R:R)+SUMIF(CPUAUX1!M:M,A30,CPUAUX1!R:R)+SUMIF(CPUAUX2!M:M,A30,CPUAUX2!R:R)+SUMIF(CPUAUX3!M:M,A30,CPUAUX3!R:R)+SUMIF(CPUAUX4!M:M,A30,CPUAUX4!R:R)+SUMIF(CPUAUX5!M:M,A30,CPUAUX5!R:R)</f>
        <v>13.440735026</v>
      </c>
      <c r="E30" s="5"/>
      <c r="F30" s="5">
        <f t="shared" ca="1" si="0"/>
        <v>0</v>
      </c>
    </row>
    <row r="31" spans="1:6" ht="28.8" x14ac:dyDescent="0.3">
      <c r="A31" s="23">
        <v>1094</v>
      </c>
      <c r="B31" s="24" t="s">
        <v>1305</v>
      </c>
      <c r="C31" s="23" t="s">
        <v>1278</v>
      </c>
      <c r="D31" s="23">
        <f ca="1">SUMIF(CPU!M:M,A31,CPU!R:R)+SUMIF(CPUAUX1!M:M,A31,CPUAUX1!R:R)+SUMIF(CPUAUX2!M:M,A31,CPUAUX2!R:R)+SUMIF(CPUAUX3!M:M,A31,CPUAUX3!R:R)+SUMIF(CPUAUX4!M:M,A31,CPUAUX4!R:R)+SUMIF(CPUAUX5!M:M,A31,CPUAUX5!R:R)</f>
        <v>2</v>
      </c>
      <c r="E31" s="5"/>
      <c r="F31" s="5">
        <f t="shared" ca="1" si="0"/>
        <v>0</v>
      </c>
    </row>
    <row r="32" spans="1:6" ht="28.8" x14ac:dyDescent="0.3">
      <c r="A32" s="23">
        <v>11267</v>
      </c>
      <c r="B32" s="24" t="s">
        <v>1306</v>
      </c>
      <c r="C32" s="23" t="s">
        <v>1278</v>
      </c>
      <c r="D32" s="23">
        <f ca="1">SUMIF(CPU!M:M,A32,CPU!R:R)+SUMIF(CPUAUX1!M:M,A32,CPUAUX1!R:R)+SUMIF(CPUAUX2!M:M,A32,CPUAUX2!R:R)+SUMIF(CPUAUX3!M:M,A32,CPUAUX3!R:R)+SUMIF(CPUAUX4!M:M,A32,CPUAUX4!R:R)+SUMIF(CPUAUX5!M:M,A32,CPUAUX5!R:R)</f>
        <v>4</v>
      </c>
      <c r="E32" s="5"/>
      <c r="F32" s="5">
        <f t="shared" ca="1" si="0"/>
        <v>0</v>
      </c>
    </row>
    <row r="33" spans="1:6" x14ac:dyDescent="0.3">
      <c r="A33" s="23" t="s">
        <v>1138</v>
      </c>
      <c r="B33" s="24" t="s">
        <v>1307</v>
      </c>
      <c r="C33" s="23" t="s">
        <v>1280</v>
      </c>
      <c r="D33" s="23">
        <f ca="1">SUMIF(CPU!M:M,A33,CPU!R:R)+SUMIF(CPUAUX1!M:M,A33,CPUAUX1!R:R)+SUMIF(CPUAUX2!M:M,A33,CPUAUX2!R:R)+SUMIF(CPUAUX3!M:M,A33,CPUAUX3!R:R)+SUMIF(CPUAUX4!M:M,A33,CPUAUX4!R:R)+SUMIF(CPUAUX5!M:M,A33,CPUAUX5!R:R)</f>
        <v>41.6</v>
      </c>
      <c r="E33" s="5"/>
      <c r="F33" s="5">
        <f t="shared" ca="1" si="0"/>
        <v>0</v>
      </c>
    </row>
    <row r="34" spans="1:6" ht="28.8" x14ac:dyDescent="0.3">
      <c r="A34" s="23" t="s">
        <v>1085</v>
      </c>
      <c r="B34" s="24" t="s">
        <v>1308</v>
      </c>
      <c r="C34" s="23" t="s">
        <v>1278</v>
      </c>
      <c r="D34" s="23">
        <f ca="1">SUMIF(CPU!M:M,A34,CPU!R:R)+SUMIF(CPUAUX1!M:M,A34,CPUAUX1!R:R)+SUMIF(CPUAUX2!M:M,A34,CPUAUX2!R:R)+SUMIF(CPUAUX3!M:M,A34,CPUAUX3!R:R)+SUMIF(CPUAUX4!M:M,A34,CPUAUX4!R:R)+SUMIF(CPUAUX5!M:M,A34,CPUAUX5!R:R)</f>
        <v>2</v>
      </c>
      <c r="E34" s="5"/>
      <c r="F34" s="5">
        <f t="shared" ca="1" si="0"/>
        <v>0</v>
      </c>
    </row>
    <row r="35" spans="1:6" ht="28.8" x14ac:dyDescent="0.3">
      <c r="A35" s="23">
        <v>10535</v>
      </c>
      <c r="B35" s="24" t="s">
        <v>1309</v>
      </c>
      <c r="C35" s="23" t="s">
        <v>1278</v>
      </c>
      <c r="D35" s="23">
        <f ca="1">SUMIF(CPU!M:M,A35,CPU!R:R)+SUMIF(CPUAUX1!M:M,A35,CPUAUX1!R:R)+SUMIF(CPUAUX2!M:M,A35,CPUAUX2!R:R)+SUMIF(CPUAUX3!M:M,A35,CPUAUX3!R:R)+SUMIF(CPUAUX4!M:M,A35,CPUAUX4!R:R)+SUMIF(CPUAUX5!M:M,A35,CPUAUX5!R:R)</f>
        <v>1.9492027258559996E-3</v>
      </c>
      <c r="E35" s="5"/>
      <c r="F35" s="5">
        <f t="shared" ca="1" si="0"/>
        <v>0</v>
      </c>
    </row>
    <row r="36" spans="1:6" ht="28.8" x14ac:dyDescent="0.3">
      <c r="A36" s="23">
        <v>36397</v>
      </c>
      <c r="B36" s="24" t="s">
        <v>1310</v>
      </c>
      <c r="C36" s="23" t="s">
        <v>1278</v>
      </c>
      <c r="D36" s="23">
        <f ca="1">SUMIF(CPU!M:M,A36,CPU!R:R)+SUMIF(CPUAUX1!M:M,A36,CPUAUX1!R:R)+SUMIF(CPUAUX2!M:M,A36,CPUAUX2!R:R)+SUMIF(CPUAUX3!M:M,A36,CPUAUX3!R:R)+SUMIF(CPUAUX4!M:M,A36,CPUAUX4!R:R)+SUMIF(CPUAUX5!M:M,A36,CPUAUX5!R:R)</f>
        <v>1.0468104336960001E-4</v>
      </c>
      <c r="E36" s="5"/>
      <c r="F36" s="5">
        <f t="shared" ca="1" si="0"/>
        <v>0</v>
      </c>
    </row>
    <row r="37" spans="1:6" ht="28.8" x14ac:dyDescent="0.3">
      <c r="A37" s="23">
        <v>7267</v>
      </c>
      <c r="B37" s="24" t="s">
        <v>1311</v>
      </c>
      <c r="C37" s="23" t="s">
        <v>1278</v>
      </c>
      <c r="D37" s="23">
        <f ca="1">SUMIF(CPU!M:M,A37,CPU!R:R)+SUMIF(CPUAUX1!M:M,A37,CPUAUX1!R:R)+SUMIF(CPUAUX2!M:M,A37,CPUAUX2!R:R)+SUMIF(CPUAUX3!M:M,A37,CPUAUX3!R:R)+SUMIF(CPUAUX4!M:M,A37,CPUAUX4!R:R)+SUMIF(CPUAUX5!M:M,A37,CPUAUX5!R:R)</f>
        <v>194.77280000000002</v>
      </c>
      <c r="E37" s="5"/>
      <c r="F37" s="5">
        <f t="shared" ca="1" si="0"/>
        <v>0</v>
      </c>
    </row>
    <row r="38" spans="1:6" ht="28.8" x14ac:dyDescent="0.3">
      <c r="A38" s="23">
        <v>7271</v>
      </c>
      <c r="B38" s="24" t="s">
        <v>1312</v>
      </c>
      <c r="C38" s="23" t="s">
        <v>1278</v>
      </c>
      <c r="D38" s="23">
        <f ca="1">SUMIF(CPU!M:M,A38,CPU!R:R)+SUMIF(CPUAUX1!M:M,A38,CPUAUX1!R:R)+SUMIF(CPUAUX2!M:M,A38,CPUAUX2!R:R)+SUMIF(CPUAUX3!M:M,A38,CPUAUX3!R:R)+SUMIF(CPUAUX4!M:M,A38,CPUAUX4!R:R)+SUMIF(CPUAUX5!M:M,A38,CPUAUX5!R:R)</f>
        <v>1093.3322000000001</v>
      </c>
      <c r="E38" s="5"/>
      <c r="F38" s="5">
        <f t="shared" ca="1" si="0"/>
        <v>0</v>
      </c>
    </row>
    <row r="39" spans="1:6" x14ac:dyDescent="0.3">
      <c r="A39" s="23" t="s">
        <v>1046</v>
      </c>
      <c r="B39" s="24" t="s">
        <v>1313</v>
      </c>
      <c r="C39" s="23" t="s">
        <v>1278</v>
      </c>
      <c r="D39" s="23">
        <f ca="1">SUMIF(CPU!M:M,A39,CPU!R:R)+SUMIF(CPUAUX1!M:M,A39,CPUAUX1!R:R)+SUMIF(CPUAUX2!M:M,A39,CPUAUX2!R:R)+SUMIF(CPUAUX3!M:M,A39,CPUAUX3!R:R)+SUMIF(CPUAUX4!M:M,A39,CPUAUX4!R:R)+SUMIF(CPUAUX5!M:M,A39,CPUAUX5!R:R)</f>
        <v>2</v>
      </c>
      <c r="E39" s="5"/>
      <c r="F39" s="5">
        <f t="shared" ca="1" si="0"/>
        <v>0</v>
      </c>
    </row>
    <row r="40" spans="1:6" x14ac:dyDescent="0.3">
      <c r="A40" s="23">
        <v>12893</v>
      </c>
      <c r="B40" s="24" t="s">
        <v>1314</v>
      </c>
      <c r="C40" s="23" t="s">
        <v>1315</v>
      </c>
      <c r="D40" s="23">
        <f ca="1">SUMIF(CPU!M:M,A40,CPU!R:R)+SUMIF(CPUAUX1!M:M,A40,CPUAUX1!R:R)+SUMIF(CPUAUX2!M:M,A40,CPUAUX2!R:R)+SUMIF(CPUAUX3!M:M,A40,CPUAUX3!R:R)+SUMIF(CPUAUX4!M:M,A40,CPUAUX4!R:R)+SUMIF(CPUAUX5!M:M,A40,CPUAUX5!R:R)</f>
        <v>1.890812E-2</v>
      </c>
      <c r="E40" s="5"/>
      <c r="F40" s="5">
        <f t="shared" ca="1" si="0"/>
        <v>0</v>
      </c>
    </row>
    <row r="41" spans="1:6" x14ac:dyDescent="0.3">
      <c r="A41" s="23">
        <v>791</v>
      </c>
      <c r="B41" s="24" t="s">
        <v>1316</v>
      </c>
      <c r="C41" s="23" t="s">
        <v>1278</v>
      </c>
      <c r="D41" s="23">
        <f ca="1">SUMIF(CPU!M:M,A41,CPU!R:R)+SUMIF(CPUAUX1!M:M,A41,CPUAUX1!R:R)+SUMIF(CPUAUX2!M:M,A41,CPUAUX2!R:R)+SUMIF(CPUAUX3!M:M,A41,CPUAUX3!R:R)+SUMIF(CPUAUX4!M:M,A41,CPUAUX4!R:R)+SUMIF(CPUAUX5!M:M,A41,CPUAUX5!R:R)</f>
        <v>2</v>
      </c>
      <c r="E41" s="5"/>
      <c r="F41" s="5">
        <f t="shared" ca="1" si="0"/>
        <v>0</v>
      </c>
    </row>
    <row r="42" spans="1:6" x14ac:dyDescent="0.3">
      <c r="A42" s="23">
        <v>788</v>
      </c>
      <c r="B42" s="24" t="s">
        <v>1317</v>
      </c>
      <c r="C42" s="23" t="s">
        <v>1278</v>
      </c>
      <c r="D42" s="23">
        <f ca="1">SUMIF(CPU!M:M,A42,CPU!R:R)+SUMIF(CPUAUX1!M:M,A42,CPUAUX1!R:R)+SUMIF(CPUAUX2!M:M,A42,CPUAUX2!R:R)+SUMIF(CPUAUX3!M:M,A42,CPUAUX3!R:R)+SUMIF(CPUAUX4!M:M,A42,CPUAUX4!R:R)+SUMIF(CPUAUX5!M:M,A42,CPUAUX5!R:R)</f>
        <v>4</v>
      </c>
      <c r="E42" s="5"/>
      <c r="F42" s="5">
        <f t="shared" ca="1" si="0"/>
        <v>0</v>
      </c>
    </row>
    <row r="43" spans="1:6" x14ac:dyDescent="0.3">
      <c r="A43" s="23">
        <v>867</v>
      </c>
      <c r="B43" s="24" t="s">
        <v>1318</v>
      </c>
      <c r="C43" s="23" t="s">
        <v>1296</v>
      </c>
      <c r="D43" s="23">
        <f ca="1">SUMIF(CPU!M:M,A43,CPU!R:R)+SUMIF(CPUAUX1!M:M,A43,CPUAUX1!R:R)+SUMIF(CPUAUX2!M:M,A43,CPUAUX2!R:R)+SUMIF(CPUAUX3!M:M,A43,CPUAUX3!R:R)+SUMIF(CPUAUX4!M:M,A43,CPUAUX4!R:R)+SUMIF(CPUAUX5!M:M,A43,CPUAUX5!R:R)</f>
        <v>4.0949999999999998</v>
      </c>
      <c r="E43" s="5"/>
      <c r="F43" s="5">
        <f t="shared" ca="1" si="0"/>
        <v>0</v>
      </c>
    </row>
    <row r="44" spans="1:6" ht="28.8" x14ac:dyDescent="0.3">
      <c r="A44" s="23">
        <v>1014</v>
      </c>
      <c r="B44" s="24" t="s">
        <v>1319</v>
      </c>
      <c r="C44" s="23" t="s">
        <v>1296</v>
      </c>
      <c r="D44" s="23">
        <f ca="1">SUMIF(CPU!M:M,A44,CPU!R:R)+SUMIF(CPUAUX1!M:M,A44,CPUAUX1!R:R)+SUMIF(CPUAUX2!M:M,A44,CPUAUX2!R:R)+SUMIF(CPUAUX3!M:M,A44,CPUAUX3!R:R)+SUMIF(CPUAUX4!M:M,A44,CPUAUX4!R:R)+SUMIF(CPUAUX5!M:M,A44,CPUAUX5!R:R)</f>
        <v>52.222799999999999</v>
      </c>
      <c r="E44" s="5"/>
      <c r="F44" s="5">
        <f t="shared" ca="1" si="0"/>
        <v>0</v>
      </c>
    </row>
    <row r="45" spans="1:6" ht="43.2" x14ac:dyDescent="0.3">
      <c r="A45" s="23">
        <v>1020</v>
      </c>
      <c r="B45" s="24" t="s">
        <v>1320</v>
      </c>
      <c r="C45" s="23" t="s">
        <v>1296</v>
      </c>
      <c r="D45" s="23">
        <f ca="1">SUMIF(CPU!M:M,A45,CPU!R:R)+SUMIF(CPUAUX1!M:M,A45,CPUAUX1!R:R)+SUMIF(CPUAUX2!M:M,A45,CPUAUX2!R:R)+SUMIF(CPUAUX3!M:M,A45,CPUAUX3!R:R)+SUMIF(CPUAUX4!M:M,A45,CPUAUX4!R:R)+SUMIF(CPUAUX5!M:M,A45,CPUAUX5!R:R)</f>
        <v>27.354800000000001</v>
      </c>
      <c r="E45" s="5"/>
      <c r="F45" s="5">
        <f t="shared" ca="1" si="0"/>
        <v>0</v>
      </c>
    </row>
    <row r="46" spans="1:6" x14ac:dyDescent="0.3">
      <c r="A46" s="23">
        <v>34622</v>
      </c>
      <c r="B46" s="24" t="s">
        <v>1321</v>
      </c>
      <c r="C46" s="23" t="s">
        <v>1296</v>
      </c>
      <c r="D46" s="23">
        <f ca="1">SUMIF(CPU!M:M,A46,CPU!R:R)+SUMIF(CPUAUX1!M:M,A46,CPUAUX1!R:R)+SUMIF(CPUAUX2!M:M,A46,CPUAUX2!R:R)+SUMIF(CPUAUX3!M:M,A46,CPUAUX3!R:R)+SUMIF(CPUAUX4!M:M,A46,CPUAUX4!R:R)+SUMIF(CPUAUX5!M:M,A46,CPUAUX5!R:R)</f>
        <v>240</v>
      </c>
      <c r="E46" s="5"/>
      <c r="F46" s="5">
        <f t="shared" ca="1" si="0"/>
        <v>0</v>
      </c>
    </row>
    <row r="47" spans="1:6" ht="28.8" x14ac:dyDescent="0.3">
      <c r="A47" s="23">
        <v>4430</v>
      </c>
      <c r="B47" s="24" t="s">
        <v>1322</v>
      </c>
      <c r="C47" s="23" t="s">
        <v>1296</v>
      </c>
      <c r="D47" s="23">
        <f ca="1">SUMIF(CPU!M:M,A47,CPU!R:R)+SUMIF(CPUAUX1!M:M,A47,CPUAUX1!R:R)+SUMIF(CPUAUX2!M:M,A47,CPUAUX2!R:R)+SUMIF(CPUAUX3!M:M,A47,CPUAUX3!R:R)+SUMIF(CPUAUX4!M:M,A47,CPUAUX4!R:R)+SUMIF(CPUAUX5!M:M,A47,CPUAUX5!R:R)</f>
        <v>47.794559999999997</v>
      </c>
      <c r="E47" s="5"/>
      <c r="F47" s="5">
        <f t="shared" ca="1" si="0"/>
        <v>0</v>
      </c>
    </row>
    <row r="48" spans="1:6" ht="28.8" x14ac:dyDescent="0.3">
      <c r="A48" s="23">
        <v>4433</v>
      </c>
      <c r="B48" s="24" t="s">
        <v>1323</v>
      </c>
      <c r="C48" s="23" t="s">
        <v>1296</v>
      </c>
      <c r="D48" s="23">
        <f ca="1">SUMIF(CPU!M:M,A48,CPU!R:R)+SUMIF(CPUAUX1!M:M,A48,CPUAUX1!R:R)+SUMIF(CPUAUX2!M:M,A48,CPUAUX2!R:R)+SUMIF(CPUAUX3!M:M,A48,CPUAUX3!R:R)+SUMIF(CPUAUX4!M:M,A48,CPUAUX4!R:R)+SUMIF(CPUAUX5!M:M,A48,CPUAUX5!R:R)</f>
        <v>36.299999999999997</v>
      </c>
      <c r="E48" s="5"/>
      <c r="F48" s="5">
        <f t="shared" ca="1" si="0"/>
        <v>0</v>
      </c>
    </row>
    <row r="49" spans="1:6" ht="28.8" x14ac:dyDescent="0.3">
      <c r="A49" s="23">
        <v>37106</v>
      </c>
      <c r="B49" s="24" t="s">
        <v>1324</v>
      </c>
      <c r="C49" s="23" t="s">
        <v>1278</v>
      </c>
      <c r="D49" s="23">
        <f ca="1">SUMIF(CPU!M:M,A49,CPU!R:R)+SUMIF(CPUAUX1!M:M,A49,CPUAUX1!R:R)+SUMIF(CPUAUX2!M:M,A49,CPUAUX2!R:R)+SUMIF(CPUAUX3!M:M,A49,CPUAUX3!R:R)+SUMIF(CPUAUX4!M:M,A49,CPUAUX4!R:R)+SUMIF(CPUAUX5!M:M,A49,CPUAUX5!R:R)</f>
        <v>2</v>
      </c>
      <c r="E49" s="5"/>
      <c r="F49" s="5">
        <f t="shared" ca="1" si="0"/>
        <v>0</v>
      </c>
    </row>
    <row r="50" spans="1:6" ht="28.8" x14ac:dyDescent="0.3">
      <c r="A50" s="23">
        <v>34643</v>
      </c>
      <c r="B50" s="24" t="s">
        <v>1325</v>
      </c>
      <c r="C50" s="23" t="s">
        <v>1278</v>
      </c>
      <c r="D50" s="23">
        <f ca="1">SUMIF(CPU!M:M,A50,CPU!R:R)+SUMIF(CPUAUX1!M:M,A50,CPUAUX1!R:R)+SUMIF(CPUAUX2!M:M,A50,CPUAUX2!R:R)+SUMIF(CPUAUX3!M:M,A50,CPUAUX3!R:R)+SUMIF(CPUAUX4!M:M,A50,CPUAUX4!R:R)+SUMIF(CPUAUX5!M:M,A50,CPUAUX5!R:R)</f>
        <v>2</v>
      </c>
      <c r="E50" s="5"/>
      <c r="F50" s="5">
        <f t="shared" ca="1" si="0"/>
        <v>0</v>
      </c>
    </row>
    <row r="51" spans="1:6" x14ac:dyDescent="0.3">
      <c r="A51" s="23">
        <v>1872</v>
      </c>
      <c r="B51" s="24" t="s">
        <v>1326</v>
      </c>
      <c r="C51" s="23" t="s">
        <v>1278</v>
      </c>
      <c r="D51" s="23">
        <f ca="1">SUMIF(CPU!M:M,A51,CPU!R:R)+SUMIF(CPUAUX1!M:M,A51,CPUAUX1!R:R)+SUMIF(CPUAUX2!M:M,A51,CPUAUX2!R:R)+SUMIF(CPUAUX3!M:M,A51,CPUAUX3!R:R)+SUMIF(CPUAUX4!M:M,A51,CPUAUX4!R:R)+SUMIF(CPUAUX5!M:M,A51,CPUAUX5!R:R)</f>
        <v>2</v>
      </c>
      <c r="E51" s="5"/>
      <c r="F51" s="5">
        <f t="shared" ca="1" si="0"/>
        <v>0</v>
      </c>
    </row>
    <row r="52" spans="1:6" ht="28.8" x14ac:dyDescent="0.3">
      <c r="A52" s="23">
        <v>39808</v>
      </c>
      <c r="B52" s="24" t="s">
        <v>1327</v>
      </c>
      <c r="C52" s="23" t="s">
        <v>1278</v>
      </c>
      <c r="D52" s="23">
        <f ca="1">SUMIF(CPU!M:M,A52,CPU!R:R)+SUMIF(CPUAUX1!M:M,A52,CPUAUX1!R:R)+SUMIF(CPUAUX2!M:M,A52,CPUAUX2!R:R)+SUMIF(CPUAUX3!M:M,A52,CPUAUX3!R:R)+SUMIF(CPUAUX4!M:M,A52,CPUAUX4!R:R)+SUMIF(CPUAUX5!M:M,A52,CPUAUX5!R:R)</f>
        <v>2</v>
      </c>
      <c r="E52" s="5"/>
      <c r="F52" s="5">
        <f t="shared" ca="1" si="0"/>
        <v>0</v>
      </c>
    </row>
    <row r="53" spans="1:6" x14ac:dyDescent="0.3">
      <c r="A53" s="23">
        <v>1106</v>
      </c>
      <c r="B53" s="24" t="s">
        <v>1328</v>
      </c>
      <c r="C53" s="23" t="s">
        <v>1280</v>
      </c>
      <c r="D53" s="23">
        <f ca="1">SUMIF(CPU!M:M,A53,CPU!R:R)+SUMIF(CPUAUX1!M:M,A53,CPUAUX1!R:R)+SUMIF(CPUAUX2!M:M,A53,CPUAUX2!R:R)+SUMIF(CPUAUX3!M:M,A53,CPUAUX3!R:R)+SUMIF(CPUAUX4!M:M,A53,CPUAUX4!R:R)+SUMIF(CPUAUX5!M:M,A53,CPUAUX5!R:R)</f>
        <v>478.44178410000001</v>
      </c>
      <c r="E53" s="5"/>
      <c r="F53" s="5">
        <f t="shared" ca="1" si="0"/>
        <v>0</v>
      </c>
    </row>
    <row r="54" spans="1:6" ht="28.8" x14ac:dyDescent="0.3">
      <c r="A54" s="23">
        <v>12894</v>
      </c>
      <c r="B54" s="24" t="s">
        <v>1329</v>
      </c>
      <c r="C54" s="23" t="s">
        <v>1278</v>
      </c>
      <c r="D54" s="23">
        <f ca="1">SUMIF(CPU!M:M,A54,CPU!R:R)+SUMIF(CPUAUX1!M:M,A54,CPUAUX1!R:R)+SUMIF(CPUAUX2!M:M,A54,CPUAUX2!R:R)+SUMIF(CPUAUX3!M:M,A54,CPUAUX3!R:R)+SUMIF(CPUAUX4!M:M,A54,CPUAUX4!R:R)+SUMIF(CPUAUX5!M:M,A54,CPUAUX5!R:R)</f>
        <v>4.8732000000000003E-3</v>
      </c>
      <c r="E54" s="5"/>
      <c r="F54" s="5">
        <f t="shared" ca="1" si="0"/>
        <v>0</v>
      </c>
    </row>
    <row r="55" spans="1:6" ht="28.8" x14ac:dyDescent="0.3">
      <c r="A55" s="23">
        <v>12895</v>
      </c>
      <c r="B55" s="24" t="s">
        <v>1330</v>
      </c>
      <c r="C55" s="23" t="s">
        <v>1278</v>
      </c>
      <c r="D55" s="23">
        <f ca="1">SUMIF(CPU!M:M,A55,CPU!R:R)+SUMIF(CPUAUX1!M:M,A55,CPUAUX1!R:R)+SUMIF(CPUAUX2!M:M,A55,CPUAUX2!R:R)+SUMIF(CPUAUX3!M:M,A55,CPUAUX3!R:R)+SUMIF(CPUAUX4!M:M,A55,CPUAUX4!R:R)+SUMIF(CPUAUX5!M:M,A55,CPUAUX5!R:R)</f>
        <v>1.4619599999999998E-2</v>
      </c>
      <c r="E55" s="5"/>
      <c r="F55" s="5">
        <f t="shared" ca="1" si="0"/>
        <v>0</v>
      </c>
    </row>
    <row r="56" spans="1:6" ht="28.8" x14ac:dyDescent="0.3">
      <c r="A56" s="23">
        <v>2711</v>
      </c>
      <c r="B56" s="24" t="s">
        <v>1331</v>
      </c>
      <c r="C56" s="23" t="s">
        <v>1278</v>
      </c>
      <c r="D56" s="23">
        <f ca="1">SUMIF(CPU!M:M,A56,CPU!R:R)+SUMIF(CPUAUX1!M:M,A56,CPUAUX1!R:R)+SUMIF(CPUAUX2!M:M,A56,CPUAUX2!R:R)+SUMIF(CPUAUX3!M:M,A56,CPUAUX3!R:R)+SUMIF(CPUAUX4!M:M,A56,CPUAUX4!R:R)+SUMIF(CPUAUX5!M:M,A56,CPUAUX5!R:R)</f>
        <v>2.9820800000000002E-3</v>
      </c>
      <c r="E56" s="5"/>
      <c r="F56" s="5">
        <f t="shared" ca="1" si="0"/>
        <v>0</v>
      </c>
    </row>
    <row r="57" spans="1:6" x14ac:dyDescent="0.3">
      <c r="A57" s="23" t="s">
        <v>1111</v>
      </c>
      <c r="B57" s="24" t="s">
        <v>1332</v>
      </c>
      <c r="C57" s="23" t="s">
        <v>1278</v>
      </c>
      <c r="D57" s="23">
        <f ca="1">SUMIF(CPU!M:M,A57,CPU!R:R)+SUMIF(CPUAUX1!M:M,A57,CPUAUX1!R:R)+SUMIF(CPUAUX2!M:M,A57,CPUAUX2!R:R)+SUMIF(CPUAUX3!M:M,A57,CPUAUX3!R:R)+SUMIF(CPUAUX4!M:M,A57,CPUAUX4!R:R)+SUMIF(CPUAUX5!M:M,A57,CPUAUX5!R:R)</f>
        <v>0.10964700000000001</v>
      </c>
      <c r="E57" s="5"/>
      <c r="F57" s="5">
        <f t="shared" ca="1" si="0"/>
        <v>0</v>
      </c>
    </row>
    <row r="58" spans="1:6" x14ac:dyDescent="0.3">
      <c r="A58" s="23" t="s">
        <v>1027</v>
      </c>
      <c r="B58" s="24" t="s">
        <v>1333</v>
      </c>
      <c r="C58" s="23" t="s">
        <v>1334</v>
      </c>
      <c r="D58" s="23">
        <f ca="1">SUMIF(CPU!M:M,A58,CPU!R:R)+SUMIF(CPUAUX1!M:M,A58,CPUAUX1!R:R)+SUMIF(CPUAUX2!M:M,A58,CPUAUX2!R:R)+SUMIF(CPUAUX3!M:M,A58,CPUAUX3!R:R)+SUMIF(CPUAUX4!M:M,A58,CPUAUX4!R:R)+SUMIF(CPUAUX5!M:M,A58,CPUAUX5!R:R)</f>
        <v>6.6096000000000004</v>
      </c>
      <c r="E58" s="5"/>
      <c r="F58" s="5">
        <f t="shared" ca="1" si="0"/>
        <v>0</v>
      </c>
    </row>
    <row r="59" spans="1:6" ht="28.8" x14ac:dyDescent="0.3">
      <c r="A59" s="23">
        <v>1345</v>
      </c>
      <c r="B59" s="24" t="s">
        <v>1335</v>
      </c>
      <c r="C59" s="23" t="s">
        <v>1334</v>
      </c>
      <c r="D59" s="23">
        <f ca="1">SUMIF(CPU!M:M,A59,CPU!R:R)+SUMIF(CPUAUX1!M:M,A59,CPUAUX1!R:R)+SUMIF(CPUAUX2!M:M,A59,CPUAUX2!R:R)+SUMIF(CPUAUX3!M:M,A59,CPUAUX3!R:R)+SUMIF(CPUAUX4!M:M,A59,CPUAUX4!R:R)+SUMIF(CPUAUX5!M:M,A59,CPUAUX5!R:R)</f>
        <v>0.3825855820800001</v>
      </c>
      <c r="E59" s="5"/>
      <c r="F59" s="5">
        <f t="shared" ca="1" si="0"/>
        <v>0</v>
      </c>
    </row>
    <row r="60" spans="1:6" ht="28.8" x14ac:dyDescent="0.3">
      <c r="A60" s="23">
        <v>1358</v>
      </c>
      <c r="B60" s="24" t="s">
        <v>1336</v>
      </c>
      <c r="C60" s="23" t="s">
        <v>1334</v>
      </c>
      <c r="D60" s="23">
        <f ca="1">SUMIF(CPU!M:M,A60,CPU!R:R)+SUMIF(CPUAUX1!M:M,A60,CPUAUX1!R:R)+SUMIF(CPUAUX2!M:M,A60,CPUAUX2!R:R)+SUMIF(CPUAUX3!M:M,A60,CPUAUX3!R:R)+SUMIF(CPUAUX4!M:M,A60,CPUAUX4!R:R)+SUMIF(CPUAUX5!M:M,A60,CPUAUX5!R:R)</f>
        <v>1.4371602076800001</v>
      </c>
      <c r="E60" s="5"/>
      <c r="F60" s="5">
        <f t="shared" ca="1" si="0"/>
        <v>0</v>
      </c>
    </row>
    <row r="61" spans="1:6" x14ac:dyDescent="0.3">
      <c r="A61" s="23" t="s">
        <v>1117</v>
      </c>
      <c r="B61" s="24" t="s">
        <v>1337</v>
      </c>
      <c r="C61" s="23" t="s">
        <v>1278</v>
      </c>
      <c r="D61" s="23">
        <f ca="1">SUMIF(CPU!M:M,A61,CPU!R:R)+SUMIF(CPUAUX1!M:M,A61,CPUAUX1!R:R)+SUMIF(CPUAUX2!M:M,A61,CPUAUX2!R:R)+SUMIF(CPUAUX3!M:M,A61,CPUAUX3!R:R)+SUMIF(CPUAUX4!M:M,A61,CPUAUX4!R:R)+SUMIF(CPUAUX5!M:M,A61,CPUAUX5!R:R)</f>
        <v>1.1693599999999999E-3</v>
      </c>
      <c r="E61" s="5"/>
      <c r="F61" s="5">
        <f t="shared" ca="1" si="0"/>
        <v>0</v>
      </c>
    </row>
    <row r="62" spans="1:6" x14ac:dyDescent="0.3">
      <c r="A62" s="23" t="s">
        <v>1120</v>
      </c>
      <c r="B62" s="24" t="s">
        <v>1338</v>
      </c>
      <c r="C62" s="23" t="s">
        <v>1278</v>
      </c>
      <c r="D62" s="23">
        <f ca="1">SUMIF(CPU!M:M,A62,CPU!R:R)+SUMIF(CPUAUX1!M:M,A62,CPUAUX1!R:R)+SUMIF(CPUAUX2!M:M,A62,CPUAUX2!R:R)+SUMIF(CPUAUX3!M:M,A62,CPUAUX3!R:R)+SUMIF(CPUAUX4!M:M,A62,CPUAUX4!R:R)+SUMIF(CPUAUX5!M:M,A62,CPUAUX5!R:R)</f>
        <v>6.0000000000000002E-5</v>
      </c>
      <c r="E62" s="5"/>
      <c r="F62" s="5">
        <f t="shared" ca="1" si="0"/>
        <v>0</v>
      </c>
    </row>
    <row r="63" spans="1:6" x14ac:dyDescent="0.3">
      <c r="A63" s="23" t="s">
        <v>1068</v>
      </c>
      <c r="B63" s="24" t="s">
        <v>1339</v>
      </c>
      <c r="C63" s="23" t="s">
        <v>1280</v>
      </c>
      <c r="D63" s="23">
        <f ca="1">SUMIF(CPU!M:M,A63,CPU!R:R)+SUMIF(CPUAUX1!M:M,A63,CPUAUX1!R:R)+SUMIF(CPUAUX2!M:M,A63,CPUAUX2!R:R)+SUMIF(CPUAUX3!M:M,A63,CPUAUX3!R:R)+SUMIF(CPUAUX4!M:M,A63,CPUAUX4!R:R)+SUMIF(CPUAUX5!M:M,A63,CPUAUX5!R:R)</f>
        <v>133.88000000000002</v>
      </c>
      <c r="E63" s="5"/>
      <c r="F63" s="5">
        <f t="shared" ca="1" si="0"/>
        <v>0</v>
      </c>
    </row>
    <row r="64" spans="1:6" x14ac:dyDescent="0.3">
      <c r="A64" s="23">
        <v>1379</v>
      </c>
      <c r="B64" s="24" t="s">
        <v>1340</v>
      </c>
      <c r="C64" s="23" t="s">
        <v>1280</v>
      </c>
      <c r="D64" s="23">
        <f ca="1">SUMIF(CPU!M:M,A64,CPU!R:R)+SUMIF(CPUAUX1!M:M,A64,CPUAUX1!R:R)+SUMIF(CPUAUX2!M:M,A64,CPUAUX2!R:R)+SUMIF(CPUAUX3!M:M,A64,CPUAUX3!R:R)+SUMIF(CPUAUX4!M:M,A64,CPUAUX4!R:R)+SUMIF(CPUAUX5!M:M,A64,CPUAUX5!R:R)</f>
        <v>4208.5518726604005</v>
      </c>
      <c r="E64" s="5"/>
      <c r="F64" s="5">
        <f t="shared" ca="1" si="0"/>
        <v>0</v>
      </c>
    </row>
    <row r="65" spans="1:6" x14ac:dyDescent="0.3">
      <c r="A65" s="23" t="s">
        <v>1050</v>
      </c>
      <c r="B65" s="24" t="s">
        <v>1341</v>
      </c>
      <c r="C65" s="23" t="s">
        <v>1342</v>
      </c>
      <c r="D65" s="23">
        <f ca="1">SUMIF(CPU!M:M,A65,CPU!R:R)+SUMIF(CPUAUX1!M:M,A65,CPUAUX1!R:R)+SUMIF(CPUAUX2!M:M,A65,CPUAUX2!R:R)+SUMIF(CPUAUX3!M:M,A65,CPUAUX3!R:R)+SUMIF(CPUAUX4!M:M,A65,CPUAUX4!R:R)+SUMIF(CPUAUX5!M:M,A65,CPUAUX5!R:R)</f>
        <v>4</v>
      </c>
      <c r="E65" s="5"/>
      <c r="F65" s="5">
        <f t="shared" ca="1" si="0"/>
        <v>0</v>
      </c>
    </row>
    <row r="66" spans="1:6" x14ac:dyDescent="0.3">
      <c r="A66" s="23" t="s">
        <v>1152</v>
      </c>
      <c r="B66" s="24" t="s">
        <v>1343</v>
      </c>
      <c r="C66" s="23" t="s">
        <v>1278</v>
      </c>
      <c r="D66" s="23">
        <f ca="1">SUMIF(CPU!M:M,A66,CPU!R:R)+SUMIF(CPUAUX1!M:M,A66,CPUAUX1!R:R)+SUMIF(CPUAUX2!M:M,A66,CPUAUX2!R:R)+SUMIF(CPUAUX3!M:M,A66,CPUAUX3!R:R)+SUMIF(CPUAUX4!M:M,A66,CPUAUX4!R:R)+SUMIF(CPUAUX5!M:M,A66,CPUAUX5!R:R)</f>
        <v>7.4880000000000001E-5</v>
      </c>
      <c r="E66" s="5"/>
      <c r="F66" s="5">
        <f t="shared" ca="1" si="0"/>
        <v>0</v>
      </c>
    </row>
    <row r="67" spans="1:6" x14ac:dyDescent="0.3">
      <c r="A67" s="23" t="s">
        <v>1133</v>
      </c>
      <c r="B67" s="24" t="s">
        <v>1344</v>
      </c>
      <c r="C67" s="23" t="s">
        <v>1334</v>
      </c>
      <c r="D67" s="23">
        <f ca="1">SUMIF(CPU!M:M,A67,CPU!R:R)+SUMIF(CPUAUX1!M:M,A67,CPUAUX1!R:R)+SUMIF(CPUAUX2!M:M,A67,CPUAUX2!R:R)+SUMIF(CPUAUX3!M:M,A67,CPUAUX3!R:R)+SUMIF(CPUAUX4!M:M,A67,CPUAUX4!R:R)+SUMIF(CPUAUX5!M:M,A67,CPUAUX5!R:R)</f>
        <v>1.2168000000000001</v>
      </c>
      <c r="E67" s="5"/>
      <c r="F67" s="5">
        <f t="shared" ca="1" si="0"/>
        <v>0</v>
      </c>
    </row>
    <row r="68" spans="1:6" ht="43.2" x14ac:dyDescent="0.3">
      <c r="A68" s="23">
        <v>1527</v>
      </c>
      <c r="B68" s="24" t="s">
        <v>1345</v>
      </c>
      <c r="C68" s="23" t="s">
        <v>1301</v>
      </c>
      <c r="D68" s="23">
        <f ca="1">SUMIF(CPU!M:M,A68,CPU!R:R)+SUMIF(CPUAUX1!M:M,A68,CPUAUX1!R:R)+SUMIF(CPUAUX2!M:M,A68,CPUAUX2!R:R)+SUMIF(CPUAUX3!M:M,A68,CPUAUX3!R:R)+SUMIF(CPUAUX4!M:M,A68,CPUAUX4!R:R)+SUMIF(CPUAUX5!M:M,A68,CPUAUX5!R:R)</f>
        <v>8.1732300000000008E-2</v>
      </c>
      <c r="E68" s="5"/>
      <c r="F68" s="5">
        <f t="shared" ca="1" si="0"/>
        <v>0</v>
      </c>
    </row>
    <row r="69" spans="1:6" x14ac:dyDescent="0.3">
      <c r="A69" s="23">
        <v>1648</v>
      </c>
      <c r="B69" s="24" t="s">
        <v>1346</v>
      </c>
      <c r="C69" s="23" t="s">
        <v>1278</v>
      </c>
      <c r="D69" s="23">
        <f ca="1">SUMIF(CPU!M:M,A69,CPU!R:R)+SUMIF(CPUAUX1!M:M,A69,CPUAUX1!R:R)+SUMIF(CPUAUX2!M:M,A69,CPUAUX2!R:R)+SUMIF(CPUAUX3!M:M,A69,CPUAUX3!R:R)+SUMIF(CPUAUX4!M:M,A69,CPUAUX4!R:R)+SUMIF(CPUAUX5!M:M,A69,CPUAUX5!R:R)</f>
        <v>2</v>
      </c>
      <c r="E69" s="5"/>
      <c r="F69" s="5">
        <f t="shared" ca="1" si="0"/>
        <v>0</v>
      </c>
    </row>
    <row r="70" spans="1:6" x14ac:dyDescent="0.3">
      <c r="A70" s="23">
        <v>39276</v>
      </c>
      <c r="B70" s="24" t="s">
        <v>1347</v>
      </c>
      <c r="C70" s="23" t="s">
        <v>1278</v>
      </c>
      <c r="D70" s="23">
        <f ca="1">SUMIF(CPU!M:M,A70,CPU!R:R)+SUMIF(CPUAUX1!M:M,A70,CPUAUX1!R:R)+SUMIF(CPUAUX2!M:M,A70,CPUAUX2!R:R)+SUMIF(CPUAUX3!M:M,A70,CPUAUX3!R:R)+SUMIF(CPUAUX4!M:M,A70,CPUAUX4!R:R)+SUMIF(CPUAUX5!M:M,A70,CPUAUX5!R:R)</f>
        <v>2</v>
      </c>
      <c r="E70" s="5"/>
      <c r="F70" s="5">
        <f t="shared" ca="1" si="0"/>
        <v>0</v>
      </c>
    </row>
    <row r="71" spans="1:6" x14ac:dyDescent="0.3">
      <c r="A71" s="23">
        <v>1789</v>
      </c>
      <c r="B71" s="24" t="s">
        <v>1348</v>
      </c>
      <c r="C71" s="23" t="s">
        <v>1278</v>
      </c>
      <c r="D71" s="23">
        <f ca="1">SUMIF(CPU!M:M,A71,CPU!R:R)+SUMIF(CPUAUX1!M:M,A71,CPUAUX1!R:R)+SUMIF(CPUAUX2!M:M,A71,CPUAUX2!R:R)+SUMIF(CPUAUX3!M:M,A71,CPUAUX3!R:R)+SUMIF(CPUAUX4!M:M,A71,CPUAUX4!R:R)+SUMIF(CPUAUX5!M:M,A71,CPUAUX5!R:R)</f>
        <v>4</v>
      </c>
      <c r="E71" s="5"/>
      <c r="F71" s="5">
        <f t="shared" ref="F71:F134" ca="1" si="1">ROUND(D71*E71,2)</f>
        <v>0</v>
      </c>
    </row>
    <row r="72" spans="1:6" x14ac:dyDescent="0.3">
      <c r="A72" s="23">
        <v>1787</v>
      </c>
      <c r="B72" s="24" t="s">
        <v>1349</v>
      </c>
      <c r="C72" s="23" t="s">
        <v>1278</v>
      </c>
      <c r="D72" s="23">
        <f ca="1">SUMIF(CPU!M:M,A72,CPU!R:R)+SUMIF(CPUAUX1!M:M,A72,CPUAUX1!R:R)+SUMIF(CPUAUX2!M:M,A72,CPUAUX2!R:R)+SUMIF(CPUAUX3!M:M,A72,CPUAUX3!R:R)+SUMIF(CPUAUX4!M:M,A72,CPUAUX4!R:R)+SUMIF(CPUAUX5!M:M,A72,CPUAUX5!R:R)</f>
        <v>2</v>
      </c>
      <c r="E72" s="5"/>
      <c r="F72" s="5">
        <f t="shared" ca="1" si="1"/>
        <v>0</v>
      </c>
    </row>
    <row r="73" spans="1:6" x14ac:dyDescent="0.3">
      <c r="A73" s="23">
        <v>1884</v>
      </c>
      <c r="B73" s="24" t="s">
        <v>1350</v>
      </c>
      <c r="C73" s="23" t="s">
        <v>1278</v>
      </c>
      <c r="D73" s="23">
        <f ca="1">SUMIF(CPU!M:M,A73,CPU!R:R)+SUMIF(CPUAUX1!M:M,A73,CPUAUX1!R:R)+SUMIF(CPUAUX2!M:M,A73,CPUAUX2!R:R)+SUMIF(CPUAUX3!M:M,A73,CPUAUX3!R:R)+SUMIF(CPUAUX4!M:M,A73,CPUAUX4!R:R)+SUMIF(CPUAUX5!M:M,A73,CPUAUX5!R:R)</f>
        <v>2</v>
      </c>
      <c r="E73" s="5"/>
      <c r="F73" s="5">
        <f t="shared" ca="1" si="1"/>
        <v>0</v>
      </c>
    </row>
    <row r="74" spans="1:6" x14ac:dyDescent="0.3">
      <c r="A74" s="23">
        <v>1957</v>
      </c>
      <c r="B74" s="24" t="s">
        <v>1351</v>
      </c>
      <c r="C74" s="23" t="s">
        <v>1278</v>
      </c>
      <c r="D74" s="23">
        <f ca="1">SUMIF(CPU!M:M,A74,CPU!R:R)+SUMIF(CPUAUX1!M:M,A74,CPUAUX1!R:R)+SUMIF(CPUAUX2!M:M,A74,CPUAUX2!R:R)+SUMIF(CPUAUX3!M:M,A74,CPUAUX3!R:R)+SUMIF(CPUAUX4!M:M,A74,CPUAUX4!R:R)+SUMIF(CPUAUX5!M:M,A74,CPUAUX5!R:R)</f>
        <v>8</v>
      </c>
      <c r="E74" s="5"/>
      <c r="F74" s="5">
        <f t="shared" ca="1" si="1"/>
        <v>0</v>
      </c>
    </row>
    <row r="75" spans="1:6" x14ac:dyDescent="0.3">
      <c r="A75" s="23" t="s">
        <v>1151</v>
      </c>
      <c r="B75" s="24" t="s">
        <v>1352</v>
      </c>
      <c r="C75" s="23" t="s">
        <v>1278</v>
      </c>
      <c r="D75" s="23">
        <f ca="1">SUMIF(CPU!M:M,A75,CPU!R:R)+SUMIF(CPUAUX1!M:M,A75,CPUAUX1!R:R)+SUMIF(CPUAUX2!M:M,A75,CPUAUX2!R:R)+SUMIF(CPUAUX3!M:M,A75,CPUAUX3!R:R)+SUMIF(CPUAUX4!M:M,A75,CPUAUX4!R:R)+SUMIF(CPUAUX5!M:M,A75,CPUAUX5!R:R)</f>
        <v>9.3599999999999998E-5</v>
      </c>
      <c r="E75" s="5"/>
      <c r="F75" s="5">
        <f t="shared" ca="1" si="1"/>
        <v>0</v>
      </c>
    </row>
    <row r="76" spans="1:6" x14ac:dyDescent="0.3">
      <c r="A76" s="23" t="s">
        <v>1157</v>
      </c>
      <c r="B76" s="24" t="s">
        <v>1353</v>
      </c>
      <c r="C76" s="23" t="s">
        <v>1278</v>
      </c>
      <c r="D76" s="23">
        <f ca="1">SUMIF(CPU!M:M,A76,CPU!R:R)+SUMIF(CPUAUX1!M:M,A76,CPUAUX1!R:R)+SUMIF(CPUAUX2!M:M,A76,CPUAUX2!R:R)+SUMIF(CPUAUX3!M:M,A76,CPUAUX3!R:R)+SUMIF(CPUAUX4!M:M,A76,CPUAUX4!R:R)+SUMIF(CPUAUX5!M:M,A76,CPUAUX5!R:R)</f>
        <v>1.3103999999999999E-4</v>
      </c>
      <c r="E76" s="5"/>
      <c r="F76" s="5">
        <f t="shared" ca="1" si="1"/>
        <v>0</v>
      </c>
    </row>
    <row r="77" spans="1:6" x14ac:dyDescent="0.3">
      <c r="A77" s="23" t="s">
        <v>1127</v>
      </c>
      <c r="B77" s="24" t="s">
        <v>1354</v>
      </c>
      <c r="C77" s="23" t="s">
        <v>1178</v>
      </c>
      <c r="D77" s="23">
        <f ca="1">SUMIF(CPU!M:M,A77,CPU!R:R)+SUMIF(CPUAUX1!M:M,A77,CPUAUX1!R:R)+SUMIF(CPUAUX2!M:M,A77,CPUAUX2!R:R)+SUMIF(CPUAUX3!M:M,A77,CPUAUX3!R:R)+SUMIF(CPUAUX4!M:M,A77,CPUAUX4!R:R)+SUMIF(CPUAUX5!M:M,A77,CPUAUX5!R:R)</f>
        <v>0.83200000000000007</v>
      </c>
      <c r="E77" s="5"/>
      <c r="F77" s="5">
        <f t="shared" ca="1" si="1"/>
        <v>0</v>
      </c>
    </row>
    <row r="78" spans="1:6" ht="28.8" x14ac:dyDescent="0.3">
      <c r="A78" s="23">
        <v>2692</v>
      </c>
      <c r="B78" s="24" t="s">
        <v>1355</v>
      </c>
      <c r="C78" s="23" t="s">
        <v>1178</v>
      </c>
      <c r="D78" s="23">
        <f ca="1">SUMIF(CPU!M:M,A78,CPU!R:R)+SUMIF(CPUAUX1!M:M,A78,CPUAUX1!R:R)+SUMIF(CPUAUX2!M:M,A78,CPUAUX2!R:R)+SUMIF(CPUAUX3!M:M,A78,CPUAUX3!R:R)+SUMIF(CPUAUX4!M:M,A78,CPUAUX4!R:R)+SUMIF(CPUAUX5!M:M,A78,CPUAUX5!R:R)</f>
        <v>0.22377659999999999</v>
      </c>
      <c r="E78" s="5"/>
      <c r="F78" s="5">
        <f t="shared" ca="1" si="1"/>
        <v>0</v>
      </c>
    </row>
    <row r="79" spans="1:6" x14ac:dyDescent="0.3">
      <c r="A79" s="23">
        <v>5318</v>
      </c>
      <c r="B79" s="24" t="s">
        <v>1356</v>
      </c>
      <c r="C79" s="23" t="s">
        <v>1178</v>
      </c>
      <c r="D79" s="23">
        <f ca="1">SUMIF(CPU!M:M,A79,CPU!R:R)+SUMIF(CPUAUX1!M:M,A79,CPUAUX1!R:R)+SUMIF(CPUAUX2!M:M,A79,CPUAUX2!R:R)+SUMIF(CPUAUX3!M:M,A79,CPUAUX3!R:R)+SUMIF(CPUAUX4!M:M,A79,CPUAUX4!R:R)+SUMIF(CPUAUX5!M:M,A79,CPUAUX5!R:R)</f>
        <v>0.20535999999999999</v>
      </c>
      <c r="E79" s="5"/>
      <c r="F79" s="5">
        <f t="shared" ca="1" si="1"/>
        <v>0</v>
      </c>
    </row>
    <row r="80" spans="1:6" x14ac:dyDescent="0.3">
      <c r="A80" s="23">
        <v>34686</v>
      </c>
      <c r="B80" s="24" t="s">
        <v>1357</v>
      </c>
      <c r="C80" s="23" t="s">
        <v>1278</v>
      </c>
      <c r="D80" s="23">
        <f ca="1">SUMIF(CPU!M:M,A80,CPU!R:R)+SUMIF(CPUAUX1!M:M,A80,CPUAUX1!R:R)+SUMIF(CPUAUX2!M:M,A80,CPUAUX2!R:R)+SUMIF(CPUAUX3!M:M,A80,CPUAUX3!R:R)+SUMIF(CPUAUX4!M:M,A80,CPUAUX4!R:R)+SUMIF(CPUAUX5!M:M,A80,CPUAUX5!R:R)</f>
        <v>2</v>
      </c>
      <c r="E80" s="5"/>
      <c r="F80" s="5">
        <f t="shared" ca="1" si="1"/>
        <v>0</v>
      </c>
    </row>
    <row r="81" spans="1:6" x14ac:dyDescent="0.3">
      <c r="A81" s="23">
        <v>34653</v>
      </c>
      <c r="B81" s="24" t="s">
        <v>1358</v>
      </c>
      <c r="C81" s="23" t="s">
        <v>1278</v>
      </c>
      <c r="D81" s="23">
        <f ca="1">SUMIF(CPU!M:M,A81,CPU!R:R)+SUMIF(CPUAUX1!M:M,A81,CPUAUX1!R:R)+SUMIF(CPUAUX2!M:M,A81,CPUAUX2!R:R)+SUMIF(CPUAUX3!M:M,A81,CPUAUX3!R:R)+SUMIF(CPUAUX4!M:M,A81,CPUAUX4!R:R)+SUMIF(CPUAUX5!M:M,A81,CPUAUX5!R:R)</f>
        <v>4</v>
      </c>
      <c r="E81" s="5"/>
      <c r="F81" s="5">
        <f t="shared" ca="1" si="1"/>
        <v>0</v>
      </c>
    </row>
    <row r="82" spans="1:6" x14ac:dyDescent="0.3">
      <c r="A82" s="23" t="s">
        <v>1075</v>
      </c>
      <c r="B82" s="24" t="s">
        <v>1359</v>
      </c>
      <c r="C82" s="23" t="s">
        <v>1278</v>
      </c>
      <c r="D82" s="23">
        <f ca="1">SUMIF(CPU!M:M,A82,CPU!R:R)+SUMIF(CPUAUX1!M:M,A82,CPUAUX1!R:R)+SUMIF(CPUAUX2!M:M,A82,CPUAUX2!R:R)+SUMIF(CPUAUX3!M:M,A82,CPUAUX3!R:R)+SUMIF(CPUAUX4!M:M,A82,CPUAUX4!R:R)+SUMIF(CPUAUX5!M:M,A82,CPUAUX5!R:R)</f>
        <v>2</v>
      </c>
      <c r="E82" s="5"/>
      <c r="F82" s="5">
        <f t="shared" ca="1" si="1"/>
        <v>0</v>
      </c>
    </row>
    <row r="83" spans="1:6" x14ac:dyDescent="0.3">
      <c r="A83" s="23">
        <v>665</v>
      </c>
      <c r="B83" s="24" t="s">
        <v>1360</v>
      </c>
      <c r="C83" s="23" t="s">
        <v>1278</v>
      </c>
      <c r="D83" s="23">
        <f ca="1">SUMIF(CPU!M:M,A83,CPU!R:R)+SUMIF(CPUAUX1!M:M,A83,CPUAUX1!R:R)+SUMIF(CPUAUX2!M:M,A83,CPUAUX2!R:R)+SUMIF(CPUAUX3!M:M,A83,CPUAUX3!R:R)+SUMIF(CPUAUX4!M:M,A83,CPUAUX4!R:R)+SUMIF(CPUAUX5!M:M,A83,CPUAUX5!R:R)</f>
        <v>11.850000000000001</v>
      </c>
      <c r="E83" s="5"/>
      <c r="F83" s="5">
        <f t="shared" ca="1" si="1"/>
        <v>0</v>
      </c>
    </row>
    <row r="84" spans="1:6" x14ac:dyDescent="0.3">
      <c r="A84" s="23">
        <v>2685</v>
      </c>
      <c r="B84" s="24" t="s">
        <v>1361</v>
      </c>
      <c r="C84" s="23" t="s">
        <v>1296</v>
      </c>
      <c r="D84" s="23">
        <f ca="1">SUMIF(CPU!M:M,A84,CPU!R:R)+SUMIF(CPUAUX1!M:M,A84,CPUAUX1!R:R)+SUMIF(CPUAUX2!M:M,A84,CPUAUX2!R:R)+SUMIF(CPUAUX3!M:M,A84,CPUAUX3!R:R)+SUMIF(CPUAUX4!M:M,A84,CPUAUX4!R:R)+SUMIF(CPUAUX5!M:M,A84,CPUAUX5!R:R)</f>
        <v>12.305699999999998</v>
      </c>
      <c r="E84" s="5"/>
      <c r="F84" s="5">
        <f t="shared" ca="1" si="1"/>
        <v>0</v>
      </c>
    </row>
    <row r="85" spans="1:6" x14ac:dyDescent="0.3">
      <c r="A85" s="23">
        <v>2689</v>
      </c>
      <c r="B85" s="24" t="s">
        <v>1362</v>
      </c>
      <c r="C85" s="23" t="s">
        <v>1296</v>
      </c>
      <c r="D85" s="23">
        <f ca="1">SUMIF(CPU!M:M,A85,CPU!R:R)+SUMIF(CPUAUX1!M:M,A85,CPUAUX1!R:R)+SUMIF(CPUAUX2!M:M,A85,CPUAUX2!R:R)+SUMIF(CPUAUX3!M:M,A85,CPUAUX3!R:R)+SUMIF(CPUAUX4!M:M,A85,CPUAUX4!R:R)+SUMIF(CPUAUX5!M:M,A85,CPUAUX5!R:R)</f>
        <v>4.4748000000000001</v>
      </c>
      <c r="E85" s="5"/>
      <c r="F85" s="5">
        <f t="shared" ca="1" si="1"/>
        <v>0</v>
      </c>
    </row>
    <row r="86" spans="1:6" x14ac:dyDescent="0.3">
      <c r="A86" s="23">
        <v>2705</v>
      </c>
      <c r="B86" s="24" t="s">
        <v>1363</v>
      </c>
      <c r="C86" s="23" t="s">
        <v>1364</v>
      </c>
      <c r="D86" s="23">
        <f ca="1">SUMIF(CPU!M:M,A86,CPU!R:R)+SUMIF(CPUAUX1!M:M,A86,CPUAUX1!R:R)+SUMIF(CPUAUX2!M:M,A86,CPUAUX2!R:R)+SUMIF(CPUAUX3!M:M,A86,CPUAUX3!R:R)+SUMIF(CPUAUX4!M:M,A86,CPUAUX4!R:R)+SUMIF(CPUAUX5!M:M,A86,CPUAUX5!R:R)</f>
        <v>18.9773778940576</v>
      </c>
      <c r="E86" s="5"/>
      <c r="F86" s="5">
        <f t="shared" ca="1" si="1"/>
        <v>0</v>
      </c>
    </row>
    <row r="87" spans="1:6" ht="28.8" x14ac:dyDescent="0.3">
      <c r="A87" s="23" t="s">
        <v>1044</v>
      </c>
      <c r="B87" s="24" t="s">
        <v>1365</v>
      </c>
      <c r="C87" s="23" t="s">
        <v>1366</v>
      </c>
      <c r="D87" s="23">
        <f ca="1">SUMIF(CPU!M:M,A87,CPU!R:R)+SUMIF(CPUAUX1!M:M,A87,CPUAUX1!R:R)+SUMIF(CPUAUX2!M:M,A87,CPUAUX2!R:R)+SUMIF(CPUAUX3!M:M,A87,CPUAUX3!R:R)+SUMIF(CPUAUX4!M:M,A87,CPUAUX4!R:R)+SUMIF(CPUAUX5!M:M,A87,CPUAUX5!R:R)</f>
        <v>7.6536000000000008</v>
      </c>
      <c r="E87" s="5"/>
      <c r="F87" s="5">
        <f t="shared" ca="1" si="1"/>
        <v>0</v>
      </c>
    </row>
    <row r="88" spans="1:6" ht="28.8" x14ac:dyDescent="0.3">
      <c r="A88" s="23" t="s">
        <v>1036</v>
      </c>
      <c r="B88" s="24" t="s">
        <v>1367</v>
      </c>
      <c r="C88" s="23" t="s">
        <v>1366</v>
      </c>
      <c r="D88" s="23">
        <f ca="1">SUMIF(CPU!M:M,A88,CPU!R:R)+SUMIF(CPUAUX1!M:M,A88,CPUAUX1!R:R)+SUMIF(CPUAUX2!M:M,A88,CPUAUX2!R:R)+SUMIF(CPUAUX3!M:M,A88,CPUAUX3!R:R)+SUMIF(CPUAUX4!M:M,A88,CPUAUX4!R:R)+SUMIF(CPUAUX5!M:M,A88,CPUAUX5!R:R)</f>
        <v>0</v>
      </c>
      <c r="E88" s="5"/>
      <c r="F88" s="5">
        <f t="shared" ca="1" si="1"/>
        <v>0</v>
      </c>
    </row>
    <row r="89" spans="1:6" ht="28.8" x14ac:dyDescent="0.3">
      <c r="A89" s="23" t="s">
        <v>1038</v>
      </c>
      <c r="B89" s="24" t="s">
        <v>1367</v>
      </c>
      <c r="C89" s="23" t="s">
        <v>1366</v>
      </c>
      <c r="D89" s="23">
        <f ca="1">SUMIF(CPU!M:M,A89,CPU!R:R)+SUMIF(CPUAUX1!M:M,A89,CPUAUX1!R:R)+SUMIF(CPUAUX2!M:M,A89,CPUAUX2!R:R)+SUMIF(CPUAUX3!M:M,A89,CPUAUX3!R:R)+SUMIF(CPUAUX4!M:M,A89,CPUAUX4!R:R)+SUMIF(CPUAUX5!M:M,A89,CPUAUX5!R:R)</f>
        <v>0</v>
      </c>
      <c r="E89" s="5"/>
      <c r="F89" s="5">
        <f t="shared" ca="1" si="1"/>
        <v>0</v>
      </c>
    </row>
    <row r="90" spans="1:6" ht="28.8" x14ac:dyDescent="0.3">
      <c r="A90" s="23" t="s">
        <v>1035</v>
      </c>
      <c r="B90" s="24" t="s">
        <v>1368</v>
      </c>
      <c r="C90" s="23" t="s">
        <v>1366</v>
      </c>
      <c r="D90" s="23">
        <f ca="1">SUMIF(CPU!M:M,A90,CPU!R:R)+SUMIF(CPUAUX1!M:M,A90,CPUAUX1!R:R)+SUMIF(CPUAUX2!M:M,A90,CPUAUX2!R:R)+SUMIF(CPUAUX3!M:M,A90,CPUAUX3!R:R)+SUMIF(CPUAUX4!M:M,A90,CPUAUX4!R:R)+SUMIF(CPUAUX5!M:M,A90,CPUAUX5!R:R)</f>
        <v>28</v>
      </c>
      <c r="E90" s="5"/>
      <c r="F90" s="5">
        <f t="shared" ca="1" si="1"/>
        <v>0</v>
      </c>
    </row>
    <row r="91" spans="1:6" ht="28.8" x14ac:dyDescent="0.3">
      <c r="A91" s="23" t="s">
        <v>1037</v>
      </c>
      <c r="B91" s="24" t="s">
        <v>1368</v>
      </c>
      <c r="C91" s="23" t="s">
        <v>1366</v>
      </c>
      <c r="D91" s="23">
        <f ca="1">SUMIF(CPU!M:M,A91,CPU!R:R)+SUMIF(CPUAUX1!M:M,A91,CPUAUX1!R:R)+SUMIF(CPUAUX2!M:M,A91,CPUAUX2!R:R)+SUMIF(CPUAUX3!M:M,A91,CPUAUX3!R:R)+SUMIF(CPUAUX4!M:M,A91,CPUAUX4!R:R)+SUMIF(CPUAUX5!M:M,A91,CPUAUX5!R:R)</f>
        <v>60.800000000000004</v>
      </c>
      <c r="E91" s="5"/>
      <c r="F91" s="5">
        <f t="shared" ca="1" si="1"/>
        <v>0</v>
      </c>
    </row>
    <row r="92" spans="1:6" x14ac:dyDescent="0.3">
      <c r="A92" s="23" t="s">
        <v>1158</v>
      </c>
      <c r="B92" s="24" t="s">
        <v>1369</v>
      </c>
      <c r="C92" s="23" t="s">
        <v>1278</v>
      </c>
      <c r="D92" s="23">
        <f ca="1">SUMIF(CPU!M:M,A92,CPU!R:R)+SUMIF(CPUAUX1!M:M,A92,CPUAUX1!R:R)+SUMIF(CPUAUX2!M:M,A92,CPUAUX2!R:R)+SUMIF(CPUAUX3!M:M,A92,CPUAUX3!R:R)+SUMIF(CPUAUX4!M:M,A92,CPUAUX4!R:R)+SUMIF(CPUAUX5!M:M,A92,CPUAUX5!R:R)</f>
        <v>1.3103999999999999E-4</v>
      </c>
      <c r="E92" s="5"/>
      <c r="F92" s="5">
        <f t="shared" ca="1" si="1"/>
        <v>0</v>
      </c>
    </row>
    <row r="93" spans="1:6" x14ac:dyDescent="0.3">
      <c r="A93" s="23" t="s">
        <v>1030</v>
      </c>
      <c r="B93" s="24" t="s">
        <v>1370</v>
      </c>
      <c r="C93" s="23" t="s">
        <v>1178</v>
      </c>
      <c r="D93" s="23">
        <f ca="1">SUMIF(CPU!M:M,A93,CPU!R:R)+SUMIF(CPUAUX1!M:M,A93,CPUAUX1!R:R)+SUMIF(CPUAUX2!M:M,A93,CPUAUX2!R:R)+SUMIF(CPUAUX3!M:M,A93,CPUAUX3!R:R)+SUMIF(CPUAUX4!M:M,A93,CPUAUX4!R:R)+SUMIF(CPUAUX5!M:M,A93,CPUAUX5!R:R)</f>
        <v>6.48</v>
      </c>
      <c r="E93" s="5"/>
      <c r="F93" s="5">
        <f t="shared" ca="1" si="1"/>
        <v>0</v>
      </c>
    </row>
    <row r="94" spans="1:6" ht="28.8" x14ac:dyDescent="0.3">
      <c r="A94" s="23">
        <v>39017</v>
      </c>
      <c r="B94" s="24" t="s">
        <v>1371</v>
      </c>
      <c r="C94" s="23" t="s">
        <v>1278</v>
      </c>
      <c r="D94" s="23">
        <f ca="1">SUMIF(CPU!M:M,A94,CPU!R:R)+SUMIF(CPUAUX1!M:M,A94,CPUAUX1!R:R)+SUMIF(CPUAUX2!M:M,A94,CPUAUX2!R:R)+SUMIF(CPUAUX3!M:M,A94,CPUAUX3!R:R)+SUMIF(CPUAUX4!M:M,A94,CPUAUX4!R:R)+SUMIF(CPUAUX5!M:M,A94,CPUAUX5!R:R)</f>
        <v>134.2190516</v>
      </c>
      <c r="E94" s="5"/>
      <c r="F94" s="5">
        <f t="shared" ca="1" si="1"/>
        <v>0</v>
      </c>
    </row>
    <row r="95" spans="1:6" ht="28.8" x14ac:dyDescent="0.3">
      <c r="A95" s="23">
        <v>39315</v>
      </c>
      <c r="B95" s="24" t="s">
        <v>1372</v>
      </c>
      <c r="C95" s="23" t="s">
        <v>1278</v>
      </c>
      <c r="D95" s="23">
        <f ca="1">SUMIF(CPU!M:M,A95,CPU!R:R)+SUMIF(CPUAUX1!M:M,A95,CPUAUX1!R:R)+SUMIF(CPUAUX2!M:M,A95,CPUAUX2!R:R)+SUMIF(CPUAUX3!M:M,A95,CPUAUX3!R:R)+SUMIF(CPUAUX4!M:M,A95,CPUAUX4!R:R)+SUMIF(CPUAUX5!M:M,A95,CPUAUX5!R:R)</f>
        <v>16.64</v>
      </c>
      <c r="E95" s="5"/>
      <c r="F95" s="5">
        <f t="shared" ca="1" si="1"/>
        <v>0</v>
      </c>
    </row>
    <row r="96" spans="1:6" ht="28.8" x14ac:dyDescent="0.3">
      <c r="A96" s="23">
        <v>38094</v>
      </c>
      <c r="B96" s="24" t="s">
        <v>1373</v>
      </c>
      <c r="C96" s="23" t="s">
        <v>1278</v>
      </c>
      <c r="D96" s="23">
        <f ca="1">SUMIF(CPU!M:M,A96,CPU!R:R)+SUMIF(CPUAUX1!M:M,A96,CPUAUX1!R:R)+SUMIF(CPUAUX2!M:M,A96,CPUAUX2!R:R)+SUMIF(CPUAUX3!M:M,A96,CPUAUX3!R:R)+SUMIF(CPUAUX4!M:M,A96,CPUAUX4!R:R)+SUMIF(CPUAUX5!M:M,A96,CPUAUX5!R:R)</f>
        <v>2</v>
      </c>
      <c r="E96" s="5"/>
      <c r="F96" s="5">
        <f t="shared" ca="1" si="1"/>
        <v>0</v>
      </c>
    </row>
    <row r="97" spans="1:6" x14ac:dyDescent="0.3">
      <c r="A97" s="23" t="s">
        <v>1112</v>
      </c>
      <c r="B97" s="24" t="s">
        <v>1374</v>
      </c>
      <c r="C97" s="23" t="s">
        <v>1375</v>
      </c>
      <c r="D97" s="23">
        <f ca="1">SUMIF(CPU!M:M,A97,CPU!R:R)+SUMIF(CPUAUX1!M:M,A97,CPUAUX1!R:R)+SUMIF(CPUAUX2!M:M,A97,CPUAUX2!R:R)+SUMIF(CPUAUX3!M:M,A97,CPUAUX3!R:R)+SUMIF(CPUAUX4!M:M,A97,CPUAUX4!R:R)+SUMIF(CPUAUX5!M:M,A97,CPUAUX5!R:R)</f>
        <v>9.7464000000000005E-3</v>
      </c>
      <c r="E97" s="5"/>
      <c r="F97" s="5">
        <f t="shared" ca="1" si="1"/>
        <v>0</v>
      </c>
    </row>
    <row r="98" spans="1:6" x14ac:dyDescent="0.3">
      <c r="A98" s="23" t="s">
        <v>1105</v>
      </c>
      <c r="B98" s="24" t="s">
        <v>1376</v>
      </c>
      <c r="C98" s="23" t="s">
        <v>1278</v>
      </c>
      <c r="D98" s="23">
        <f ca="1">SUMIF(CPU!M:M,A98,CPU!R:R)+SUMIF(CPUAUX1!M:M,A98,CPUAUX1!R:R)+SUMIF(CPUAUX2!M:M,A98,CPUAUX2!R:R)+SUMIF(CPUAUX3!M:M,A98,CPUAUX3!R:R)+SUMIF(CPUAUX4!M:M,A98,CPUAUX4!R:R)+SUMIF(CPUAUX5!M:M,A98,CPUAUX5!R:R)</f>
        <v>3.6548999999999998E-2</v>
      </c>
      <c r="E98" s="5"/>
      <c r="F98" s="5">
        <f t="shared" ca="1" si="1"/>
        <v>0</v>
      </c>
    </row>
    <row r="99" spans="1:6" x14ac:dyDescent="0.3">
      <c r="A99" s="23">
        <v>21127</v>
      </c>
      <c r="B99" s="24" t="s">
        <v>1377</v>
      </c>
      <c r="C99" s="23" t="s">
        <v>1278</v>
      </c>
      <c r="D99" s="23">
        <f ca="1">SUMIF(CPU!M:M,A99,CPU!R:R)+SUMIF(CPUAUX1!M:M,A99,CPUAUX1!R:R)+SUMIF(CPUAUX2!M:M,A99,CPUAUX2!R:R)+SUMIF(CPUAUX3!M:M,A99,CPUAUX3!R:R)+SUMIF(CPUAUX4!M:M,A99,CPUAUX4!R:R)+SUMIF(CPUAUX5!M:M,A99,CPUAUX5!R:R)</f>
        <v>0.60160000000000002</v>
      </c>
      <c r="E99" s="5"/>
      <c r="F99" s="5">
        <f t="shared" ca="1" si="1"/>
        <v>0</v>
      </c>
    </row>
    <row r="100" spans="1:6" ht="28.8" x14ac:dyDescent="0.3">
      <c r="A100" s="23">
        <v>14153</v>
      </c>
      <c r="B100" s="24" t="s">
        <v>1378</v>
      </c>
      <c r="C100" s="23" t="s">
        <v>1278</v>
      </c>
      <c r="D100" s="23">
        <f ca="1">SUMIF(CPU!M:M,A100,CPU!R:R)+SUMIF(CPUAUX1!M:M,A100,CPUAUX1!R:R)+SUMIF(CPUAUX2!M:M,A100,CPUAUX2!R:R)+SUMIF(CPUAUX3!M:M,A100,CPUAUX3!R:R)+SUMIF(CPUAUX4!M:M,A100,CPUAUX4!R:R)+SUMIF(CPUAUX5!M:M,A100,CPUAUX5!R:R)</f>
        <v>0.12</v>
      </c>
      <c r="E100" s="5"/>
      <c r="F100" s="5">
        <f t="shared" ca="1" si="1"/>
        <v>0</v>
      </c>
    </row>
    <row r="101" spans="1:6" x14ac:dyDescent="0.3">
      <c r="A101" s="23">
        <v>3146</v>
      </c>
      <c r="B101" s="24" t="s">
        <v>1379</v>
      </c>
      <c r="C101" s="23" t="s">
        <v>1278</v>
      </c>
      <c r="D101" s="23">
        <f ca="1">SUMIF(CPU!M:M,A101,CPU!R:R)+SUMIF(CPUAUX1!M:M,A101,CPUAUX1!R:R)+SUMIF(CPUAUX2!M:M,A101,CPUAUX2!R:R)+SUMIF(CPUAUX3!M:M,A101,CPUAUX3!R:R)+SUMIF(CPUAUX4!M:M,A101,CPUAUX4!R:R)+SUMIF(CPUAUX5!M:M,A101,CPUAUX5!R:R)</f>
        <v>55.786000000000001</v>
      </c>
      <c r="E101" s="5"/>
      <c r="F101" s="5">
        <f t="shared" ca="1" si="1"/>
        <v>0</v>
      </c>
    </row>
    <row r="102" spans="1:6" x14ac:dyDescent="0.3">
      <c r="A102" s="23">
        <v>3148</v>
      </c>
      <c r="B102" s="24" t="s">
        <v>1380</v>
      </c>
      <c r="C102" s="23" t="s">
        <v>1278</v>
      </c>
      <c r="D102" s="23">
        <f ca="1">SUMIF(CPU!M:M,A102,CPU!R:R)+SUMIF(CPUAUX1!M:M,A102,CPUAUX1!R:R)+SUMIF(CPUAUX2!M:M,A102,CPUAUX2!R:R)+SUMIF(CPUAUX3!M:M,A102,CPUAUX3!R:R)+SUMIF(CPUAUX4!M:M,A102,CPUAUX4!R:R)+SUMIF(CPUAUX5!M:M,A102,CPUAUX5!R:R)</f>
        <v>0.61919999999999997</v>
      </c>
      <c r="E102" s="5"/>
      <c r="F102" s="5">
        <f t="shared" ca="1" si="1"/>
        <v>0</v>
      </c>
    </row>
    <row r="103" spans="1:6" x14ac:dyDescent="0.3">
      <c r="A103" s="23" t="s">
        <v>1143</v>
      </c>
      <c r="B103" s="24" t="s">
        <v>1381</v>
      </c>
      <c r="C103" s="23" t="s">
        <v>1278</v>
      </c>
      <c r="D103" s="23">
        <f ca="1">SUMIF(CPU!M:M,A103,CPU!R:R)+SUMIF(CPUAUX1!M:M,A103,CPUAUX1!R:R)+SUMIF(CPUAUX2!M:M,A103,CPUAUX2!R:R)+SUMIF(CPUAUX3!M:M,A103,CPUAUX3!R:R)+SUMIF(CPUAUX4!M:M,A103,CPUAUX4!R:R)+SUMIF(CPUAUX5!M:M,A103,CPUAUX5!R:R)</f>
        <v>1.0493599999999998E-3</v>
      </c>
      <c r="E103" s="5"/>
      <c r="F103" s="5">
        <f t="shared" ca="1" si="1"/>
        <v>0</v>
      </c>
    </row>
    <row r="104" spans="1:6" x14ac:dyDescent="0.3">
      <c r="A104" s="23">
        <v>7307</v>
      </c>
      <c r="B104" s="24" t="s">
        <v>1382</v>
      </c>
      <c r="C104" s="23" t="s">
        <v>1178</v>
      </c>
      <c r="D104" s="23">
        <f ca="1">SUMIF(CPU!M:M,A104,CPU!R:R)+SUMIF(CPUAUX1!M:M,A104,CPUAUX1!R:R)+SUMIF(CPUAUX2!M:M,A104,CPUAUX2!R:R)+SUMIF(CPUAUX3!M:M,A104,CPUAUX3!R:R)+SUMIF(CPUAUX4!M:M,A104,CPUAUX4!R:R)+SUMIF(CPUAUX5!M:M,A104,CPUAUX5!R:R)</f>
        <v>3.4000000000000002E-2</v>
      </c>
      <c r="E104" s="5"/>
      <c r="F104" s="5">
        <f t="shared" ca="1" si="1"/>
        <v>0</v>
      </c>
    </row>
    <row r="105" spans="1:6" x14ac:dyDescent="0.3">
      <c r="A105" s="23" t="s">
        <v>1145</v>
      </c>
      <c r="B105" s="24" t="s">
        <v>1383</v>
      </c>
      <c r="C105" s="23" t="s">
        <v>1278</v>
      </c>
      <c r="D105" s="23">
        <f ca="1">SUMIF(CPU!M:M,A105,CPU!R:R)+SUMIF(CPUAUX1!M:M,A105,CPUAUX1!R:R)+SUMIF(CPUAUX2!M:M,A105,CPUAUX2!R:R)+SUMIF(CPUAUX3!M:M,A105,CPUAUX3!R:R)+SUMIF(CPUAUX4!M:M,A105,CPUAUX4!R:R)+SUMIF(CPUAUX5!M:M,A105,CPUAUX5!R:R)</f>
        <v>5.2467999999999992E-4</v>
      </c>
      <c r="E105" s="5"/>
      <c r="F105" s="5">
        <f t="shared" ca="1" si="1"/>
        <v>0</v>
      </c>
    </row>
    <row r="106" spans="1:6" ht="28.8" x14ac:dyDescent="0.3">
      <c r="A106" s="23">
        <v>416</v>
      </c>
      <c r="B106" s="24" t="s">
        <v>1384</v>
      </c>
      <c r="C106" s="23" t="s">
        <v>1278</v>
      </c>
      <c r="D106" s="23">
        <f ca="1">SUMIF(CPU!M:M,A106,CPU!R:R)+SUMIF(CPUAUX1!M:M,A106,CPUAUX1!R:R)+SUMIF(CPUAUX2!M:M,A106,CPUAUX2!R:R)+SUMIF(CPUAUX3!M:M,A106,CPUAUX3!R:R)+SUMIF(CPUAUX4!M:M,A106,CPUAUX4!R:R)+SUMIF(CPUAUX5!M:M,A106,CPUAUX5!R:R)</f>
        <v>2</v>
      </c>
      <c r="E106" s="5"/>
      <c r="F106" s="5">
        <f t="shared" ca="1" si="1"/>
        <v>0</v>
      </c>
    </row>
    <row r="107" spans="1:6" ht="28.8" x14ac:dyDescent="0.3">
      <c r="A107" s="23">
        <v>44474</v>
      </c>
      <c r="B107" s="24" t="s">
        <v>1385</v>
      </c>
      <c r="C107" s="23" t="s">
        <v>1278</v>
      </c>
      <c r="D107" s="23">
        <f ca="1">SUMIF(CPU!M:M,A107,CPU!R:R)+SUMIF(CPUAUX1!M:M,A107,CPUAUX1!R:R)+SUMIF(CPUAUX2!M:M,A107,CPUAUX2!R:R)+SUMIF(CPUAUX3!M:M,A107,CPUAUX3!R:R)+SUMIF(CPUAUX4!M:M,A107,CPUAUX4!R:R)+SUMIF(CPUAUX5!M:M,A107,CPUAUX5!R:R)</f>
        <v>3.4776343999999999E-4</v>
      </c>
      <c r="E107" s="5"/>
      <c r="F107" s="5">
        <f t="shared" ca="1" si="1"/>
        <v>0</v>
      </c>
    </row>
    <row r="108" spans="1:6" ht="28.8" x14ac:dyDescent="0.3">
      <c r="A108" s="23">
        <v>3378</v>
      </c>
      <c r="B108" s="24" t="s">
        <v>1386</v>
      </c>
      <c r="C108" s="23" t="s">
        <v>1278</v>
      </c>
      <c r="D108" s="23">
        <f ca="1">SUMIF(CPU!M:M,A108,CPU!R:R)+SUMIF(CPUAUX1!M:M,A108,CPUAUX1!R:R)+SUMIF(CPUAUX2!M:M,A108,CPUAUX2!R:R)+SUMIF(CPUAUX3!M:M,A108,CPUAUX3!R:R)+SUMIF(CPUAUX4!M:M,A108,CPUAUX4!R:R)+SUMIF(CPUAUX5!M:M,A108,CPUAUX5!R:R)</f>
        <v>2</v>
      </c>
      <c r="E108" s="5"/>
      <c r="F108" s="5">
        <f t="shared" ca="1" si="1"/>
        <v>0</v>
      </c>
    </row>
    <row r="109" spans="1:6" x14ac:dyDescent="0.3">
      <c r="A109" s="23" t="s">
        <v>1051</v>
      </c>
      <c r="B109" s="24" t="s">
        <v>1387</v>
      </c>
      <c r="C109" s="23" t="s">
        <v>1278</v>
      </c>
      <c r="D109" s="23">
        <f ca="1">SUMIF(CPU!M:M,A109,CPU!R:R)+SUMIF(CPUAUX1!M:M,A109,CPUAUX1!R:R)+SUMIF(CPUAUX2!M:M,A109,CPUAUX2!R:R)+SUMIF(CPUAUX3!M:M,A109,CPUAUX3!R:R)+SUMIF(CPUAUX4!M:M,A109,CPUAUX4!R:R)+SUMIF(CPUAUX5!M:M,A109,CPUAUX5!R:R)</f>
        <v>2</v>
      </c>
      <c r="E109" s="5"/>
      <c r="F109" s="5">
        <f t="shared" ca="1" si="1"/>
        <v>0</v>
      </c>
    </row>
    <row r="110" spans="1:6" x14ac:dyDescent="0.3">
      <c r="A110" s="23" t="s">
        <v>1041</v>
      </c>
      <c r="B110" s="24" t="s">
        <v>1388</v>
      </c>
      <c r="C110" s="23" t="s">
        <v>1178</v>
      </c>
      <c r="D110" s="23">
        <f ca="1">SUMIF(CPU!M:M,A110,CPU!R:R)+SUMIF(CPUAUX1!M:M,A110,CPUAUX1!R:R)+SUMIF(CPUAUX2!M:M,A110,CPUAUX2!R:R)+SUMIF(CPUAUX3!M:M,A110,CPUAUX3!R:R)+SUMIF(CPUAUX4!M:M,A110,CPUAUX4!R:R)+SUMIF(CPUAUX5!M:M,A110,CPUAUX5!R:R)</f>
        <v>12</v>
      </c>
      <c r="E110" s="5"/>
      <c r="F110" s="5">
        <f t="shared" ca="1" si="1"/>
        <v>0</v>
      </c>
    </row>
    <row r="111" spans="1:6" x14ac:dyDescent="0.3">
      <c r="A111" s="23">
        <v>38112</v>
      </c>
      <c r="B111" s="24" t="s">
        <v>1389</v>
      </c>
      <c r="C111" s="23" t="s">
        <v>1278</v>
      </c>
      <c r="D111" s="23">
        <f ca="1">SUMIF(CPU!M:M,A111,CPU!R:R)+SUMIF(CPUAUX1!M:M,A111,CPUAUX1!R:R)+SUMIF(CPUAUX2!M:M,A111,CPUAUX2!R:R)+SUMIF(CPUAUX3!M:M,A111,CPUAUX3!R:R)+SUMIF(CPUAUX4!M:M,A111,CPUAUX4!R:R)+SUMIF(CPUAUX5!M:M,A111,CPUAUX5!R:R)</f>
        <v>2</v>
      </c>
      <c r="E111" s="5"/>
      <c r="F111" s="5">
        <f t="shared" ca="1" si="1"/>
        <v>0</v>
      </c>
    </row>
    <row r="112" spans="1:6" ht="28.8" x14ac:dyDescent="0.3">
      <c r="A112" s="23">
        <v>3398</v>
      </c>
      <c r="B112" s="24" t="s">
        <v>1390</v>
      </c>
      <c r="C112" s="23" t="s">
        <v>1278</v>
      </c>
      <c r="D112" s="23">
        <f ca="1">SUMIF(CPU!M:M,A112,CPU!R:R)+SUMIF(CPUAUX1!M:M,A112,CPUAUX1!R:R)+SUMIF(CPUAUX2!M:M,A112,CPUAUX2!R:R)+SUMIF(CPUAUX3!M:M,A112,CPUAUX3!R:R)+SUMIF(CPUAUX4!M:M,A112,CPUAUX4!R:R)+SUMIF(CPUAUX5!M:M,A112,CPUAUX5!R:R)</f>
        <v>2</v>
      </c>
      <c r="E112" s="5"/>
      <c r="F112" s="5">
        <f t="shared" ca="1" si="1"/>
        <v>0</v>
      </c>
    </row>
    <row r="113" spans="1:6" x14ac:dyDescent="0.3">
      <c r="A113" s="23">
        <v>3536</v>
      </c>
      <c r="B113" s="24" t="s">
        <v>1391</v>
      </c>
      <c r="C113" s="23" t="s">
        <v>1278</v>
      </c>
      <c r="D113" s="23">
        <f ca="1">SUMIF(CPU!M:M,A113,CPU!R:R)+SUMIF(CPUAUX1!M:M,A113,CPUAUX1!R:R)+SUMIF(CPUAUX2!M:M,A113,CPUAUX2!R:R)+SUMIF(CPUAUX3!M:M,A113,CPUAUX3!R:R)+SUMIF(CPUAUX4!M:M,A113,CPUAUX4!R:R)+SUMIF(CPUAUX5!M:M,A113,CPUAUX5!R:R)</f>
        <v>2</v>
      </c>
      <c r="E113" s="5"/>
      <c r="F113" s="5">
        <f t="shared" ca="1" si="1"/>
        <v>0</v>
      </c>
    </row>
    <row r="114" spans="1:6" ht="28.8" x14ac:dyDescent="0.3">
      <c r="A114" s="23">
        <v>3671</v>
      </c>
      <c r="B114" s="24" t="s">
        <v>1392</v>
      </c>
      <c r="C114" s="23" t="s">
        <v>1296</v>
      </c>
      <c r="D114" s="23">
        <f ca="1">SUMIF(CPU!M:M,A114,CPU!R:R)+SUMIF(CPUAUX1!M:M,A114,CPUAUX1!R:R)+SUMIF(CPUAUX2!M:M,A114,CPUAUX2!R:R)+SUMIF(CPUAUX3!M:M,A114,CPUAUX3!R:R)+SUMIF(CPUAUX4!M:M,A114,CPUAUX4!R:R)+SUMIF(CPUAUX5!M:M,A114,CPUAUX5!R:R)</f>
        <v>13.36</v>
      </c>
      <c r="E114" s="5"/>
      <c r="F114" s="5">
        <f t="shared" ca="1" si="1"/>
        <v>0</v>
      </c>
    </row>
    <row r="115" spans="1:6" x14ac:dyDescent="0.3">
      <c r="A115" s="23">
        <v>38194</v>
      </c>
      <c r="B115" s="24" t="s">
        <v>1393</v>
      </c>
      <c r="C115" s="23" t="s">
        <v>1278</v>
      </c>
      <c r="D115" s="23">
        <f ca="1">SUMIF(CPU!M:M,A115,CPU!R:R)+SUMIF(CPUAUX1!M:M,A115,CPUAUX1!R:R)+SUMIF(CPUAUX2!M:M,A115,CPUAUX2!R:R)+SUMIF(CPUAUX3!M:M,A115,CPUAUX3!R:R)+SUMIF(CPUAUX4!M:M,A115,CPUAUX4!R:R)+SUMIF(CPUAUX5!M:M,A115,CPUAUX5!R:R)</f>
        <v>2</v>
      </c>
      <c r="E115" s="5"/>
      <c r="F115" s="5">
        <f t="shared" ca="1" si="1"/>
        <v>0</v>
      </c>
    </row>
    <row r="116" spans="1:6" x14ac:dyDescent="0.3">
      <c r="A116" s="23">
        <v>38193</v>
      </c>
      <c r="B116" s="24" t="s">
        <v>1394</v>
      </c>
      <c r="C116" s="23" t="s">
        <v>1278</v>
      </c>
      <c r="D116" s="23">
        <f ca="1">SUMIF(CPU!M:M,A116,CPU!R:R)+SUMIF(CPUAUX1!M:M,A116,CPUAUX1!R:R)+SUMIF(CPUAUX2!M:M,A116,CPUAUX2!R:R)+SUMIF(CPUAUX3!M:M,A116,CPUAUX3!R:R)+SUMIF(CPUAUX4!M:M,A116,CPUAUX4!R:R)+SUMIF(CPUAUX5!M:M,A116,CPUAUX5!R:R)</f>
        <v>2</v>
      </c>
      <c r="E116" s="5"/>
      <c r="F116" s="5">
        <f t="shared" ca="1" si="1"/>
        <v>0</v>
      </c>
    </row>
    <row r="117" spans="1:6" x14ac:dyDescent="0.3">
      <c r="A117" s="23">
        <v>38383</v>
      </c>
      <c r="B117" s="24" t="s">
        <v>1395</v>
      </c>
      <c r="C117" s="23" t="s">
        <v>1278</v>
      </c>
      <c r="D117" s="23">
        <f ca="1">SUMIF(CPU!M:M,A117,CPU!R:R)+SUMIF(CPUAUX1!M:M,A117,CPUAUX1!R:R)+SUMIF(CPUAUX2!M:M,A117,CPUAUX2!R:R)+SUMIF(CPUAUX3!M:M,A117,CPUAUX3!R:R)+SUMIF(CPUAUX4!M:M,A117,CPUAUX4!R:R)+SUMIF(CPUAUX5!M:M,A117,CPUAUX5!R:R)</f>
        <v>3.1399999999999997E-2</v>
      </c>
      <c r="E117" s="5"/>
      <c r="F117" s="5">
        <f t="shared" ca="1" si="1"/>
        <v>0</v>
      </c>
    </row>
    <row r="118" spans="1:6" ht="28.8" x14ac:dyDescent="0.3">
      <c r="A118" s="23">
        <v>40271</v>
      </c>
      <c r="B118" s="24" t="s">
        <v>1396</v>
      </c>
      <c r="C118" s="23" t="s">
        <v>1397</v>
      </c>
      <c r="D118" s="23">
        <f ca="1">SUMIF(CPU!M:M,A118,CPU!R:R)+SUMIF(CPUAUX1!M:M,A118,CPUAUX1!R:R)+SUMIF(CPUAUX2!M:M,A118,CPUAUX2!R:R)+SUMIF(CPUAUX3!M:M,A118,CPUAUX3!R:R)+SUMIF(CPUAUX4!M:M,A118,CPUAUX4!R:R)+SUMIF(CPUAUX5!M:M,A118,CPUAUX5!R:R)</f>
        <v>9.1057680000000016E-2</v>
      </c>
      <c r="E118" s="5"/>
      <c r="F118" s="5">
        <f t="shared" ca="1" si="1"/>
        <v>0</v>
      </c>
    </row>
    <row r="119" spans="1:6" ht="28.8" x14ac:dyDescent="0.3">
      <c r="A119" s="23">
        <v>40275</v>
      </c>
      <c r="B119" s="24" t="s">
        <v>1398</v>
      </c>
      <c r="C119" s="23" t="s">
        <v>1397</v>
      </c>
      <c r="D119" s="23">
        <f ca="1">SUMIF(CPU!M:M,A119,CPU!R:R)+SUMIF(CPUAUX1!M:M,A119,CPUAUX1!R:R)+SUMIF(CPUAUX2!M:M,A119,CPUAUX2!R:R)+SUMIF(CPUAUX3!M:M,A119,CPUAUX3!R:R)+SUMIF(CPUAUX4!M:M,A119,CPUAUX4!R:R)+SUMIF(CPUAUX5!M:M,A119,CPUAUX5!R:R)</f>
        <v>0.18257994000000002</v>
      </c>
      <c r="E119" s="5"/>
      <c r="F119" s="5">
        <f t="shared" ca="1" si="1"/>
        <v>0</v>
      </c>
    </row>
    <row r="120" spans="1:6" ht="28.8" x14ac:dyDescent="0.3">
      <c r="A120" s="23">
        <v>38769</v>
      </c>
      <c r="B120" s="24" t="s">
        <v>1399</v>
      </c>
      <c r="C120" s="23" t="s">
        <v>1278</v>
      </c>
      <c r="D120" s="23">
        <f ca="1">SUMIF(CPU!M:M,A120,CPU!R:R)+SUMIF(CPUAUX1!M:M,A120,CPUAUX1!R:R)+SUMIF(CPUAUX2!M:M,A120,CPUAUX2!R:R)+SUMIF(CPUAUX3!M:M,A120,CPUAUX3!R:R)+SUMIF(CPUAUX4!M:M,A120,CPUAUX4!R:R)+SUMIF(CPUAUX5!M:M,A120,CPUAUX5!R:R)</f>
        <v>2</v>
      </c>
      <c r="E120" s="5"/>
      <c r="F120" s="5">
        <f t="shared" ca="1" si="1"/>
        <v>0</v>
      </c>
    </row>
    <row r="121" spans="1:6" x14ac:dyDescent="0.3">
      <c r="A121" s="23">
        <v>3939</v>
      </c>
      <c r="B121" s="24" t="s">
        <v>1400</v>
      </c>
      <c r="C121" s="23" t="s">
        <v>1278</v>
      </c>
      <c r="D121" s="23">
        <f ca="1">SUMIF(CPU!M:M,A121,CPU!R:R)+SUMIF(CPUAUX1!M:M,A121,CPUAUX1!R:R)+SUMIF(CPUAUX2!M:M,A121,CPUAUX2!R:R)+SUMIF(CPUAUX3!M:M,A121,CPUAUX3!R:R)+SUMIF(CPUAUX4!M:M,A121,CPUAUX4!R:R)+SUMIF(CPUAUX5!M:M,A121,CPUAUX5!R:R)</f>
        <v>57</v>
      </c>
      <c r="E121" s="5"/>
      <c r="F121" s="5">
        <f t="shared" ca="1" si="1"/>
        <v>0</v>
      </c>
    </row>
    <row r="122" spans="1:6" x14ac:dyDescent="0.3">
      <c r="A122" s="23">
        <v>3910</v>
      </c>
      <c r="B122" s="24" t="s">
        <v>1401</v>
      </c>
      <c r="C122" s="23" t="s">
        <v>1278</v>
      </c>
      <c r="D122" s="23">
        <f ca="1">SUMIF(CPU!M:M,A122,CPU!R:R)+SUMIF(CPUAUX1!M:M,A122,CPUAUX1!R:R)+SUMIF(CPUAUX2!M:M,A122,CPUAUX2!R:R)+SUMIF(CPUAUX3!M:M,A122,CPUAUX3!R:R)+SUMIF(CPUAUX4!M:M,A122,CPUAUX4!R:R)+SUMIF(CPUAUX5!M:M,A122,CPUAUX5!R:R)</f>
        <v>2</v>
      </c>
      <c r="E122" s="5"/>
      <c r="F122" s="5">
        <f t="shared" ca="1" si="1"/>
        <v>0</v>
      </c>
    </row>
    <row r="123" spans="1:6" x14ac:dyDescent="0.3">
      <c r="A123" s="23">
        <v>3919</v>
      </c>
      <c r="B123" s="24" t="s">
        <v>1402</v>
      </c>
      <c r="C123" s="23" t="s">
        <v>1278</v>
      </c>
      <c r="D123" s="23">
        <f ca="1">SUMIF(CPU!M:M,A123,CPU!R:R)+SUMIF(CPUAUX1!M:M,A123,CPUAUX1!R:R)+SUMIF(CPUAUX2!M:M,A123,CPUAUX2!R:R)+SUMIF(CPUAUX3!M:M,A123,CPUAUX3!R:R)+SUMIF(CPUAUX4!M:M,A123,CPUAUX4!R:R)+SUMIF(CPUAUX5!M:M,A123,CPUAUX5!R:R)</f>
        <v>8</v>
      </c>
      <c r="E123" s="5"/>
      <c r="F123" s="5">
        <f t="shared" ca="1" si="1"/>
        <v>0</v>
      </c>
    </row>
    <row r="124" spans="1:6" x14ac:dyDescent="0.3">
      <c r="A124" s="23">
        <v>1892</v>
      </c>
      <c r="B124" s="24" t="s">
        <v>1403</v>
      </c>
      <c r="C124" s="23" t="s">
        <v>1278</v>
      </c>
      <c r="D124" s="23">
        <f ca="1">SUMIF(CPU!M:M,A124,CPU!R:R)+SUMIF(CPUAUX1!M:M,A124,CPUAUX1!R:R)+SUMIF(CPUAUX2!M:M,A124,CPUAUX2!R:R)+SUMIF(CPUAUX3!M:M,A124,CPUAUX3!R:R)+SUMIF(CPUAUX4!M:M,A124,CPUAUX4!R:R)+SUMIF(CPUAUX5!M:M,A124,CPUAUX5!R:R)</f>
        <v>2</v>
      </c>
      <c r="E124" s="5"/>
      <c r="F124" s="5">
        <f t="shared" ca="1" si="1"/>
        <v>0</v>
      </c>
    </row>
    <row r="125" spans="1:6" x14ac:dyDescent="0.3">
      <c r="A125" s="23" t="s">
        <v>1049</v>
      </c>
      <c r="B125" s="24" t="s">
        <v>1404</v>
      </c>
      <c r="C125" s="23" t="s">
        <v>1278</v>
      </c>
      <c r="D125" s="23">
        <f ca="1">SUMIF(CPU!M:M,A125,CPU!R:R)+SUMIF(CPUAUX1!M:M,A125,CPUAUX1!R:R)+SUMIF(CPUAUX2!M:M,A125,CPUAUX2!R:R)+SUMIF(CPUAUX3!M:M,A125,CPUAUX3!R:R)+SUMIF(CPUAUX4!M:M,A125,CPUAUX4!R:R)+SUMIF(CPUAUX5!M:M,A125,CPUAUX5!R:R)</f>
        <v>4</v>
      </c>
      <c r="E125" s="5"/>
      <c r="F125" s="5">
        <f t="shared" ca="1" si="1"/>
        <v>0</v>
      </c>
    </row>
    <row r="126" spans="1:6" x14ac:dyDescent="0.3">
      <c r="A126" s="23">
        <v>12892</v>
      </c>
      <c r="B126" s="24" t="s">
        <v>1405</v>
      </c>
      <c r="C126" s="23" t="s">
        <v>1315</v>
      </c>
      <c r="D126" s="23">
        <f ca="1">SUMIF(CPU!M:M,A126,CPU!R:R)+SUMIF(CPUAUX1!M:M,A126,CPUAUX1!R:R)+SUMIF(CPUAUX2!M:M,A126,CPUAUX2!R:R)+SUMIF(CPUAUX3!M:M,A126,CPUAUX3!R:R)+SUMIF(CPUAUX4!M:M,A126,CPUAUX4!R:R)+SUMIF(CPUAUX5!M:M,A126,CPUAUX5!R:R)</f>
        <v>5.6041799999999996E-2</v>
      </c>
      <c r="E126" s="5"/>
      <c r="F126" s="5">
        <f t="shared" ca="1" si="1"/>
        <v>0</v>
      </c>
    </row>
    <row r="127" spans="1:6" x14ac:dyDescent="0.3">
      <c r="A127" s="23" t="s">
        <v>1134</v>
      </c>
      <c r="B127" s="24" t="s">
        <v>1406</v>
      </c>
      <c r="C127" s="23" t="s">
        <v>1296</v>
      </c>
      <c r="D127" s="23">
        <f ca="1">SUMIF(CPU!M:M,A127,CPU!R:R)+SUMIF(CPUAUX1!M:M,A127,CPUAUX1!R:R)+SUMIF(CPUAUX2!M:M,A127,CPUAUX2!R:R)+SUMIF(CPUAUX3!M:M,A127,CPUAUX3!R:R)+SUMIF(CPUAUX4!M:M,A127,CPUAUX4!R:R)+SUMIF(CPUAUX5!M:M,A127,CPUAUX5!R:R)</f>
        <v>6.3804000000000007</v>
      </c>
      <c r="E127" s="5"/>
      <c r="F127" s="5">
        <f t="shared" ca="1" si="1"/>
        <v>0</v>
      </c>
    </row>
    <row r="128" spans="1:6" ht="28.8" x14ac:dyDescent="0.3">
      <c r="A128" s="23">
        <v>12898</v>
      </c>
      <c r="B128" s="24" t="s">
        <v>1407</v>
      </c>
      <c r="C128" s="23" t="s">
        <v>1278</v>
      </c>
      <c r="D128" s="23">
        <f ca="1">SUMIF(CPU!M:M,A128,CPU!R:R)+SUMIF(CPUAUX1!M:M,A128,CPUAUX1!R:R)+SUMIF(CPUAUX2!M:M,A128,CPUAUX2!R:R)+SUMIF(CPUAUX3!M:M,A128,CPUAUX3!R:R)+SUMIF(CPUAUX4!M:M,A128,CPUAUX4!R:R)+SUMIF(CPUAUX5!M:M,A128,CPUAUX5!R:R)</f>
        <v>2</v>
      </c>
      <c r="E128" s="5"/>
      <c r="F128" s="5">
        <f t="shared" ca="1" si="1"/>
        <v>0</v>
      </c>
    </row>
    <row r="129" spans="1:6" x14ac:dyDescent="0.3">
      <c r="A129" s="23" t="s">
        <v>1109</v>
      </c>
      <c r="B129" s="24" t="s">
        <v>1408</v>
      </c>
      <c r="C129" s="23" t="s">
        <v>1278</v>
      </c>
      <c r="D129" s="23">
        <f ca="1">SUMIF(CPU!M:M,A129,CPU!R:R)+SUMIF(CPUAUX1!M:M,A129,CPUAUX1!R:R)+SUMIF(CPUAUX2!M:M,A129,CPUAUX2!R:R)+SUMIF(CPUAUX3!M:M,A129,CPUAUX3!R:R)+SUMIF(CPUAUX4!M:M,A129,CPUAUX4!R:R)+SUMIF(CPUAUX5!M:M,A129,CPUAUX5!R:R)</f>
        <v>1.4910400000000001E-3</v>
      </c>
      <c r="E129" s="5"/>
      <c r="F129" s="5">
        <f t="shared" ca="1" si="1"/>
        <v>0</v>
      </c>
    </row>
    <row r="130" spans="1:6" x14ac:dyDescent="0.3">
      <c r="A130" s="23" t="s">
        <v>1160</v>
      </c>
      <c r="B130" s="24" t="s">
        <v>1409</v>
      </c>
      <c r="C130" s="23" t="s">
        <v>1278</v>
      </c>
      <c r="D130" s="23">
        <f ca="1">SUMIF(CPU!M:M,A130,CPU!R:R)+SUMIF(CPUAUX1!M:M,A130,CPUAUX1!R:R)+SUMIF(CPUAUX2!M:M,A130,CPUAUX2!R:R)+SUMIF(CPUAUX3!M:M,A130,CPUAUX3!R:R)+SUMIF(CPUAUX4!M:M,A130,CPUAUX4!R:R)+SUMIF(CPUAUX5!M:M,A130,CPUAUX5!R:R)</f>
        <v>3.7440000000000001E-5</v>
      </c>
      <c r="E130" s="5"/>
      <c r="F130" s="5">
        <f t="shared" ca="1" si="1"/>
        <v>0</v>
      </c>
    </row>
    <row r="131" spans="1:6" x14ac:dyDescent="0.3">
      <c r="A131" s="23" t="s">
        <v>1144</v>
      </c>
      <c r="B131" s="24" t="s">
        <v>1410</v>
      </c>
      <c r="C131" s="23" t="s">
        <v>1278</v>
      </c>
      <c r="D131" s="23">
        <f ca="1">SUMIF(CPU!M:M,A131,CPU!R:R)+SUMIF(CPUAUX1!M:M,A131,CPUAUX1!R:R)+SUMIF(CPUAUX2!M:M,A131,CPUAUX2!R:R)+SUMIF(CPUAUX3!M:M,A131,CPUAUX3!R:R)+SUMIF(CPUAUX4!M:M,A131,CPUAUX4!R:R)+SUMIF(CPUAUX5!M:M,A131,CPUAUX5!R:R)</f>
        <v>1.0493599999999998E-3</v>
      </c>
      <c r="E131" s="5"/>
      <c r="F131" s="5">
        <f t="shared" ca="1" si="1"/>
        <v>0</v>
      </c>
    </row>
    <row r="132" spans="1:6" x14ac:dyDescent="0.3">
      <c r="A132" s="23" t="s">
        <v>1161</v>
      </c>
      <c r="B132" s="24" t="s">
        <v>1411</v>
      </c>
      <c r="C132" s="23" t="s">
        <v>1278</v>
      </c>
      <c r="D132" s="23">
        <f ca="1">SUMIF(CPU!M:M,A132,CPU!R:R)+SUMIF(CPUAUX1!M:M,A132,CPUAUX1!R:R)+SUMIF(CPUAUX2!M:M,A132,CPUAUX2!R:R)+SUMIF(CPUAUX3!M:M,A132,CPUAUX3!R:R)+SUMIF(CPUAUX4!M:M,A132,CPUAUX4!R:R)+SUMIF(CPUAUX5!M:M,A132,CPUAUX5!R:R)</f>
        <v>7.4880000000000001E-5</v>
      </c>
      <c r="E132" s="5"/>
      <c r="F132" s="5">
        <f t="shared" ca="1" si="1"/>
        <v>0</v>
      </c>
    </row>
    <row r="133" spans="1:6" x14ac:dyDescent="0.3">
      <c r="A133" s="23" t="s">
        <v>1156</v>
      </c>
      <c r="B133" s="24" t="s">
        <v>1412</v>
      </c>
      <c r="C133" s="23" t="s">
        <v>1278</v>
      </c>
      <c r="D133" s="23">
        <f ca="1">SUMIF(CPU!M:M,A133,CPU!R:R)+SUMIF(CPUAUX1!M:M,A133,CPUAUX1!R:R)+SUMIF(CPUAUX2!M:M,A133,CPUAUX2!R:R)+SUMIF(CPUAUX3!M:M,A133,CPUAUX3!R:R)+SUMIF(CPUAUX4!M:M,A133,CPUAUX4!R:R)+SUMIF(CPUAUX5!M:M,A133,CPUAUX5!R:R)</f>
        <v>1.872E-5</v>
      </c>
      <c r="E133" s="5"/>
      <c r="F133" s="5">
        <f t="shared" ca="1" si="1"/>
        <v>0</v>
      </c>
    </row>
    <row r="134" spans="1:6" ht="28.8" x14ac:dyDescent="0.3">
      <c r="A134" s="23">
        <v>4114</v>
      </c>
      <c r="B134" s="24" t="s">
        <v>1413</v>
      </c>
      <c r="C134" s="23" t="s">
        <v>1278</v>
      </c>
      <c r="D134" s="23">
        <f ca="1">SUMIF(CPU!M:M,A134,CPU!R:R)+SUMIF(CPUAUX1!M:M,A134,CPUAUX1!R:R)+SUMIF(CPUAUX2!M:M,A134,CPUAUX2!R:R)+SUMIF(CPUAUX3!M:M,A134,CPUAUX3!R:R)+SUMIF(CPUAUX4!M:M,A134,CPUAUX4!R:R)+SUMIF(CPUAUX5!M:M,A134,CPUAUX5!R:R)</f>
        <v>29.6</v>
      </c>
      <c r="E134" s="5"/>
      <c r="F134" s="5">
        <f t="shared" ca="1" si="1"/>
        <v>0</v>
      </c>
    </row>
    <row r="135" spans="1:6" x14ac:dyDescent="0.3">
      <c r="A135" s="23">
        <v>4209</v>
      </c>
      <c r="B135" s="24" t="s">
        <v>1414</v>
      </c>
      <c r="C135" s="23" t="s">
        <v>1278</v>
      </c>
      <c r="D135" s="23">
        <f ca="1">SUMIF(CPU!M:M,A135,CPU!R:R)+SUMIF(CPUAUX1!M:M,A135,CPUAUX1!R:R)+SUMIF(CPUAUX2!M:M,A135,CPUAUX2!R:R)+SUMIF(CPUAUX3!M:M,A135,CPUAUX3!R:R)+SUMIF(CPUAUX4!M:M,A135,CPUAUX4!R:R)+SUMIF(CPUAUX5!M:M,A135,CPUAUX5!R:R)</f>
        <v>8</v>
      </c>
      <c r="E135" s="5"/>
      <c r="F135" s="5">
        <f t="shared" ref="F135:F198" ca="1" si="2">ROUND(D135*E135,2)</f>
        <v>0</v>
      </c>
    </row>
    <row r="136" spans="1:6" x14ac:dyDescent="0.3">
      <c r="A136" s="23" t="s">
        <v>1154</v>
      </c>
      <c r="B136" s="24" t="s">
        <v>1415</v>
      </c>
      <c r="C136" s="23" t="s">
        <v>1278</v>
      </c>
      <c r="D136" s="23">
        <f ca="1">SUMIF(CPU!M:M,A136,CPU!R:R)+SUMIF(CPUAUX1!M:M,A136,CPUAUX1!R:R)+SUMIF(CPUAUX2!M:M,A136,CPUAUX2!R:R)+SUMIF(CPUAUX3!M:M,A136,CPUAUX3!R:R)+SUMIF(CPUAUX4!M:M,A136,CPUAUX4!R:R)+SUMIF(CPUAUX5!M:M,A136,CPUAUX5!R:R)</f>
        <v>3.7440000000000001E-5</v>
      </c>
      <c r="E136" s="5"/>
      <c r="F136" s="5">
        <f t="shared" ca="1" si="2"/>
        <v>0</v>
      </c>
    </row>
    <row r="137" spans="1:6" x14ac:dyDescent="0.3">
      <c r="A137" s="23" t="s">
        <v>1047</v>
      </c>
      <c r="B137" s="24" t="s">
        <v>1416</v>
      </c>
      <c r="C137" s="23" t="s">
        <v>1278</v>
      </c>
      <c r="D137" s="23">
        <f ca="1">SUMIF(CPU!M:M,A137,CPU!R:R)+SUMIF(CPUAUX1!M:M,A137,CPUAUX1!R:R)+SUMIF(CPUAUX2!M:M,A137,CPUAUX2!R:R)+SUMIF(CPUAUX3!M:M,A137,CPUAUX3!R:R)+SUMIF(CPUAUX4!M:M,A137,CPUAUX4!R:R)+SUMIF(CPUAUX5!M:M,A137,CPUAUX5!R:R)</f>
        <v>2</v>
      </c>
      <c r="E137" s="5"/>
      <c r="F137" s="5">
        <f t="shared" ca="1" si="2"/>
        <v>0</v>
      </c>
    </row>
    <row r="138" spans="1:6" ht="28.8" x14ac:dyDescent="0.3">
      <c r="A138" s="23">
        <v>4346</v>
      </c>
      <c r="B138" s="24" t="s">
        <v>1417</v>
      </c>
      <c r="C138" s="23" t="s">
        <v>1278</v>
      </c>
      <c r="D138" s="23">
        <f ca="1">SUMIF(CPU!M:M,A138,CPU!R:R)+SUMIF(CPUAUX1!M:M,A138,CPUAUX1!R:R)+SUMIF(CPUAUX2!M:M,A138,CPUAUX2!R:R)+SUMIF(CPUAUX3!M:M,A138,CPUAUX3!R:R)+SUMIF(CPUAUX4!M:M,A138,CPUAUX4!R:R)+SUMIF(CPUAUX5!M:M,A138,CPUAUX5!R:R)</f>
        <v>6</v>
      </c>
      <c r="E138" s="5"/>
      <c r="F138" s="5">
        <f t="shared" ca="1" si="2"/>
        <v>0</v>
      </c>
    </row>
    <row r="139" spans="1:6" x14ac:dyDescent="0.3">
      <c r="A139" s="23">
        <v>4721</v>
      </c>
      <c r="B139" s="24" t="s">
        <v>1418</v>
      </c>
      <c r="C139" s="23" t="s">
        <v>1301</v>
      </c>
      <c r="D139" s="23">
        <f ca="1">SUMIF(CPU!M:M,A139,CPU!R:R)+SUMIF(CPUAUX1!M:M,A139,CPUAUX1!R:R)+SUMIF(CPUAUX2!M:M,A139,CPUAUX2!R:R)+SUMIF(CPUAUX3!M:M,A139,CPUAUX3!R:R)+SUMIF(CPUAUX4!M:M,A139,CPUAUX4!R:R)+SUMIF(CPUAUX5!M:M,A139,CPUAUX5!R:R)</f>
        <v>5.3722921083999999</v>
      </c>
      <c r="E139" s="5"/>
      <c r="F139" s="5">
        <f t="shared" ca="1" si="2"/>
        <v>0</v>
      </c>
    </row>
    <row r="140" spans="1:6" x14ac:dyDescent="0.3">
      <c r="A140" s="23">
        <v>4718</v>
      </c>
      <c r="B140" s="24" t="s">
        <v>1419</v>
      </c>
      <c r="C140" s="23" t="s">
        <v>1301</v>
      </c>
      <c r="D140" s="23">
        <f ca="1">SUMIF(CPU!M:M,A140,CPU!R:R)+SUMIF(CPUAUX1!M:M,A140,CPUAUX1!R:R)+SUMIF(CPUAUX2!M:M,A140,CPUAUX2!R:R)+SUMIF(CPUAUX3!M:M,A140,CPUAUX3!R:R)+SUMIF(CPUAUX4!M:M,A140,CPUAUX4!R:R)+SUMIF(CPUAUX5!M:M,A140,CPUAUX5!R:R)</f>
        <v>0.32604</v>
      </c>
      <c r="E140" s="5"/>
      <c r="F140" s="5">
        <f t="shared" ca="1" si="2"/>
        <v>0</v>
      </c>
    </row>
    <row r="141" spans="1:6" ht="28.8" x14ac:dyDescent="0.3">
      <c r="A141" s="23">
        <v>4730</v>
      </c>
      <c r="B141" s="24" t="s">
        <v>1420</v>
      </c>
      <c r="C141" s="23" t="s">
        <v>1301</v>
      </c>
      <c r="D141" s="23">
        <f ca="1">SUMIF(CPU!M:M,A141,CPU!R:R)+SUMIF(CPUAUX1!M:M,A141,CPUAUX1!R:R)+SUMIF(CPUAUX2!M:M,A141,CPUAUX2!R:R)+SUMIF(CPUAUX3!M:M,A141,CPUAUX3!R:R)+SUMIF(CPUAUX4!M:M,A141,CPUAUX4!R:R)+SUMIF(CPUAUX5!M:M,A141,CPUAUX5!R:R)</f>
        <v>1.889888</v>
      </c>
      <c r="E141" s="5"/>
      <c r="F141" s="5">
        <f t="shared" ca="1" si="2"/>
        <v>0</v>
      </c>
    </row>
    <row r="142" spans="1:6" x14ac:dyDescent="0.3">
      <c r="A142" s="23" t="s">
        <v>1124</v>
      </c>
      <c r="B142" s="24" t="s">
        <v>1421</v>
      </c>
      <c r="C142" s="23" t="s">
        <v>1301</v>
      </c>
      <c r="D142" s="23">
        <f ca="1">SUMIF(CPU!M:M,A142,CPU!R:R)+SUMIF(CPUAUX1!M:M,A142,CPUAUX1!R:R)+SUMIF(CPUAUX2!M:M,A142,CPUAUX2!R:R)+SUMIF(CPUAUX3!M:M,A142,CPUAUX3!R:R)+SUMIF(CPUAUX4!M:M,A142,CPUAUX4!R:R)+SUMIF(CPUAUX5!M:M,A142,CPUAUX5!R:R)</f>
        <v>0.43472</v>
      </c>
      <c r="E142" s="5"/>
      <c r="F142" s="5">
        <f t="shared" ca="1" si="2"/>
        <v>0</v>
      </c>
    </row>
    <row r="143" spans="1:6" x14ac:dyDescent="0.3">
      <c r="A143" s="23">
        <v>37395</v>
      </c>
      <c r="B143" s="24" t="s">
        <v>1422</v>
      </c>
      <c r="C143" s="23" t="s">
        <v>1423</v>
      </c>
      <c r="D143" s="23">
        <f ca="1">SUMIF(CPU!M:M,A143,CPU!R:R)+SUMIF(CPUAUX1!M:M,A143,CPUAUX1!R:R)+SUMIF(CPUAUX2!M:M,A143,CPUAUX2!R:R)+SUMIF(CPUAUX3!M:M,A143,CPUAUX3!R:R)+SUMIF(CPUAUX4!M:M,A143,CPUAUX4!R:R)+SUMIF(CPUAUX5!M:M,A143,CPUAUX5!R:R)</f>
        <v>0.25949200000000006</v>
      </c>
      <c r="E143" s="5"/>
      <c r="F143" s="5">
        <f t="shared" ca="1" si="2"/>
        <v>0</v>
      </c>
    </row>
    <row r="144" spans="1:6" x14ac:dyDescent="0.3">
      <c r="A144" s="23">
        <v>4893</v>
      </c>
      <c r="B144" s="24" t="s">
        <v>1424</v>
      </c>
      <c r="C144" s="23" t="s">
        <v>1278</v>
      </c>
      <c r="D144" s="23">
        <f ca="1">SUMIF(CPU!M:M,A144,CPU!R:R)+SUMIF(CPUAUX1!M:M,A144,CPUAUX1!R:R)+SUMIF(CPUAUX2!M:M,A144,CPUAUX2!R:R)+SUMIF(CPUAUX3!M:M,A144,CPUAUX3!R:R)+SUMIF(CPUAUX4!M:M,A144,CPUAUX4!R:R)+SUMIF(CPUAUX5!M:M,A144,CPUAUX5!R:R)</f>
        <v>2</v>
      </c>
      <c r="E144" s="5"/>
      <c r="F144" s="5">
        <f t="shared" ca="1" si="2"/>
        <v>0</v>
      </c>
    </row>
    <row r="145" spans="1:6" x14ac:dyDescent="0.3">
      <c r="A145" s="23">
        <v>4491</v>
      </c>
      <c r="B145" s="24" t="s">
        <v>1425</v>
      </c>
      <c r="C145" s="23" t="s">
        <v>1296</v>
      </c>
      <c r="D145" s="23">
        <f ca="1">SUMIF(CPU!M:M,A145,CPU!R:R)+SUMIF(CPUAUX1!M:M,A145,CPUAUX1!R:R)+SUMIF(CPUAUX2!M:M,A145,CPUAUX2!R:R)+SUMIF(CPUAUX3!M:M,A145,CPUAUX3!R:R)+SUMIF(CPUAUX4!M:M,A145,CPUAUX4!R:R)+SUMIF(CPUAUX5!M:M,A145,CPUAUX5!R:R)</f>
        <v>7.7562545570400019</v>
      </c>
      <c r="E145" s="5"/>
      <c r="F145" s="5">
        <f t="shared" ca="1" si="2"/>
        <v>0</v>
      </c>
    </row>
    <row r="146" spans="1:6" x14ac:dyDescent="0.3">
      <c r="A146" s="23" t="s">
        <v>1028</v>
      </c>
      <c r="B146" s="24" t="s">
        <v>1426</v>
      </c>
      <c r="C146" s="23" t="s">
        <v>1296</v>
      </c>
      <c r="D146" s="23">
        <f ca="1">SUMIF(CPU!M:M,A146,CPU!R:R)+SUMIF(CPUAUX1!M:M,A146,CPUAUX1!R:R)+SUMIF(CPUAUX2!M:M,A146,CPUAUX2!R:R)+SUMIF(CPUAUX3!M:M,A146,CPUAUX3!R:R)+SUMIF(CPUAUX4!M:M,A146,CPUAUX4!R:R)+SUMIF(CPUAUX5!M:M,A146,CPUAUX5!R:R)</f>
        <v>29.160000000000004</v>
      </c>
      <c r="E146" s="5"/>
      <c r="F146" s="5">
        <f t="shared" ca="1" si="2"/>
        <v>0</v>
      </c>
    </row>
    <row r="147" spans="1:6" x14ac:dyDescent="0.3">
      <c r="A147" s="23">
        <v>39997</v>
      </c>
      <c r="B147" s="24" t="s">
        <v>1427</v>
      </c>
      <c r="C147" s="23" t="s">
        <v>1278</v>
      </c>
      <c r="D147" s="23">
        <f ca="1">SUMIF(CPU!M:M,A147,CPU!R:R)+SUMIF(CPUAUX1!M:M,A147,CPUAUX1!R:R)+SUMIF(CPUAUX2!M:M,A147,CPUAUX2!R:R)+SUMIF(CPUAUX3!M:M,A147,CPUAUX3!R:R)+SUMIF(CPUAUX4!M:M,A147,CPUAUX4!R:R)+SUMIF(CPUAUX5!M:M,A147,CPUAUX5!R:R)</f>
        <v>4</v>
      </c>
      <c r="E147" s="5"/>
      <c r="F147" s="5">
        <f t="shared" ca="1" si="2"/>
        <v>0</v>
      </c>
    </row>
    <row r="148" spans="1:6" ht="28.8" x14ac:dyDescent="0.3">
      <c r="A148" s="23">
        <v>4930</v>
      </c>
      <c r="B148" s="24" t="s">
        <v>1428</v>
      </c>
      <c r="C148" s="23" t="s">
        <v>1334</v>
      </c>
      <c r="D148" s="23">
        <f ca="1">SUMIF(CPU!M:M,A148,CPU!R:R)+SUMIF(CPUAUX1!M:M,A148,CPUAUX1!R:R)+SUMIF(CPUAUX2!M:M,A148,CPUAUX2!R:R)+SUMIF(CPUAUX3!M:M,A148,CPUAUX3!R:R)+SUMIF(CPUAUX4!M:M,A148,CPUAUX4!R:R)+SUMIF(CPUAUX5!M:M,A148,CPUAUX5!R:R)</f>
        <v>3.36</v>
      </c>
      <c r="E148" s="5"/>
      <c r="F148" s="5">
        <f t="shared" ca="1" si="2"/>
        <v>0</v>
      </c>
    </row>
    <row r="149" spans="1:6" ht="28.8" x14ac:dyDescent="0.3">
      <c r="A149" s="23" t="s">
        <v>1069</v>
      </c>
      <c r="B149" s="24" t="s">
        <v>1429</v>
      </c>
      <c r="C149" s="23" t="s">
        <v>1278</v>
      </c>
      <c r="D149" s="23">
        <f ca="1">SUMIF(CPU!M:M,A149,CPU!R:R)+SUMIF(CPUAUX1!M:M,A149,CPUAUX1!R:R)+SUMIF(CPUAUX2!M:M,A149,CPUAUX2!R:R)+SUMIF(CPUAUX3!M:M,A149,CPUAUX3!R:R)+SUMIF(CPUAUX4!M:M,A149,CPUAUX4!R:R)+SUMIF(CPUAUX5!M:M,A149,CPUAUX5!R:R)</f>
        <v>12</v>
      </c>
      <c r="E149" s="5"/>
      <c r="F149" s="5">
        <f t="shared" ca="1" si="2"/>
        <v>0</v>
      </c>
    </row>
    <row r="150" spans="1:6" x14ac:dyDescent="0.3">
      <c r="A150" s="23" t="s">
        <v>1029</v>
      </c>
      <c r="B150" s="24" t="s">
        <v>1430</v>
      </c>
      <c r="C150" s="23" t="s">
        <v>1280</v>
      </c>
      <c r="D150" s="23">
        <f ca="1">SUMIF(CPU!M:M,A150,CPU!R:R)+SUMIF(CPUAUX1!M:M,A150,CPUAUX1!R:R)+SUMIF(CPUAUX2!M:M,A150,CPUAUX2!R:R)+SUMIF(CPUAUX3!M:M,A150,CPUAUX3!R:R)+SUMIF(CPUAUX4!M:M,A150,CPUAUX4!R:R)+SUMIF(CPUAUX5!M:M,A150,CPUAUX5!R:R)</f>
        <v>0.97199999999999998</v>
      </c>
      <c r="E150" s="5"/>
      <c r="F150" s="5">
        <f t="shared" ca="1" si="2"/>
        <v>0</v>
      </c>
    </row>
    <row r="151" spans="1:6" x14ac:dyDescent="0.3">
      <c r="A151" s="23" t="s">
        <v>1128</v>
      </c>
      <c r="B151" s="24" t="s">
        <v>1431</v>
      </c>
      <c r="C151" s="23" t="s">
        <v>1280</v>
      </c>
      <c r="D151" s="23">
        <f ca="1">SUMIF(CPU!M:M,A151,CPU!R:R)+SUMIF(CPUAUX1!M:M,A151,CPUAUX1!R:R)+SUMIF(CPUAUX2!M:M,A151,CPUAUX2!R:R)+SUMIF(CPUAUX3!M:M,A151,CPUAUX3!R:R)+SUMIF(CPUAUX4!M:M,A151,CPUAUX4!R:R)+SUMIF(CPUAUX5!M:M,A151,CPUAUX5!R:R)</f>
        <v>0.312</v>
      </c>
      <c r="E151" s="5"/>
      <c r="F151" s="5">
        <f t="shared" ca="1" si="2"/>
        <v>0</v>
      </c>
    </row>
    <row r="152" spans="1:6" x14ac:dyDescent="0.3">
      <c r="A152" s="23">
        <v>20247</v>
      </c>
      <c r="B152" s="24" t="s">
        <v>1432</v>
      </c>
      <c r="C152" s="23" t="s">
        <v>1280</v>
      </c>
      <c r="D152" s="23">
        <f ca="1">SUMIF(CPU!M:M,A152,CPU!R:R)+SUMIF(CPUAUX1!M:M,A152,CPUAUX1!R:R)+SUMIF(CPUAUX2!M:M,A152,CPUAUX2!R:R)+SUMIF(CPUAUX3!M:M,A152,CPUAUX3!R:R)+SUMIF(CPUAUX4!M:M,A152,CPUAUX4!R:R)+SUMIF(CPUAUX5!M:M,A152,CPUAUX5!R:R)</f>
        <v>1.4322000000000001</v>
      </c>
      <c r="E152" s="5"/>
      <c r="F152" s="5">
        <f t="shared" ca="1" si="2"/>
        <v>0</v>
      </c>
    </row>
    <row r="153" spans="1:6" x14ac:dyDescent="0.3">
      <c r="A153" s="23">
        <v>5068</v>
      </c>
      <c r="B153" s="24" t="s">
        <v>1433</v>
      </c>
      <c r="C153" s="23" t="s">
        <v>1280</v>
      </c>
      <c r="D153" s="23">
        <f ca="1">SUMIF(CPU!M:M,A153,CPU!R:R)+SUMIF(CPUAUX1!M:M,A153,CPUAUX1!R:R)+SUMIF(CPUAUX2!M:M,A153,CPUAUX2!R:R)+SUMIF(CPUAUX3!M:M,A153,CPUAUX3!R:R)+SUMIF(CPUAUX4!M:M,A153,CPUAUX4!R:R)+SUMIF(CPUAUX5!M:M,A153,CPUAUX5!R:R)</f>
        <v>11.312051816080002</v>
      </c>
      <c r="E153" s="5"/>
      <c r="F153" s="5">
        <f t="shared" ca="1" si="2"/>
        <v>0</v>
      </c>
    </row>
    <row r="154" spans="1:6" x14ac:dyDescent="0.3">
      <c r="A154" s="23">
        <v>5069</v>
      </c>
      <c r="B154" s="24" t="s">
        <v>1434</v>
      </c>
      <c r="C154" s="23" t="s">
        <v>1280</v>
      </c>
      <c r="D154" s="23">
        <f ca="1">SUMIF(CPU!M:M,A154,CPU!R:R)+SUMIF(CPUAUX1!M:M,A154,CPUAUX1!R:R)+SUMIF(CPUAUX2!M:M,A154,CPUAUX2!R:R)+SUMIF(CPUAUX3!M:M,A154,CPUAUX3!R:R)+SUMIF(CPUAUX4!M:M,A154,CPUAUX4!R:R)+SUMIF(CPUAUX5!M:M,A154,CPUAUX5!R:R)</f>
        <v>0.52</v>
      </c>
      <c r="E154" s="5"/>
      <c r="F154" s="5">
        <f t="shared" ca="1" si="2"/>
        <v>0</v>
      </c>
    </row>
    <row r="155" spans="1:6" x14ac:dyDescent="0.3">
      <c r="A155" s="23">
        <v>39027</v>
      </c>
      <c r="B155" s="24" t="s">
        <v>1435</v>
      </c>
      <c r="C155" s="23" t="s">
        <v>1280</v>
      </c>
      <c r="D155" s="23">
        <f ca="1">SUMIF(CPU!M:M,A155,CPU!R:R)+SUMIF(CPUAUX1!M:M,A155,CPUAUX1!R:R)+SUMIF(CPUAUX2!M:M,A155,CPUAUX2!R:R)+SUMIF(CPUAUX3!M:M,A155,CPUAUX3!R:R)+SUMIF(CPUAUX4!M:M,A155,CPUAUX4!R:R)+SUMIF(CPUAUX5!M:M,A155,CPUAUX5!R:R)</f>
        <v>1.0230000000000001</v>
      </c>
      <c r="E155" s="5"/>
      <c r="F155" s="5">
        <f t="shared" ca="1" si="2"/>
        <v>0</v>
      </c>
    </row>
    <row r="156" spans="1:6" x14ac:dyDescent="0.3">
      <c r="A156" s="23">
        <v>40568</v>
      </c>
      <c r="B156" s="24" t="s">
        <v>1436</v>
      </c>
      <c r="C156" s="23" t="s">
        <v>1280</v>
      </c>
      <c r="D156" s="23">
        <f ca="1">SUMIF(CPU!M:M,A156,CPU!R:R)+SUMIF(CPUAUX1!M:M,A156,CPUAUX1!R:R)+SUMIF(CPUAUX2!M:M,A156,CPUAUX2!R:R)+SUMIF(CPUAUX3!M:M,A156,CPUAUX3!R:R)+SUMIF(CPUAUX4!M:M,A156,CPUAUX4!R:R)+SUMIF(CPUAUX5!M:M,A156,CPUAUX5!R:R)</f>
        <v>0.61380000000000001</v>
      </c>
      <c r="E156" s="5"/>
      <c r="F156" s="5">
        <f t="shared" ca="1" si="2"/>
        <v>0</v>
      </c>
    </row>
    <row r="157" spans="1:6" x14ac:dyDescent="0.3">
      <c r="A157" s="23">
        <v>40304</v>
      </c>
      <c r="B157" s="24" t="s">
        <v>1437</v>
      </c>
      <c r="C157" s="23" t="s">
        <v>1280</v>
      </c>
      <c r="D157" s="23">
        <f ca="1">SUMIF(CPU!M:M,A157,CPU!R:R)+SUMIF(CPUAUX1!M:M,A157,CPUAUX1!R:R)+SUMIF(CPUAUX2!M:M,A157,CPUAUX2!R:R)+SUMIF(CPUAUX3!M:M,A157,CPUAUX3!R:R)+SUMIF(CPUAUX4!M:M,A157,CPUAUX4!R:R)+SUMIF(CPUAUX5!M:M,A157,CPUAUX5!R:R)</f>
        <v>8.4731940000000019E-2</v>
      </c>
      <c r="E157" s="5"/>
      <c r="F157" s="5">
        <f t="shared" ca="1" si="2"/>
        <v>0</v>
      </c>
    </row>
    <row r="158" spans="1:6" x14ac:dyDescent="0.3">
      <c r="A158" s="23" t="s">
        <v>1113</v>
      </c>
      <c r="B158" s="24" t="s">
        <v>1438</v>
      </c>
      <c r="C158" s="23" t="s">
        <v>1278</v>
      </c>
      <c r="D158" s="23">
        <f ca="1">SUMIF(CPU!M:M,A158,CPU!R:R)+SUMIF(CPUAUX1!M:M,A158,CPUAUX1!R:R)+SUMIF(CPUAUX2!M:M,A158,CPUAUX2!R:R)+SUMIF(CPUAUX3!M:M,A158,CPUAUX3!R:R)+SUMIF(CPUAUX4!M:M,A158,CPUAUX4!R:R)+SUMIF(CPUAUX5!M:M,A158,CPUAUX5!R:R)</f>
        <v>0.10964700000000001</v>
      </c>
      <c r="E158" s="5"/>
      <c r="F158" s="5">
        <f t="shared" ca="1" si="2"/>
        <v>0</v>
      </c>
    </row>
    <row r="159" spans="1:6" x14ac:dyDescent="0.3">
      <c r="A159" s="23" t="s">
        <v>1114</v>
      </c>
      <c r="B159" s="24" t="s">
        <v>1439</v>
      </c>
      <c r="C159" s="23" t="s">
        <v>1278</v>
      </c>
      <c r="D159" s="23">
        <f ca="1">SUMIF(CPU!M:M,A159,CPU!R:R)+SUMIF(CPUAUX1!M:M,A159,CPUAUX1!R:R)+SUMIF(CPUAUX2!M:M,A159,CPUAUX2!R:R)+SUMIF(CPUAUX3!M:M,A159,CPUAUX3!R:R)+SUMIF(CPUAUX4!M:M,A159,CPUAUX4!R:R)+SUMIF(CPUAUX5!M:M,A159,CPUAUX5!R:R)</f>
        <v>4.3858800000000003E-2</v>
      </c>
      <c r="E159" s="5"/>
      <c r="F159" s="5">
        <f t="shared" ca="1" si="2"/>
        <v>0</v>
      </c>
    </row>
    <row r="160" spans="1:6" x14ac:dyDescent="0.3">
      <c r="A160" s="23" t="s">
        <v>1155</v>
      </c>
      <c r="B160" s="24" t="s">
        <v>1440</v>
      </c>
      <c r="C160" s="23" t="s">
        <v>1278</v>
      </c>
      <c r="D160" s="23">
        <f ca="1">SUMIF(CPU!M:M,A160,CPU!R:R)+SUMIF(CPUAUX1!M:M,A160,CPUAUX1!R:R)+SUMIF(CPUAUX2!M:M,A160,CPUAUX2!R:R)+SUMIF(CPUAUX3!M:M,A160,CPUAUX3!R:R)+SUMIF(CPUAUX4!M:M,A160,CPUAUX4!R:R)+SUMIF(CPUAUX5!M:M,A160,CPUAUX5!R:R)</f>
        <v>1.872E-5</v>
      </c>
      <c r="E160" s="5"/>
      <c r="F160" s="5">
        <f t="shared" ca="1" si="2"/>
        <v>0</v>
      </c>
    </row>
    <row r="161" spans="1:6" x14ac:dyDescent="0.3">
      <c r="A161" s="23" t="s">
        <v>1116</v>
      </c>
      <c r="B161" s="24" t="s">
        <v>1441</v>
      </c>
      <c r="C161" s="23" t="s">
        <v>1278</v>
      </c>
      <c r="D161" s="23">
        <f ca="1">SUMIF(CPU!M:M,A161,CPU!R:R)+SUMIF(CPUAUX1!M:M,A161,CPUAUX1!R:R)+SUMIF(CPUAUX2!M:M,A161,CPUAUX2!R:R)+SUMIF(CPUAUX3!M:M,A161,CPUAUX3!R:R)+SUMIF(CPUAUX4!M:M,A161,CPUAUX4!R:R)+SUMIF(CPUAUX5!M:M,A161,CPUAUX5!R:R)</f>
        <v>2.9820800000000002E-3</v>
      </c>
      <c r="E161" s="5"/>
      <c r="F161" s="5">
        <f t="shared" ca="1" si="2"/>
        <v>0</v>
      </c>
    </row>
    <row r="162" spans="1:6" ht="28.8" x14ac:dyDescent="0.3">
      <c r="A162" s="23">
        <v>39794</v>
      </c>
      <c r="B162" s="24" t="s">
        <v>1442</v>
      </c>
      <c r="C162" s="23" t="s">
        <v>1278</v>
      </c>
      <c r="D162" s="23">
        <f ca="1">SUMIF(CPU!M:M,A162,CPU!R:R)+SUMIF(CPUAUX1!M:M,A162,CPUAUX1!R:R)+SUMIF(CPUAUX2!M:M,A162,CPUAUX2!R:R)+SUMIF(CPUAUX3!M:M,A162,CPUAUX3!R:R)+SUMIF(CPUAUX4!M:M,A162,CPUAUX4!R:R)+SUMIF(CPUAUX5!M:M,A162,CPUAUX5!R:R)</f>
        <v>2</v>
      </c>
      <c r="E162" s="5"/>
      <c r="F162" s="5">
        <f t="shared" ca="1" si="2"/>
        <v>0</v>
      </c>
    </row>
    <row r="163" spans="1:6" x14ac:dyDescent="0.3">
      <c r="A163" s="23" t="s">
        <v>1115</v>
      </c>
      <c r="B163" s="24" t="s">
        <v>1443</v>
      </c>
      <c r="C163" s="23" t="s">
        <v>1278</v>
      </c>
      <c r="D163" s="23">
        <f ca="1">SUMIF(CPU!M:M,A163,CPU!R:R)+SUMIF(CPUAUX1!M:M,A163,CPUAUX1!R:R)+SUMIF(CPUAUX2!M:M,A163,CPUAUX2!R:R)+SUMIF(CPUAUX3!M:M,A163,CPUAUX3!R:R)+SUMIF(CPUAUX4!M:M,A163,CPUAUX4!R:R)+SUMIF(CPUAUX5!M:M,A163,CPUAUX5!R:R)</f>
        <v>2.4804588000000001</v>
      </c>
      <c r="E163" s="5"/>
      <c r="F163" s="5">
        <f t="shared" ca="1" si="2"/>
        <v>0</v>
      </c>
    </row>
    <row r="164" spans="1:6" ht="28.8" x14ac:dyDescent="0.3">
      <c r="A164" s="23">
        <v>11675</v>
      </c>
      <c r="B164" s="24" t="s">
        <v>1444</v>
      </c>
      <c r="C164" s="23" t="s">
        <v>1278</v>
      </c>
      <c r="D164" s="23">
        <f ca="1">SUMIF(CPU!M:M,A164,CPU!R:R)+SUMIF(CPUAUX1!M:M,A164,CPUAUX1!R:R)+SUMIF(CPUAUX2!M:M,A164,CPUAUX2!R:R)+SUMIF(CPUAUX3!M:M,A164,CPUAUX3!R:R)+SUMIF(CPUAUX4!M:M,A164,CPUAUX4!R:R)+SUMIF(CPUAUX5!M:M,A164,CPUAUX5!R:R)</f>
        <v>6</v>
      </c>
      <c r="E164" s="5"/>
      <c r="F164" s="5">
        <f t="shared" ca="1" si="2"/>
        <v>0</v>
      </c>
    </row>
    <row r="165" spans="1:6" x14ac:dyDescent="0.3">
      <c r="A165" s="23">
        <v>6010</v>
      </c>
      <c r="B165" s="24" t="s">
        <v>1445</v>
      </c>
      <c r="C165" s="23" t="s">
        <v>1278</v>
      </c>
      <c r="D165" s="23">
        <f ca="1">SUMIF(CPU!M:M,A165,CPU!R:R)+SUMIF(CPUAUX1!M:M,A165,CPUAUX1!R:R)+SUMIF(CPUAUX2!M:M,A165,CPUAUX2!R:R)+SUMIF(CPUAUX3!M:M,A165,CPUAUX3!R:R)+SUMIF(CPUAUX4!M:M,A165,CPUAUX4!R:R)+SUMIF(CPUAUX5!M:M,A165,CPUAUX5!R:R)</f>
        <v>8</v>
      </c>
      <c r="E165" s="5"/>
      <c r="F165" s="5">
        <f t="shared" ca="1" si="2"/>
        <v>0</v>
      </c>
    </row>
    <row r="166" spans="1:6" x14ac:dyDescent="0.3">
      <c r="A166" s="23" t="s">
        <v>1153</v>
      </c>
      <c r="B166" s="24" t="s">
        <v>1446</v>
      </c>
      <c r="C166" s="23" t="s">
        <v>1278</v>
      </c>
      <c r="D166" s="23">
        <f ca="1">SUMIF(CPU!M:M,A166,CPU!R:R)+SUMIF(CPUAUX1!M:M,A166,CPUAUX1!R:R)+SUMIF(CPUAUX2!M:M,A166,CPUAUX2!R:R)+SUMIF(CPUAUX3!M:M,A166,CPUAUX3!R:R)+SUMIF(CPUAUX4!M:M,A166,CPUAUX4!R:R)+SUMIF(CPUAUX5!M:M,A166,CPUAUX5!R:R)</f>
        <v>3.7440000000000001E-5</v>
      </c>
      <c r="E166" s="5"/>
      <c r="F166" s="5">
        <f t="shared" ca="1" si="2"/>
        <v>0</v>
      </c>
    </row>
    <row r="167" spans="1:6" ht="28.8" x14ac:dyDescent="0.3">
      <c r="A167" s="23">
        <v>4408</v>
      </c>
      <c r="B167" s="24" t="s">
        <v>1447</v>
      </c>
      <c r="C167" s="23" t="s">
        <v>1296</v>
      </c>
      <c r="D167" s="23">
        <f ca="1">SUMIF(CPU!M:M,A167,CPU!R:R)+SUMIF(CPUAUX1!M:M,A167,CPUAUX1!R:R)+SUMIF(CPUAUX2!M:M,A167,CPUAUX2!R:R)+SUMIF(CPUAUX3!M:M,A167,CPUAUX3!R:R)+SUMIF(CPUAUX4!M:M,A167,CPUAUX4!R:R)+SUMIF(CPUAUX5!M:M,A167,CPUAUX5!R:R)</f>
        <v>52.64358</v>
      </c>
      <c r="E167" s="5"/>
      <c r="F167" s="5">
        <f t="shared" ca="1" si="2"/>
        <v>0</v>
      </c>
    </row>
    <row r="168" spans="1:6" x14ac:dyDescent="0.3">
      <c r="A168" s="23">
        <v>4509</v>
      </c>
      <c r="B168" s="24" t="s">
        <v>1448</v>
      </c>
      <c r="C168" s="23" t="s">
        <v>1296</v>
      </c>
      <c r="D168" s="23">
        <f ca="1">SUMIF(CPU!M:M,A168,CPU!R:R)+SUMIF(CPUAUX1!M:M,A168,CPUAUX1!R:R)+SUMIF(CPUAUX2!M:M,A168,CPUAUX2!R:R)+SUMIF(CPUAUX3!M:M,A168,CPUAUX3!R:R)+SUMIF(CPUAUX4!M:M,A168,CPUAUX4!R:R)+SUMIF(CPUAUX5!M:M,A168,CPUAUX5!R:R)</f>
        <v>8.4627999999999997</v>
      </c>
      <c r="E168" s="5"/>
      <c r="F168" s="5">
        <f t="shared" ca="1" si="2"/>
        <v>0</v>
      </c>
    </row>
    <row r="169" spans="1:6" x14ac:dyDescent="0.3">
      <c r="A169" s="23">
        <v>4517</v>
      </c>
      <c r="B169" s="24" t="s">
        <v>1449</v>
      </c>
      <c r="C169" s="23" t="s">
        <v>1296</v>
      </c>
      <c r="D169" s="23">
        <f ca="1">SUMIF(CPU!M:M,A169,CPU!R:R)+SUMIF(CPUAUX1!M:M,A169,CPUAUX1!R:R)+SUMIF(CPUAUX2!M:M,A169,CPUAUX2!R:R)+SUMIF(CPUAUX3!M:M,A169,CPUAUX3!R:R)+SUMIF(CPUAUX4!M:M,A169,CPUAUX4!R:R)+SUMIF(CPUAUX5!M:M,A169,CPUAUX5!R:R)</f>
        <v>37.942243670659991</v>
      </c>
      <c r="E169" s="5"/>
      <c r="F169" s="5">
        <f t="shared" ca="1" si="2"/>
        <v>0</v>
      </c>
    </row>
    <row r="170" spans="1:6" x14ac:dyDescent="0.3">
      <c r="A170" s="23" t="s">
        <v>1129</v>
      </c>
      <c r="B170" s="24" t="s">
        <v>1450</v>
      </c>
      <c r="C170" s="23" t="s">
        <v>1296</v>
      </c>
      <c r="D170" s="23">
        <f ca="1">SUMIF(CPU!M:M,A170,CPU!R:R)+SUMIF(CPUAUX1!M:M,A170,CPUAUX1!R:R)+SUMIF(CPUAUX2!M:M,A170,CPUAUX2!R:R)+SUMIF(CPUAUX3!M:M,A170,CPUAUX3!R:R)+SUMIF(CPUAUX4!M:M,A170,CPUAUX4!R:R)+SUMIF(CPUAUX5!M:M,A170,CPUAUX5!R:R)</f>
        <v>1.04</v>
      </c>
      <c r="E170" s="5"/>
      <c r="F170" s="5">
        <f t="shared" ca="1" si="2"/>
        <v>0</v>
      </c>
    </row>
    <row r="171" spans="1:6" ht="28.8" x14ac:dyDescent="0.3">
      <c r="A171" s="23">
        <v>4417</v>
      </c>
      <c r="B171" s="24" t="s">
        <v>1451</v>
      </c>
      <c r="C171" s="23" t="s">
        <v>1296</v>
      </c>
      <c r="D171" s="23">
        <f ca="1">SUMIF(CPU!M:M,A171,CPU!R:R)+SUMIF(CPUAUX1!M:M,A171,CPUAUX1!R:R)+SUMIF(CPUAUX2!M:M,A171,CPUAUX2!R:R)+SUMIF(CPUAUX3!M:M,A171,CPUAUX3!R:R)+SUMIF(CPUAUX4!M:M,A171,CPUAUX4!R:R)+SUMIF(CPUAUX5!M:M,A171,CPUAUX5!R:R)</f>
        <v>65.516000000000005</v>
      </c>
      <c r="E171" s="5"/>
      <c r="F171" s="5">
        <f t="shared" ca="1" si="2"/>
        <v>0</v>
      </c>
    </row>
    <row r="172" spans="1:6" x14ac:dyDescent="0.3">
      <c r="A172" s="23" t="s">
        <v>1110</v>
      </c>
      <c r="B172" s="24" t="s">
        <v>1452</v>
      </c>
      <c r="C172" s="23" t="s">
        <v>1278</v>
      </c>
      <c r="D172" s="23">
        <f ca="1">SUMIF(CPU!M:M,A172,CPU!R:R)+SUMIF(CPUAUX1!M:M,A172,CPUAUX1!R:R)+SUMIF(CPUAUX2!M:M,A172,CPUAUX2!R:R)+SUMIF(CPUAUX3!M:M,A172,CPUAUX3!R:R)+SUMIF(CPUAUX4!M:M,A172,CPUAUX4!R:R)+SUMIF(CPUAUX5!M:M,A172,CPUAUX5!R:R)</f>
        <v>0.10964700000000001</v>
      </c>
      <c r="E172" s="5"/>
      <c r="F172" s="5">
        <f t="shared" ca="1" si="2"/>
        <v>0</v>
      </c>
    </row>
    <row r="173" spans="1:6" ht="28.8" x14ac:dyDescent="0.3">
      <c r="A173" s="23">
        <v>14618</v>
      </c>
      <c r="B173" s="24" t="s">
        <v>1453</v>
      </c>
      <c r="C173" s="23" t="s">
        <v>1278</v>
      </c>
      <c r="D173" s="23">
        <f ca="1">SUMIF(CPU!M:M,A173,CPU!R:R)+SUMIF(CPUAUX1!M:M,A173,CPUAUX1!R:R)+SUMIF(CPUAUX2!M:M,A173,CPUAUX2!R:R)+SUMIF(CPUAUX3!M:M,A173,CPUAUX3!R:R)+SUMIF(CPUAUX4!M:M,A173,CPUAUX4!R:R)+SUMIF(CPUAUX5!M:M,A173,CPUAUX5!R:R)</f>
        <v>5.3000850591056799E-4</v>
      </c>
      <c r="E173" s="5"/>
      <c r="F173" s="5">
        <f t="shared" ca="1" si="2"/>
        <v>0</v>
      </c>
    </row>
    <row r="174" spans="1:6" x14ac:dyDescent="0.3">
      <c r="A174" s="23" t="s">
        <v>1146</v>
      </c>
      <c r="B174" s="24" t="s">
        <v>1454</v>
      </c>
      <c r="C174" s="23" t="s">
        <v>1278</v>
      </c>
      <c r="D174" s="23">
        <f ca="1">SUMIF(CPU!M:M,A174,CPU!R:R)+SUMIF(CPUAUX1!M:M,A174,CPUAUX1!R:R)+SUMIF(CPUAUX2!M:M,A174,CPUAUX2!R:R)+SUMIF(CPUAUX3!M:M,A174,CPUAUX3!R:R)+SUMIF(CPUAUX4!M:M,A174,CPUAUX4!R:R)+SUMIF(CPUAUX5!M:M,A174,CPUAUX5!R:R)</f>
        <v>5.2467999999999992E-4</v>
      </c>
      <c r="E174" s="5"/>
      <c r="F174" s="5">
        <f t="shared" ca="1" si="2"/>
        <v>0</v>
      </c>
    </row>
    <row r="175" spans="1:6" x14ac:dyDescent="0.3">
      <c r="A175" s="23" t="s">
        <v>1159</v>
      </c>
      <c r="B175" s="24" t="s">
        <v>1455</v>
      </c>
      <c r="C175" s="23" t="s">
        <v>1278</v>
      </c>
      <c r="D175" s="23">
        <f ca="1">SUMIF(CPU!M:M,A175,CPU!R:R)+SUMIF(CPUAUX1!M:M,A175,CPUAUX1!R:R)+SUMIF(CPUAUX2!M:M,A175,CPUAUX2!R:R)+SUMIF(CPUAUX3!M:M,A175,CPUAUX3!R:R)+SUMIF(CPUAUX4!M:M,A175,CPUAUX4!R:R)+SUMIF(CPUAUX5!M:M,A175,CPUAUX5!R:R)</f>
        <v>1.872E-5</v>
      </c>
      <c r="E175" s="5"/>
      <c r="F175" s="5">
        <f t="shared" ca="1" si="2"/>
        <v>0</v>
      </c>
    </row>
    <row r="176" spans="1:6" x14ac:dyDescent="0.3">
      <c r="A176" s="23" t="s">
        <v>1142</v>
      </c>
      <c r="B176" s="24" t="s">
        <v>1456</v>
      </c>
      <c r="C176" s="23" t="s">
        <v>1278</v>
      </c>
      <c r="D176" s="23">
        <f ca="1">SUMIF(CPU!M:M,A176,CPU!R:R)+SUMIF(CPUAUX1!M:M,A176,CPUAUX1!R:R)+SUMIF(CPUAUX2!M:M,A176,CPUAUX2!R:R)+SUMIF(CPUAUX3!M:M,A176,CPUAUX3!R:R)+SUMIF(CPUAUX4!M:M,A176,CPUAUX4!R:R)+SUMIF(CPUAUX5!M:M,A176,CPUAUX5!R:R)</f>
        <v>5.2467999999999992E-4</v>
      </c>
      <c r="E176" s="5"/>
      <c r="F176" s="5">
        <f t="shared" ca="1" si="2"/>
        <v>0</v>
      </c>
    </row>
    <row r="177" spans="1:6" x14ac:dyDescent="0.3">
      <c r="A177" s="23">
        <v>20083</v>
      </c>
      <c r="B177" s="24" t="s">
        <v>1457</v>
      </c>
      <c r="C177" s="23" t="s">
        <v>1278</v>
      </c>
      <c r="D177" s="23">
        <f ca="1">SUMIF(CPU!M:M,A177,CPU!R:R)+SUMIF(CPUAUX1!M:M,A177,CPUAUX1!R:R)+SUMIF(CPUAUX2!M:M,A177,CPUAUX2!R:R)+SUMIF(CPUAUX3!M:M,A177,CPUAUX3!R:R)+SUMIF(CPUAUX4!M:M,A177,CPUAUX4!R:R)+SUMIF(CPUAUX5!M:M,A177,CPUAUX5!R:R)</f>
        <v>2.5000000000000001E-2</v>
      </c>
      <c r="E177" s="5"/>
      <c r="F177" s="5">
        <f t="shared" ca="1" si="2"/>
        <v>0</v>
      </c>
    </row>
    <row r="178" spans="1:6" x14ac:dyDescent="0.3">
      <c r="A178" s="23">
        <v>12295</v>
      </c>
      <c r="B178" s="24" t="s">
        <v>1458</v>
      </c>
      <c r="C178" s="23" t="s">
        <v>1278</v>
      </c>
      <c r="D178" s="23">
        <f ca="1">SUMIF(CPU!M:M,A178,CPU!R:R)+SUMIF(CPUAUX1!M:M,A178,CPUAUX1!R:R)+SUMIF(CPUAUX2!M:M,A178,CPUAUX2!R:R)+SUMIF(CPUAUX3!M:M,A178,CPUAUX3!R:R)+SUMIF(CPUAUX4!M:M,A178,CPUAUX4!R:R)+SUMIF(CPUAUX5!M:M,A178,CPUAUX5!R:R)</f>
        <v>2</v>
      </c>
      <c r="E178" s="5"/>
      <c r="F178" s="5">
        <f t="shared" ca="1" si="2"/>
        <v>0</v>
      </c>
    </row>
    <row r="179" spans="1:6" x14ac:dyDescent="0.3">
      <c r="A179" s="23" t="s">
        <v>1070</v>
      </c>
      <c r="B179" s="24" t="s">
        <v>1459</v>
      </c>
      <c r="C179" s="23" t="s">
        <v>1280</v>
      </c>
      <c r="D179" s="23">
        <f ca="1">SUMIF(CPU!M:M,A179,CPU!R:R)+SUMIF(CPUAUX1!M:M,A179,CPUAUX1!R:R)+SUMIF(CPUAUX2!M:M,A179,CPUAUX2!R:R)+SUMIF(CPUAUX3!M:M,A179,CPUAUX3!R:R)+SUMIF(CPUAUX4!M:M,A179,CPUAUX4!R:R)+SUMIF(CPUAUX5!M:M,A179,CPUAUX5!R:R)</f>
        <v>34.757999999999996</v>
      </c>
      <c r="E179" s="5"/>
      <c r="F179" s="5">
        <f t="shared" ca="1" si="2"/>
        <v>0</v>
      </c>
    </row>
    <row r="180" spans="1:6" ht="28.8" x14ac:dyDescent="0.3">
      <c r="A180" s="23">
        <v>38099</v>
      </c>
      <c r="B180" s="24" t="s">
        <v>1460</v>
      </c>
      <c r="C180" s="23" t="s">
        <v>1278</v>
      </c>
      <c r="D180" s="23">
        <f ca="1">SUMIF(CPU!M:M,A180,CPU!R:R)+SUMIF(CPUAUX1!M:M,A180,CPUAUX1!R:R)+SUMIF(CPUAUX2!M:M,A180,CPUAUX2!R:R)+SUMIF(CPUAUX3!M:M,A180,CPUAUX3!R:R)+SUMIF(CPUAUX4!M:M,A180,CPUAUX4!R:R)+SUMIF(CPUAUX5!M:M,A180,CPUAUX5!R:R)</f>
        <v>2</v>
      </c>
      <c r="E180" s="5"/>
      <c r="F180" s="5">
        <f t="shared" ca="1" si="2"/>
        <v>0</v>
      </c>
    </row>
    <row r="181" spans="1:6" x14ac:dyDescent="0.3">
      <c r="A181" s="23">
        <v>10567</v>
      </c>
      <c r="B181" s="24" t="s">
        <v>1461</v>
      </c>
      <c r="C181" s="23" t="s">
        <v>1296</v>
      </c>
      <c r="D181" s="23">
        <f ca="1">SUMIF(CPU!M:M,A181,CPU!R:R)+SUMIF(CPUAUX1!M:M,A181,CPUAUX1!R:R)+SUMIF(CPUAUX2!M:M,A181,CPUAUX2!R:R)+SUMIF(CPUAUX3!M:M,A181,CPUAUX3!R:R)+SUMIF(CPUAUX4!M:M,A181,CPUAUX4!R:R)+SUMIF(CPUAUX5!M:M,A181,CPUAUX5!R:R)</f>
        <v>48.400000000000006</v>
      </c>
      <c r="E181" s="5"/>
      <c r="F181" s="5">
        <f t="shared" ca="1" si="2"/>
        <v>0</v>
      </c>
    </row>
    <row r="182" spans="1:6" x14ac:dyDescent="0.3">
      <c r="A182" s="23" t="s">
        <v>1130</v>
      </c>
      <c r="B182" s="24" t="s">
        <v>1462</v>
      </c>
      <c r="C182" s="23" t="s">
        <v>1296</v>
      </c>
      <c r="D182" s="23">
        <f ca="1">SUMIF(CPU!M:M,A182,CPU!R:R)+SUMIF(CPUAUX1!M:M,A182,CPUAUX1!R:R)+SUMIF(CPUAUX2!M:M,A182,CPUAUX2!R:R)+SUMIF(CPUAUX3!M:M,A182,CPUAUX3!R:R)+SUMIF(CPUAUX4!M:M,A182,CPUAUX4!R:R)+SUMIF(CPUAUX5!M:M,A182,CPUAUX5!R:R)</f>
        <v>2.08</v>
      </c>
      <c r="E182" s="5"/>
      <c r="F182" s="5">
        <f t="shared" ca="1" si="2"/>
        <v>0</v>
      </c>
    </row>
    <row r="183" spans="1:6" ht="28.8" x14ac:dyDescent="0.3">
      <c r="A183" s="23">
        <v>6193</v>
      </c>
      <c r="B183" s="24" t="s">
        <v>1463</v>
      </c>
      <c r="C183" s="23" t="s">
        <v>1296</v>
      </c>
      <c r="D183" s="23">
        <f ca="1">SUMIF(CPU!M:M,A183,CPU!R:R)+SUMIF(CPUAUX1!M:M,A183,CPUAUX1!R:R)+SUMIF(CPUAUX2!M:M,A183,CPUAUX2!R:R)+SUMIF(CPUAUX3!M:M,A183,CPUAUX3!R:R)+SUMIF(CPUAUX4!M:M,A183,CPUAUX4!R:R)+SUMIF(CPUAUX5!M:M,A183,CPUAUX5!R:R)</f>
        <v>3.0246639199999996</v>
      </c>
      <c r="E183" s="5"/>
      <c r="F183" s="5">
        <f t="shared" ca="1" si="2"/>
        <v>0</v>
      </c>
    </row>
    <row r="184" spans="1:6" ht="28.8" x14ac:dyDescent="0.3">
      <c r="A184" s="23">
        <v>6189</v>
      </c>
      <c r="B184" s="24" t="s">
        <v>1464</v>
      </c>
      <c r="C184" s="23" t="s">
        <v>1296</v>
      </c>
      <c r="D184" s="23">
        <f ca="1">SUMIF(CPU!M:M,A184,CPU!R:R)+SUMIF(CPUAUX1!M:M,A184,CPUAUX1!R:R)+SUMIF(CPUAUX2!M:M,A184,CPUAUX2!R:R)+SUMIF(CPUAUX3!M:M,A184,CPUAUX3!R:R)+SUMIF(CPUAUX4!M:M,A184,CPUAUX4!R:R)+SUMIF(CPUAUX5!M:M,A184,CPUAUX5!R:R)</f>
        <v>27.542016</v>
      </c>
      <c r="E184" s="5"/>
      <c r="F184" s="5">
        <f t="shared" ca="1" si="2"/>
        <v>0</v>
      </c>
    </row>
    <row r="185" spans="1:6" x14ac:dyDescent="0.3">
      <c r="A185" s="23" t="s">
        <v>1108</v>
      </c>
      <c r="B185" s="24" t="s">
        <v>1465</v>
      </c>
      <c r="C185" s="23" t="s">
        <v>1278</v>
      </c>
      <c r="D185" s="23">
        <f ca="1">SUMIF(CPU!M:M,A185,CPU!R:R)+SUMIF(CPUAUX1!M:M,A185,CPUAUX1!R:R)+SUMIF(CPUAUX2!M:M,A185,CPUAUX2!R:R)+SUMIF(CPUAUX3!M:M,A185,CPUAUX3!R:R)+SUMIF(CPUAUX4!M:M,A185,CPUAUX4!R:R)+SUMIF(CPUAUX5!M:M,A185,CPUAUX5!R:R)</f>
        <v>4.4731199999999997E-3</v>
      </c>
      <c r="E185" s="5"/>
      <c r="F185" s="5">
        <f t="shared" ca="1" si="2"/>
        <v>0</v>
      </c>
    </row>
    <row r="186" spans="1:6" x14ac:dyDescent="0.3">
      <c r="A186" s="23" t="s">
        <v>1045</v>
      </c>
      <c r="B186" s="24" t="s">
        <v>1466</v>
      </c>
      <c r="C186" s="23" t="s">
        <v>1278</v>
      </c>
      <c r="D186" s="23">
        <f ca="1">SUMIF(CPU!M:M,A186,CPU!R:R)+SUMIF(CPUAUX1!M:M,A186,CPUAUX1!R:R)+SUMIF(CPUAUX2!M:M,A186,CPUAUX2!R:R)+SUMIF(CPUAUX3!M:M,A186,CPUAUX3!R:R)+SUMIF(CPUAUX4!M:M,A186,CPUAUX4!R:R)+SUMIF(CPUAUX5!M:M,A186,CPUAUX5!R:R)</f>
        <v>2</v>
      </c>
      <c r="E186" s="5"/>
      <c r="F186" s="5">
        <f t="shared" ca="1" si="2"/>
        <v>0</v>
      </c>
    </row>
    <row r="187" spans="1:6" x14ac:dyDescent="0.3">
      <c r="A187" s="23">
        <v>6297</v>
      </c>
      <c r="B187" s="24" t="s">
        <v>1467</v>
      </c>
      <c r="C187" s="23" t="s">
        <v>1278</v>
      </c>
      <c r="D187" s="23">
        <f ca="1">SUMIF(CPU!M:M,A187,CPU!R:R)+SUMIF(CPUAUX1!M:M,A187,CPUAUX1!R:R)+SUMIF(CPUAUX2!M:M,A187,CPUAUX2!R:R)+SUMIF(CPUAUX3!M:M,A187,CPUAUX3!R:R)+SUMIF(CPUAUX4!M:M,A187,CPUAUX4!R:R)+SUMIF(CPUAUX5!M:M,A187,CPUAUX5!R:R)</f>
        <v>4</v>
      </c>
      <c r="E187" s="5"/>
      <c r="F187" s="5">
        <f t="shared" ca="1" si="2"/>
        <v>0</v>
      </c>
    </row>
    <row r="188" spans="1:6" x14ac:dyDescent="0.3">
      <c r="A188" s="23">
        <v>6323</v>
      </c>
      <c r="B188" s="24" t="s">
        <v>1468</v>
      </c>
      <c r="C188" s="23" t="s">
        <v>1278</v>
      </c>
      <c r="D188" s="23">
        <f ca="1">SUMIF(CPU!M:M,A188,CPU!R:R)+SUMIF(CPUAUX1!M:M,A188,CPUAUX1!R:R)+SUMIF(CPUAUX2!M:M,A188,CPUAUX2!R:R)+SUMIF(CPUAUX3!M:M,A188,CPUAUX3!R:R)+SUMIF(CPUAUX4!M:M,A188,CPUAUX4!R:R)+SUMIF(CPUAUX5!M:M,A188,CPUAUX5!R:R)</f>
        <v>2</v>
      </c>
      <c r="E188" s="5"/>
      <c r="F188" s="5">
        <f t="shared" ca="1" si="2"/>
        <v>0</v>
      </c>
    </row>
    <row r="189" spans="1:6" x14ac:dyDescent="0.3">
      <c r="A189" s="23">
        <v>7140</v>
      </c>
      <c r="B189" s="24" t="s">
        <v>1469</v>
      </c>
      <c r="C189" s="23" t="s">
        <v>1278</v>
      </c>
      <c r="D189" s="23">
        <f ca="1">SUMIF(CPU!M:M,A189,CPU!R:R)+SUMIF(CPUAUX1!M:M,A189,CPUAUX1!R:R)+SUMIF(CPUAUX2!M:M,A189,CPUAUX2!R:R)+SUMIF(CPUAUX3!M:M,A189,CPUAUX3!R:R)+SUMIF(CPUAUX4!M:M,A189,CPUAUX4!R:R)+SUMIF(CPUAUX5!M:M,A189,CPUAUX5!R:R)</f>
        <v>2</v>
      </c>
      <c r="E189" s="5"/>
      <c r="F189" s="5">
        <f t="shared" ca="1" si="2"/>
        <v>0</v>
      </c>
    </row>
    <row r="190" spans="1:6" ht="28.8" x14ac:dyDescent="0.3">
      <c r="A190" s="23">
        <v>34547</v>
      </c>
      <c r="B190" s="24" t="s">
        <v>1470</v>
      </c>
      <c r="C190" s="23" t="s">
        <v>1296</v>
      </c>
      <c r="D190" s="23">
        <f ca="1">SUMIF(CPU!M:M,A190,CPU!R:R)+SUMIF(CPUAUX1!M:M,A190,CPUAUX1!R:R)+SUMIF(CPUAUX2!M:M,A190,CPUAUX2!R:R)+SUMIF(CPUAUX3!M:M,A190,CPUAUX3!R:R)+SUMIF(CPUAUX4!M:M,A190,CPUAUX4!R:R)+SUMIF(CPUAUX5!M:M,A190,CPUAUX5!R:R)</f>
        <v>2.7692000000000005</v>
      </c>
      <c r="E190" s="5"/>
      <c r="F190" s="5">
        <f t="shared" ca="1" si="2"/>
        <v>0</v>
      </c>
    </row>
    <row r="191" spans="1:6" ht="28.8" x14ac:dyDescent="0.3">
      <c r="A191" s="23">
        <v>34557</v>
      </c>
      <c r="B191" s="24" t="s">
        <v>1471</v>
      </c>
      <c r="C191" s="23" t="s">
        <v>1296</v>
      </c>
      <c r="D191" s="23">
        <f ca="1">SUMIF(CPU!M:M,A191,CPU!R:R)+SUMIF(CPUAUX1!M:M,A191,CPUAUX1!R:R)+SUMIF(CPUAUX2!M:M,A191,CPUAUX2!R:R)+SUMIF(CPUAUX3!M:M,A191,CPUAUX3!R:R)+SUMIF(CPUAUX4!M:M,A191,CPUAUX4!R:R)+SUMIF(CPUAUX5!M:M,A191,CPUAUX5!R:R)</f>
        <v>16.220400000000001</v>
      </c>
      <c r="E191" s="5"/>
      <c r="F191" s="5">
        <f t="shared" ca="1" si="2"/>
        <v>0</v>
      </c>
    </row>
    <row r="192" spans="1:6" ht="28.8" x14ac:dyDescent="0.3">
      <c r="A192" s="23">
        <v>7156</v>
      </c>
      <c r="B192" s="24" t="s">
        <v>1472</v>
      </c>
      <c r="C192" s="23" t="s">
        <v>1334</v>
      </c>
      <c r="D192" s="23">
        <f ca="1">SUMIF(CPU!M:M,A192,CPU!R:R)+SUMIF(CPUAUX1!M:M,A192,CPUAUX1!R:R)+SUMIF(CPUAUX2!M:M,A192,CPUAUX2!R:R)+SUMIF(CPUAUX3!M:M,A192,CPUAUX3!R:R)+SUMIF(CPUAUX4!M:M,A192,CPUAUX4!R:R)+SUMIF(CPUAUX5!M:M,A192,CPUAUX5!R:R)</f>
        <v>12.113919999999998</v>
      </c>
      <c r="E192" s="5"/>
      <c r="F192" s="5">
        <f t="shared" ca="1" si="2"/>
        <v>0</v>
      </c>
    </row>
    <row r="193" spans="1:6" ht="43.2" x14ac:dyDescent="0.3">
      <c r="A193" s="23">
        <v>7173</v>
      </c>
      <c r="B193" s="24" t="s">
        <v>1473</v>
      </c>
      <c r="C193" s="23" t="s">
        <v>1474</v>
      </c>
      <c r="D193" s="23">
        <f ca="1">SUMIF(CPU!M:M,A193,CPU!R:R)+SUMIF(CPUAUX1!M:M,A193,CPUAUX1!R:R)+SUMIF(CPUAUX2!M:M,A193,CPUAUX2!R:R)+SUMIF(CPUAUX3!M:M,A193,CPUAUX3!R:R)+SUMIF(CPUAUX4!M:M,A193,CPUAUX4!R:R)+SUMIF(CPUAUX5!M:M,A193,CPUAUX5!R:R)</f>
        <v>0.56264999999999998</v>
      </c>
      <c r="E193" s="5"/>
      <c r="F193" s="5">
        <f t="shared" ca="1" si="2"/>
        <v>0</v>
      </c>
    </row>
    <row r="194" spans="1:6" ht="28.8" x14ac:dyDescent="0.3">
      <c r="A194" s="23">
        <v>1575</v>
      </c>
      <c r="B194" s="24" t="s">
        <v>1475</v>
      </c>
      <c r="C194" s="23" t="s">
        <v>1278</v>
      </c>
      <c r="D194" s="23">
        <f ca="1">SUMIF(CPU!M:M,A194,CPU!R:R)+SUMIF(CPUAUX1!M:M,A194,CPUAUX1!R:R)+SUMIF(CPUAUX2!M:M,A194,CPUAUX2!R:R)+SUMIF(CPUAUX3!M:M,A194,CPUAUX3!R:R)+SUMIF(CPUAUX4!M:M,A194,CPUAUX4!R:R)+SUMIF(CPUAUX5!M:M,A194,CPUAUX5!R:R)</f>
        <v>2</v>
      </c>
      <c r="E194" s="5"/>
      <c r="F194" s="5">
        <f t="shared" ca="1" si="2"/>
        <v>0</v>
      </c>
    </row>
    <row r="195" spans="1:6" ht="28.8" x14ac:dyDescent="0.3">
      <c r="A195" s="23">
        <v>1570</v>
      </c>
      <c r="B195" s="24" t="s">
        <v>1476</v>
      </c>
      <c r="C195" s="23" t="s">
        <v>1278</v>
      </c>
      <c r="D195" s="23">
        <f ca="1">SUMIF(CPU!M:M,A195,CPU!R:R)+SUMIF(CPUAUX1!M:M,A195,CPUAUX1!R:R)+SUMIF(CPUAUX2!M:M,A195,CPUAUX2!R:R)+SUMIF(CPUAUX3!M:M,A195,CPUAUX3!R:R)+SUMIF(CPUAUX4!M:M,A195,CPUAUX4!R:R)+SUMIF(CPUAUX5!M:M,A195,CPUAUX5!R:R)</f>
        <v>2</v>
      </c>
      <c r="E195" s="5"/>
      <c r="F195" s="5">
        <f t="shared" ca="1" si="2"/>
        <v>0</v>
      </c>
    </row>
    <row r="196" spans="1:6" ht="28.8" x14ac:dyDescent="0.3">
      <c r="A196" s="23">
        <v>1571</v>
      </c>
      <c r="B196" s="24" t="s">
        <v>1477</v>
      </c>
      <c r="C196" s="23" t="s">
        <v>1278</v>
      </c>
      <c r="D196" s="23">
        <f ca="1">SUMIF(CPU!M:M,A196,CPU!R:R)+SUMIF(CPUAUX1!M:M,A196,CPUAUX1!R:R)+SUMIF(CPUAUX2!M:M,A196,CPUAUX2!R:R)+SUMIF(CPUAUX3!M:M,A196,CPUAUX3!R:R)+SUMIF(CPUAUX4!M:M,A196,CPUAUX4!R:R)+SUMIF(CPUAUX5!M:M,A196,CPUAUX5!R:R)</f>
        <v>2</v>
      </c>
      <c r="E196" s="5"/>
      <c r="F196" s="5">
        <f t="shared" ca="1" si="2"/>
        <v>0</v>
      </c>
    </row>
    <row r="197" spans="1:6" x14ac:dyDescent="0.3">
      <c r="A197" s="23">
        <v>43776</v>
      </c>
      <c r="B197" s="24" t="s">
        <v>1478</v>
      </c>
      <c r="C197" s="23" t="s">
        <v>1178</v>
      </c>
      <c r="D197" s="23">
        <f ca="1">SUMIF(CPU!M:M,A197,CPU!R:R)+SUMIF(CPUAUX1!M:M,A197,CPUAUX1!R:R)+SUMIF(CPUAUX2!M:M,A197,CPUAUX2!R:R)+SUMIF(CPUAUX3!M:M,A197,CPUAUX3!R:R)+SUMIF(CPUAUX4!M:M,A197,CPUAUX4!R:R)+SUMIF(CPUAUX5!M:M,A197,CPUAUX5!R:R)</f>
        <v>0.34</v>
      </c>
      <c r="E197" s="5"/>
      <c r="F197" s="5">
        <f t="shared" ca="1" si="2"/>
        <v>0</v>
      </c>
    </row>
    <row r="198" spans="1:6" x14ac:dyDescent="0.3">
      <c r="A198" s="23">
        <v>7311</v>
      </c>
      <c r="B198" s="24" t="s">
        <v>1479</v>
      </c>
      <c r="C198" s="23" t="s">
        <v>1178</v>
      </c>
      <c r="D198" s="23">
        <f ca="1">SUMIF(CPU!M:M,A198,CPU!R:R)+SUMIF(CPUAUX1!M:M,A198,CPUAUX1!R:R)+SUMIF(CPUAUX2!M:M,A198,CPUAUX2!R:R)+SUMIF(CPUAUX3!M:M,A198,CPUAUX3!R:R)+SUMIF(CPUAUX4!M:M,A198,CPUAUX4!R:R)+SUMIF(CPUAUX5!M:M,A198,CPUAUX5!R:R)</f>
        <v>1.712928</v>
      </c>
      <c r="E198" s="5"/>
      <c r="F198" s="5">
        <f t="shared" ca="1" si="2"/>
        <v>0</v>
      </c>
    </row>
    <row r="199" spans="1:6" x14ac:dyDescent="0.3">
      <c r="A199" s="23">
        <v>7356</v>
      </c>
      <c r="B199" s="24" t="s">
        <v>1480</v>
      </c>
      <c r="C199" s="23" t="s">
        <v>1178</v>
      </c>
      <c r="D199" s="23">
        <f ca="1">SUMIF(CPU!M:M,A199,CPU!R:R)+SUMIF(CPUAUX1!M:M,A199,CPUAUX1!R:R)+SUMIF(CPUAUX2!M:M,A199,CPUAUX2!R:R)+SUMIF(CPUAUX3!M:M,A199,CPUAUX3!R:R)+SUMIF(CPUAUX4!M:M,A199,CPUAUX4!R:R)+SUMIF(CPUAUX5!M:M,A199,CPUAUX5!R:R)</f>
        <v>2.2528000000000001</v>
      </c>
      <c r="E199" s="5"/>
      <c r="F199" s="5">
        <f t="shared" ref="F199:F216" ca="1" si="3">ROUND(D199*E199,2)</f>
        <v>0</v>
      </c>
    </row>
    <row r="200" spans="1:6" x14ac:dyDescent="0.3">
      <c r="A200" s="23">
        <v>38101</v>
      </c>
      <c r="B200" s="24" t="s">
        <v>1481</v>
      </c>
      <c r="C200" s="23" t="s">
        <v>1278</v>
      </c>
      <c r="D200" s="23">
        <f ca="1">SUMIF(CPU!M:M,A200,CPU!R:R)+SUMIF(CPUAUX1!M:M,A200,CPUAUX1!R:R)+SUMIF(CPUAUX2!M:M,A200,CPUAUX2!R:R)+SUMIF(CPUAUX3!M:M,A200,CPUAUX3!R:R)+SUMIF(CPUAUX4!M:M,A200,CPUAUX4!R:R)+SUMIF(CPUAUX5!M:M,A200,CPUAUX5!R:R)</f>
        <v>2</v>
      </c>
      <c r="E200" s="5"/>
      <c r="F200" s="5">
        <f t="shared" ca="1" si="3"/>
        <v>0</v>
      </c>
    </row>
    <row r="201" spans="1:6" ht="28.8" x14ac:dyDescent="0.3">
      <c r="A201" s="23">
        <v>13415</v>
      </c>
      <c r="B201" s="24" t="s">
        <v>1482</v>
      </c>
      <c r="C201" s="23" t="s">
        <v>1278</v>
      </c>
      <c r="D201" s="23">
        <f ca="1">SUMIF(CPU!M:M,A201,CPU!R:R)+SUMIF(CPUAUX1!M:M,A201,CPUAUX1!R:R)+SUMIF(CPUAUX2!M:M,A201,CPUAUX2!R:R)+SUMIF(CPUAUX3!M:M,A201,CPUAUX3!R:R)+SUMIF(CPUAUX4!M:M,A201,CPUAUX4!R:R)+SUMIF(CPUAUX5!M:M,A201,CPUAUX5!R:R)</f>
        <v>8</v>
      </c>
      <c r="E201" s="5"/>
      <c r="F201" s="5">
        <f t="shared" ca="1" si="3"/>
        <v>0</v>
      </c>
    </row>
    <row r="202" spans="1:6" x14ac:dyDescent="0.3">
      <c r="A202" s="23" t="s">
        <v>1149</v>
      </c>
      <c r="B202" s="24" t="s">
        <v>1483</v>
      </c>
      <c r="C202" s="23" t="s">
        <v>1278</v>
      </c>
      <c r="D202" s="23">
        <f ca="1">SUMIF(CPU!M:M,A202,CPU!R:R)+SUMIF(CPUAUX1!M:M,A202,CPUAUX1!R:R)+SUMIF(CPUAUX2!M:M,A202,CPUAUX2!R:R)+SUMIF(CPUAUX3!M:M,A202,CPUAUX3!R:R)+SUMIF(CPUAUX4!M:M,A202,CPUAUX4!R:R)+SUMIF(CPUAUX5!M:M,A202,CPUAUX5!R:R)</f>
        <v>6.8432000000000009E-4</v>
      </c>
      <c r="E202" s="5"/>
      <c r="F202" s="5">
        <f t="shared" ca="1" si="3"/>
        <v>0</v>
      </c>
    </row>
    <row r="203" spans="1:6" x14ac:dyDescent="0.3">
      <c r="A203" s="23" t="s">
        <v>1033</v>
      </c>
      <c r="B203" s="24" t="s">
        <v>1484</v>
      </c>
      <c r="C203" s="23" t="s">
        <v>1485</v>
      </c>
      <c r="D203" s="23">
        <f ca="1">SUMIF(CPU!M:M,A203,CPU!R:R)+SUMIF(CPUAUX1!M:M,A203,CPUAUX1!R:R)+SUMIF(CPUAUX2!M:M,A203,CPUAUX2!R:R)+SUMIF(CPUAUX3!M:M,A203,CPUAUX3!R:R)+SUMIF(CPUAUX4!M:M,A203,CPUAUX4!R:R)+SUMIF(CPUAUX5!M:M,A203,CPUAUX5!R:R)</f>
        <v>109.19999999999999</v>
      </c>
      <c r="E203" s="5"/>
      <c r="F203" s="5">
        <f t="shared" ca="1" si="3"/>
        <v>0</v>
      </c>
    </row>
    <row r="204" spans="1:6" ht="28.8" x14ac:dyDescent="0.3">
      <c r="A204" s="23">
        <v>21010</v>
      </c>
      <c r="B204" s="24" t="s">
        <v>1486</v>
      </c>
      <c r="C204" s="23" t="s">
        <v>1296</v>
      </c>
      <c r="D204" s="23">
        <f ca="1">SUMIF(CPU!M:M,A204,CPU!R:R)+SUMIF(CPUAUX1!M:M,A204,CPUAUX1!R:R)+SUMIF(CPUAUX2!M:M,A204,CPUAUX2!R:R)+SUMIF(CPUAUX3!M:M,A204,CPUAUX3!R:R)+SUMIF(CPUAUX4!M:M,A204,CPUAUX4!R:R)+SUMIF(CPUAUX5!M:M,A204,CPUAUX5!R:R)</f>
        <v>6.234</v>
      </c>
      <c r="E204" s="5"/>
      <c r="F204" s="5">
        <f t="shared" ca="1" si="3"/>
        <v>0</v>
      </c>
    </row>
    <row r="205" spans="1:6" ht="28.8" x14ac:dyDescent="0.3">
      <c r="A205" s="23">
        <v>21012</v>
      </c>
      <c r="B205" s="24" t="s">
        <v>1487</v>
      </c>
      <c r="C205" s="23" t="s">
        <v>1296</v>
      </c>
      <c r="D205" s="23">
        <f ca="1">SUMIF(CPU!M:M,A205,CPU!R:R)+SUMIF(CPUAUX1!M:M,A205,CPUAUX1!R:R)+SUMIF(CPUAUX2!M:M,A205,CPUAUX2!R:R)+SUMIF(CPUAUX3!M:M,A205,CPUAUX3!R:R)+SUMIF(CPUAUX4!M:M,A205,CPUAUX4!R:R)+SUMIF(CPUAUX5!M:M,A205,CPUAUX5!R:R)</f>
        <v>12</v>
      </c>
      <c r="E205" s="5"/>
      <c r="F205" s="5">
        <f t="shared" ca="1" si="3"/>
        <v>0</v>
      </c>
    </row>
    <row r="206" spans="1:6" ht="28.8" x14ac:dyDescent="0.3">
      <c r="A206" s="23">
        <v>9854</v>
      </c>
      <c r="B206" s="24" t="s">
        <v>1488</v>
      </c>
      <c r="C206" s="23" t="s">
        <v>1296</v>
      </c>
      <c r="D206" s="23">
        <f ca="1">SUMIF(CPU!M:M,A206,CPU!R:R)+SUMIF(CPUAUX1!M:M,A206,CPUAUX1!R:R)+SUMIF(CPUAUX2!M:M,A206,CPUAUX2!R:R)+SUMIF(CPUAUX3!M:M,A206,CPUAUX3!R:R)+SUMIF(CPUAUX4!M:M,A206,CPUAUX4!R:R)+SUMIF(CPUAUX5!M:M,A206,CPUAUX5!R:R)</f>
        <v>72.72</v>
      </c>
      <c r="E206" s="5"/>
      <c r="F206" s="5">
        <f t="shared" ca="1" si="3"/>
        <v>0</v>
      </c>
    </row>
    <row r="207" spans="1:6" x14ac:dyDescent="0.3">
      <c r="A207" s="23">
        <v>36084</v>
      </c>
      <c r="B207" s="24" t="s">
        <v>1489</v>
      </c>
      <c r="C207" s="23" t="s">
        <v>1296</v>
      </c>
      <c r="D207" s="23">
        <f ca="1">SUMIF(CPU!M:M,A207,CPU!R:R)+SUMIF(CPUAUX1!M:M,A207,CPUAUX1!R:R)+SUMIF(CPUAUX2!M:M,A207,CPUAUX2!R:R)+SUMIF(CPUAUX3!M:M,A207,CPUAUX3!R:R)+SUMIF(CPUAUX4!M:M,A207,CPUAUX4!R:R)+SUMIF(CPUAUX5!M:M,A207,CPUAUX5!R:R)</f>
        <v>68</v>
      </c>
      <c r="E207" s="5"/>
      <c r="F207" s="5">
        <f t="shared" ca="1" si="3"/>
        <v>0</v>
      </c>
    </row>
    <row r="208" spans="1:6" x14ac:dyDescent="0.3">
      <c r="A208" s="23">
        <v>9862</v>
      </c>
      <c r="B208" s="24" t="s">
        <v>1490</v>
      </c>
      <c r="C208" s="23" t="s">
        <v>1296</v>
      </c>
      <c r="D208" s="23">
        <f ca="1">SUMIF(CPU!M:M,A208,CPU!R:R)+SUMIF(CPUAUX1!M:M,A208,CPUAUX1!R:R)+SUMIF(CPUAUX2!M:M,A208,CPUAUX2!R:R)+SUMIF(CPUAUX3!M:M,A208,CPUAUX3!R:R)+SUMIF(CPUAUX4!M:M,A208,CPUAUX4!R:R)+SUMIF(CPUAUX5!M:M,A208,CPUAUX5!R:R)</f>
        <v>220</v>
      </c>
      <c r="E208" s="5"/>
      <c r="F208" s="5">
        <f t="shared" ca="1" si="3"/>
        <v>0</v>
      </c>
    </row>
    <row r="209" spans="1:6" x14ac:dyDescent="0.3">
      <c r="A209" s="23">
        <v>9869</v>
      </c>
      <c r="B209" s="24" t="s">
        <v>1491</v>
      </c>
      <c r="C209" s="23" t="s">
        <v>1296</v>
      </c>
      <c r="D209" s="23">
        <f ca="1">SUMIF(CPU!M:M,A209,CPU!R:R)+SUMIF(CPUAUX1!M:M,A209,CPUAUX1!R:R)+SUMIF(CPUAUX2!M:M,A209,CPUAUX2!R:R)+SUMIF(CPUAUX3!M:M,A209,CPUAUX3!R:R)+SUMIF(CPUAUX4!M:M,A209,CPUAUX4!R:R)+SUMIF(CPUAUX5!M:M,A209,CPUAUX5!R:R)</f>
        <v>4</v>
      </c>
      <c r="E209" s="5"/>
      <c r="F209" s="5">
        <f t="shared" ca="1" si="3"/>
        <v>0</v>
      </c>
    </row>
    <row r="210" spans="1:6" x14ac:dyDescent="0.3">
      <c r="A210" s="23">
        <v>12424</v>
      </c>
      <c r="B210" s="24" t="s">
        <v>1492</v>
      </c>
      <c r="C210" s="23" t="s">
        <v>1278</v>
      </c>
      <c r="D210" s="23">
        <f ca="1">SUMIF(CPU!M:M,A210,CPU!R:R)+SUMIF(CPUAUX1!M:M,A210,CPUAUX1!R:R)+SUMIF(CPUAUX2!M:M,A210,CPUAUX2!R:R)+SUMIF(CPUAUX3!M:M,A210,CPUAUX3!R:R)+SUMIF(CPUAUX4!M:M,A210,CPUAUX4!R:R)+SUMIF(CPUAUX5!M:M,A210,CPUAUX5!R:R)</f>
        <v>2</v>
      </c>
      <c r="E210" s="5"/>
      <c r="F210" s="5">
        <f t="shared" ca="1" si="3"/>
        <v>0</v>
      </c>
    </row>
    <row r="211" spans="1:6" x14ac:dyDescent="0.3">
      <c r="A211" s="23" t="s">
        <v>1107</v>
      </c>
      <c r="B211" s="24" t="s">
        <v>1493</v>
      </c>
      <c r="C211" s="23" t="s">
        <v>1278</v>
      </c>
      <c r="D211" s="23">
        <f ca="1">SUMIF(CPU!M:M,A211,CPU!R:R)+SUMIF(CPUAUX1!M:M,A211,CPUAUX1!R:R)+SUMIF(CPUAUX2!M:M,A211,CPUAUX2!R:R)+SUMIF(CPUAUX3!M:M,A211,CPUAUX3!R:R)+SUMIF(CPUAUX4!M:M,A211,CPUAUX4!R:R)+SUMIF(CPUAUX5!M:M,A211,CPUAUX5!R:R)</f>
        <v>2.0214648799999999</v>
      </c>
      <c r="E211" s="5"/>
      <c r="F211" s="5">
        <f t="shared" ca="1" si="3"/>
        <v>0</v>
      </c>
    </row>
    <row r="212" spans="1:6" ht="28.8" x14ac:dyDescent="0.3">
      <c r="A212" s="23">
        <v>10409</v>
      </c>
      <c r="B212" s="24" t="s">
        <v>1494</v>
      </c>
      <c r="C212" s="23" t="s">
        <v>1278</v>
      </c>
      <c r="D212" s="23">
        <f ca="1">SUMIF(CPU!M:M,A212,CPU!R:R)+SUMIF(CPUAUX1!M:M,A212,CPUAUX1!R:R)+SUMIF(CPUAUX2!M:M,A212,CPUAUX2!R:R)+SUMIF(CPUAUX3!M:M,A212,CPUAUX3!R:R)+SUMIF(CPUAUX4!M:M,A212,CPUAUX4!R:R)+SUMIF(CPUAUX5!M:M,A212,CPUAUX5!R:R)</f>
        <v>2</v>
      </c>
      <c r="E212" s="5"/>
      <c r="F212" s="5">
        <f t="shared" ca="1" si="3"/>
        <v>0</v>
      </c>
    </row>
    <row r="213" spans="1:6" x14ac:dyDescent="0.3">
      <c r="A213" s="23">
        <v>39996</v>
      </c>
      <c r="B213" s="24" t="s">
        <v>1495</v>
      </c>
      <c r="C213" s="23" t="s">
        <v>1296</v>
      </c>
      <c r="D213" s="23">
        <f ca="1">SUMIF(CPU!M:M,A213,CPU!R:R)+SUMIF(CPUAUX1!M:M,A213,CPUAUX1!R:R)+SUMIF(CPUAUX2!M:M,A213,CPUAUX2!R:R)+SUMIF(CPUAUX3!M:M,A213,CPUAUX3!R:R)+SUMIF(CPUAUX4!M:M,A213,CPUAUX4!R:R)+SUMIF(CPUAUX5!M:M,A213,CPUAUX5!R:R)</f>
        <v>0.33279999999999998</v>
      </c>
      <c r="E213" s="5"/>
      <c r="F213" s="5">
        <f t="shared" ca="1" si="3"/>
        <v>0</v>
      </c>
    </row>
    <row r="214" spans="1:6" ht="28.8" x14ac:dyDescent="0.3">
      <c r="A214" s="23">
        <v>13896</v>
      </c>
      <c r="B214" s="24" t="s">
        <v>1496</v>
      </c>
      <c r="C214" s="23" t="s">
        <v>1278</v>
      </c>
      <c r="D214" s="23">
        <f ca="1">SUMIF(CPU!M:M,A214,CPU!R:R)+SUMIF(CPUAUX1!M:M,A214,CPUAUX1!R:R)+SUMIF(CPUAUX2!M:M,A214,CPUAUX2!R:R)+SUMIF(CPUAUX3!M:M,A214,CPUAUX3!R:R)+SUMIF(CPUAUX4!M:M,A214,CPUAUX4!R:R)+SUMIF(CPUAUX5!M:M,A214,CPUAUX5!R:R)</f>
        <v>3.3124478400000006E-6</v>
      </c>
      <c r="E214" s="5"/>
      <c r="F214" s="5">
        <f t="shared" ca="1" si="3"/>
        <v>0</v>
      </c>
    </row>
    <row r="215" spans="1:6" ht="28.8" x14ac:dyDescent="0.3">
      <c r="A215" s="23">
        <v>4425</v>
      </c>
      <c r="B215" s="24" t="s">
        <v>1497</v>
      </c>
      <c r="C215" s="23" t="s">
        <v>1296</v>
      </c>
      <c r="D215" s="23">
        <f ca="1">SUMIF(CPU!M:M,A215,CPU!R:R)+SUMIF(CPUAUX1!M:M,A215,CPUAUX1!R:R)+SUMIF(CPUAUX2!M:M,A215,CPUAUX2!R:R)+SUMIF(CPUAUX3!M:M,A215,CPUAUX3!R:R)+SUMIF(CPUAUX4!M:M,A215,CPUAUX4!R:R)+SUMIF(CPUAUX5!M:M,A215,CPUAUX5!R:R)</f>
        <v>15.0381</v>
      </c>
      <c r="E215" s="5"/>
      <c r="F215" s="5">
        <f t="shared" ca="1" si="3"/>
        <v>0</v>
      </c>
    </row>
    <row r="216" spans="1:6" x14ac:dyDescent="0.3">
      <c r="A216" s="23" t="s">
        <v>1106</v>
      </c>
      <c r="B216" s="24" t="s">
        <v>1498</v>
      </c>
      <c r="C216" s="23" t="s">
        <v>1499</v>
      </c>
      <c r="D216" s="23">
        <f ca="1">SUMIF(CPU!M:M,A216,CPU!R:R)+SUMIF(CPUAUX1!M:M,A216,CPUAUX1!R:R)+SUMIF(CPUAUX2!M:M,A216,CPUAUX2!R:R)+SUMIF(CPUAUX3!M:M,A216,CPUAUX3!R:R)+SUMIF(CPUAUX4!M:M,A216,CPUAUX4!R:R)+SUMIF(CPUAUX5!M:M,A216,CPUAUX5!R:R)</f>
        <v>1.8968120000000002E-2</v>
      </c>
      <c r="E216" s="5"/>
      <c r="F216" s="5">
        <f t="shared" ca="1" si="3"/>
        <v>0</v>
      </c>
    </row>
    <row r="217" spans="1:6" x14ac:dyDescent="0.3">
      <c r="A217" s="34" t="s">
        <v>128</v>
      </c>
      <c r="B217" s="36"/>
      <c r="C217" s="36"/>
      <c r="D217" s="36"/>
      <c r="E217" s="35"/>
      <c r="F217" s="18">
        <f ca="1">SUBTOTAL(9,F7:F216)</f>
        <v>0</v>
      </c>
    </row>
  </sheetData>
  <autoFilter ref="A6:F216" xr:uid="{ECF8F7A4-FEE1-4D76-AC59-C0D4FB391947}"/>
  <mergeCells count="5">
    <mergeCell ref="A1:F1"/>
    <mergeCell ref="A2:F2"/>
    <mergeCell ref="A3:F3"/>
    <mergeCell ref="B5:F5"/>
    <mergeCell ref="A217:E217"/>
  </mergeCells>
  <pageMargins left="0.78740157480314965" right="0.39370078740157483" top="1.1811023622047243" bottom="0.78740157480314965" header="0.31496062992125984" footer="0.31496062992125984"/>
  <pageSetup paperSize="9" fitToHeight="0"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570020F3-FFC0-4376-B856-6BD8D327D82C}">
          <x14:formula1>
            <xm:f>CO!$J$6:$P$6</xm:f>
          </x14:formula1>
          <xm:sqref>B5:F5</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BC2DF9-F6AF-44FE-8F3A-467454FFBE2A}">
  <sheetPr>
    <tabColor indexed="30"/>
    <pageSetUpPr fitToPage="1"/>
  </sheetPr>
  <dimension ref="A1:G71"/>
  <sheetViews>
    <sheetView showGridLines="0" workbookViewId="0">
      <selection sqref="A1:F1"/>
    </sheetView>
  </sheetViews>
  <sheetFormatPr defaultRowHeight="14.4" x14ac:dyDescent="0.3"/>
  <cols>
    <col min="1" max="1" width="12" bestFit="1" customWidth="1"/>
    <col min="2" max="2" width="74.109375" bestFit="1" customWidth="1"/>
    <col min="3" max="6" width="15.77734375" bestFit="1" customWidth="1"/>
    <col min="7" max="9" width="14.77734375" bestFit="1" customWidth="1"/>
  </cols>
  <sheetData>
    <row r="1" spans="1:7" x14ac:dyDescent="0.3">
      <c r="A1" s="33" t="str">
        <f>CIDADE</f>
        <v>MUNICÍPIO DE LAGOA DO PIAUI - PI</v>
      </c>
      <c r="B1" s="33"/>
      <c r="C1" s="33"/>
      <c r="D1" s="33"/>
      <c r="E1" s="33"/>
      <c r="F1" s="33"/>
    </row>
    <row r="2" spans="1:7" x14ac:dyDescent="0.3">
      <c r="A2" s="33" t="str">
        <f>OBRA</f>
        <v>IMPLANTAÇÃO DE 5 (CINCO) SISTEMAS SIMPLIFICADOS DE ABASTECIMENTO DE ÁGUA ZONA RURAL DO MUNICÍPIO DE LAGOA DO PIAUÍ-PI</v>
      </c>
      <c r="B2" s="33"/>
      <c r="C2" s="33"/>
      <c r="D2" s="33"/>
      <c r="E2" s="33"/>
      <c r="F2" s="33"/>
    </row>
    <row r="3" spans="1:7" x14ac:dyDescent="0.3">
      <c r="A3" s="33" t="s">
        <v>1500</v>
      </c>
      <c r="B3" s="33"/>
      <c r="C3" s="33"/>
      <c r="D3" s="33"/>
      <c r="E3" s="33"/>
      <c r="F3" s="33"/>
    </row>
    <row r="5" spans="1:7" x14ac:dyDescent="0.3">
      <c r="A5" s="4" t="s">
        <v>1276</v>
      </c>
      <c r="B5" s="91" t="str">
        <f>ETAPA</f>
        <v>30 DIAS</v>
      </c>
      <c r="C5" s="92"/>
      <c r="D5" s="92"/>
      <c r="E5" s="92"/>
      <c r="F5" s="93"/>
      <c r="G5" s="6" t="s">
        <v>1501</v>
      </c>
    </row>
    <row r="6" spans="1:7" x14ac:dyDescent="0.3">
      <c r="A6" s="4" t="s">
        <v>138</v>
      </c>
      <c r="B6" s="4" t="s">
        <v>21</v>
      </c>
      <c r="C6" s="4" t="s">
        <v>140</v>
      </c>
      <c r="D6" s="4" t="s">
        <v>1016</v>
      </c>
      <c r="E6" s="4" t="s">
        <v>1268</v>
      </c>
      <c r="F6" s="4" t="s">
        <v>15</v>
      </c>
    </row>
    <row r="7" spans="1:7" x14ac:dyDescent="0.3">
      <c r="A7" s="23">
        <v>6114</v>
      </c>
      <c r="B7" s="24" t="s">
        <v>1502</v>
      </c>
      <c r="C7" s="23" t="s">
        <v>1503</v>
      </c>
      <c r="D7" s="23">
        <f ca="1">SUMIF(CPU!M:M,A7,CPU!R:R)+SUMIF(CPUAUX1!M:M,A7,CPUAUX1!R:R)+SUMIF(CPUAUX2!M:M,A7,CPUAUX2!R:R)+SUMIF(CPUAUX3!M:M,A7,CPUAUX3!R:R)+SUMIF(CPUAUX4!M:M,A7,CPUAUX4!R:R)+SUMIF(CPUAUX5!M:M,A7,CPUAUX5!R:R)</f>
        <v>0.38047154162460006</v>
      </c>
      <c r="E7" s="5"/>
      <c r="F7" s="5">
        <f t="shared" ref="F7:F38" ca="1" si="0">ROUND(D7*E7,2)</f>
        <v>0</v>
      </c>
    </row>
    <row r="8" spans="1:7" x14ac:dyDescent="0.3">
      <c r="A8" s="23" t="s">
        <v>1125</v>
      </c>
      <c r="B8" s="24" t="s">
        <v>1504</v>
      </c>
      <c r="C8" s="23" t="s">
        <v>1503</v>
      </c>
      <c r="D8" s="23">
        <f ca="1">SUMIF(CPU!M:M,A8,CPU!R:R)+SUMIF(CPUAUX1!M:M,A8,CPUAUX1!R:R)+SUMIF(CPUAUX2!M:M,A8,CPUAUX2!R:R)+SUMIF(CPUAUX3!M:M,A8,CPUAUX3!R:R)+SUMIF(CPUAUX4!M:M,A8,CPUAUX4!R:R)+SUMIF(CPUAUX5!M:M,A8,CPUAUX5!R:R)</f>
        <v>2.7040000000000002</v>
      </c>
      <c r="E8" s="5"/>
      <c r="F8" s="5">
        <f t="shared" ca="1" si="0"/>
        <v>0</v>
      </c>
    </row>
    <row r="9" spans="1:7" x14ac:dyDescent="0.3">
      <c r="A9" s="23">
        <v>247</v>
      </c>
      <c r="B9" s="24" t="s">
        <v>1505</v>
      </c>
      <c r="C9" s="23" t="s">
        <v>1503</v>
      </c>
      <c r="D9" s="23">
        <f ca="1">SUMIF(CPU!M:M,A9,CPU!R:R)+SUMIF(CPUAUX1!M:M,A9,CPUAUX1!R:R)+SUMIF(CPUAUX2!M:M,A9,CPUAUX2!R:R)+SUMIF(CPUAUX3!M:M,A9,CPUAUX3!R:R)+SUMIF(CPUAUX4!M:M,A9,CPUAUX4!R:R)+SUMIF(CPUAUX5!M:M,A9,CPUAUX5!R:R)</f>
        <v>65.862937381799981</v>
      </c>
      <c r="E9" s="5"/>
      <c r="F9" s="5">
        <f t="shared" ca="1" si="0"/>
        <v>0</v>
      </c>
    </row>
    <row r="10" spans="1:7" x14ac:dyDescent="0.3">
      <c r="A10" s="23">
        <v>37370</v>
      </c>
      <c r="B10" s="24" t="s">
        <v>1506</v>
      </c>
      <c r="C10" s="23" t="s">
        <v>1503</v>
      </c>
      <c r="D10" s="23">
        <f ca="1">SUMIF(CPU!M:M,A10,CPU!R:R)+SUMIF(CPUAUX1!M:M,A10,CPUAUX1!R:R)+SUMIF(CPUAUX2!M:M,A10,CPUAUX2!R:R)+SUMIF(CPUAUX3!M:M,A10,CPUAUX3!R:R)+SUMIF(CPUAUX4!M:M,A10,CPUAUX4!R:R)+SUMIF(CPUAUX5!M:M,A10,CPUAUX5!R:R)</f>
        <v>2513.7198123132007</v>
      </c>
      <c r="E10" s="5"/>
      <c r="F10" s="5">
        <f t="shared" ca="1" si="0"/>
        <v>0</v>
      </c>
    </row>
    <row r="11" spans="1:7" x14ac:dyDescent="0.3">
      <c r="A11" s="23">
        <v>253</v>
      </c>
      <c r="B11" s="24" t="s">
        <v>1507</v>
      </c>
      <c r="C11" s="23" t="s">
        <v>1503</v>
      </c>
      <c r="D11" s="23">
        <f ca="1">SUMIF(CPU!M:M,A11,CPU!R:R)+SUMIF(CPUAUX1!M:M,A11,CPUAUX1!R:R)+SUMIF(CPUAUX2!M:M,A11,CPUAUX2!R:R)+SUMIF(CPUAUX3!M:M,A11,CPUAUX3!R:R)+SUMIF(CPUAUX4!M:M,A11,CPUAUX4!R:R)+SUMIF(CPUAUX5!M:M,A11,CPUAUX5!R:R)</f>
        <v>120.6108</v>
      </c>
      <c r="E11" s="5"/>
      <c r="F11" s="5">
        <f t="shared" ca="1" si="0"/>
        <v>0</v>
      </c>
    </row>
    <row r="12" spans="1:7" x14ac:dyDescent="0.3">
      <c r="A12" s="23">
        <v>378</v>
      </c>
      <c r="B12" s="24" t="s">
        <v>1508</v>
      </c>
      <c r="C12" s="23" t="s">
        <v>1503</v>
      </c>
      <c r="D12" s="23">
        <f ca="1">SUMIF(CPU!M:M,A12,CPU!R:R)+SUMIF(CPUAUX1!M:M,A12,CPUAUX1!R:R)+SUMIF(CPUAUX2!M:M,A12,CPUAUX2!R:R)+SUMIF(CPUAUX3!M:M,A12,CPUAUX3!R:R)+SUMIF(CPUAUX4!M:M,A12,CPUAUX4!R:R)+SUMIF(CPUAUX5!M:M,A12,CPUAUX5!R:R)</f>
        <v>5.3221319613692799</v>
      </c>
      <c r="E12" s="5"/>
      <c r="F12" s="5">
        <f t="shared" ca="1" si="0"/>
        <v>0</v>
      </c>
    </row>
    <row r="13" spans="1:7" x14ac:dyDescent="0.3">
      <c r="A13" s="23">
        <v>40331</v>
      </c>
      <c r="B13" s="24" t="s">
        <v>1509</v>
      </c>
      <c r="C13" s="23" t="s">
        <v>1503</v>
      </c>
      <c r="D13" s="23">
        <f ca="1">SUMIF(CPU!M:M,A13,CPU!R:R)+SUMIF(CPUAUX1!M:M,A13,CPUAUX1!R:R)+SUMIF(CPUAUX2!M:M,A13,CPUAUX2!R:R)+SUMIF(CPUAUX3!M:M,A13,CPUAUX3!R:R)+SUMIF(CPUAUX4!M:M,A13,CPUAUX4!R:R)+SUMIF(CPUAUX5!M:M,A13,CPUAUX5!R:R)</f>
        <v>2.0701103999999999</v>
      </c>
      <c r="E13" s="5"/>
      <c r="F13" s="5">
        <f t="shared" ca="1" si="0"/>
        <v>0</v>
      </c>
    </row>
    <row r="14" spans="1:7" x14ac:dyDescent="0.3">
      <c r="A14" s="23">
        <v>246</v>
      </c>
      <c r="B14" s="24" t="s">
        <v>1510</v>
      </c>
      <c r="C14" s="23" t="s">
        <v>1503</v>
      </c>
      <c r="D14" s="23">
        <f ca="1">SUMIF(CPU!M:M,A14,CPU!R:R)+SUMIF(CPUAUX1!M:M,A14,CPUAUX1!R:R)+SUMIF(CPUAUX2!M:M,A14,CPUAUX2!R:R)+SUMIF(CPUAUX3!M:M,A14,CPUAUX3!R:R)+SUMIF(CPUAUX4!M:M,A14,CPUAUX4!R:R)+SUMIF(CPUAUX5!M:M,A14,CPUAUX5!R:R)</f>
        <v>95.873967187999995</v>
      </c>
      <c r="E14" s="5"/>
      <c r="F14" s="5">
        <f t="shared" ca="1" si="0"/>
        <v>0</v>
      </c>
    </row>
    <row r="15" spans="1:7" x14ac:dyDescent="0.3">
      <c r="A15" s="23">
        <v>251</v>
      </c>
      <c r="B15" s="24" t="s">
        <v>1511</v>
      </c>
      <c r="C15" s="23" t="s">
        <v>1503</v>
      </c>
      <c r="D15" s="23">
        <f ca="1">SUMIF(CPU!M:M,A15,CPU!R:R)+SUMIF(CPUAUX1!M:M,A15,CPUAUX1!R:R)+SUMIF(CPUAUX2!M:M,A15,CPUAUX2!R:R)+SUMIF(CPUAUX3!M:M,A15,CPUAUX3!R:R)+SUMIF(CPUAUX4!M:M,A15,CPUAUX4!R:R)+SUMIF(CPUAUX5!M:M,A15,CPUAUX5!R:R)</f>
        <v>133.52328</v>
      </c>
      <c r="E15" s="5"/>
      <c r="F15" s="5">
        <f t="shared" ca="1" si="0"/>
        <v>0</v>
      </c>
    </row>
    <row r="16" spans="1:7" x14ac:dyDescent="0.3">
      <c r="A16" s="23">
        <v>6127</v>
      </c>
      <c r="B16" s="24" t="s">
        <v>1512</v>
      </c>
      <c r="C16" s="23" t="s">
        <v>1503</v>
      </c>
      <c r="D16" s="23">
        <f ca="1">SUMIF(CPU!M:M,A16,CPU!R:R)+SUMIF(CPUAUX1!M:M,A16,CPUAUX1!R:R)+SUMIF(CPUAUX2!M:M,A16,CPUAUX2!R:R)+SUMIF(CPUAUX3!M:M,A16,CPUAUX3!R:R)+SUMIF(CPUAUX4!M:M,A16,CPUAUX4!R:R)+SUMIF(CPUAUX5!M:M,A16,CPUAUX5!R:R)</f>
        <v>20.319635420800001</v>
      </c>
      <c r="E16" s="5"/>
      <c r="F16" s="5">
        <f t="shared" ca="1" si="0"/>
        <v>0</v>
      </c>
    </row>
    <row r="17" spans="1:6" x14ac:dyDescent="0.3">
      <c r="A17" s="23">
        <v>532</v>
      </c>
      <c r="B17" s="24" t="s">
        <v>1513</v>
      </c>
      <c r="C17" s="23" t="s">
        <v>1503</v>
      </c>
      <c r="D17" s="23">
        <f ca="1">SUMIF(CPU!M:M,A17,CPU!R:R)+SUMIF(CPUAUX1!M:M,A17,CPUAUX1!R:R)+SUMIF(CPUAUX2!M:M,A17,CPUAUX2!R:R)+SUMIF(CPUAUX3!M:M,A17,CPUAUX3!R:R)+SUMIF(CPUAUX4!M:M,A17,CPUAUX4!R:R)+SUMIF(CPUAUX5!M:M,A17,CPUAUX5!R:R)</f>
        <v>40.3324</v>
      </c>
      <c r="E17" s="5"/>
      <c r="F17" s="5">
        <f t="shared" ca="1" si="0"/>
        <v>0</v>
      </c>
    </row>
    <row r="18" spans="1:6" x14ac:dyDescent="0.3">
      <c r="A18" s="23" t="s">
        <v>1122</v>
      </c>
      <c r="B18" s="24" t="s">
        <v>1514</v>
      </c>
      <c r="C18" s="23" t="s">
        <v>1503</v>
      </c>
      <c r="D18" s="23">
        <f ca="1">SUMIF(CPU!M:M,A18,CPU!R:R)+SUMIF(CPUAUX1!M:M,A18,CPUAUX1!R:R)+SUMIF(CPUAUX2!M:M,A18,CPUAUX2!R:R)+SUMIF(CPUAUX3!M:M,A18,CPUAUX3!R:R)+SUMIF(CPUAUX4!M:M,A18,CPUAUX4!R:R)+SUMIF(CPUAUX5!M:M,A18,CPUAUX5!R:R)</f>
        <v>0.37128</v>
      </c>
      <c r="E18" s="5"/>
      <c r="F18" s="5">
        <f t="shared" ca="1" si="0"/>
        <v>0</v>
      </c>
    </row>
    <row r="19" spans="1:6" x14ac:dyDescent="0.3">
      <c r="A19" s="23" t="s">
        <v>1126</v>
      </c>
      <c r="B19" s="24" t="s">
        <v>1515</v>
      </c>
      <c r="C19" s="23" t="s">
        <v>1503</v>
      </c>
      <c r="D19" s="23">
        <f ca="1">SUMIF(CPU!M:M,A19,CPU!R:R)+SUMIF(CPUAUX1!M:M,A19,CPUAUX1!R:R)+SUMIF(CPUAUX2!M:M,A19,CPUAUX2!R:R)+SUMIF(CPUAUX3!M:M,A19,CPUAUX3!R:R)+SUMIF(CPUAUX4!M:M,A19,CPUAUX4!R:R)+SUMIF(CPUAUX5!M:M,A19,CPUAUX5!R:R)</f>
        <v>2.7040000000000002</v>
      </c>
      <c r="E19" s="5"/>
      <c r="F19" s="5">
        <f t="shared" ca="1" si="0"/>
        <v>0</v>
      </c>
    </row>
    <row r="20" spans="1:6" x14ac:dyDescent="0.3">
      <c r="A20" s="23">
        <v>6117</v>
      </c>
      <c r="B20" s="24" t="s">
        <v>1516</v>
      </c>
      <c r="C20" s="23" t="s">
        <v>1503</v>
      </c>
      <c r="D20" s="23">
        <f ca="1">SUMIF(CPU!M:M,A20,CPU!R:R)+SUMIF(CPUAUX1!M:M,A20,CPUAUX1!R:R)+SUMIF(CPUAUX2!M:M,A20,CPUAUX2!R:R)+SUMIF(CPUAUX3!M:M,A20,CPUAUX3!R:R)+SUMIF(CPUAUX4!M:M,A20,CPUAUX4!R:R)+SUMIF(CPUAUX5!M:M,A20,CPUAUX5!R:R)</f>
        <v>76.715686947194342</v>
      </c>
      <c r="E20" s="5"/>
      <c r="F20" s="5">
        <f t="shared" ca="1" si="0"/>
        <v>0</v>
      </c>
    </row>
    <row r="21" spans="1:6" x14ac:dyDescent="0.3">
      <c r="A21" s="23">
        <v>1213</v>
      </c>
      <c r="B21" s="24" t="s">
        <v>1517</v>
      </c>
      <c r="C21" s="23" t="s">
        <v>1503</v>
      </c>
      <c r="D21" s="23">
        <f ca="1">SUMIF(CPU!M:M,A21,CPU!R:R)+SUMIF(CPUAUX1!M:M,A21,CPUAUX1!R:R)+SUMIF(CPUAUX2!M:M,A21,CPUAUX2!R:R)+SUMIF(CPUAUX3!M:M,A21,CPUAUX3!R:R)+SUMIF(CPUAUX4!M:M,A21,CPUAUX4!R:R)+SUMIF(CPUAUX5!M:M,A21,CPUAUX5!R:R)</f>
        <v>91.051813603963978</v>
      </c>
      <c r="E21" s="5"/>
      <c r="F21" s="5">
        <f t="shared" ca="1" si="0"/>
        <v>0</v>
      </c>
    </row>
    <row r="22" spans="1:6" x14ac:dyDescent="0.3">
      <c r="A22" s="23">
        <v>2436</v>
      </c>
      <c r="B22" s="24" t="s">
        <v>1518</v>
      </c>
      <c r="C22" s="23" t="s">
        <v>1503</v>
      </c>
      <c r="D22" s="23">
        <f ca="1">SUMIF(CPU!M:M,A22,CPU!R:R)+SUMIF(CPUAUX1!M:M,A22,CPUAUX1!R:R)+SUMIF(CPUAUX2!M:M,A22,CPUAUX2!R:R)+SUMIF(CPUAUX3!M:M,A22,CPUAUX3!R:R)+SUMIF(CPUAUX4!M:M,A22,CPUAUX4!R:R)+SUMIF(CPUAUX5!M:M,A22,CPUAUX5!R:R)</f>
        <v>74.1158123612</v>
      </c>
      <c r="E22" s="5"/>
      <c r="F22" s="5">
        <f t="shared" ca="1" si="0"/>
        <v>0</v>
      </c>
    </row>
    <row r="23" spans="1:6" x14ac:dyDescent="0.3">
      <c r="A23" s="23">
        <v>2696</v>
      </c>
      <c r="B23" s="24" t="s">
        <v>1519</v>
      </c>
      <c r="C23" s="23" t="s">
        <v>1503</v>
      </c>
      <c r="D23" s="23">
        <f ca="1">SUMIF(CPU!M:M,A23,CPU!R:R)+SUMIF(CPUAUX1!M:M,A23,CPUAUX1!R:R)+SUMIF(CPUAUX2!M:M,A23,CPUAUX2!R:R)+SUMIF(CPUAUX3!M:M,A23,CPUAUX3!R:R)+SUMIF(CPUAUX4!M:M,A23,CPUAUX4!R:R)+SUMIF(CPUAUX5!M:M,A23,CPUAUX5!R:R)</f>
        <v>47.936067411999993</v>
      </c>
      <c r="E23" s="5"/>
      <c r="F23" s="5">
        <f t="shared" ca="1" si="0"/>
        <v>0</v>
      </c>
    </row>
    <row r="24" spans="1:6" x14ac:dyDescent="0.3">
      <c r="A24" s="23">
        <v>4083</v>
      </c>
      <c r="B24" s="24" t="s">
        <v>1520</v>
      </c>
      <c r="C24" s="23" t="s">
        <v>1503</v>
      </c>
      <c r="D24" s="23">
        <f ca="1">SUMIF(CPU!M:M,A24,CPU!R:R)+SUMIF(CPUAUX1!M:M,A24,CPUAUX1!R:R)+SUMIF(CPUAUX2!M:M,A24,CPUAUX2!R:R)+SUMIF(CPUAUX3!M:M,A24,CPUAUX3!R:R)+SUMIF(CPUAUX4!M:M,A24,CPUAUX4!R:R)+SUMIF(CPUAUX5!M:M,A24,CPUAUX5!R:R)</f>
        <v>122.544</v>
      </c>
      <c r="E24" s="5"/>
      <c r="F24" s="5">
        <f t="shared" ca="1" si="0"/>
        <v>0</v>
      </c>
    </row>
    <row r="25" spans="1:6" x14ac:dyDescent="0.3">
      <c r="A25" s="23">
        <v>2706</v>
      </c>
      <c r="B25" s="24" t="s">
        <v>1521</v>
      </c>
      <c r="C25" s="23" t="s">
        <v>1503</v>
      </c>
      <c r="D25" s="23">
        <f ca="1">SUMIF(CPU!M:M,A25,CPU!R:R)+SUMIF(CPUAUX1!M:M,A25,CPUAUX1!R:R)+SUMIF(CPUAUX2!M:M,A25,CPUAUX2!R:R)+SUMIF(CPUAUX3!M:M,A25,CPUAUX3!R:R)+SUMIF(CPUAUX4!M:M,A25,CPUAUX4!R:R)+SUMIF(CPUAUX5!M:M,A25,CPUAUX5!R:R)</f>
        <v>29.225087999999996</v>
      </c>
      <c r="E25" s="5"/>
      <c r="F25" s="5">
        <f t="shared" ca="1" si="0"/>
        <v>0</v>
      </c>
    </row>
    <row r="26" spans="1:6" x14ac:dyDescent="0.3">
      <c r="A26" s="23">
        <v>2708</v>
      </c>
      <c r="B26" s="24" t="s">
        <v>1522</v>
      </c>
      <c r="C26" s="23" t="s">
        <v>1503</v>
      </c>
      <c r="D26" s="23">
        <f ca="1">SUMIF(CPU!M:M,A26,CPU!R:R)+SUMIF(CPUAUX1!M:M,A26,CPUAUX1!R:R)+SUMIF(CPUAUX2!M:M,A26,CPUAUX2!R:R)+SUMIF(CPUAUX3!M:M,A26,CPUAUX3!R:R)+SUMIF(CPUAUX4!M:M,A26,CPUAUX4!R:R)+SUMIF(CPUAUX5!M:M,A26,CPUAUX5!R:R)</f>
        <v>16.236160000000002</v>
      </c>
      <c r="E26" s="5"/>
      <c r="F26" s="5">
        <f t="shared" ca="1" si="0"/>
        <v>0</v>
      </c>
    </row>
    <row r="27" spans="1:6" ht="28.8" x14ac:dyDescent="0.3">
      <c r="A27" s="23">
        <v>43482</v>
      </c>
      <c r="B27" s="24" t="s">
        <v>1523</v>
      </c>
      <c r="C27" s="23" t="s">
        <v>1503</v>
      </c>
      <c r="D27" s="23">
        <f ca="1">SUMIF(CPU!M:M,A27,CPU!R:R)+SUMIF(CPUAUX1!M:M,A27,CPUAUX1!R:R)+SUMIF(CPUAUX2!M:M,A27,CPUAUX2!R:R)+SUMIF(CPUAUX3!M:M,A27,CPUAUX3!R:R)+SUMIF(CPUAUX4!M:M,A27,CPUAUX4!R:R)+SUMIF(CPUAUX5!M:M,A27,CPUAUX5!R:R)</f>
        <v>120</v>
      </c>
      <c r="E27" s="5"/>
      <c r="F27" s="5">
        <f t="shared" ca="1" si="0"/>
        <v>0</v>
      </c>
    </row>
    <row r="28" spans="1:6" ht="28.8" x14ac:dyDescent="0.3">
      <c r="A28" s="23">
        <v>43483</v>
      </c>
      <c r="B28" s="24" t="s">
        <v>1524</v>
      </c>
      <c r="C28" s="23" t="s">
        <v>1503</v>
      </c>
      <c r="D28" s="23">
        <f ca="1">SUMIF(CPU!M:M,A28,CPU!R:R)+SUMIF(CPUAUX1!M:M,A28,CPUAUX1!R:R)+SUMIF(CPUAUX2!M:M,A28,CPUAUX2!R:R)+SUMIF(CPUAUX3!M:M,A28,CPUAUX3!R:R)+SUMIF(CPUAUX4!M:M,A28,CPUAUX4!R:R)+SUMIF(CPUAUX5!M:M,A28,CPUAUX5!R:R)</f>
        <v>163.14713358324002</v>
      </c>
      <c r="E28" s="5"/>
      <c r="F28" s="5">
        <f t="shared" ca="1" si="0"/>
        <v>0</v>
      </c>
    </row>
    <row r="29" spans="1:6" ht="28.8" x14ac:dyDescent="0.3">
      <c r="A29" s="23">
        <v>43484</v>
      </c>
      <c r="B29" s="24" t="s">
        <v>1525</v>
      </c>
      <c r="C29" s="23" t="s">
        <v>1503</v>
      </c>
      <c r="D29" s="23">
        <f ca="1">SUMIF(CPU!M:M,A29,CPU!R:R)+SUMIF(CPUAUX1!M:M,A29,CPUAUX1!R:R)+SUMIF(CPUAUX2!M:M,A29,CPUAUX2!R:R)+SUMIF(CPUAUX3!M:M,A29,CPUAUX3!R:R)+SUMIF(CPUAUX4!M:M,A29,CPUAUX4!R:R)+SUMIF(CPUAUX5!M:M,A29,CPUAUX5!R:R)</f>
        <v>134.36427499999996</v>
      </c>
      <c r="E29" s="5"/>
      <c r="F29" s="5">
        <f t="shared" ca="1" si="0"/>
        <v>0</v>
      </c>
    </row>
    <row r="30" spans="1:6" ht="28.8" x14ac:dyDescent="0.3">
      <c r="A30" s="23">
        <v>43485</v>
      </c>
      <c r="B30" s="24" t="s">
        <v>1526</v>
      </c>
      <c r="C30" s="23" t="s">
        <v>1503</v>
      </c>
      <c r="D30" s="23">
        <f ca="1">SUMIF(CPU!M:M,A30,CPU!R:R)+SUMIF(CPUAUX1!M:M,A30,CPUAUX1!R:R)+SUMIF(CPUAUX2!M:M,A30,CPUAUX2!R:R)+SUMIF(CPUAUX3!M:M,A30,CPUAUX3!R:R)+SUMIF(CPUAUX4!M:M,A30,CPUAUX4!R:R)+SUMIF(CPUAUX5!M:M,A30,CPUAUX5!R:R)</f>
        <v>141.26999999999998</v>
      </c>
      <c r="E30" s="5"/>
      <c r="F30" s="5">
        <f t="shared" ca="1" si="0"/>
        <v>0</v>
      </c>
    </row>
    <row r="31" spans="1:6" ht="28.8" x14ac:dyDescent="0.3">
      <c r="A31" s="23">
        <v>43487</v>
      </c>
      <c r="B31" s="24" t="s">
        <v>1527</v>
      </c>
      <c r="C31" s="23" t="s">
        <v>1503</v>
      </c>
      <c r="D31" s="23">
        <f ca="1">SUMIF(CPU!M:M,A31,CPU!R:R)+SUMIF(CPUAUX1!M:M,A31,CPUAUX1!R:R)+SUMIF(CPUAUX2!M:M,A31,CPUAUX2!R:R)+SUMIF(CPUAUX3!M:M,A31,CPUAUX3!R:R)+SUMIF(CPUAUX4!M:M,A31,CPUAUX4!R:R)+SUMIF(CPUAUX5!M:M,A31,CPUAUX5!R:R)</f>
        <v>120</v>
      </c>
      <c r="E31" s="5"/>
      <c r="F31" s="5">
        <f t="shared" ca="1" si="0"/>
        <v>0</v>
      </c>
    </row>
    <row r="32" spans="1:6" ht="28.8" x14ac:dyDescent="0.3">
      <c r="A32" s="23">
        <v>43486</v>
      </c>
      <c r="B32" s="24" t="s">
        <v>1528</v>
      </c>
      <c r="C32" s="23" t="s">
        <v>1503</v>
      </c>
      <c r="D32" s="23">
        <f ca="1">SUMIF(CPU!M:M,A32,CPU!R:R)+SUMIF(CPUAUX1!M:M,A32,CPUAUX1!R:R)+SUMIF(CPUAUX2!M:M,A32,CPUAUX2!R:R)+SUMIF(CPUAUX3!M:M,A32,CPUAUX3!R:R)+SUMIF(CPUAUX4!M:M,A32,CPUAUX4!R:R)+SUMIF(CPUAUX5!M:M,A32,CPUAUX5!R:R)</f>
        <v>84.8</v>
      </c>
      <c r="E32" s="5"/>
      <c r="F32" s="5">
        <f t="shared" ca="1" si="0"/>
        <v>0</v>
      </c>
    </row>
    <row r="33" spans="1:6" ht="28.8" x14ac:dyDescent="0.3">
      <c r="A33" s="23">
        <v>43488</v>
      </c>
      <c r="B33" s="24" t="s">
        <v>1529</v>
      </c>
      <c r="C33" s="23" t="s">
        <v>1503</v>
      </c>
      <c r="D33" s="23">
        <f ca="1">SUMIF(CPU!M:M,A33,CPU!R:R)+SUMIF(CPUAUX1!M:M,A33,CPUAUX1!R:R)+SUMIF(CPUAUX2!M:M,A33,CPUAUX2!R:R)+SUMIF(CPUAUX3!M:M,A33,CPUAUX3!R:R)+SUMIF(CPUAUX4!M:M,A33,CPUAUX4!R:R)+SUMIF(CPUAUX5!M:M,A33,CPUAUX5!R:R)</f>
        <v>376.52545512076006</v>
      </c>
      <c r="E33" s="5"/>
      <c r="F33" s="5">
        <f t="shared" ca="1" si="0"/>
        <v>0</v>
      </c>
    </row>
    <row r="34" spans="1:6" x14ac:dyDescent="0.3">
      <c r="A34" s="23">
        <v>43489</v>
      </c>
      <c r="B34" s="24" t="s">
        <v>1530</v>
      </c>
      <c r="C34" s="23" t="s">
        <v>1503</v>
      </c>
      <c r="D34" s="23">
        <f ca="1">SUMIF(CPU!M:M,A34,CPU!R:R)+SUMIF(CPUAUX1!M:M,A34,CPUAUX1!R:R)+SUMIF(CPUAUX2!M:M,A34,CPUAUX2!R:R)+SUMIF(CPUAUX3!M:M,A34,CPUAUX3!R:R)+SUMIF(CPUAUX4!M:M,A34,CPUAUX4!R:R)+SUMIF(CPUAUX5!M:M,A34,CPUAUX5!R:R)</f>
        <v>242.389543422</v>
      </c>
      <c r="E34" s="5"/>
      <c r="F34" s="5">
        <f t="shared" ca="1" si="0"/>
        <v>0</v>
      </c>
    </row>
    <row r="35" spans="1:6" x14ac:dyDescent="0.3">
      <c r="A35" s="23">
        <v>43490</v>
      </c>
      <c r="B35" s="24" t="s">
        <v>1531</v>
      </c>
      <c r="C35" s="23" t="s">
        <v>1503</v>
      </c>
      <c r="D35" s="23">
        <f ca="1">SUMIF(CPU!M:M,A35,CPU!R:R)+SUMIF(CPUAUX1!M:M,A35,CPUAUX1!R:R)+SUMIF(CPUAUX2!M:M,A35,CPUAUX2!R:R)+SUMIF(CPUAUX3!M:M,A35,CPUAUX3!R:R)+SUMIF(CPUAUX4!M:M,A35,CPUAUX4!R:R)+SUMIF(CPUAUX5!M:M,A35,CPUAUX5!R:R)</f>
        <v>36.283647999999999</v>
      </c>
      <c r="E35" s="5"/>
      <c r="F35" s="5">
        <f t="shared" ca="1" si="0"/>
        <v>0</v>
      </c>
    </row>
    <row r="36" spans="1:6" x14ac:dyDescent="0.3">
      <c r="A36" s="23">
        <v>43491</v>
      </c>
      <c r="B36" s="24" t="s">
        <v>1532</v>
      </c>
      <c r="C36" s="23" t="s">
        <v>1503</v>
      </c>
      <c r="D36" s="23">
        <f ca="1">SUMIF(CPU!M:M,A36,CPU!R:R)+SUMIF(CPUAUX1!M:M,A36,CPUAUX1!R:R)+SUMIF(CPUAUX2!M:M,A36,CPUAUX2!R:R)+SUMIF(CPUAUX3!M:M,A36,CPUAUX3!R:R)+SUMIF(CPUAUX4!M:M,A36,CPUAUX4!R:R)+SUMIF(CPUAUX5!M:M,A36,CPUAUX5!R:R)</f>
        <v>1419.7397571872</v>
      </c>
      <c r="E36" s="5"/>
      <c r="F36" s="5">
        <f t="shared" ca="1" si="0"/>
        <v>0</v>
      </c>
    </row>
    <row r="37" spans="1:6" ht="28.8" x14ac:dyDescent="0.3">
      <c r="A37" s="23" t="s">
        <v>1039</v>
      </c>
      <c r="B37" s="24" t="s">
        <v>1367</v>
      </c>
      <c r="C37" s="23" t="s">
        <v>1503</v>
      </c>
      <c r="D37" s="23">
        <f ca="1">SUMIF(CPU!M:M,A37,CPU!R:R)+SUMIF(CPUAUX1!M:M,A37,CPUAUX1!R:R)+SUMIF(CPUAUX2!M:M,A37,CPUAUX2!R:R)+SUMIF(CPUAUX3!M:M,A37,CPUAUX3!R:R)+SUMIF(CPUAUX4!M:M,A37,CPUAUX4!R:R)+SUMIF(CPUAUX5!M:M,A37,CPUAUX5!R:R)</f>
        <v>12</v>
      </c>
      <c r="E37" s="5"/>
      <c r="F37" s="5">
        <f t="shared" ca="1" si="0"/>
        <v>0</v>
      </c>
    </row>
    <row r="38" spans="1:6" x14ac:dyDescent="0.3">
      <c r="A38" s="23">
        <v>37372</v>
      </c>
      <c r="B38" s="24" t="s">
        <v>1533</v>
      </c>
      <c r="C38" s="23" t="s">
        <v>1503</v>
      </c>
      <c r="D38" s="23">
        <f ca="1">SUMIF(CPU!M:M,A38,CPU!R:R)+SUMIF(CPUAUX1!M:M,A38,CPUAUX1!R:R)+SUMIF(CPUAUX2!M:M,A38,CPUAUX2!R:R)+SUMIF(CPUAUX3!M:M,A38,CPUAUX3!R:R)+SUMIF(CPUAUX4!M:M,A38,CPUAUX4!R:R)+SUMIF(CPUAUX5!M:M,A38,CPUAUX5!R:R)</f>
        <v>2838.5198123132009</v>
      </c>
      <c r="E38" s="5"/>
      <c r="F38" s="5">
        <f t="shared" ca="1" si="0"/>
        <v>0</v>
      </c>
    </row>
    <row r="39" spans="1:6" ht="28.8" x14ac:dyDescent="0.3">
      <c r="A39" s="23">
        <v>43458</v>
      </c>
      <c r="B39" s="24" t="s">
        <v>1534</v>
      </c>
      <c r="C39" s="23" t="s">
        <v>1503</v>
      </c>
      <c r="D39" s="23">
        <f ca="1">SUMIF(CPU!M:M,A39,CPU!R:R)+SUMIF(CPUAUX1!M:M,A39,CPUAUX1!R:R)+SUMIF(CPUAUX2!M:M,A39,CPUAUX2!R:R)+SUMIF(CPUAUX3!M:M,A39,CPUAUX3!R:R)+SUMIF(CPUAUX4!M:M,A39,CPUAUX4!R:R)+SUMIF(CPUAUX5!M:M,A39,CPUAUX5!R:R)</f>
        <v>120</v>
      </c>
      <c r="E39" s="5"/>
      <c r="F39" s="5">
        <f t="shared" ref="F39:F70" ca="1" si="1">ROUND(D39*E39,2)</f>
        <v>0</v>
      </c>
    </row>
    <row r="40" spans="1:6" ht="28.8" x14ac:dyDescent="0.3">
      <c r="A40" s="23">
        <v>43459</v>
      </c>
      <c r="B40" s="24" t="s">
        <v>1535</v>
      </c>
      <c r="C40" s="23" t="s">
        <v>1503</v>
      </c>
      <c r="D40" s="23">
        <f ca="1">SUMIF(CPU!M:M,A40,CPU!R:R)+SUMIF(CPUAUX1!M:M,A40,CPUAUX1!R:R)+SUMIF(CPUAUX2!M:M,A40,CPUAUX2!R:R)+SUMIF(CPUAUX3!M:M,A40,CPUAUX3!R:R)+SUMIF(CPUAUX4!M:M,A40,CPUAUX4!R:R)+SUMIF(CPUAUX5!M:M,A40,CPUAUX5!R:R)</f>
        <v>163.14713358324002</v>
      </c>
      <c r="E40" s="5"/>
      <c r="F40" s="5">
        <f t="shared" ca="1" si="1"/>
        <v>0</v>
      </c>
    </row>
    <row r="41" spans="1:6" ht="28.8" x14ac:dyDescent="0.3">
      <c r="A41" s="23">
        <v>43460</v>
      </c>
      <c r="B41" s="24" t="s">
        <v>1536</v>
      </c>
      <c r="C41" s="23" t="s">
        <v>1503</v>
      </c>
      <c r="D41" s="23">
        <f ca="1">SUMIF(CPU!M:M,A41,CPU!R:R)+SUMIF(CPUAUX1!M:M,A41,CPUAUX1!R:R)+SUMIF(CPUAUX2!M:M,A41,CPUAUX2!R:R)+SUMIF(CPUAUX3!M:M,A41,CPUAUX3!R:R)+SUMIF(CPUAUX4!M:M,A41,CPUAUX4!R:R)+SUMIF(CPUAUX5!M:M,A41,CPUAUX5!R:R)</f>
        <v>134.36427499999996</v>
      </c>
      <c r="E41" s="5"/>
      <c r="F41" s="5">
        <f t="shared" ca="1" si="1"/>
        <v>0</v>
      </c>
    </row>
    <row r="42" spans="1:6" ht="28.8" x14ac:dyDescent="0.3">
      <c r="A42" s="23">
        <v>43461</v>
      </c>
      <c r="B42" s="24" t="s">
        <v>1537</v>
      </c>
      <c r="C42" s="23" t="s">
        <v>1503</v>
      </c>
      <c r="D42" s="23">
        <f ca="1">SUMIF(CPU!M:M,A42,CPU!R:R)+SUMIF(CPUAUX1!M:M,A42,CPUAUX1!R:R)+SUMIF(CPUAUX2!M:M,A42,CPUAUX2!R:R)+SUMIF(CPUAUX3!M:M,A42,CPUAUX3!R:R)+SUMIF(CPUAUX4!M:M,A42,CPUAUX4!R:R)+SUMIF(CPUAUX5!M:M,A42,CPUAUX5!R:R)</f>
        <v>141.26999999999998</v>
      </c>
      <c r="E42" s="5"/>
      <c r="F42" s="5">
        <f t="shared" ca="1" si="1"/>
        <v>0</v>
      </c>
    </row>
    <row r="43" spans="1:6" ht="28.8" x14ac:dyDescent="0.3">
      <c r="A43" s="23">
        <v>43463</v>
      </c>
      <c r="B43" s="24" t="s">
        <v>1538</v>
      </c>
      <c r="C43" s="23" t="s">
        <v>1503</v>
      </c>
      <c r="D43" s="23">
        <f ca="1">SUMIF(CPU!M:M,A43,CPU!R:R)+SUMIF(CPUAUX1!M:M,A43,CPUAUX1!R:R)+SUMIF(CPUAUX2!M:M,A43,CPUAUX2!R:R)+SUMIF(CPUAUX3!M:M,A43,CPUAUX3!R:R)+SUMIF(CPUAUX4!M:M,A43,CPUAUX4!R:R)+SUMIF(CPUAUX5!M:M,A43,CPUAUX5!R:R)</f>
        <v>120</v>
      </c>
      <c r="E43" s="5"/>
      <c r="F43" s="5">
        <f t="shared" ca="1" si="1"/>
        <v>0</v>
      </c>
    </row>
    <row r="44" spans="1:6" ht="28.8" x14ac:dyDescent="0.3">
      <c r="A44" s="23">
        <v>43462</v>
      </c>
      <c r="B44" s="24" t="s">
        <v>1539</v>
      </c>
      <c r="C44" s="23" t="s">
        <v>1503</v>
      </c>
      <c r="D44" s="23">
        <f ca="1">SUMIF(CPU!M:M,A44,CPU!R:R)+SUMIF(CPUAUX1!M:M,A44,CPUAUX1!R:R)+SUMIF(CPUAUX2!M:M,A44,CPUAUX2!R:R)+SUMIF(CPUAUX3!M:M,A44,CPUAUX3!R:R)+SUMIF(CPUAUX4!M:M,A44,CPUAUX4!R:R)+SUMIF(CPUAUX5!M:M,A44,CPUAUX5!R:R)</f>
        <v>84.8</v>
      </c>
      <c r="E44" s="5"/>
      <c r="F44" s="5">
        <f t="shared" ca="1" si="1"/>
        <v>0</v>
      </c>
    </row>
    <row r="45" spans="1:6" ht="28.8" x14ac:dyDescent="0.3">
      <c r="A45" s="23">
        <v>43464</v>
      </c>
      <c r="B45" s="24" t="s">
        <v>1540</v>
      </c>
      <c r="C45" s="23" t="s">
        <v>1503</v>
      </c>
      <c r="D45" s="23">
        <f ca="1">SUMIF(CPU!M:M,A45,CPU!R:R)+SUMIF(CPUAUX1!M:M,A45,CPUAUX1!R:R)+SUMIF(CPUAUX2!M:M,A45,CPUAUX2!R:R)+SUMIF(CPUAUX3!M:M,A45,CPUAUX3!R:R)+SUMIF(CPUAUX4!M:M,A45,CPUAUX4!R:R)+SUMIF(CPUAUX5!M:M,A45,CPUAUX5!R:R)</f>
        <v>376.52545512076006</v>
      </c>
      <c r="E45" s="5"/>
      <c r="F45" s="5">
        <f t="shared" ca="1" si="1"/>
        <v>0</v>
      </c>
    </row>
    <row r="46" spans="1:6" ht="28.8" x14ac:dyDescent="0.3">
      <c r="A46" s="23">
        <v>43465</v>
      </c>
      <c r="B46" s="24" t="s">
        <v>1541</v>
      </c>
      <c r="C46" s="23" t="s">
        <v>1503</v>
      </c>
      <c r="D46" s="23">
        <f ca="1">SUMIF(CPU!M:M,A46,CPU!R:R)+SUMIF(CPUAUX1!M:M,A46,CPUAUX1!R:R)+SUMIF(CPUAUX2!M:M,A46,CPUAUX2!R:R)+SUMIF(CPUAUX3!M:M,A46,CPUAUX3!R:R)+SUMIF(CPUAUX4!M:M,A46,CPUAUX4!R:R)+SUMIF(CPUAUX5!M:M,A46,CPUAUX5!R:R)</f>
        <v>242.389543422</v>
      </c>
      <c r="E46" s="5"/>
      <c r="F46" s="5">
        <f t="shared" ca="1" si="1"/>
        <v>0</v>
      </c>
    </row>
    <row r="47" spans="1:6" ht="28.8" x14ac:dyDescent="0.3">
      <c r="A47" s="23">
        <v>43466</v>
      </c>
      <c r="B47" s="24" t="s">
        <v>1542</v>
      </c>
      <c r="C47" s="23" t="s">
        <v>1503</v>
      </c>
      <c r="D47" s="23">
        <f ca="1">SUMIF(CPU!M:M,A47,CPU!R:R)+SUMIF(CPUAUX1!M:M,A47,CPUAUX1!R:R)+SUMIF(CPUAUX2!M:M,A47,CPUAUX2!R:R)+SUMIF(CPUAUX3!M:M,A47,CPUAUX3!R:R)+SUMIF(CPUAUX4!M:M,A47,CPUAUX4!R:R)+SUMIF(CPUAUX5!M:M,A47,CPUAUX5!R:R)</f>
        <v>36.283647999999999</v>
      </c>
      <c r="E47" s="5"/>
      <c r="F47" s="5">
        <f t="shared" ca="1" si="1"/>
        <v>0</v>
      </c>
    </row>
    <row r="48" spans="1:6" ht="28.8" x14ac:dyDescent="0.3">
      <c r="A48" s="23">
        <v>43467</v>
      </c>
      <c r="B48" s="24" t="s">
        <v>1543</v>
      </c>
      <c r="C48" s="23" t="s">
        <v>1503</v>
      </c>
      <c r="D48" s="23">
        <f ca="1">SUMIF(CPU!M:M,A48,CPU!R:R)+SUMIF(CPUAUX1!M:M,A48,CPUAUX1!R:R)+SUMIF(CPUAUX2!M:M,A48,CPUAUX2!R:R)+SUMIF(CPUAUX3!M:M,A48,CPUAUX3!R:R)+SUMIF(CPUAUX4!M:M,A48,CPUAUX4!R:R)+SUMIF(CPUAUX5!M:M,A48,CPUAUX5!R:R)</f>
        <v>1419.7397571872</v>
      </c>
      <c r="E48" s="5"/>
      <c r="F48" s="5">
        <f t="shared" ca="1" si="1"/>
        <v>0</v>
      </c>
    </row>
    <row r="49" spans="1:6" x14ac:dyDescent="0.3">
      <c r="A49" s="23" t="s">
        <v>1042</v>
      </c>
      <c r="B49" s="24" t="s">
        <v>1544</v>
      </c>
      <c r="C49" s="23" t="s">
        <v>1503</v>
      </c>
      <c r="D49" s="23">
        <f ca="1">SUMIF(CPU!M:M,A49,CPU!R:R)+SUMIF(CPUAUX1!M:M,A49,CPUAUX1!R:R)+SUMIF(CPUAUX2!M:M,A49,CPUAUX2!R:R)+SUMIF(CPUAUX3!M:M,A49,CPUAUX3!R:R)+SUMIF(CPUAUX4!M:M,A49,CPUAUX4!R:R)+SUMIF(CPUAUX5!M:M,A49,CPUAUX5!R:R)</f>
        <v>20</v>
      </c>
      <c r="E49" s="5"/>
      <c r="F49" s="5">
        <f t="shared" ca="1" si="1"/>
        <v>0</v>
      </c>
    </row>
    <row r="50" spans="1:6" x14ac:dyDescent="0.3">
      <c r="A50" s="23" t="s">
        <v>1024</v>
      </c>
      <c r="B50" s="24" t="s">
        <v>1545</v>
      </c>
      <c r="C50" s="23" t="s">
        <v>1503</v>
      </c>
      <c r="D50" s="23">
        <f ca="1">SUMIF(CPU!M:M,A50,CPU!R:R)+SUMIF(CPUAUX1!M:M,A50,CPUAUX1!R:R)+SUMIF(CPUAUX2!M:M,A50,CPUAUX2!R:R)+SUMIF(CPUAUX3!M:M,A50,CPUAUX3!R:R)+SUMIF(CPUAUX4!M:M,A50,CPUAUX4!R:R)+SUMIF(CPUAUX5!M:M,A50,CPUAUX5!R:R)</f>
        <v>28.799999999999997</v>
      </c>
      <c r="E50" s="5"/>
      <c r="F50" s="5">
        <f t="shared" ca="1" si="1"/>
        <v>0</v>
      </c>
    </row>
    <row r="51" spans="1:6" x14ac:dyDescent="0.3">
      <c r="A51" s="23" t="s">
        <v>1032</v>
      </c>
      <c r="B51" s="24" t="s">
        <v>1545</v>
      </c>
      <c r="C51" s="23" t="s">
        <v>1503</v>
      </c>
      <c r="D51" s="23">
        <f ca="1">SUMIF(CPU!M:M,A51,CPU!R:R)+SUMIF(CPUAUX1!M:M,A51,CPUAUX1!R:R)+SUMIF(CPUAUX2!M:M,A51,CPUAUX2!R:R)+SUMIF(CPUAUX3!M:M,A51,CPUAUX3!R:R)+SUMIF(CPUAUX4!M:M,A51,CPUAUX4!R:R)+SUMIF(CPUAUX5!M:M,A51,CPUAUX5!R:R)</f>
        <v>20</v>
      </c>
      <c r="E51" s="5"/>
      <c r="F51" s="5">
        <f t="shared" ca="1" si="1"/>
        <v>0</v>
      </c>
    </row>
    <row r="52" spans="1:6" x14ac:dyDescent="0.3">
      <c r="A52" s="23" t="s">
        <v>1034</v>
      </c>
      <c r="B52" s="24" t="s">
        <v>1546</v>
      </c>
      <c r="C52" s="23" t="s">
        <v>1503</v>
      </c>
      <c r="D52" s="23">
        <f ca="1">SUMIF(CPU!M:M,A52,CPU!R:R)+SUMIF(CPUAUX1!M:M,A52,CPUAUX1!R:R)+SUMIF(CPUAUX2!M:M,A52,CPUAUX2!R:R)+SUMIF(CPUAUX3!M:M,A52,CPUAUX3!R:R)+SUMIF(CPUAUX4!M:M,A52,CPUAUX4!R:R)+SUMIF(CPUAUX5!M:M,A52,CPUAUX5!R:R)</f>
        <v>20</v>
      </c>
      <c r="E52" s="5"/>
      <c r="F52" s="5">
        <f t="shared" ca="1" si="1"/>
        <v>0</v>
      </c>
    </row>
    <row r="53" spans="1:6" x14ac:dyDescent="0.3">
      <c r="A53" s="23">
        <v>2701</v>
      </c>
      <c r="B53" s="24" t="s">
        <v>1547</v>
      </c>
      <c r="C53" s="23" t="s">
        <v>1503</v>
      </c>
      <c r="D53" s="23">
        <f ca="1">SUMIF(CPU!M:M,A53,CPU!R:R)+SUMIF(CPUAUX1!M:M,A53,CPUAUX1!R:R)+SUMIF(CPUAUX2!M:M,A53,CPUAUX2!R:R)+SUMIF(CPUAUX3!M:M,A53,CPUAUX3!R:R)+SUMIF(CPUAUX4!M:M,A53,CPUAUX4!R:R)+SUMIF(CPUAUX5!M:M,A53,CPUAUX5!R:R)</f>
        <v>45.055344000000005</v>
      </c>
      <c r="E53" s="5"/>
      <c r="F53" s="5">
        <f t="shared" ca="1" si="1"/>
        <v>0</v>
      </c>
    </row>
    <row r="54" spans="1:6" ht="28.8" x14ac:dyDescent="0.3">
      <c r="A54" s="23">
        <v>40287</v>
      </c>
      <c r="B54" s="24" t="s">
        <v>1548</v>
      </c>
      <c r="C54" s="23" t="s">
        <v>1549</v>
      </c>
      <c r="D54" s="23">
        <f ca="1">SUMIF(CPU!M:M,A54,CPU!R:R)+SUMIF(CPUAUX1!M:M,A54,CPUAUX1!R:R)+SUMIF(CPUAUX2!M:M,A54,CPUAUX2!R:R)+SUMIF(CPUAUX3!M:M,A54,CPUAUX3!R:R)+SUMIF(CPUAUX4!M:M,A54,CPUAUX4!R:R)+SUMIF(CPUAUX5!M:M,A54,CPUAUX5!R:R)</f>
        <v>0.36469530000000006</v>
      </c>
      <c r="E54" s="5"/>
      <c r="F54" s="5">
        <f t="shared" ca="1" si="1"/>
        <v>0</v>
      </c>
    </row>
    <row r="55" spans="1:6" ht="57.6" x14ac:dyDescent="0.3">
      <c r="A55" s="23">
        <v>743</v>
      </c>
      <c r="B55" s="24" t="s">
        <v>1550</v>
      </c>
      <c r="C55" s="23" t="s">
        <v>1503</v>
      </c>
      <c r="D55" s="23">
        <f ca="1">SUMIF(CPU!M:M,A55,CPU!R:R)+SUMIF(CPUAUX1!M:M,A55,CPUAUX1!R:R)+SUMIF(CPUAUX2!M:M,A55,CPUAUX2!R:R)+SUMIF(CPUAUX3!M:M,A55,CPUAUX3!R:R)+SUMIF(CPUAUX4!M:M,A55,CPUAUX4!R:R)+SUMIF(CPUAUX5!M:M,A55,CPUAUX5!R:R)</f>
        <v>60</v>
      </c>
      <c r="E55" s="5"/>
      <c r="F55" s="5">
        <f t="shared" ca="1" si="1"/>
        <v>0</v>
      </c>
    </row>
    <row r="56" spans="1:6" ht="28.8" x14ac:dyDescent="0.3">
      <c r="A56" s="23">
        <v>3346</v>
      </c>
      <c r="B56" s="24" t="s">
        <v>1551</v>
      </c>
      <c r="C56" s="23" t="s">
        <v>1503</v>
      </c>
      <c r="D56" s="23">
        <f ca="1">SUMIF(CPU!M:M,A56,CPU!R:R)+SUMIF(CPUAUX1!M:M,A56,CPUAUX1!R:R)+SUMIF(CPUAUX2!M:M,A56,CPUAUX2!R:R)+SUMIF(CPUAUX3!M:M,A56,CPUAUX3!R:R)+SUMIF(CPUAUX4!M:M,A56,CPUAUX4!R:R)+SUMIF(CPUAUX5!M:M,A56,CPUAUX5!R:R)</f>
        <v>72</v>
      </c>
      <c r="E56" s="5"/>
      <c r="F56" s="5">
        <f t="shared" ca="1" si="1"/>
        <v>0</v>
      </c>
    </row>
    <row r="57" spans="1:6" x14ac:dyDescent="0.3">
      <c r="A57" s="23" t="s">
        <v>1040</v>
      </c>
      <c r="B57" s="24" t="s">
        <v>1552</v>
      </c>
      <c r="C57" s="23" t="s">
        <v>1503</v>
      </c>
      <c r="D57" s="23">
        <f ca="1">SUMIF(CPU!M:M,A57,CPU!R:R)+SUMIF(CPUAUX1!M:M,A57,CPUAUX1!R:R)+SUMIF(CPUAUX2!M:M,A57,CPUAUX2!R:R)+SUMIF(CPUAUX3!M:M,A57,CPUAUX3!R:R)+SUMIF(CPUAUX4!M:M,A57,CPUAUX4!R:R)+SUMIF(CPUAUX5!M:M,A57,CPUAUX5!R:R)</f>
        <v>48</v>
      </c>
      <c r="E57" s="5"/>
      <c r="F57" s="5">
        <f t="shared" ca="1" si="1"/>
        <v>0</v>
      </c>
    </row>
    <row r="58" spans="1:6" x14ac:dyDescent="0.3">
      <c r="A58" s="23" t="s">
        <v>1064</v>
      </c>
      <c r="B58" s="24" t="s">
        <v>1553</v>
      </c>
      <c r="C58" s="23" t="s">
        <v>1503</v>
      </c>
      <c r="D58" s="23">
        <f ca="1">SUMIF(CPU!M:M,A58,CPU!R:R)+SUMIF(CPUAUX1!M:M,A58,CPUAUX1!R:R)+SUMIF(CPUAUX2!M:M,A58,CPUAUX2!R:R)+SUMIF(CPUAUX3!M:M,A58,CPUAUX3!R:R)+SUMIF(CPUAUX4!M:M,A58,CPUAUX4!R:R)+SUMIF(CPUAUX5!M:M,A58,CPUAUX5!R:R)</f>
        <v>12</v>
      </c>
      <c r="E58" s="5"/>
      <c r="F58" s="5">
        <f t="shared" ca="1" si="1"/>
        <v>0</v>
      </c>
    </row>
    <row r="59" spans="1:6" x14ac:dyDescent="0.3">
      <c r="A59" s="23">
        <v>37666</v>
      </c>
      <c r="B59" s="24" t="s">
        <v>1554</v>
      </c>
      <c r="C59" s="23" t="s">
        <v>1503</v>
      </c>
      <c r="D59" s="23">
        <f ca="1">SUMIF(CPU!M:M,A59,CPU!R:R)+SUMIF(CPUAUX1!M:M,A59,CPUAUX1!R:R)+SUMIF(CPUAUX2!M:M,A59,CPUAUX2!R:R)+SUMIF(CPUAUX3!M:M,A59,CPUAUX3!R:R)+SUMIF(CPUAUX4!M:M,A59,CPUAUX4!R:R)+SUMIF(CPUAUX5!M:M,A59,CPUAUX5!R:R)</f>
        <v>19.06086885698598</v>
      </c>
      <c r="E59" s="5"/>
      <c r="F59" s="5">
        <f t="shared" ca="1" si="1"/>
        <v>0</v>
      </c>
    </row>
    <row r="60" spans="1:6" x14ac:dyDescent="0.3">
      <c r="A60" s="23">
        <v>4254</v>
      </c>
      <c r="B60" s="24" t="s">
        <v>1555</v>
      </c>
      <c r="C60" s="23" t="s">
        <v>1503</v>
      </c>
      <c r="D60" s="23">
        <f ca="1">SUMIF(CPU!M:M,A60,CPU!R:R)+SUMIF(CPUAUX1!M:M,A60,CPUAUX1!R:R)+SUMIF(CPUAUX2!M:M,A60,CPUAUX2!R:R)+SUMIF(CPUAUX3!M:M,A60,CPUAUX3!R:R)+SUMIF(CPUAUX4!M:M,A60,CPUAUX4!R:R)+SUMIF(CPUAUX5!M:M,A60,CPUAUX5!R:R)</f>
        <v>5.3349261299999995</v>
      </c>
      <c r="E60" s="5"/>
      <c r="F60" s="5">
        <f t="shared" ca="1" si="1"/>
        <v>0</v>
      </c>
    </row>
    <row r="61" spans="1:6" x14ac:dyDescent="0.3">
      <c r="A61" s="23">
        <v>4230</v>
      </c>
      <c r="B61" s="24" t="s">
        <v>1556</v>
      </c>
      <c r="C61" s="23" t="s">
        <v>1503</v>
      </c>
      <c r="D61" s="23">
        <f ca="1">SUMIF(CPU!M:M,A61,CPU!R:R)+SUMIF(CPUAUX1!M:M,A61,CPUAUX1!R:R)+SUMIF(CPUAUX2!M:M,A61,CPUAUX2!R:R)+SUMIF(CPUAUX3!M:M,A61,CPUAUX3!R:R)+SUMIF(CPUAUX4!M:M,A61,CPUAUX4!R:R)+SUMIF(CPUAUX5!M:M,A61,CPUAUX5!R:R)</f>
        <v>175.93985975144824</v>
      </c>
      <c r="E61" s="5"/>
      <c r="F61" s="5">
        <f t="shared" ca="1" si="1"/>
        <v>0</v>
      </c>
    </row>
    <row r="62" spans="1:6" x14ac:dyDescent="0.3">
      <c r="A62" s="23" t="s">
        <v>1065</v>
      </c>
      <c r="B62" s="24" t="s">
        <v>1557</v>
      </c>
      <c r="C62" s="23" t="s">
        <v>1503</v>
      </c>
      <c r="D62" s="23">
        <f ca="1">SUMIF(CPU!M:M,A62,CPU!R:R)+SUMIF(CPUAUX1!M:M,A62,CPUAUX1!R:R)+SUMIF(CPUAUX2!M:M,A62,CPUAUX2!R:R)+SUMIF(CPUAUX3!M:M,A62,CPUAUX3!R:R)+SUMIF(CPUAUX4!M:M,A62,CPUAUX4!R:R)+SUMIF(CPUAUX5!M:M,A62,CPUAUX5!R:R)</f>
        <v>4.1999999999999993</v>
      </c>
      <c r="E62" s="5"/>
      <c r="F62" s="5">
        <f t="shared" ca="1" si="1"/>
        <v>0</v>
      </c>
    </row>
    <row r="63" spans="1:6" x14ac:dyDescent="0.3">
      <c r="A63" s="23">
        <v>4750</v>
      </c>
      <c r="B63" s="24" t="s">
        <v>1558</v>
      </c>
      <c r="C63" s="23" t="s">
        <v>1503</v>
      </c>
      <c r="D63" s="23">
        <f ca="1">SUMIF(CPU!M:M,A63,CPU!R:R)+SUMIF(CPUAUX1!M:M,A63,CPUAUX1!R:R)+SUMIF(CPUAUX2!M:M,A63,CPUAUX2!R:R)+SUMIF(CPUAUX3!M:M,A63,CPUAUX3!R:R)+SUMIF(CPUAUX4!M:M,A63,CPUAUX4!R:R)+SUMIF(CPUAUX5!M:M,A63,CPUAUX5!R:R)</f>
        <v>224.96402462688002</v>
      </c>
      <c r="E63" s="5"/>
      <c r="F63" s="5">
        <f t="shared" ca="1" si="1"/>
        <v>0</v>
      </c>
    </row>
    <row r="64" spans="1:6" x14ac:dyDescent="0.3">
      <c r="A64" s="23">
        <v>4783</v>
      </c>
      <c r="B64" s="24" t="s">
        <v>1559</v>
      </c>
      <c r="C64" s="23" t="s">
        <v>1503</v>
      </c>
      <c r="D64" s="23">
        <f ca="1">SUMIF(CPU!M:M,A64,CPU!R:R)+SUMIF(CPUAUX1!M:M,A64,CPUAUX1!R:R)+SUMIF(CPUAUX2!M:M,A64,CPUAUX2!R:R)+SUMIF(CPUAUX3!M:M,A64,CPUAUX3!R:R)+SUMIF(CPUAUX4!M:M,A64,CPUAUX4!R:R)+SUMIF(CPUAUX5!M:M,A64,CPUAUX5!R:R)</f>
        <v>36.81919464448</v>
      </c>
      <c r="E64" s="5"/>
      <c r="F64" s="5">
        <f t="shared" ca="1" si="1"/>
        <v>0</v>
      </c>
    </row>
    <row r="65" spans="1:6" x14ac:dyDescent="0.3">
      <c r="A65" s="23">
        <v>37373</v>
      </c>
      <c r="B65" s="24" t="s">
        <v>1560</v>
      </c>
      <c r="C65" s="23" t="s">
        <v>1503</v>
      </c>
      <c r="D65" s="23">
        <f ca="1">SUMIF(CPU!M:M,A65,CPU!R:R)+SUMIF(CPUAUX1!M:M,A65,CPUAUX1!R:R)+SUMIF(CPUAUX2!M:M,A65,CPUAUX2!R:R)+SUMIF(CPUAUX3!M:M,A65,CPUAUX3!R:R)+SUMIF(CPUAUX4!M:M,A65,CPUAUX4!R:R)+SUMIF(CPUAUX5!M:M,A65,CPUAUX5!R:R)</f>
        <v>2838.5198123132009</v>
      </c>
      <c r="E65" s="5"/>
      <c r="F65" s="5">
        <f t="shared" ca="1" si="1"/>
        <v>0</v>
      </c>
    </row>
    <row r="66" spans="1:6" x14ac:dyDescent="0.3">
      <c r="A66" s="23" t="s">
        <v>1066</v>
      </c>
      <c r="B66" s="24" t="s">
        <v>1561</v>
      </c>
      <c r="C66" s="23" t="s">
        <v>1503</v>
      </c>
      <c r="D66" s="23">
        <f ca="1">SUMIF(CPU!M:M,A66,CPU!R:R)+SUMIF(CPUAUX1!M:M,A66,CPUAUX1!R:R)+SUMIF(CPUAUX2!M:M,A66,CPUAUX2!R:R)+SUMIF(CPUAUX3!M:M,A66,CPUAUX3!R:R)+SUMIF(CPUAUX4!M:M,A66,CPUAUX4!R:R)+SUMIF(CPUAUX5!M:M,A66,CPUAUX5!R:R)</f>
        <v>6.12</v>
      </c>
      <c r="E66" s="5"/>
      <c r="F66" s="5">
        <f t="shared" ca="1" si="1"/>
        <v>0</v>
      </c>
    </row>
    <row r="67" spans="1:6" x14ac:dyDescent="0.3">
      <c r="A67" s="23">
        <v>6111</v>
      </c>
      <c r="B67" s="24" t="s">
        <v>1562</v>
      </c>
      <c r="C67" s="23" t="s">
        <v>1503</v>
      </c>
      <c r="D67" s="23">
        <f ca="1">SUMIF(CPU!M:M,A67,CPU!R:R)+SUMIF(CPUAUX1!M:M,A67,CPUAUX1!R:R)+SUMIF(CPUAUX2!M:M,A67,CPUAUX2!R:R)+SUMIF(CPUAUX3!M:M,A67,CPUAUX3!R:R)+SUMIF(CPUAUX4!M:M,A67,CPUAUX4!R:R)+SUMIF(CPUAUX5!M:M,A67,CPUAUX5!R:R)</f>
        <v>1464.7486400395685</v>
      </c>
      <c r="E67" s="5"/>
      <c r="F67" s="5">
        <f t="shared" ca="1" si="1"/>
        <v>0</v>
      </c>
    </row>
    <row r="68" spans="1:6" x14ac:dyDescent="0.3">
      <c r="A68" s="23">
        <v>12869</v>
      </c>
      <c r="B68" s="24" t="s">
        <v>1563</v>
      </c>
      <c r="C68" s="23" t="s">
        <v>1503</v>
      </c>
      <c r="D68" s="23">
        <f ca="1">SUMIF(CPU!M:M,A68,CPU!R:R)+SUMIF(CPUAUX1!M:M,A68,CPUAUX1!R:R)+SUMIF(CPUAUX2!M:M,A68,CPUAUX2!R:R)+SUMIF(CPUAUX3!M:M,A68,CPUAUX3!R:R)+SUMIF(CPUAUX4!M:M,A68,CPUAUX4!R:R)+SUMIF(CPUAUX5!M:M,A68,CPUAUX5!R:R)</f>
        <v>2.7525824172000002</v>
      </c>
      <c r="E68" s="5"/>
      <c r="F68" s="5">
        <f t="shared" ca="1" si="1"/>
        <v>0</v>
      </c>
    </row>
    <row r="69" spans="1:6" x14ac:dyDescent="0.3">
      <c r="A69" s="23">
        <v>37371</v>
      </c>
      <c r="B69" s="24" t="s">
        <v>1564</v>
      </c>
      <c r="C69" s="23" t="s">
        <v>1503</v>
      </c>
      <c r="D69" s="23">
        <f ca="1">SUMIF(CPU!M:M,A69,CPU!R:R)+SUMIF(CPUAUX1!M:M,A69,CPUAUX1!R:R)+SUMIF(CPUAUX2!M:M,A69,CPUAUX2!R:R)+SUMIF(CPUAUX3!M:M,A69,CPUAUX3!R:R)+SUMIF(CPUAUX4!M:M,A69,CPUAUX4!R:R)+SUMIF(CPUAUX5!M:M,A69,CPUAUX5!R:R)</f>
        <v>2513.7198123132007</v>
      </c>
      <c r="E69" s="5"/>
      <c r="F69" s="5">
        <f t="shared" ca="1" si="1"/>
        <v>0</v>
      </c>
    </row>
    <row r="70" spans="1:6" x14ac:dyDescent="0.3">
      <c r="A70" s="23" t="s">
        <v>1026</v>
      </c>
      <c r="B70" s="24" t="s">
        <v>1565</v>
      </c>
      <c r="C70" s="23" t="s">
        <v>1503</v>
      </c>
      <c r="D70" s="23">
        <f ca="1">SUMIF(CPU!M:M,A70,CPU!R:R)+SUMIF(CPUAUX1!M:M,A70,CPUAUX1!R:R)+SUMIF(CPUAUX2!M:M,A70,CPUAUX2!R:R)+SUMIF(CPUAUX3!M:M,A70,CPUAUX3!R:R)+SUMIF(CPUAUX4!M:M,A70,CPUAUX4!R:R)+SUMIF(CPUAUX5!M:M,A70,CPUAUX5!R:R)</f>
        <v>148.80000000000001</v>
      </c>
      <c r="E70" s="5"/>
      <c r="F70" s="5">
        <f t="shared" ca="1" si="1"/>
        <v>0</v>
      </c>
    </row>
    <row r="71" spans="1:6" x14ac:dyDescent="0.3">
      <c r="A71" s="34" t="s">
        <v>128</v>
      </c>
      <c r="B71" s="36"/>
      <c r="C71" s="36"/>
      <c r="D71" s="36"/>
      <c r="E71" s="35"/>
      <c r="F71" s="18">
        <f ca="1">SUBTOTAL(9,F7:F70)</f>
        <v>0</v>
      </c>
    </row>
  </sheetData>
  <autoFilter ref="A6:F70" xr:uid="{812D472E-1F94-41C4-967F-444A0695D065}"/>
  <mergeCells count="5">
    <mergeCell ref="A1:F1"/>
    <mergeCell ref="A2:F2"/>
    <mergeCell ref="A3:F3"/>
    <mergeCell ref="B5:F5"/>
    <mergeCell ref="A71:E71"/>
  </mergeCells>
  <pageMargins left="0.78740157480314965" right="0.39370078740157483" top="1.1811023622047243" bottom="0.78740157480314965" header="0.31496062992125984" footer="0.31496062992125984"/>
  <pageSetup paperSize="9" fitToHeight="0"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537068-8E58-420E-9A4A-C647A3AB5455}">
  <sheetPr>
    <tabColor indexed="10"/>
    <pageSetUpPr fitToPage="1"/>
  </sheetPr>
  <dimension ref="A1:G226"/>
  <sheetViews>
    <sheetView showGridLines="0" topLeftCell="A197" workbookViewId="0">
      <selection activeCell="C199" sqref="C199"/>
    </sheetView>
  </sheetViews>
  <sheetFormatPr defaultRowHeight="14.4" x14ac:dyDescent="0.3"/>
  <cols>
    <col min="1" max="2" width="12" bestFit="1" customWidth="1"/>
    <col min="3" max="3" width="74.109375" bestFit="1" customWidth="1"/>
    <col min="4" max="7" width="15.77734375" bestFit="1" customWidth="1"/>
    <col min="8" max="10" width="14.77734375" bestFit="1" customWidth="1"/>
  </cols>
  <sheetData>
    <row r="1" spans="1:7" x14ac:dyDescent="0.3">
      <c r="A1" s="33" t="str">
        <f>CIDADE</f>
        <v>MUNICÍPIO DE LAGOA DO PIAUI - PI</v>
      </c>
      <c r="B1" s="33"/>
      <c r="C1" s="33"/>
      <c r="D1" s="33"/>
      <c r="E1" s="33"/>
      <c r="F1" s="33"/>
      <c r="G1" s="33"/>
    </row>
    <row r="2" spans="1:7" x14ac:dyDescent="0.3">
      <c r="A2" s="33" t="str">
        <f>OBRA</f>
        <v>IMPLANTAÇÃO DE 5 (CINCO) SISTEMAS SIMPLIFICADOS DE ABASTECIMENTO DE ÁGUA ZONA RURAL DO MUNICÍPIO DE LAGOA DO PIAUÍ-PI</v>
      </c>
      <c r="B2" s="33"/>
      <c r="C2" s="33"/>
      <c r="D2" s="33"/>
      <c r="E2" s="33"/>
      <c r="F2" s="33"/>
      <c r="G2" s="33"/>
    </row>
    <row r="3" spans="1:7" x14ac:dyDescent="0.3">
      <c r="A3" s="33" t="s">
        <v>1566</v>
      </c>
      <c r="B3" s="33"/>
      <c r="C3" s="33"/>
      <c r="D3" s="33"/>
      <c r="E3" s="33"/>
      <c r="F3" s="33"/>
      <c r="G3" s="33"/>
    </row>
    <row r="5" spans="1:7" x14ac:dyDescent="0.3">
      <c r="A5" s="1" t="s">
        <v>3</v>
      </c>
      <c r="B5" s="7" t="str">
        <f>FONTE&amp;FOLHA</f>
        <v>SINAPI PI 06/2025, SEINFRA CE 28, ORSE SE 05/2025, SEM DESONERAÇÃO</v>
      </c>
      <c r="C5" s="3"/>
      <c r="D5" s="1" t="s">
        <v>10</v>
      </c>
      <c r="E5" s="8">
        <f>LEI</f>
        <v>113.33</v>
      </c>
      <c r="F5" s="1" t="s">
        <v>19</v>
      </c>
      <c r="G5" s="8">
        <f>BDI</f>
        <v>24.84</v>
      </c>
    </row>
    <row r="6" spans="1:7" x14ac:dyDescent="0.3">
      <c r="A6" s="4" t="s">
        <v>138</v>
      </c>
      <c r="B6" s="4" t="s">
        <v>139</v>
      </c>
      <c r="C6" s="4" t="s">
        <v>21</v>
      </c>
      <c r="D6" s="4" t="s">
        <v>140</v>
      </c>
      <c r="E6" s="4" t="s">
        <v>1567</v>
      </c>
      <c r="F6" s="4" t="s">
        <v>1568</v>
      </c>
      <c r="G6" s="4" t="s">
        <v>1569</v>
      </c>
    </row>
    <row r="7" spans="1:7" ht="28.8" x14ac:dyDescent="0.3">
      <c r="A7" s="23" t="s">
        <v>587</v>
      </c>
      <c r="B7" s="23" t="s">
        <v>1570</v>
      </c>
      <c r="C7" s="24" t="s">
        <v>1571</v>
      </c>
      <c r="D7" s="23" t="s">
        <v>1572</v>
      </c>
      <c r="E7" s="5">
        <f t="shared" ref="E7:E70" si="0">IF(FOLHA="COM DESONERAÇÃO",F7,G7)</f>
        <v>0</v>
      </c>
      <c r="F7" s="5">
        <v>0</v>
      </c>
      <c r="G7" s="5">
        <v>0</v>
      </c>
    </row>
    <row r="8" spans="1:7" ht="28.8" x14ac:dyDescent="0.3">
      <c r="A8" s="23" t="s">
        <v>671</v>
      </c>
      <c r="B8" s="23" t="s">
        <v>1570</v>
      </c>
      <c r="C8" s="24" t="s">
        <v>1573</v>
      </c>
      <c r="D8" s="23" t="s">
        <v>1278</v>
      </c>
      <c r="E8" s="5">
        <f t="shared" si="0"/>
        <v>0</v>
      </c>
      <c r="F8" s="5">
        <v>0</v>
      </c>
      <c r="G8" s="5">
        <v>0</v>
      </c>
    </row>
    <row r="9" spans="1:7" x14ac:dyDescent="0.3">
      <c r="A9" s="23" t="s">
        <v>514</v>
      </c>
      <c r="B9" s="23" t="s">
        <v>1570</v>
      </c>
      <c r="C9" s="24" t="s">
        <v>1574</v>
      </c>
      <c r="D9" s="23" t="s">
        <v>1575</v>
      </c>
      <c r="E9" s="5">
        <f t="shared" si="0"/>
        <v>0</v>
      </c>
      <c r="F9" s="5">
        <v>0</v>
      </c>
      <c r="G9" s="5">
        <v>0</v>
      </c>
    </row>
    <row r="10" spans="1:7" x14ac:dyDescent="0.3">
      <c r="A10" s="23">
        <v>88238</v>
      </c>
      <c r="B10" s="23" t="s">
        <v>1576</v>
      </c>
      <c r="C10" s="24" t="s">
        <v>1577</v>
      </c>
      <c r="D10" s="23" t="s">
        <v>1503</v>
      </c>
      <c r="E10" s="5">
        <f t="shared" si="0"/>
        <v>22.37</v>
      </c>
      <c r="F10" s="5">
        <v>20.7</v>
      </c>
      <c r="G10" s="5">
        <v>22.37</v>
      </c>
    </row>
    <row r="11" spans="1:7" x14ac:dyDescent="0.3">
      <c r="A11" s="23">
        <v>88239</v>
      </c>
      <c r="B11" s="23" t="s">
        <v>1576</v>
      </c>
      <c r="C11" s="24" t="s">
        <v>1578</v>
      </c>
      <c r="D11" s="23" t="s">
        <v>1503</v>
      </c>
      <c r="E11" s="5">
        <f t="shared" si="0"/>
        <v>22.2</v>
      </c>
      <c r="F11" s="5">
        <v>20.52</v>
      </c>
      <c r="G11" s="5">
        <v>22.2</v>
      </c>
    </row>
    <row r="12" spans="1:7" x14ac:dyDescent="0.3">
      <c r="A12" s="23">
        <v>88242</v>
      </c>
      <c r="B12" s="23" t="s">
        <v>1576</v>
      </c>
      <c r="C12" s="24" t="s">
        <v>1579</v>
      </c>
      <c r="D12" s="23" t="s">
        <v>1503</v>
      </c>
      <c r="E12" s="5">
        <f t="shared" si="0"/>
        <v>22.42</v>
      </c>
      <c r="F12" s="5">
        <v>20.74</v>
      </c>
      <c r="G12" s="5">
        <v>22.42</v>
      </c>
    </row>
    <row r="13" spans="1:7" x14ac:dyDescent="0.3">
      <c r="A13" s="23">
        <v>90766</v>
      </c>
      <c r="B13" s="23" t="s">
        <v>1576</v>
      </c>
      <c r="C13" s="24" t="s">
        <v>1580</v>
      </c>
      <c r="D13" s="23" t="s">
        <v>1503</v>
      </c>
      <c r="E13" s="5">
        <f t="shared" si="0"/>
        <v>22.81</v>
      </c>
      <c r="F13" s="5">
        <v>20.63</v>
      </c>
      <c r="G13" s="5">
        <v>22.81</v>
      </c>
    </row>
    <row r="14" spans="1:7" ht="43.2" x14ac:dyDescent="0.3">
      <c r="A14" s="23">
        <v>101161</v>
      </c>
      <c r="B14" s="23" t="s">
        <v>1576</v>
      </c>
      <c r="C14" s="24" t="s">
        <v>1581</v>
      </c>
      <c r="D14" s="23" t="s">
        <v>1334</v>
      </c>
      <c r="E14" s="5">
        <f t="shared" si="0"/>
        <v>204.43</v>
      </c>
      <c r="F14" s="5">
        <v>198.15</v>
      </c>
      <c r="G14" s="5">
        <v>204.43</v>
      </c>
    </row>
    <row r="15" spans="1:7" ht="43.2" x14ac:dyDescent="0.3">
      <c r="A15" s="23">
        <v>103335</v>
      </c>
      <c r="B15" s="23" t="s">
        <v>1576</v>
      </c>
      <c r="C15" s="24" t="s">
        <v>1582</v>
      </c>
      <c r="D15" s="23" t="s">
        <v>1334</v>
      </c>
      <c r="E15" s="5">
        <f t="shared" si="0"/>
        <v>146.51</v>
      </c>
      <c r="F15" s="5">
        <v>139.16999999999999</v>
      </c>
      <c r="G15" s="5">
        <v>146.51</v>
      </c>
    </row>
    <row r="16" spans="1:7" ht="43.2" x14ac:dyDescent="0.3">
      <c r="A16" s="23">
        <v>103329</v>
      </c>
      <c r="B16" s="23" t="s">
        <v>1576</v>
      </c>
      <c r="C16" s="24" t="s">
        <v>1583</v>
      </c>
      <c r="D16" s="23" t="s">
        <v>1334</v>
      </c>
      <c r="E16" s="5">
        <f t="shared" si="0"/>
        <v>95.08</v>
      </c>
      <c r="F16" s="5">
        <v>90.05</v>
      </c>
      <c r="G16" s="5">
        <v>95.08</v>
      </c>
    </row>
    <row r="17" spans="1:7" x14ac:dyDescent="0.3">
      <c r="A17" s="23" t="s">
        <v>551</v>
      </c>
      <c r="B17" s="23" t="s">
        <v>1570</v>
      </c>
      <c r="C17" s="24" t="s">
        <v>1584</v>
      </c>
      <c r="D17" s="23" t="s">
        <v>1278</v>
      </c>
      <c r="E17" s="5">
        <f t="shared" si="0"/>
        <v>0</v>
      </c>
      <c r="F17" s="5">
        <v>0</v>
      </c>
      <c r="G17" s="5">
        <v>0</v>
      </c>
    </row>
    <row r="18" spans="1:7" x14ac:dyDescent="0.3">
      <c r="A18" s="23" t="s">
        <v>1043</v>
      </c>
      <c r="B18" s="23" t="s">
        <v>1585</v>
      </c>
      <c r="C18" s="24" t="s">
        <v>1584</v>
      </c>
      <c r="D18" s="23" t="s">
        <v>1278</v>
      </c>
      <c r="E18" s="5">
        <f t="shared" si="0"/>
        <v>565.21</v>
      </c>
      <c r="F18" s="5">
        <v>565.21</v>
      </c>
      <c r="G18" s="5">
        <v>565.21</v>
      </c>
    </row>
    <row r="19" spans="1:7" ht="28.8" x14ac:dyDescent="0.3">
      <c r="A19" s="23" t="s">
        <v>645</v>
      </c>
      <c r="B19" s="23" t="s">
        <v>1570</v>
      </c>
      <c r="C19" s="24" t="s">
        <v>1586</v>
      </c>
      <c r="D19" s="23" t="s">
        <v>1296</v>
      </c>
      <c r="E19" s="5">
        <f t="shared" si="0"/>
        <v>0</v>
      </c>
      <c r="F19" s="5">
        <v>0</v>
      </c>
      <c r="G19" s="5">
        <v>0</v>
      </c>
    </row>
    <row r="20" spans="1:7" x14ac:dyDescent="0.3">
      <c r="A20" s="23" t="s">
        <v>568</v>
      </c>
      <c r="B20" s="23" t="s">
        <v>1570</v>
      </c>
      <c r="C20" s="24" t="s">
        <v>1587</v>
      </c>
      <c r="D20" s="23" t="s">
        <v>1342</v>
      </c>
      <c r="E20" s="5">
        <f t="shared" si="0"/>
        <v>0</v>
      </c>
      <c r="F20" s="5">
        <v>0</v>
      </c>
      <c r="G20" s="5">
        <v>0</v>
      </c>
    </row>
    <row r="21" spans="1:7" ht="28.8" x14ac:dyDescent="0.3">
      <c r="A21" s="23">
        <v>88627</v>
      </c>
      <c r="B21" s="23" t="s">
        <v>1576</v>
      </c>
      <c r="C21" s="24" t="s">
        <v>1588</v>
      </c>
      <c r="D21" s="23" t="s">
        <v>1301</v>
      </c>
      <c r="E21" s="5">
        <f t="shared" si="0"/>
        <v>731.16</v>
      </c>
      <c r="F21" s="5">
        <v>717.02</v>
      </c>
      <c r="G21" s="5">
        <v>731.16</v>
      </c>
    </row>
    <row r="22" spans="1:7" ht="43.2" x14ac:dyDescent="0.3">
      <c r="A22" s="23">
        <v>87367</v>
      </c>
      <c r="B22" s="23" t="s">
        <v>1576</v>
      </c>
      <c r="C22" s="24" t="s">
        <v>1589</v>
      </c>
      <c r="D22" s="23" t="s">
        <v>1301</v>
      </c>
      <c r="E22" s="5">
        <f t="shared" si="0"/>
        <v>760.22</v>
      </c>
      <c r="F22" s="5">
        <v>742.14</v>
      </c>
      <c r="G22" s="5">
        <v>760.22</v>
      </c>
    </row>
    <row r="23" spans="1:7" ht="43.2" x14ac:dyDescent="0.3">
      <c r="A23" s="23">
        <v>87369</v>
      </c>
      <c r="B23" s="23" t="s">
        <v>1576</v>
      </c>
      <c r="C23" s="24" t="s">
        <v>1590</v>
      </c>
      <c r="D23" s="23" t="s">
        <v>1301</v>
      </c>
      <c r="E23" s="5">
        <f t="shared" si="0"/>
        <v>754</v>
      </c>
      <c r="F23" s="5">
        <v>736.13</v>
      </c>
      <c r="G23" s="5">
        <v>754</v>
      </c>
    </row>
    <row r="24" spans="1:7" ht="28.8" x14ac:dyDescent="0.3">
      <c r="A24" s="23">
        <v>87377</v>
      </c>
      <c r="B24" s="23" t="s">
        <v>1576</v>
      </c>
      <c r="C24" s="24" t="s">
        <v>1591</v>
      </c>
      <c r="D24" s="23" t="s">
        <v>1301</v>
      </c>
      <c r="E24" s="5">
        <f t="shared" si="0"/>
        <v>752.33</v>
      </c>
      <c r="F24" s="5">
        <v>734.59</v>
      </c>
      <c r="G24" s="5">
        <v>752.33</v>
      </c>
    </row>
    <row r="25" spans="1:7" ht="28.8" x14ac:dyDescent="0.3">
      <c r="A25" s="23">
        <v>87298</v>
      </c>
      <c r="B25" s="23" t="s">
        <v>1576</v>
      </c>
      <c r="C25" s="24" t="s">
        <v>1592</v>
      </c>
      <c r="D25" s="23" t="s">
        <v>1301</v>
      </c>
      <c r="E25" s="5">
        <f t="shared" si="0"/>
        <v>818.06</v>
      </c>
      <c r="F25" s="5">
        <v>807.85</v>
      </c>
      <c r="G25" s="5">
        <v>818.06</v>
      </c>
    </row>
    <row r="26" spans="1:7" ht="28.8" x14ac:dyDescent="0.3">
      <c r="A26" s="23">
        <v>88629</v>
      </c>
      <c r="B26" s="23" t="s">
        <v>1576</v>
      </c>
      <c r="C26" s="24" t="s">
        <v>1593</v>
      </c>
      <c r="D26" s="23" t="s">
        <v>1301</v>
      </c>
      <c r="E26" s="5">
        <f t="shared" si="0"/>
        <v>770.66</v>
      </c>
      <c r="F26" s="5">
        <v>756.86</v>
      </c>
      <c r="G26" s="5">
        <v>770.66</v>
      </c>
    </row>
    <row r="27" spans="1:7" ht="28.8" x14ac:dyDescent="0.3">
      <c r="A27" s="23">
        <v>88628</v>
      </c>
      <c r="B27" s="23" t="s">
        <v>1576</v>
      </c>
      <c r="C27" s="24" t="s">
        <v>1594</v>
      </c>
      <c r="D27" s="23" t="s">
        <v>1301</v>
      </c>
      <c r="E27" s="5">
        <f t="shared" si="0"/>
        <v>681.15</v>
      </c>
      <c r="F27" s="5">
        <v>673.25</v>
      </c>
      <c r="G27" s="5">
        <v>681.15</v>
      </c>
    </row>
    <row r="28" spans="1:7" ht="28.8" x14ac:dyDescent="0.3">
      <c r="A28" s="23">
        <v>100489</v>
      </c>
      <c r="B28" s="23" t="s">
        <v>1576</v>
      </c>
      <c r="C28" s="24" t="s">
        <v>1595</v>
      </c>
      <c r="D28" s="23" t="s">
        <v>1301</v>
      </c>
      <c r="E28" s="5">
        <f t="shared" si="0"/>
        <v>675.34</v>
      </c>
      <c r="F28" s="5">
        <v>668.5</v>
      </c>
      <c r="G28" s="5">
        <v>675.34</v>
      </c>
    </row>
    <row r="29" spans="1:7" x14ac:dyDescent="0.3">
      <c r="A29" s="23">
        <v>88245</v>
      </c>
      <c r="B29" s="23" t="s">
        <v>1576</v>
      </c>
      <c r="C29" s="24" t="s">
        <v>1596</v>
      </c>
      <c r="D29" s="23" t="s">
        <v>1503</v>
      </c>
      <c r="E29" s="5">
        <f t="shared" si="0"/>
        <v>27.19</v>
      </c>
      <c r="F29" s="5">
        <v>24.99</v>
      </c>
      <c r="G29" s="5">
        <v>27.19</v>
      </c>
    </row>
    <row r="30" spans="1:7" x14ac:dyDescent="0.3">
      <c r="A30" s="23">
        <v>96546</v>
      </c>
      <c r="B30" s="23" t="s">
        <v>1576</v>
      </c>
      <c r="C30" s="24" t="s">
        <v>1597</v>
      </c>
      <c r="D30" s="23" t="s">
        <v>1280</v>
      </c>
      <c r="E30" s="5">
        <f t="shared" si="0"/>
        <v>13.98</v>
      </c>
      <c r="F30" s="5">
        <v>13.62</v>
      </c>
      <c r="G30" s="5">
        <v>13.98</v>
      </c>
    </row>
    <row r="31" spans="1:7" x14ac:dyDescent="0.3">
      <c r="A31" s="23">
        <v>96544</v>
      </c>
      <c r="B31" s="23" t="s">
        <v>1576</v>
      </c>
      <c r="C31" s="24" t="s">
        <v>1598</v>
      </c>
      <c r="D31" s="23" t="s">
        <v>1280</v>
      </c>
      <c r="E31" s="5">
        <f t="shared" si="0"/>
        <v>17.760000000000002</v>
      </c>
      <c r="F31" s="5">
        <v>17.13</v>
      </c>
      <c r="G31" s="5">
        <v>17.760000000000002</v>
      </c>
    </row>
    <row r="32" spans="1:7" x14ac:dyDescent="0.3">
      <c r="A32" s="23">
        <v>96545</v>
      </c>
      <c r="B32" s="23" t="s">
        <v>1576</v>
      </c>
      <c r="C32" s="24" t="s">
        <v>1599</v>
      </c>
      <c r="D32" s="23" t="s">
        <v>1280</v>
      </c>
      <c r="E32" s="5">
        <f t="shared" si="0"/>
        <v>16</v>
      </c>
      <c r="F32" s="5">
        <v>15.53</v>
      </c>
      <c r="G32" s="5">
        <v>16</v>
      </c>
    </row>
    <row r="33" spans="1:7" x14ac:dyDescent="0.3">
      <c r="A33" s="23">
        <v>96543</v>
      </c>
      <c r="B33" s="23" t="s">
        <v>1576</v>
      </c>
      <c r="C33" s="24" t="s">
        <v>1600</v>
      </c>
      <c r="D33" s="23" t="s">
        <v>1280</v>
      </c>
      <c r="E33" s="5">
        <f t="shared" si="0"/>
        <v>19.75</v>
      </c>
      <c r="F33" s="5">
        <v>18.89</v>
      </c>
      <c r="G33" s="5">
        <v>19.75</v>
      </c>
    </row>
    <row r="34" spans="1:7" ht="28.8" x14ac:dyDescent="0.3">
      <c r="A34" s="23">
        <v>104920</v>
      </c>
      <c r="B34" s="23" t="s">
        <v>1576</v>
      </c>
      <c r="C34" s="24" t="s">
        <v>1601</v>
      </c>
      <c r="D34" s="23" t="s">
        <v>1280</v>
      </c>
      <c r="E34" s="5">
        <f t="shared" si="0"/>
        <v>10.79</v>
      </c>
      <c r="F34" s="5">
        <v>10.58</v>
      </c>
      <c r="G34" s="5">
        <v>10.79</v>
      </c>
    </row>
    <row r="35" spans="1:7" ht="28.8" x14ac:dyDescent="0.3">
      <c r="A35" s="23">
        <v>92762</v>
      </c>
      <c r="B35" s="23" t="s">
        <v>1576</v>
      </c>
      <c r="C35" s="24" t="s">
        <v>1602</v>
      </c>
      <c r="D35" s="23" t="s">
        <v>1280</v>
      </c>
      <c r="E35" s="5">
        <f t="shared" si="0"/>
        <v>11.06</v>
      </c>
      <c r="F35" s="5">
        <v>10.93</v>
      </c>
      <c r="G35" s="5">
        <v>11.06</v>
      </c>
    </row>
    <row r="36" spans="1:7" ht="28.8" x14ac:dyDescent="0.3">
      <c r="A36" s="23">
        <v>92763</v>
      </c>
      <c r="B36" s="23" t="s">
        <v>1576</v>
      </c>
      <c r="C36" s="24" t="s">
        <v>1603</v>
      </c>
      <c r="D36" s="23" t="s">
        <v>1280</v>
      </c>
      <c r="E36" s="5">
        <f t="shared" si="0"/>
        <v>9.3000000000000007</v>
      </c>
      <c r="F36" s="5">
        <v>9.2200000000000006</v>
      </c>
      <c r="G36" s="5">
        <v>9.3000000000000007</v>
      </c>
    </row>
    <row r="37" spans="1:7" ht="28.8" x14ac:dyDescent="0.3">
      <c r="A37" s="23">
        <v>92764</v>
      </c>
      <c r="B37" s="23" t="s">
        <v>1576</v>
      </c>
      <c r="C37" s="24" t="s">
        <v>1604</v>
      </c>
      <c r="D37" s="23" t="s">
        <v>1280</v>
      </c>
      <c r="E37" s="5">
        <f t="shared" si="0"/>
        <v>8.99</v>
      </c>
      <c r="F37" s="5">
        <v>8.94</v>
      </c>
      <c r="G37" s="5">
        <v>8.99</v>
      </c>
    </row>
    <row r="38" spans="1:7" ht="28.8" x14ac:dyDescent="0.3">
      <c r="A38" s="23">
        <v>92765</v>
      </c>
      <c r="B38" s="23" t="s">
        <v>1576</v>
      </c>
      <c r="C38" s="24" t="s">
        <v>1605</v>
      </c>
      <c r="D38" s="23" t="s">
        <v>1280</v>
      </c>
      <c r="E38" s="5">
        <f t="shared" si="0"/>
        <v>10.23</v>
      </c>
      <c r="F38" s="5">
        <v>10.19</v>
      </c>
      <c r="G38" s="5">
        <v>10.23</v>
      </c>
    </row>
    <row r="39" spans="1:7" ht="28.8" x14ac:dyDescent="0.3">
      <c r="A39" s="23">
        <v>92760</v>
      </c>
      <c r="B39" s="23" t="s">
        <v>1576</v>
      </c>
      <c r="C39" s="24" t="s">
        <v>1606</v>
      </c>
      <c r="D39" s="23" t="s">
        <v>1280</v>
      </c>
      <c r="E39" s="5">
        <f t="shared" si="0"/>
        <v>13.22</v>
      </c>
      <c r="F39" s="5">
        <v>12.95</v>
      </c>
      <c r="G39" s="5">
        <v>13.22</v>
      </c>
    </row>
    <row r="40" spans="1:7" ht="28.8" x14ac:dyDescent="0.3">
      <c r="A40" s="23">
        <v>92761</v>
      </c>
      <c r="B40" s="23" t="s">
        <v>1576</v>
      </c>
      <c r="C40" s="24" t="s">
        <v>1607</v>
      </c>
      <c r="D40" s="23" t="s">
        <v>1280</v>
      </c>
      <c r="E40" s="5">
        <f t="shared" si="0"/>
        <v>12.41</v>
      </c>
      <c r="F40" s="5">
        <v>12.24</v>
      </c>
      <c r="G40" s="5">
        <v>12.41</v>
      </c>
    </row>
    <row r="41" spans="1:7" ht="28.8" x14ac:dyDescent="0.3">
      <c r="A41" s="23">
        <v>92759</v>
      </c>
      <c r="B41" s="23" t="s">
        <v>1576</v>
      </c>
      <c r="C41" s="24" t="s">
        <v>1608</v>
      </c>
      <c r="D41" s="23" t="s">
        <v>1280</v>
      </c>
      <c r="E41" s="5">
        <f t="shared" si="0"/>
        <v>14.04</v>
      </c>
      <c r="F41" s="5">
        <v>13.64</v>
      </c>
      <c r="G41" s="5">
        <v>14.04</v>
      </c>
    </row>
    <row r="42" spans="1:7" x14ac:dyDescent="0.3">
      <c r="A42" s="23">
        <v>88246</v>
      </c>
      <c r="B42" s="23" t="s">
        <v>1576</v>
      </c>
      <c r="C42" s="24" t="s">
        <v>1609</v>
      </c>
      <c r="D42" s="23" t="s">
        <v>1503</v>
      </c>
      <c r="E42" s="5">
        <f t="shared" si="0"/>
        <v>19.63</v>
      </c>
      <c r="F42" s="5">
        <v>18.12</v>
      </c>
      <c r="G42" s="5">
        <v>19.63</v>
      </c>
    </row>
    <row r="43" spans="1:7" x14ac:dyDescent="0.3">
      <c r="A43" s="23">
        <v>88247</v>
      </c>
      <c r="B43" s="23" t="s">
        <v>1576</v>
      </c>
      <c r="C43" s="24" t="s">
        <v>1610</v>
      </c>
      <c r="D43" s="23" t="s">
        <v>1503</v>
      </c>
      <c r="E43" s="5">
        <f t="shared" si="0"/>
        <v>22.81</v>
      </c>
      <c r="F43" s="5">
        <v>21.08</v>
      </c>
      <c r="G43" s="5">
        <v>22.81</v>
      </c>
    </row>
    <row r="44" spans="1:7" ht="28.8" x14ac:dyDescent="0.3">
      <c r="A44" s="23">
        <v>88248</v>
      </c>
      <c r="B44" s="23" t="s">
        <v>1576</v>
      </c>
      <c r="C44" s="24" t="s">
        <v>1611</v>
      </c>
      <c r="D44" s="23" t="s">
        <v>1503</v>
      </c>
      <c r="E44" s="5">
        <f t="shared" si="0"/>
        <v>21.82</v>
      </c>
      <c r="F44" s="5">
        <v>20.14</v>
      </c>
      <c r="G44" s="5">
        <v>21.82</v>
      </c>
    </row>
    <row r="45" spans="1:7" x14ac:dyDescent="0.3">
      <c r="A45" s="23">
        <v>88250</v>
      </c>
      <c r="B45" s="23" t="s">
        <v>1576</v>
      </c>
      <c r="C45" s="24" t="s">
        <v>1612</v>
      </c>
      <c r="D45" s="23" t="s">
        <v>1503</v>
      </c>
      <c r="E45" s="5">
        <f t="shared" si="0"/>
        <v>21.18</v>
      </c>
      <c r="F45" s="5">
        <v>19.510000000000002</v>
      </c>
      <c r="G45" s="5">
        <v>21.18</v>
      </c>
    </row>
    <row r="46" spans="1:7" x14ac:dyDescent="0.3">
      <c r="A46" s="23">
        <v>88255</v>
      </c>
      <c r="B46" s="23" t="s">
        <v>1576</v>
      </c>
      <c r="C46" s="24" t="s">
        <v>1613</v>
      </c>
      <c r="D46" s="23" t="s">
        <v>1503</v>
      </c>
      <c r="E46" s="5">
        <f t="shared" si="0"/>
        <v>26.54</v>
      </c>
      <c r="F46" s="5">
        <v>23.96</v>
      </c>
      <c r="G46" s="5">
        <v>26.54</v>
      </c>
    </row>
    <row r="47" spans="1:7" ht="43.2" x14ac:dyDescent="0.3">
      <c r="A47" s="23" t="s">
        <v>1089</v>
      </c>
      <c r="B47" s="23" t="s">
        <v>1585</v>
      </c>
      <c r="C47" s="24" t="s">
        <v>1614</v>
      </c>
      <c r="D47" s="23" t="s">
        <v>1280</v>
      </c>
      <c r="E47" s="5">
        <f t="shared" si="0"/>
        <v>13.24</v>
      </c>
      <c r="F47" s="5">
        <v>13.24</v>
      </c>
      <c r="G47" s="5">
        <v>13.24</v>
      </c>
    </row>
    <row r="48" spans="1:7" x14ac:dyDescent="0.3">
      <c r="A48" s="23" t="s">
        <v>566</v>
      </c>
      <c r="B48" s="23" t="s">
        <v>1570</v>
      </c>
      <c r="C48" s="24" t="s">
        <v>1615</v>
      </c>
      <c r="D48" s="23" t="s">
        <v>1278</v>
      </c>
      <c r="E48" s="5">
        <f t="shared" si="0"/>
        <v>0</v>
      </c>
      <c r="F48" s="5">
        <v>0</v>
      </c>
      <c r="G48" s="5">
        <v>0</v>
      </c>
    </row>
    <row r="49" spans="1:7" ht="28.8" x14ac:dyDescent="0.3">
      <c r="A49" s="23">
        <v>88831</v>
      </c>
      <c r="B49" s="23" t="s">
        <v>1576</v>
      </c>
      <c r="C49" s="24" t="s">
        <v>1616</v>
      </c>
      <c r="D49" s="23" t="s">
        <v>1617</v>
      </c>
      <c r="E49" s="5">
        <f t="shared" si="0"/>
        <v>0.5</v>
      </c>
      <c r="F49" s="5">
        <v>0.5</v>
      </c>
      <c r="G49" s="5">
        <v>0.5</v>
      </c>
    </row>
    <row r="50" spans="1:7" ht="28.8" x14ac:dyDescent="0.3">
      <c r="A50" s="23">
        <v>88830</v>
      </c>
      <c r="B50" s="23" t="s">
        <v>1576</v>
      </c>
      <c r="C50" s="24" t="s">
        <v>1618</v>
      </c>
      <c r="D50" s="23" t="s">
        <v>1619</v>
      </c>
      <c r="E50" s="5">
        <f t="shared" si="0"/>
        <v>2.3199999999999998</v>
      </c>
      <c r="F50" s="5">
        <v>2.3199999999999998</v>
      </c>
      <c r="G50" s="5">
        <v>2.3199999999999998</v>
      </c>
    </row>
    <row r="51" spans="1:7" ht="43.2" x14ac:dyDescent="0.3">
      <c r="A51" s="23">
        <v>88826</v>
      </c>
      <c r="B51" s="23" t="s">
        <v>1576</v>
      </c>
      <c r="C51" s="24" t="s">
        <v>1620</v>
      </c>
      <c r="D51" s="23" t="s">
        <v>1503</v>
      </c>
      <c r="E51" s="5">
        <f t="shared" si="0"/>
        <v>0.41</v>
      </c>
      <c r="F51" s="5">
        <v>0.41</v>
      </c>
      <c r="G51" s="5">
        <v>0.41</v>
      </c>
    </row>
    <row r="52" spans="1:7" ht="28.8" x14ac:dyDescent="0.3">
      <c r="A52" s="23">
        <v>88827</v>
      </c>
      <c r="B52" s="23" t="s">
        <v>1576</v>
      </c>
      <c r="C52" s="24" t="s">
        <v>1621</v>
      </c>
      <c r="D52" s="23" t="s">
        <v>1503</v>
      </c>
      <c r="E52" s="5">
        <f t="shared" si="0"/>
        <v>0.09</v>
      </c>
      <c r="F52" s="5">
        <v>0.09</v>
      </c>
      <c r="G52" s="5">
        <v>0.09</v>
      </c>
    </row>
    <row r="53" spans="1:7" ht="43.2" x14ac:dyDescent="0.3">
      <c r="A53" s="23">
        <v>88828</v>
      </c>
      <c r="B53" s="23" t="s">
        <v>1576</v>
      </c>
      <c r="C53" s="24" t="s">
        <v>1622</v>
      </c>
      <c r="D53" s="23" t="s">
        <v>1503</v>
      </c>
      <c r="E53" s="5">
        <f t="shared" si="0"/>
        <v>0.45</v>
      </c>
      <c r="F53" s="5">
        <v>0.45</v>
      </c>
      <c r="G53" s="5">
        <v>0.45</v>
      </c>
    </row>
    <row r="54" spans="1:7" ht="43.2" x14ac:dyDescent="0.3">
      <c r="A54" s="23">
        <v>88829</v>
      </c>
      <c r="B54" s="23" t="s">
        <v>1576</v>
      </c>
      <c r="C54" s="24" t="s">
        <v>1623</v>
      </c>
      <c r="D54" s="23" t="s">
        <v>1503</v>
      </c>
      <c r="E54" s="5">
        <f t="shared" si="0"/>
        <v>1.37</v>
      </c>
      <c r="F54" s="5">
        <v>1.37</v>
      </c>
      <c r="G54" s="5">
        <v>1.37</v>
      </c>
    </row>
    <row r="55" spans="1:7" ht="28.8" x14ac:dyDescent="0.3">
      <c r="A55" s="23">
        <v>89226</v>
      </c>
      <c r="B55" s="23" t="s">
        <v>1576</v>
      </c>
      <c r="C55" s="24" t="s">
        <v>1624</v>
      </c>
      <c r="D55" s="23" t="s">
        <v>1617</v>
      </c>
      <c r="E55" s="5">
        <f t="shared" si="0"/>
        <v>2.0499999999999998</v>
      </c>
      <c r="F55" s="5">
        <v>2.0499999999999998</v>
      </c>
      <c r="G55" s="5">
        <v>2.0499999999999998</v>
      </c>
    </row>
    <row r="56" spans="1:7" ht="28.8" x14ac:dyDescent="0.3">
      <c r="A56" s="23">
        <v>89225</v>
      </c>
      <c r="B56" s="23" t="s">
        <v>1576</v>
      </c>
      <c r="C56" s="24" t="s">
        <v>1625</v>
      </c>
      <c r="D56" s="23" t="s">
        <v>1619</v>
      </c>
      <c r="E56" s="5">
        <f t="shared" si="0"/>
        <v>6.63</v>
      </c>
      <c r="F56" s="5">
        <v>6.63</v>
      </c>
      <c r="G56" s="5">
        <v>6.63</v>
      </c>
    </row>
    <row r="57" spans="1:7" ht="43.2" x14ac:dyDescent="0.3">
      <c r="A57" s="23">
        <v>89221</v>
      </c>
      <c r="B57" s="23" t="s">
        <v>1576</v>
      </c>
      <c r="C57" s="24" t="s">
        <v>1626</v>
      </c>
      <c r="D57" s="23" t="s">
        <v>1503</v>
      </c>
      <c r="E57" s="5">
        <f t="shared" si="0"/>
        <v>1.67</v>
      </c>
      <c r="F57" s="5">
        <v>1.67</v>
      </c>
      <c r="G57" s="5">
        <v>1.67</v>
      </c>
    </row>
    <row r="58" spans="1:7" ht="28.8" x14ac:dyDescent="0.3">
      <c r="A58" s="23">
        <v>89222</v>
      </c>
      <c r="B58" s="23" t="s">
        <v>1576</v>
      </c>
      <c r="C58" s="24" t="s">
        <v>1627</v>
      </c>
      <c r="D58" s="23" t="s">
        <v>1503</v>
      </c>
      <c r="E58" s="5">
        <f t="shared" si="0"/>
        <v>0.38</v>
      </c>
      <c r="F58" s="5">
        <v>0.38</v>
      </c>
      <c r="G58" s="5">
        <v>0.38</v>
      </c>
    </row>
    <row r="59" spans="1:7" ht="43.2" x14ac:dyDescent="0.3">
      <c r="A59" s="23">
        <v>89223</v>
      </c>
      <c r="B59" s="23" t="s">
        <v>1576</v>
      </c>
      <c r="C59" s="24" t="s">
        <v>1628</v>
      </c>
      <c r="D59" s="23" t="s">
        <v>1503</v>
      </c>
      <c r="E59" s="5">
        <f t="shared" si="0"/>
        <v>1.83</v>
      </c>
      <c r="F59" s="5">
        <v>1.83</v>
      </c>
      <c r="G59" s="5">
        <v>1.83</v>
      </c>
    </row>
    <row r="60" spans="1:7" ht="43.2" x14ac:dyDescent="0.3">
      <c r="A60" s="23">
        <v>89224</v>
      </c>
      <c r="B60" s="23" t="s">
        <v>1576</v>
      </c>
      <c r="C60" s="24" t="s">
        <v>1629</v>
      </c>
      <c r="D60" s="23" t="s">
        <v>1503</v>
      </c>
      <c r="E60" s="5">
        <f t="shared" si="0"/>
        <v>2.75</v>
      </c>
      <c r="F60" s="5">
        <v>2.75</v>
      </c>
      <c r="G60" s="5">
        <v>2.75</v>
      </c>
    </row>
    <row r="61" spans="1:7" x14ac:dyDescent="0.3">
      <c r="A61" s="23" t="s">
        <v>642</v>
      </c>
      <c r="B61" s="23" t="s">
        <v>1630</v>
      </c>
      <c r="C61" s="24" t="s">
        <v>1631</v>
      </c>
      <c r="D61" s="23" t="s">
        <v>1301</v>
      </c>
      <c r="E61" s="5">
        <f t="shared" si="0"/>
        <v>817.1</v>
      </c>
      <c r="F61" s="5">
        <v>780.13</v>
      </c>
      <c r="G61" s="5">
        <v>817.1</v>
      </c>
    </row>
    <row r="62" spans="1:7" ht="28.8" x14ac:dyDescent="0.3">
      <c r="A62" s="23" t="s">
        <v>668</v>
      </c>
      <c r="B62" s="23" t="s">
        <v>1570</v>
      </c>
      <c r="C62" s="24" t="s">
        <v>1632</v>
      </c>
      <c r="D62" s="23" t="s">
        <v>1278</v>
      </c>
      <c r="E62" s="5">
        <f t="shared" si="0"/>
        <v>0</v>
      </c>
      <c r="F62" s="5">
        <v>0</v>
      </c>
      <c r="G62" s="5">
        <v>0</v>
      </c>
    </row>
    <row r="63" spans="1:7" ht="28.8" x14ac:dyDescent="0.3">
      <c r="A63" s="23">
        <v>91933</v>
      </c>
      <c r="B63" s="23" t="s">
        <v>1576</v>
      </c>
      <c r="C63" s="24" t="s">
        <v>1633</v>
      </c>
      <c r="D63" s="23" t="s">
        <v>1296</v>
      </c>
      <c r="E63" s="5">
        <f t="shared" si="0"/>
        <v>17.5</v>
      </c>
      <c r="F63" s="5">
        <v>17.2</v>
      </c>
      <c r="G63" s="5">
        <v>17.5</v>
      </c>
    </row>
    <row r="64" spans="1:7" ht="28.8" x14ac:dyDescent="0.3">
      <c r="A64" s="23">
        <v>91926</v>
      </c>
      <c r="B64" s="23" t="s">
        <v>1576</v>
      </c>
      <c r="C64" s="24" t="s">
        <v>1634</v>
      </c>
      <c r="D64" s="23" t="s">
        <v>1296</v>
      </c>
      <c r="E64" s="5">
        <f t="shared" si="0"/>
        <v>4.63</v>
      </c>
      <c r="F64" s="5">
        <v>4.51</v>
      </c>
      <c r="G64" s="5">
        <v>4.63</v>
      </c>
    </row>
    <row r="65" spans="1:7" x14ac:dyDescent="0.3">
      <c r="A65" s="23" t="s">
        <v>617</v>
      </c>
      <c r="B65" s="23" t="s">
        <v>1570</v>
      </c>
      <c r="C65" s="24" t="s">
        <v>1635</v>
      </c>
      <c r="D65" s="23" t="s">
        <v>1334</v>
      </c>
      <c r="E65" s="5">
        <f t="shared" si="0"/>
        <v>0</v>
      </c>
      <c r="F65" s="5">
        <v>0</v>
      </c>
      <c r="G65" s="5">
        <v>0</v>
      </c>
    </row>
    <row r="66" spans="1:7" ht="28.8" x14ac:dyDescent="0.3">
      <c r="A66" s="23">
        <v>102619</v>
      </c>
      <c r="B66" s="23" t="s">
        <v>1576</v>
      </c>
      <c r="C66" s="24" t="s">
        <v>1636</v>
      </c>
      <c r="D66" s="23" t="s">
        <v>1278</v>
      </c>
      <c r="E66" s="5">
        <f t="shared" si="0"/>
        <v>6414.07</v>
      </c>
      <c r="F66" s="5">
        <v>6400.05</v>
      </c>
      <c r="G66" s="5">
        <v>6414.07</v>
      </c>
    </row>
    <row r="67" spans="1:7" ht="28.8" x14ac:dyDescent="0.3">
      <c r="A67" s="23">
        <v>91940</v>
      </c>
      <c r="B67" s="23" t="s">
        <v>1576</v>
      </c>
      <c r="C67" s="24" t="s">
        <v>1637</v>
      </c>
      <c r="D67" s="23" t="s">
        <v>1278</v>
      </c>
      <c r="E67" s="5">
        <f t="shared" si="0"/>
        <v>17.66</v>
      </c>
      <c r="F67" s="5">
        <v>16.489999999999998</v>
      </c>
      <c r="G67" s="5">
        <v>17.66</v>
      </c>
    </row>
    <row r="68" spans="1:7" x14ac:dyDescent="0.3">
      <c r="A68" s="23">
        <v>88262</v>
      </c>
      <c r="B68" s="23" t="s">
        <v>1576</v>
      </c>
      <c r="C68" s="24" t="s">
        <v>1638</v>
      </c>
      <c r="D68" s="23" t="s">
        <v>1503</v>
      </c>
      <c r="E68" s="5">
        <f t="shared" si="0"/>
        <v>26.97</v>
      </c>
      <c r="F68" s="5">
        <v>24.77</v>
      </c>
      <c r="G68" s="5">
        <v>26.97</v>
      </c>
    </row>
    <row r="69" spans="1:7" ht="43.2" x14ac:dyDescent="0.3">
      <c r="A69" s="23">
        <v>101197</v>
      </c>
      <c r="B69" s="23" t="s">
        <v>1576</v>
      </c>
      <c r="C69" s="24" t="s">
        <v>1639</v>
      </c>
      <c r="D69" s="23" t="s">
        <v>1296</v>
      </c>
      <c r="E69" s="5">
        <f t="shared" si="0"/>
        <v>131.28</v>
      </c>
      <c r="F69" s="5">
        <v>127.37</v>
      </c>
      <c r="G69" s="5">
        <v>131.28</v>
      </c>
    </row>
    <row r="70" spans="1:7" ht="43.2" x14ac:dyDescent="0.3">
      <c r="A70" s="23">
        <v>87904</v>
      </c>
      <c r="B70" s="23" t="s">
        <v>1576</v>
      </c>
      <c r="C70" s="24" t="s">
        <v>1640</v>
      </c>
      <c r="D70" s="23" t="s">
        <v>1334</v>
      </c>
      <c r="E70" s="5">
        <f t="shared" si="0"/>
        <v>8.74</v>
      </c>
      <c r="F70" s="5">
        <v>8.19</v>
      </c>
      <c r="G70" s="5">
        <v>8.74</v>
      </c>
    </row>
    <row r="71" spans="1:7" ht="28.8" x14ac:dyDescent="0.3">
      <c r="A71" s="23">
        <v>90466</v>
      </c>
      <c r="B71" s="23" t="s">
        <v>1576</v>
      </c>
      <c r="C71" s="24" t="s">
        <v>1641</v>
      </c>
      <c r="D71" s="23" t="s">
        <v>1296</v>
      </c>
      <c r="E71" s="5">
        <f t="shared" ref="E71:E134" si="1">IF(FOLHA="COM DESONERAÇÃO",F71,G71)</f>
        <v>15.47</v>
      </c>
      <c r="F71" s="5">
        <v>14.44</v>
      </c>
      <c r="G71" s="5">
        <v>15.47</v>
      </c>
    </row>
    <row r="72" spans="1:7" x14ac:dyDescent="0.3">
      <c r="A72" s="23" t="s">
        <v>539</v>
      </c>
      <c r="B72" s="23" t="s">
        <v>1570</v>
      </c>
      <c r="C72" s="24" t="s">
        <v>1642</v>
      </c>
      <c r="D72" s="23" t="s">
        <v>1572</v>
      </c>
      <c r="E72" s="5">
        <f t="shared" si="1"/>
        <v>0</v>
      </c>
      <c r="F72" s="5">
        <v>0</v>
      </c>
      <c r="G72" s="5">
        <v>0</v>
      </c>
    </row>
    <row r="73" spans="1:7" x14ac:dyDescent="0.3">
      <c r="A73" s="23" t="s">
        <v>584</v>
      </c>
      <c r="B73" s="23" t="s">
        <v>1570</v>
      </c>
      <c r="C73" s="24" t="s">
        <v>1643</v>
      </c>
      <c r="D73" s="23" t="s">
        <v>1296</v>
      </c>
      <c r="E73" s="5">
        <f t="shared" si="1"/>
        <v>0</v>
      </c>
      <c r="F73" s="5">
        <v>0</v>
      </c>
      <c r="G73" s="5">
        <v>0</v>
      </c>
    </row>
    <row r="74" spans="1:7" ht="28.8" x14ac:dyDescent="0.3">
      <c r="A74" s="23">
        <v>103672</v>
      </c>
      <c r="B74" s="23" t="s">
        <v>1576</v>
      </c>
      <c r="C74" s="24" t="s">
        <v>1644</v>
      </c>
      <c r="D74" s="23" t="s">
        <v>1301</v>
      </c>
      <c r="E74" s="5">
        <f t="shared" si="1"/>
        <v>704.98</v>
      </c>
      <c r="F74" s="5">
        <v>701.82</v>
      </c>
      <c r="G74" s="5">
        <v>704.98</v>
      </c>
    </row>
    <row r="75" spans="1:7" ht="28.8" x14ac:dyDescent="0.3">
      <c r="A75" s="23" t="s">
        <v>653</v>
      </c>
      <c r="B75" s="23" t="s">
        <v>1585</v>
      </c>
      <c r="C75" s="24" t="s">
        <v>1645</v>
      </c>
      <c r="D75" s="23" t="s">
        <v>1301</v>
      </c>
      <c r="E75" s="5">
        <f t="shared" si="1"/>
        <v>2456.44</v>
      </c>
      <c r="F75" s="5">
        <v>2456.44</v>
      </c>
      <c r="G75" s="5">
        <v>2456.44</v>
      </c>
    </row>
    <row r="76" spans="1:7" ht="28.8" x14ac:dyDescent="0.3">
      <c r="A76" s="23">
        <v>94964</v>
      </c>
      <c r="B76" s="23" t="s">
        <v>1576</v>
      </c>
      <c r="C76" s="24" t="s">
        <v>1646</v>
      </c>
      <c r="D76" s="23" t="s">
        <v>1301</v>
      </c>
      <c r="E76" s="5">
        <f t="shared" si="1"/>
        <v>641.65</v>
      </c>
      <c r="F76" s="5">
        <v>633.87</v>
      </c>
      <c r="G76" s="5">
        <v>641.65</v>
      </c>
    </row>
    <row r="77" spans="1:7" ht="28.8" x14ac:dyDescent="0.3">
      <c r="A77" s="23">
        <v>94970</v>
      </c>
      <c r="B77" s="23" t="s">
        <v>1576</v>
      </c>
      <c r="C77" s="24" t="s">
        <v>1647</v>
      </c>
      <c r="D77" s="23" t="s">
        <v>1301</v>
      </c>
      <c r="E77" s="5">
        <f t="shared" si="1"/>
        <v>628.76</v>
      </c>
      <c r="F77" s="5">
        <v>622.54999999999995</v>
      </c>
      <c r="G77" s="5">
        <v>628.76</v>
      </c>
    </row>
    <row r="78" spans="1:7" ht="28.8" x14ac:dyDescent="0.3">
      <c r="A78" s="23">
        <v>94974</v>
      </c>
      <c r="B78" s="23" t="s">
        <v>1576</v>
      </c>
      <c r="C78" s="24" t="s">
        <v>1648</v>
      </c>
      <c r="D78" s="23" t="s">
        <v>1301</v>
      </c>
      <c r="E78" s="5">
        <f t="shared" si="1"/>
        <v>585.11</v>
      </c>
      <c r="F78" s="5">
        <v>574.99</v>
      </c>
      <c r="G78" s="5">
        <v>585.11</v>
      </c>
    </row>
    <row r="79" spans="1:7" ht="28.8" x14ac:dyDescent="0.3">
      <c r="A79" s="23">
        <v>94962</v>
      </c>
      <c r="B79" s="23" t="s">
        <v>1576</v>
      </c>
      <c r="C79" s="24" t="s">
        <v>1649</v>
      </c>
      <c r="D79" s="23" t="s">
        <v>1301</v>
      </c>
      <c r="E79" s="5">
        <f t="shared" si="1"/>
        <v>527.55999999999995</v>
      </c>
      <c r="F79" s="5">
        <v>520.37</v>
      </c>
      <c r="G79" s="5">
        <v>527.55999999999995</v>
      </c>
    </row>
    <row r="80" spans="1:7" ht="28.8" x14ac:dyDescent="0.3">
      <c r="A80" s="23">
        <v>94968</v>
      </c>
      <c r="B80" s="23" t="s">
        <v>1576</v>
      </c>
      <c r="C80" s="24" t="s">
        <v>1650</v>
      </c>
      <c r="D80" s="23" t="s">
        <v>1301</v>
      </c>
      <c r="E80" s="5">
        <f t="shared" si="1"/>
        <v>525.04</v>
      </c>
      <c r="F80" s="5">
        <v>518.57000000000005</v>
      </c>
      <c r="G80" s="5">
        <v>525.04</v>
      </c>
    </row>
    <row r="81" spans="1:7" x14ac:dyDescent="0.3">
      <c r="A81" s="23" t="s">
        <v>1081</v>
      </c>
      <c r="B81" s="23" t="s">
        <v>1630</v>
      </c>
      <c r="C81" s="24" t="s">
        <v>1651</v>
      </c>
      <c r="D81" s="23" t="s">
        <v>1301</v>
      </c>
      <c r="E81" s="5">
        <f t="shared" si="1"/>
        <v>482.49</v>
      </c>
      <c r="F81" s="5">
        <v>469.96</v>
      </c>
      <c r="G81" s="5">
        <v>482.49</v>
      </c>
    </row>
    <row r="82" spans="1:7" x14ac:dyDescent="0.3">
      <c r="A82" s="23" t="s">
        <v>1088</v>
      </c>
      <c r="B82" s="23" t="s">
        <v>1585</v>
      </c>
      <c r="C82" s="24" t="s">
        <v>1652</v>
      </c>
      <c r="D82" s="23" t="s">
        <v>1301</v>
      </c>
      <c r="E82" s="5">
        <f t="shared" si="1"/>
        <v>592.69000000000005</v>
      </c>
      <c r="F82" s="5">
        <v>592.69000000000005</v>
      </c>
      <c r="G82" s="5">
        <v>592.69000000000005</v>
      </c>
    </row>
    <row r="83" spans="1:7" ht="28.8" x14ac:dyDescent="0.3">
      <c r="A83" s="23" t="s">
        <v>1136</v>
      </c>
      <c r="B83" s="23" t="s">
        <v>1585</v>
      </c>
      <c r="C83" s="24" t="s">
        <v>1653</v>
      </c>
      <c r="D83" s="23" t="s">
        <v>1301</v>
      </c>
      <c r="E83" s="5">
        <f t="shared" si="1"/>
        <v>542.05999999999995</v>
      </c>
      <c r="F83" s="5">
        <v>542.05999999999995</v>
      </c>
      <c r="G83" s="5">
        <v>542.05999999999995</v>
      </c>
    </row>
    <row r="84" spans="1:7" ht="43.2" x14ac:dyDescent="0.3">
      <c r="A84" s="23">
        <v>104749</v>
      </c>
      <c r="B84" s="23" t="s">
        <v>1576</v>
      </c>
      <c r="C84" s="24" t="s">
        <v>1654</v>
      </c>
      <c r="D84" s="23" t="s">
        <v>1278</v>
      </c>
      <c r="E84" s="5">
        <f t="shared" si="1"/>
        <v>21.5</v>
      </c>
      <c r="F84" s="5">
        <v>20.76</v>
      </c>
      <c r="G84" s="5">
        <v>21.5</v>
      </c>
    </row>
    <row r="85" spans="1:7" ht="28.8" x14ac:dyDescent="0.3">
      <c r="A85" s="23">
        <v>96977</v>
      </c>
      <c r="B85" s="23" t="s">
        <v>1576</v>
      </c>
      <c r="C85" s="24" t="s">
        <v>1655</v>
      </c>
      <c r="D85" s="23" t="s">
        <v>1296</v>
      </c>
      <c r="E85" s="5">
        <f t="shared" si="1"/>
        <v>64.17</v>
      </c>
      <c r="F85" s="5">
        <v>64.040000000000006</v>
      </c>
      <c r="G85" s="5">
        <v>64.17</v>
      </c>
    </row>
    <row r="86" spans="1:7" x14ac:dyDescent="0.3">
      <c r="A86" s="23">
        <v>92803</v>
      </c>
      <c r="B86" s="23" t="s">
        <v>1576</v>
      </c>
      <c r="C86" s="24" t="s">
        <v>1656</v>
      </c>
      <c r="D86" s="23" t="s">
        <v>1280</v>
      </c>
      <c r="E86" s="5">
        <f t="shared" si="1"/>
        <v>9.2200000000000006</v>
      </c>
      <c r="F86" s="5">
        <v>9.19</v>
      </c>
      <c r="G86" s="5">
        <v>9.2200000000000006</v>
      </c>
    </row>
    <row r="87" spans="1:7" x14ac:dyDescent="0.3">
      <c r="A87" s="23">
        <v>92804</v>
      </c>
      <c r="B87" s="23" t="s">
        <v>1576</v>
      </c>
      <c r="C87" s="24" t="s">
        <v>1657</v>
      </c>
      <c r="D87" s="23" t="s">
        <v>1280</v>
      </c>
      <c r="E87" s="5">
        <f t="shared" si="1"/>
        <v>7.91</v>
      </c>
      <c r="F87" s="5">
        <v>7.89</v>
      </c>
      <c r="G87" s="5">
        <v>7.91</v>
      </c>
    </row>
    <row r="88" spans="1:7" x14ac:dyDescent="0.3">
      <c r="A88" s="23">
        <v>92805</v>
      </c>
      <c r="B88" s="23" t="s">
        <v>1576</v>
      </c>
      <c r="C88" s="24" t="s">
        <v>1658</v>
      </c>
      <c r="D88" s="23" t="s">
        <v>1280</v>
      </c>
      <c r="E88" s="5">
        <f t="shared" si="1"/>
        <v>7.83</v>
      </c>
      <c r="F88" s="5">
        <v>7.83</v>
      </c>
      <c r="G88" s="5">
        <v>7.83</v>
      </c>
    </row>
    <row r="89" spans="1:7" x14ac:dyDescent="0.3">
      <c r="A89" s="23">
        <v>92806</v>
      </c>
      <c r="B89" s="23" t="s">
        <v>1576</v>
      </c>
      <c r="C89" s="24" t="s">
        <v>1659</v>
      </c>
      <c r="D89" s="23" t="s">
        <v>1280</v>
      </c>
      <c r="E89" s="5">
        <f t="shared" si="1"/>
        <v>9.2200000000000006</v>
      </c>
      <c r="F89" s="5">
        <v>9.2200000000000006</v>
      </c>
      <c r="G89" s="5">
        <v>9.2200000000000006</v>
      </c>
    </row>
    <row r="90" spans="1:7" x14ac:dyDescent="0.3">
      <c r="A90" s="23">
        <v>92801</v>
      </c>
      <c r="B90" s="23" t="s">
        <v>1576</v>
      </c>
      <c r="C90" s="24" t="s">
        <v>1660</v>
      </c>
      <c r="D90" s="23" t="s">
        <v>1280</v>
      </c>
      <c r="E90" s="5">
        <f t="shared" si="1"/>
        <v>10.06</v>
      </c>
      <c r="F90" s="5">
        <v>9.98</v>
      </c>
      <c r="G90" s="5">
        <v>10.06</v>
      </c>
    </row>
    <row r="91" spans="1:7" x14ac:dyDescent="0.3">
      <c r="A91" s="23">
        <v>92802</v>
      </c>
      <c r="B91" s="23" t="s">
        <v>1576</v>
      </c>
      <c r="C91" s="24" t="s">
        <v>1661</v>
      </c>
      <c r="D91" s="23" t="s">
        <v>1280</v>
      </c>
      <c r="E91" s="5">
        <f t="shared" si="1"/>
        <v>10</v>
      </c>
      <c r="F91" s="5">
        <v>9.9600000000000009</v>
      </c>
      <c r="G91" s="5">
        <v>10</v>
      </c>
    </row>
    <row r="92" spans="1:7" x14ac:dyDescent="0.3">
      <c r="A92" s="23">
        <v>92800</v>
      </c>
      <c r="B92" s="23" t="s">
        <v>1576</v>
      </c>
      <c r="C92" s="24" t="s">
        <v>1662</v>
      </c>
      <c r="D92" s="23" t="s">
        <v>1280</v>
      </c>
      <c r="E92" s="5">
        <f t="shared" si="1"/>
        <v>9.9600000000000009</v>
      </c>
      <c r="F92" s="5">
        <v>9.82</v>
      </c>
      <c r="G92" s="5">
        <v>9.9600000000000009</v>
      </c>
    </row>
    <row r="93" spans="1:7" x14ac:dyDescent="0.3">
      <c r="A93" s="23" t="s">
        <v>658</v>
      </c>
      <c r="B93" s="23" t="s">
        <v>1570</v>
      </c>
      <c r="C93" s="24" t="s">
        <v>1346</v>
      </c>
      <c r="D93" s="23" t="s">
        <v>1278</v>
      </c>
      <c r="E93" s="5">
        <f t="shared" si="1"/>
        <v>0</v>
      </c>
      <c r="F93" s="5">
        <v>0</v>
      </c>
      <c r="G93" s="5">
        <v>0</v>
      </c>
    </row>
    <row r="94" spans="1:7" ht="28.8" x14ac:dyDescent="0.3">
      <c r="A94" s="23">
        <v>95308</v>
      </c>
      <c r="B94" s="23" t="s">
        <v>1576</v>
      </c>
      <c r="C94" s="24" t="s">
        <v>1663</v>
      </c>
      <c r="D94" s="23" t="s">
        <v>1503</v>
      </c>
      <c r="E94" s="5">
        <f t="shared" si="1"/>
        <v>0.17</v>
      </c>
      <c r="F94" s="5">
        <v>0.16</v>
      </c>
      <c r="G94" s="5">
        <v>0.17</v>
      </c>
    </row>
    <row r="95" spans="1:7" ht="28.8" x14ac:dyDescent="0.3">
      <c r="A95" s="23">
        <v>95309</v>
      </c>
      <c r="B95" s="23" t="s">
        <v>1576</v>
      </c>
      <c r="C95" s="24" t="s">
        <v>1664</v>
      </c>
      <c r="D95" s="23" t="s">
        <v>1503</v>
      </c>
      <c r="E95" s="5">
        <f t="shared" si="1"/>
        <v>0.22</v>
      </c>
      <c r="F95" s="5">
        <v>0.2</v>
      </c>
      <c r="G95" s="5">
        <v>0.22</v>
      </c>
    </row>
    <row r="96" spans="1:7" ht="28.8" x14ac:dyDescent="0.3">
      <c r="A96" s="23">
        <v>95312</v>
      </c>
      <c r="B96" s="23" t="s">
        <v>1576</v>
      </c>
      <c r="C96" s="24" t="s">
        <v>1665</v>
      </c>
      <c r="D96" s="23" t="s">
        <v>1503</v>
      </c>
      <c r="E96" s="5">
        <f t="shared" si="1"/>
        <v>0.22</v>
      </c>
      <c r="F96" s="5">
        <v>0.2</v>
      </c>
      <c r="G96" s="5">
        <v>0.22</v>
      </c>
    </row>
    <row r="97" spans="1:7" ht="28.8" x14ac:dyDescent="0.3">
      <c r="A97" s="23">
        <v>95392</v>
      </c>
      <c r="B97" s="23" t="s">
        <v>1576</v>
      </c>
      <c r="C97" s="24" t="s">
        <v>1666</v>
      </c>
      <c r="D97" s="23" t="s">
        <v>1503</v>
      </c>
      <c r="E97" s="5">
        <f t="shared" si="1"/>
        <v>0.1</v>
      </c>
      <c r="F97" s="5">
        <v>0.09</v>
      </c>
      <c r="G97" s="5">
        <v>0.1</v>
      </c>
    </row>
    <row r="98" spans="1:7" x14ac:dyDescent="0.3">
      <c r="A98" s="23">
        <v>95314</v>
      </c>
      <c r="B98" s="23" t="s">
        <v>1576</v>
      </c>
      <c r="C98" s="24" t="s">
        <v>1667</v>
      </c>
      <c r="D98" s="23" t="s">
        <v>1503</v>
      </c>
      <c r="E98" s="5">
        <f t="shared" si="1"/>
        <v>0.23</v>
      </c>
      <c r="F98" s="5">
        <v>0.2</v>
      </c>
      <c r="G98" s="5">
        <v>0.23</v>
      </c>
    </row>
    <row r="99" spans="1:7" ht="28.8" x14ac:dyDescent="0.3">
      <c r="A99" s="23">
        <v>95315</v>
      </c>
      <c r="B99" s="23" t="s">
        <v>1576</v>
      </c>
      <c r="C99" s="24" t="s">
        <v>1668</v>
      </c>
      <c r="D99" s="23" t="s">
        <v>1503</v>
      </c>
      <c r="E99" s="5">
        <f t="shared" si="1"/>
        <v>0.2</v>
      </c>
      <c r="F99" s="5">
        <v>0.18</v>
      </c>
      <c r="G99" s="5">
        <v>0.2</v>
      </c>
    </row>
    <row r="100" spans="1:7" ht="28.8" x14ac:dyDescent="0.3">
      <c r="A100" s="23">
        <v>95316</v>
      </c>
      <c r="B100" s="23" t="s">
        <v>1576</v>
      </c>
      <c r="C100" s="24" t="s">
        <v>1669</v>
      </c>
      <c r="D100" s="23" t="s">
        <v>1503</v>
      </c>
      <c r="E100" s="5">
        <f t="shared" si="1"/>
        <v>0.57999999999999996</v>
      </c>
      <c r="F100" s="5">
        <v>0.51</v>
      </c>
      <c r="G100" s="5">
        <v>0.57999999999999996</v>
      </c>
    </row>
    <row r="101" spans="1:7" ht="28.8" x14ac:dyDescent="0.3">
      <c r="A101" s="23">
        <v>95317</v>
      </c>
      <c r="B101" s="23" t="s">
        <v>1576</v>
      </c>
      <c r="C101" s="24" t="s">
        <v>1670</v>
      </c>
      <c r="D101" s="23" t="s">
        <v>1503</v>
      </c>
      <c r="E101" s="5">
        <f t="shared" si="1"/>
        <v>0.27</v>
      </c>
      <c r="F101" s="5">
        <v>0.25</v>
      </c>
      <c r="G101" s="5">
        <v>0.27</v>
      </c>
    </row>
    <row r="102" spans="1:7" ht="28.8" x14ac:dyDescent="0.3">
      <c r="A102" s="23">
        <v>95319</v>
      </c>
      <c r="B102" s="23" t="s">
        <v>1576</v>
      </c>
      <c r="C102" s="24" t="s">
        <v>1671</v>
      </c>
      <c r="D102" s="23" t="s">
        <v>1503</v>
      </c>
      <c r="E102" s="5">
        <f t="shared" si="1"/>
        <v>0.17</v>
      </c>
      <c r="F102" s="5">
        <v>0.16</v>
      </c>
      <c r="G102" s="5">
        <v>0.17</v>
      </c>
    </row>
    <row r="103" spans="1:7" ht="28.8" x14ac:dyDescent="0.3">
      <c r="A103" s="23">
        <v>95323</v>
      </c>
      <c r="B103" s="23" t="s">
        <v>1576</v>
      </c>
      <c r="C103" s="24" t="s">
        <v>1672</v>
      </c>
      <c r="D103" s="23" t="s">
        <v>1503</v>
      </c>
      <c r="E103" s="5">
        <f t="shared" si="1"/>
        <v>0.19</v>
      </c>
      <c r="F103" s="5">
        <v>0.17</v>
      </c>
      <c r="G103" s="5">
        <v>0.19</v>
      </c>
    </row>
    <row r="104" spans="1:7" ht="28.8" x14ac:dyDescent="0.3">
      <c r="A104" s="23">
        <v>95330</v>
      </c>
      <c r="B104" s="23" t="s">
        <v>1576</v>
      </c>
      <c r="C104" s="24" t="s">
        <v>1673</v>
      </c>
      <c r="D104" s="23" t="s">
        <v>1503</v>
      </c>
      <c r="E104" s="5">
        <f t="shared" si="1"/>
        <v>0.23</v>
      </c>
      <c r="F104" s="5">
        <v>0.2</v>
      </c>
      <c r="G104" s="5">
        <v>0.23</v>
      </c>
    </row>
    <row r="105" spans="1:7" x14ac:dyDescent="0.3">
      <c r="A105" s="23">
        <v>95332</v>
      </c>
      <c r="B105" s="23" t="s">
        <v>1576</v>
      </c>
      <c r="C105" s="24" t="s">
        <v>1674</v>
      </c>
      <c r="D105" s="23" t="s">
        <v>1503</v>
      </c>
      <c r="E105" s="5">
        <f t="shared" si="1"/>
        <v>0.75</v>
      </c>
      <c r="F105" s="5">
        <v>0.67</v>
      </c>
      <c r="G105" s="5">
        <v>0.75</v>
      </c>
    </row>
    <row r="106" spans="1:7" ht="28.8" x14ac:dyDescent="0.3">
      <c r="A106" s="23">
        <v>95335</v>
      </c>
      <c r="B106" s="23" t="s">
        <v>1576</v>
      </c>
      <c r="C106" s="24" t="s">
        <v>1675</v>
      </c>
      <c r="D106" s="23" t="s">
        <v>1503</v>
      </c>
      <c r="E106" s="5">
        <f t="shared" si="1"/>
        <v>0.36</v>
      </c>
      <c r="F106" s="5">
        <v>0.32</v>
      </c>
      <c r="G106" s="5">
        <v>0.36</v>
      </c>
    </row>
    <row r="107" spans="1:7" ht="28.8" x14ac:dyDescent="0.3">
      <c r="A107" s="23">
        <v>95401</v>
      </c>
      <c r="B107" s="23" t="s">
        <v>1576</v>
      </c>
      <c r="C107" s="24" t="s">
        <v>1676</v>
      </c>
      <c r="D107" s="23" t="s">
        <v>1503</v>
      </c>
      <c r="E107" s="5">
        <f t="shared" si="1"/>
        <v>0.67</v>
      </c>
      <c r="F107" s="5">
        <v>0.6</v>
      </c>
      <c r="G107" s="5">
        <v>0.67</v>
      </c>
    </row>
    <row r="108" spans="1:7" ht="28.8" x14ac:dyDescent="0.3">
      <c r="A108" s="23">
        <v>95402</v>
      </c>
      <c r="B108" s="23" t="s">
        <v>1576</v>
      </c>
      <c r="C108" s="24" t="s">
        <v>1677</v>
      </c>
      <c r="D108" s="23" t="s">
        <v>1503</v>
      </c>
      <c r="E108" s="5">
        <f t="shared" si="1"/>
        <v>1.84</v>
      </c>
      <c r="F108" s="5">
        <v>1.65</v>
      </c>
      <c r="G108" s="5">
        <v>1.84</v>
      </c>
    </row>
    <row r="109" spans="1:7" ht="28.8" x14ac:dyDescent="0.3">
      <c r="A109" s="23">
        <v>95404</v>
      </c>
      <c r="B109" s="23" t="s">
        <v>1576</v>
      </c>
      <c r="C109" s="24" t="s">
        <v>1678</v>
      </c>
      <c r="D109" s="23" t="s">
        <v>1503</v>
      </c>
      <c r="E109" s="5">
        <f t="shared" si="1"/>
        <v>2.17</v>
      </c>
      <c r="F109" s="5">
        <v>1.94</v>
      </c>
      <c r="G109" s="5">
        <v>2.17</v>
      </c>
    </row>
    <row r="110" spans="1:7" ht="28.8" x14ac:dyDescent="0.3">
      <c r="A110" s="23">
        <v>95343</v>
      </c>
      <c r="B110" s="23" t="s">
        <v>1576</v>
      </c>
      <c r="C110" s="24" t="s">
        <v>1679</v>
      </c>
      <c r="D110" s="23" t="s">
        <v>1503</v>
      </c>
      <c r="E110" s="5">
        <f t="shared" si="1"/>
        <v>0.33</v>
      </c>
      <c r="F110" s="5">
        <v>0.28999999999999998</v>
      </c>
      <c r="G110" s="5">
        <v>0.33</v>
      </c>
    </row>
    <row r="111" spans="1:7" ht="28.8" x14ac:dyDescent="0.3">
      <c r="A111" s="23">
        <v>95389</v>
      </c>
      <c r="B111" s="23" t="s">
        <v>1576</v>
      </c>
      <c r="C111" s="24" t="s">
        <v>1680</v>
      </c>
      <c r="D111" s="23" t="s">
        <v>1503</v>
      </c>
      <c r="E111" s="5">
        <f t="shared" si="1"/>
        <v>0.17</v>
      </c>
      <c r="F111" s="5">
        <v>0.15</v>
      </c>
      <c r="G111" s="5">
        <v>0.17</v>
      </c>
    </row>
    <row r="112" spans="1:7" ht="28.8" x14ac:dyDescent="0.3">
      <c r="A112" s="23">
        <v>95359</v>
      </c>
      <c r="B112" s="23" t="s">
        <v>1576</v>
      </c>
      <c r="C112" s="24" t="s">
        <v>1681</v>
      </c>
      <c r="D112" s="23" t="s">
        <v>1503</v>
      </c>
      <c r="E112" s="5">
        <f t="shared" si="1"/>
        <v>0.47</v>
      </c>
      <c r="F112" s="5">
        <v>0.42</v>
      </c>
      <c r="G112" s="5">
        <v>0.47</v>
      </c>
    </row>
    <row r="113" spans="1:7" ht="28.8" x14ac:dyDescent="0.3">
      <c r="A113" s="23">
        <v>95360</v>
      </c>
      <c r="B113" s="23" t="s">
        <v>1576</v>
      </c>
      <c r="C113" s="24" t="s">
        <v>1682</v>
      </c>
      <c r="D113" s="23" t="s">
        <v>1503</v>
      </c>
      <c r="E113" s="5">
        <f t="shared" si="1"/>
        <v>0.24</v>
      </c>
      <c r="F113" s="5">
        <v>0.22</v>
      </c>
      <c r="G113" s="5">
        <v>0.24</v>
      </c>
    </row>
    <row r="114" spans="1:7" x14ac:dyDescent="0.3">
      <c r="A114" s="23">
        <v>95371</v>
      </c>
      <c r="B114" s="23" t="s">
        <v>1576</v>
      </c>
      <c r="C114" s="24" t="s">
        <v>1683</v>
      </c>
      <c r="D114" s="23" t="s">
        <v>1503</v>
      </c>
      <c r="E114" s="5">
        <f t="shared" si="1"/>
        <v>0.43</v>
      </c>
      <c r="F114" s="5">
        <v>0.38</v>
      </c>
      <c r="G114" s="5">
        <v>0.43</v>
      </c>
    </row>
    <row r="115" spans="1:7" x14ac:dyDescent="0.3">
      <c r="A115" s="23">
        <v>95372</v>
      </c>
      <c r="B115" s="23" t="s">
        <v>1576</v>
      </c>
      <c r="C115" s="24" t="s">
        <v>1684</v>
      </c>
      <c r="D115" s="23" t="s">
        <v>1503</v>
      </c>
      <c r="E115" s="5">
        <f t="shared" si="1"/>
        <v>0.3</v>
      </c>
      <c r="F115" s="5">
        <v>0.26</v>
      </c>
      <c r="G115" s="5">
        <v>0.3</v>
      </c>
    </row>
    <row r="116" spans="1:7" x14ac:dyDescent="0.3">
      <c r="A116" s="23">
        <v>95378</v>
      </c>
      <c r="B116" s="23" t="s">
        <v>1576</v>
      </c>
      <c r="C116" s="24" t="s">
        <v>1685</v>
      </c>
      <c r="D116" s="23" t="s">
        <v>1503</v>
      </c>
      <c r="E116" s="5">
        <f t="shared" si="1"/>
        <v>0.31</v>
      </c>
      <c r="F116" s="5">
        <v>0.28000000000000003</v>
      </c>
      <c r="G116" s="5">
        <v>0.31</v>
      </c>
    </row>
    <row r="117" spans="1:7" x14ac:dyDescent="0.3">
      <c r="A117" s="23">
        <v>95385</v>
      </c>
      <c r="B117" s="23" t="s">
        <v>1576</v>
      </c>
      <c r="C117" s="24" t="s">
        <v>1686</v>
      </c>
      <c r="D117" s="23" t="s">
        <v>1503</v>
      </c>
      <c r="E117" s="5">
        <f t="shared" si="1"/>
        <v>0.23</v>
      </c>
      <c r="F117" s="5">
        <v>0.2</v>
      </c>
      <c r="G117" s="5">
        <v>0.23</v>
      </c>
    </row>
    <row r="118" spans="1:7" ht="43.2" x14ac:dyDescent="0.3">
      <c r="A118" s="23">
        <v>91919</v>
      </c>
      <c r="B118" s="23" t="s">
        <v>1576</v>
      </c>
      <c r="C118" s="24" t="s">
        <v>1687</v>
      </c>
      <c r="D118" s="23" t="s">
        <v>1278</v>
      </c>
      <c r="E118" s="5">
        <f t="shared" si="1"/>
        <v>22.47</v>
      </c>
      <c r="F118" s="5">
        <v>21.17</v>
      </c>
      <c r="G118" s="5">
        <v>22.47</v>
      </c>
    </row>
    <row r="119" spans="1:7" ht="28.8" x14ac:dyDescent="0.3">
      <c r="A119" s="23" t="s">
        <v>664</v>
      </c>
      <c r="B119" s="23" t="s">
        <v>1570</v>
      </c>
      <c r="C119" s="24" t="s">
        <v>1688</v>
      </c>
      <c r="D119" s="23" t="s">
        <v>1278</v>
      </c>
      <c r="E119" s="5">
        <f t="shared" si="1"/>
        <v>0</v>
      </c>
      <c r="F119" s="5">
        <v>0</v>
      </c>
      <c r="G119" s="5">
        <v>0</v>
      </c>
    </row>
    <row r="120" spans="1:7" ht="28.8" x14ac:dyDescent="0.3">
      <c r="A120" s="23">
        <v>91917</v>
      </c>
      <c r="B120" s="23" t="s">
        <v>1576</v>
      </c>
      <c r="C120" s="24" t="s">
        <v>1689</v>
      </c>
      <c r="D120" s="23" t="s">
        <v>1278</v>
      </c>
      <c r="E120" s="5">
        <f t="shared" si="1"/>
        <v>20.56</v>
      </c>
      <c r="F120" s="5">
        <v>19.260000000000002</v>
      </c>
      <c r="G120" s="5">
        <v>20.56</v>
      </c>
    </row>
    <row r="121" spans="1:7" x14ac:dyDescent="0.3">
      <c r="A121" s="23" t="s">
        <v>543</v>
      </c>
      <c r="B121" s="23" t="s">
        <v>1570</v>
      </c>
      <c r="C121" s="24" t="s">
        <v>1690</v>
      </c>
      <c r="D121" s="23" t="s">
        <v>1503</v>
      </c>
      <c r="E121" s="5">
        <f t="shared" si="1"/>
        <v>0</v>
      </c>
      <c r="F121" s="5">
        <v>0</v>
      </c>
      <c r="G121" s="5">
        <v>0</v>
      </c>
    </row>
    <row r="122" spans="1:7" x14ac:dyDescent="0.3">
      <c r="A122" s="23" t="s">
        <v>547</v>
      </c>
      <c r="B122" s="23" t="s">
        <v>1570</v>
      </c>
      <c r="C122" s="24" t="s">
        <v>1691</v>
      </c>
      <c r="D122" s="23" t="s">
        <v>1503</v>
      </c>
      <c r="E122" s="5">
        <f t="shared" si="1"/>
        <v>0</v>
      </c>
      <c r="F122" s="5">
        <v>0</v>
      </c>
      <c r="G122" s="5">
        <v>0</v>
      </c>
    </row>
    <row r="123" spans="1:7" ht="28.8" x14ac:dyDescent="0.3">
      <c r="A123" s="23">
        <v>93653</v>
      </c>
      <c r="B123" s="23" t="s">
        <v>1576</v>
      </c>
      <c r="C123" s="24" t="s">
        <v>1692</v>
      </c>
      <c r="D123" s="23" t="s">
        <v>1278</v>
      </c>
      <c r="E123" s="5">
        <f t="shared" si="1"/>
        <v>11.38</v>
      </c>
      <c r="F123" s="5">
        <v>11.24</v>
      </c>
      <c r="G123" s="5">
        <v>11.38</v>
      </c>
    </row>
    <row r="124" spans="1:7" ht="28.8" x14ac:dyDescent="0.3">
      <c r="A124" s="23">
        <v>93656</v>
      </c>
      <c r="B124" s="23" t="s">
        <v>1576</v>
      </c>
      <c r="C124" s="24" t="s">
        <v>1693</v>
      </c>
      <c r="D124" s="23" t="s">
        <v>1278</v>
      </c>
      <c r="E124" s="5">
        <f t="shared" si="1"/>
        <v>13.33</v>
      </c>
      <c r="F124" s="5">
        <v>13.06</v>
      </c>
      <c r="G124" s="5">
        <v>13.33</v>
      </c>
    </row>
    <row r="125" spans="1:7" ht="28.8" x14ac:dyDescent="0.3">
      <c r="A125" s="23">
        <v>93659</v>
      </c>
      <c r="B125" s="23" t="s">
        <v>1576</v>
      </c>
      <c r="C125" s="24" t="s">
        <v>1694</v>
      </c>
      <c r="D125" s="23" t="s">
        <v>1278</v>
      </c>
      <c r="E125" s="5">
        <f t="shared" si="1"/>
        <v>24.44</v>
      </c>
      <c r="F125" s="5">
        <v>23.69</v>
      </c>
      <c r="G125" s="5">
        <v>24.44</v>
      </c>
    </row>
    <row r="126" spans="1:7" x14ac:dyDescent="0.3">
      <c r="A126" s="23" t="s">
        <v>630</v>
      </c>
      <c r="B126" s="23" t="s">
        <v>1585</v>
      </c>
      <c r="C126" s="24" t="s">
        <v>1695</v>
      </c>
      <c r="D126" s="23" t="s">
        <v>1278</v>
      </c>
      <c r="E126" s="5">
        <f t="shared" si="1"/>
        <v>87.62</v>
      </c>
      <c r="F126" s="5">
        <v>87.62</v>
      </c>
      <c r="G126" s="5">
        <v>87.62</v>
      </c>
    </row>
    <row r="127" spans="1:7" x14ac:dyDescent="0.3">
      <c r="A127" s="23">
        <v>88264</v>
      </c>
      <c r="B127" s="23" t="s">
        <v>1576</v>
      </c>
      <c r="C127" s="24" t="s">
        <v>1696</v>
      </c>
      <c r="D127" s="23" t="s">
        <v>1503</v>
      </c>
      <c r="E127" s="5">
        <f t="shared" si="1"/>
        <v>27.74</v>
      </c>
      <c r="F127" s="5">
        <v>25.49</v>
      </c>
      <c r="G127" s="5">
        <v>27.74</v>
      </c>
    </row>
    <row r="128" spans="1:7" ht="28.8" x14ac:dyDescent="0.3">
      <c r="A128" s="23">
        <v>91852</v>
      </c>
      <c r="B128" s="23" t="s">
        <v>1576</v>
      </c>
      <c r="C128" s="24" t="s">
        <v>1697</v>
      </c>
      <c r="D128" s="23" t="s">
        <v>1296</v>
      </c>
      <c r="E128" s="5">
        <f t="shared" si="1"/>
        <v>8.8000000000000007</v>
      </c>
      <c r="F128" s="5">
        <v>8.32</v>
      </c>
      <c r="G128" s="5">
        <v>8.8000000000000007</v>
      </c>
    </row>
    <row r="129" spans="1:7" ht="28.8" x14ac:dyDescent="0.3">
      <c r="A129" s="23">
        <v>91872</v>
      </c>
      <c r="B129" s="23" t="s">
        <v>1576</v>
      </c>
      <c r="C129" s="24" t="s">
        <v>1698</v>
      </c>
      <c r="D129" s="23" t="s">
        <v>1296</v>
      </c>
      <c r="E129" s="5">
        <f t="shared" si="1"/>
        <v>18.170000000000002</v>
      </c>
      <c r="F129" s="5">
        <v>17.39</v>
      </c>
      <c r="G129" s="5">
        <v>18.170000000000002</v>
      </c>
    </row>
    <row r="130" spans="1:7" x14ac:dyDescent="0.3">
      <c r="A130" s="23">
        <v>88267</v>
      </c>
      <c r="B130" s="23" t="s">
        <v>1576</v>
      </c>
      <c r="C130" s="24" t="s">
        <v>1699</v>
      </c>
      <c r="D130" s="23" t="s">
        <v>1503</v>
      </c>
      <c r="E130" s="5">
        <f t="shared" si="1"/>
        <v>26.67</v>
      </c>
      <c r="F130" s="5">
        <v>24.46</v>
      </c>
      <c r="G130" s="5">
        <v>26.67</v>
      </c>
    </row>
    <row r="131" spans="1:7" x14ac:dyDescent="0.3">
      <c r="A131" s="23" t="s">
        <v>1139</v>
      </c>
      <c r="B131" s="23" t="s">
        <v>1585</v>
      </c>
      <c r="C131" s="24" t="s">
        <v>1700</v>
      </c>
      <c r="D131" s="23" t="s">
        <v>1503</v>
      </c>
      <c r="E131" s="5">
        <f t="shared" si="1"/>
        <v>3.8</v>
      </c>
      <c r="F131" s="5">
        <v>3.8</v>
      </c>
      <c r="G131" s="5">
        <v>3.8</v>
      </c>
    </row>
    <row r="132" spans="1:7" x14ac:dyDescent="0.3">
      <c r="A132" s="23" t="s">
        <v>1135</v>
      </c>
      <c r="B132" s="23" t="s">
        <v>1585</v>
      </c>
      <c r="C132" s="24" t="s">
        <v>1701</v>
      </c>
      <c r="D132" s="23" t="s">
        <v>1503</v>
      </c>
      <c r="E132" s="5">
        <f t="shared" si="1"/>
        <v>3.87</v>
      </c>
      <c r="F132" s="5">
        <v>3.87</v>
      </c>
      <c r="G132" s="5">
        <v>3.87</v>
      </c>
    </row>
    <row r="133" spans="1:7" x14ac:dyDescent="0.3">
      <c r="A133" s="23" t="s">
        <v>1077</v>
      </c>
      <c r="B133" s="23" t="s">
        <v>1585</v>
      </c>
      <c r="C133" s="24" t="s">
        <v>1702</v>
      </c>
      <c r="D133" s="23" t="s">
        <v>1503</v>
      </c>
      <c r="E133" s="5">
        <f t="shared" si="1"/>
        <v>3.83</v>
      </c>
      <c r="F133" s="5">
        <v>3.83</v>
      </c>
      <c r="G133" s="5">
        <v>3.83</v>
      </c>
    </row>
    <row r="134" spans="1:7" x14ac:dyDescent="0.3">
      <c r="A134" s="23" t="s">
        <v>1147</v>
      </c>
      <c r="B134" s="23" t="s">
        <v>1585</v>
      </c>
      <c r="C134" s="24" t="s">
        <v>1703</v>
      </c>
      <c r="D134" s="23" t="s">
        <v>1503</v>
      </c>
      <c r="E134" s="5">
        <f t="shared" si="1"/>
        <v>3.88</v>
      </c>
      <c r="F134" s="5">
        <v>3.88</v>
      </c>
      <c r="G134" s="5">
        <v>3.88</v>
      </c>
    </row>
    <row r="135" spans="1:7" x14ac:dyDescent="0.3">
      <c r="A135" s="23" t="s">
        <v>1076</v>
      </c>
      <c r="B135" s="23" t="s">
        <v>1585</v>
      </c>
      <c r="C135" s="24" t="s">
        <v>1704</v>
      </c>
      <c r="D135" s="23" t="s">
        <v>1503</v>
      </c>
      <c r="E135" s="5">
        <f t="shared" ref="E135:E198" si="2">IF(FOLHA="COM DESONERAÇÃO",F135,G135)</f>
        <v>3.98</v>
      </c>
      <c r="F135" s="5">
        <v>3.98</v>
      </c>
      <c r="G135" s="5">
        <v>3.98</v>
      </c>
    </row>
    <row r="136" spans="1:7" x14ac:dyDescent="0.3">
      <c r="A136" s="23">
        <v>90776</v>
      </c>
      <c r="B136" s="23" t="s">
        <v>1576</v>
      </c>
      <c r="C136" s="24" t="s">
        <v>1705</v>
      </c>
      <c r="D136" s="23" t="s">
        <v>1503</v>
      </c>
      <c r="E136" s="5">
        <f t="shared" si="2"/>
        <v>35.39</v>
      </c>
      <c r="F136" s="5">
        <v>31.93</v>
      </c>
      <c r="G136" s="5">
        <v>35.39</v>
      </c>
    </row>
    <row r="137" spans="1:7" x14ac:dyDescent="0.3">
      <c r="A137" s="23">
        <v>90777</v>
      </c>
      <c r="B137" s="23" t="s">
        <v>1576</v>
      </c>
      <c r="C137" s="24" t="s">
        <v>1706</v>
      </c>
      <c r="D137" s="23" t="s">
        <v>1503</v>
      </c>
      <c r="E137" s="5">
        <f t="shared" si="2"/>
        <v>129.24</v>
      </c>
      <c r="F137" s="5">
        <v>115.76</v>
      </c>
      <c r="G137" s="5">
        <v>129.24</v>
      </c>
    </row>
    <row r="138" spans="1:7" x14ac:dyDescent="0.3">
      <c r="A138" s="23">
        <v>90779</v>
      </c>
      <c r="B138" s="23" t="s">
        <v>1576</v>
      </c>
      <c r="C138" s="24" t="s">
        <v>1707</v>
      </c>
      <c r="D138" s="23" t="s">
        <v>1503</v>
      </c>
      <c r="E138" s="5">
        <f t="shared" si="2"/>
        <v>152.06</v>
      </c>
      <c r="F138" s="5">
        <v>136.13999999999999</v>
      </c>
      <c r="G138" s="5">
        <v>152.06</v>
      </c>
    </row>
    <row r="139" spans="1:7" ht="43.2" x14ac:dyDescent="0.3">
      <c r="A139" s="23" t="s">
        <v>626</v>
      </c>
      <c r="B139" s="23" t="s">
        <v>1570</v>
      </c>
      <c r="C139" s="24" t="s">
        <v>1708</v>
      </c>
      <c r="D139" s="23" t="s">
        <v>1278</v>
      </c>
      <c r="E139" s="5">
        <f t="shared" si="2"/>
        <v>0</v>
      </c>
      <c r="F139" s="5">
        <v>0</v>
      </c>
      <c r="G139" s="5">
        <v>0</v>
      </c>
    </row>
    <row r="140" spans="1:7" x14ac:dyDescent="0.3">
      <c r="A140" s="23">
        <v>93358</v>
      </c>
      <c r="B140" s="23" t="s">
        <v>1576</v>
      </c>
      <c r="C140" s="24" t="s">
        <v>1709</v>
      </c>
      <c r="D140" s="23" t="s">
        <v>1301</v>
      </c>
      <c r="E140" s="5">
        <f t="shared" si="2"/>
        <v>85.87</v>
      </c>
      <c r="F140" s="5">
        <v>79.510000000000005</v>
      </c>
      <c r="G140" s="5">
        <v>85.87</v>
      </c>
    </row>
    <row r="141" spans="1:7" ht="43.2" x14ac:dyDescent="0.3">
      <c r="A141" s="23">
        <v>94994</v>
      </c>
      <c r="B141" s="23" t="s">
        <v>1576</v>
      </c>
      <c r="C141" s="24" t="s">
        <v>1710</v>
      </c>
      <c r="D141" s="23" t="s">
        <v>1334</v>
      </c>
      <c r="E141" s="5">
        <f t="shared" si="2"/>
        <v>109.53</v>
      </c>
      <c r="F141" s="5">
        <v>107.54</v>
      </c>
      <c r="G141" s="5">
        <v>109.53</v>
      </c>
    </row>
    <row r="142" spans="1:7" x14ac:dyDescent="0.3">
      <c r="A142" s="23">
        <v>92272</v>
      </c>
      <c r="B142" s="23" t="s">
        <v>1576</v>
      </c>
      <c r="C142" s="24" t="s">
        <v>1711</v>
      </c>
      <c r="D142" s="23" t="s">
        <v>1296</v>
      </c>
      <c r="E142" s="5">
        <f t="shared" si="2"/>
        <v>44.24</v>
      </c>
      <c r="F142" s="5">
        <v>43.74</v>
      </c>
      <c r="G142" s="5">
        <v>44.24</v>
      </c>
    </row>
    <row r="143" spans="1:7" ht="28.8" x14ac:dyDescent="0.3">
      <c r="A143" s="23">
        <v>92263</v>
      </c>
      <c r="B143" s="23" t="s">
        <v>1576</v>
      </c>
      <c r="C143" s="24" t="s">
        <v>1712</v>
      </c>
      <c r="D143" s="23" t="s">
        <v>1334</v>
      </c>
      <c r="E143" s="5">
        <f t="shared" si="2"/>
        <v>190.18</v>
      </c>
      <c r="F143" s="5">
        <v>186.43</v>
      </c>
      <c r="G143" s="5">
        <v>190.18</v>
      </c>
    </row>
    <row r="144" spans="1:7" x14ac:dyDescent="0.3">
      <c r="A144" s="23">
        <v>92270</v>
      </c>
      <c r="B144" s="23" t="s">
        <v>1576</v>
      </c>
      <c r="C144" s="24" t="s">
        <v>1713</v>
      </c>
      <c r="D144" s="23" t="s">
        <v>1334</v>
      </c>
      <c r="E144" s="5">
        <f t="shared" si="2"/>
        <v>142.24</v>
      </c>
      <c r="F144" s="5">
        <v>139.54</v>
      </c>
      <c r="G144" s="5">
        <v>142.24</v>
      </c>
    </row>
    <row r="145" spans="1:7" ht="28.8" x14ac:dyDescent="0.3">
      <c r="A145" s="23">
        <v>92265</v>
      </c>
      <c r="B145" s="23" t="s">
        <v>1576</v>
      </c>
      <c r="C145" s="24" t="s">
        <v>1714</v>
      </c>
      <c r="D145" s="23" t="s">
        <v>1334</v>
      </c>
      <c r="E145" s="5">
        <f t="shared" si="2"/>
        <v>138.46</v>
      </c>
      <c r="F145" s="5">
        <v>135.44999999999999</v>
      </c>
      <c r="G145" s="5">
        <v>138.46</v>
      </c>
    </row>
    <row r="146" spans="1:7" ht="28.8" x14ac:dyDescent="0.3">
      <c r="A146" s="23">
        <v>97086</v>
      </c>
      <c r="B146" s="23" t="s">
        <v>1576</v>
      </c>
      <c r="C146" s="24" t="s">
        <v>1715</v>
      </c>
      <c r="D146" s="23" t="s">
        <v>1334</v>
      </c>
      <c r="E146" s="5">
        <f t="shared" si="2"/>
        <v>122.46</v>
      </c>
      <c r="F146" s="5">
        <v>114.86</v>
      </c>
      <c r="G146" s="5">
        <v>122.46</v>
      </c>
    </row>
    <row r="147" spans="1:7" x14ac:dyDescent="0.3">
      <c r="A147" s="23" t="s">
        <v>1082</v>
      </c>
      <c r="B147" s="23" t="s">
        <v>1630</v>
      </c>
      <c r="C147" s="24" t="s">
        <v>1716</v>
      </c>
      <c r="D147" s="23" t="s">
        <v>1334</v>
      </c>
      <c r="E147" s="5">
        <f t="shared" si="2"/>
        <v>83.65</v>
      </c>
      <c r="F147" s="5">
        <v>77.540000000000006</v>
      </c>
      <c r="G147" s="5">
        <v>83.65</v>
      </c>
    </row>
    <row r="148" spans="1:7" ht="28.8" x14ac:dyDescent="0.3">
      <c r="A148" s="23" t="s">
        <v>1087</v>
      </c>
      <c r="B148" s="23" t="s">
        <v>1585</v>
      </c>
      <c r="C148" s="24" t="s">
        <v>1717</v>
      </c>
      <c r="D148" s="23" t="s">
        <v>1334</v>
      </c>
      <c r="E148" s="5">
        <f t="shared" si="2"/>
        <v>80.489999999999995</v>
      </c>
      <c r="F148" s="5">
        <v>80.489999999999995</v>
      </c>
      <c r="G148" s="5">
        <v>80.489999999999995</v>
      </c>
    </row>
    <row r="149" spans="1:7" ht="28.8" x14ac:dyDescent="0.3">
      <c r="A149" s="23" t="s">
        <v>558</v>
      </c>
      <c r="B149" s="23" t="s">
        <v>1570</v>
      </c>
      <c r="C149" s="24" t="s">
        <v>1718</v>
      </c>
      <c r="D149" s="23" t="s">
        <v>1278</v>
      </c>
      <c r="E149" s="5">
        <f t="shared" si="2"/>
        <v>0</v>
      </c>
      <c r="F149" s="5">
        <v>0</v>
      </c>
      <c r="G149" s="5">
        <v>0</v>
      </c>
    </row>
    <row r="150" spans="1:7" x14ac:dyDescent="0.3">
      <c r="A150" s="23" t="s">
        <v>564</v>
      </c>
      <c r="B150" s="23" t="s">
        <v>1570</v>
      </c>
      <c r="C150" s="24" t="s">
        <v>1719</v>
      </c>
      <c r="D150" s="23" t="s">
        <v>1296</v>
      </c>
      <c r="E150" s="5">
        <f t="shared" si="2"/>
        <v>0</v>
      </c>
      <c r="F150" s="5">
        <v>0</v>
      </c>
      <c r="G150" s="5">
        <v>0</v>
      </c>
    </row>
    <row r="151" spans="1:7" ht="28.8" x14ac:dyDescent="0.3">
      <c r="A151" s="23" t="s">
        <v>560</v>
      </c>
      <c r="B151" s="23" t="s">
        <v>1570</v>
      </c>
      <c r="C151" s="24" t="s">
        <v>1720</v>
      </c>
      <c r="D151" s="23" t="s">
        <v>1278</v>
      </c>
      <c r="E151" s="5">
        <f t="shared" si="2"/>
        <v>0</v>
      </c>
      <c r="F151" s="5">
        <v>0</v>
      </c>
      <c r="G151" s="5">
        <v>0</v>
      </c>
    </row>
    <row r="152" spans="1:7" x14ac:dyDescent="0.3">
      <c r="A152" s="23" t="s">
        <v>553</v>
      </c>
      <c r="B152" s="23" t="s">
        <v>1570</v>
      </c>
      <c r="C152" s="24" t="s">
        <v>1721</v>
      </c>
      <c r="D152" s="23" t="s">
        <v>1296</v>
      </c>
      <c r="E152" s="5">
        <f t="shared" si="2"/>
        <v>0</v>
      </c>
      <c r="F152" s="5">
        <v>0</v>
      </c>
      <c r="G152" s="5">
        <v>0</v>
      </c>
    </row>
    <row r="153" spans="1:7" x14ac:dyDescent="0.3">
      <c r="A153" s="23" t="s">
        <v>555</v>
      </c>
      <c r="B153" s="23" t="s">
        <v>1570</v>
      </c>
      <c r="C153" s="24" t="s">
        <v>1722</v>
      </c>
      <c r="D153" s="23" t="s">
        <v>1278</v>
      </c>
      <c r="E153" s="5">
        <f t="shared" si="2"/>
        <v>0</v>
      </c>
      <c r="F153" s="5">
        <v>0</v>
      </c>
      <c r="G153" s="5">
        <v>0</v>
      </c>
    </row>
    <row r="154" spans="1:7" x14ac:dyDescent="0.3">
      <c r="A154" s="23" t="s">
        <v>562</v>
      </c>
      <c r="B154" s="23" t="s">
        <v>1570</v>
      </c>
      <c r="C154" s="24" t="s">
        <v>1723</v>
      </c>
      <c r="D154" s="23" t="s">
        <v>1296</v>
      </c>
      <c r="E154" s="5">
        <f t="shared" si="2"/>
        <v>0</v>
      </c>
      <c r="F154" s="5">
        <v>0</v>
      </c>
      <c r="G154" s="5">
        <v>0</v>
      </c>
    </row>
    <row r="155" spans="1:7" ht="28.8" x14ac:dyDescent="0.3">
      <c r="A155" s="23">
        <v>93288</v>
      </c>
      <c r="B155" s="23" t="s">
        <v>1576</v>
      </c>
      <c r="C155" s="24" t="s">
        <v>1724</v>
      </c>
      <c r="D155" s="23" t="s">
        <v>1617</v>
      </c>
      <c r="E155" s="5">
        <f t="shared" si="2"/>
        <v>184.02</v>
      </c>
      <c r="F155" s="5">
        <v>180.87</v>
      </c>
      <c r="G155" s="5">
        <v>184.02</v>
      </c>
    </row>
    <row r="156" spans="1:7" ht="28.8" x14ac:dyDescent="0.3">
      <c r="A156" s="23">
        <v>93287</v>
      </c>
      <c r="B156" s="23" t="s">
        <v>1576</v>
      </c>
      <c r="C156" s="24" t="s">
        <v>1725</v>
      </c>
      <c r="D156" s="23" t="s">
        <v>1619</v>
      </c>
      <c r="E156" s="5">
        <f t="shared" si="2"/>
        <v>358.49</v>
      </c>
      <c r="F156" s="5">
        <v>355.34</v>
      </c>
      <c r="G156" s="5">
        <v>358.49</v>
      </c>
    </row>
    <row r="157" spans="1:7" ht="28.8" x14ac:dyDescent="0.3">
      <c r="A157" s="23">
        <v>93283</v>
      </c>
      <c r="B157" s="23" t="s">
        <v>1576</v>
      </c>
      <c r="C157" s="24" t="s">
        <v>1726</v>
      </c>
      <c r="D157" s="23" t="s">
        <v>1503</v>
      </c>
      <c r="E157" s="5">
        <f t="shared" si="2"/>
        <v>99.64</v>
      </c>
      <c r="F157" s="5">
        <v>99.64</v>
      </c>
      <c r="G157" s="5">
        <v>99.64</v>
      </c>
    </row>
    <row r="158" spans="1:7" ht="28.8" x14ac:dyDescent="0.3">
      <c r="A158" s="23">
        <v>93296</v>
      </c>
      <c r="B158" s="23" t="s">
        <v>1576</v>
      </c>
      <c r="C158" s="24" t="s">
        <v>1727</v>
      </c>
      <c r="D158" s="23" t="s">
        <v>1503</v>
      </c>
      <c r="E158" s="5">
        <f t="shared" si="2"/>
        <v>14.19</v>
      </c>
      <c r="F158" s="5">
        <v>14.19</v>
      </c>
      <c r="G158" s="5">
        <v>14.19</v>
      </c>
    </row>
    <row r="159" spans="1:7" ht="28.8" x14ac:dyDescent="0.3">
      <c r="A159" s="23">
        <v>93284</v>
      </c>
      <c r="B159" s="23" t="s">
        <v>1576</v>
      </c>
      <c r="C159" s="24" t="s">
        <v>1728</v>
      </c>
      <c r="D159" s="23" t="s">
        <v>1503</v>
      </c>
      <c r="E159" s="5">
        <f t="shared" si="2"/>
        <v>35.119999999999997</v>
      </c>
      <c r="F159" s="5">
        <v>35.119999999999997</v>
      </c>
      <c r="G159" s="5">
        <v>35.119999999999997</v>
      </c>
    </row>
    <row r="160" spans="1:7" ht="28.8" x14ac:dyDescent="0.3">
      <c r="A160" s="23">
        <v>93285</v>
      </c>
      <c r="B160" s="23" t="s">
        <v>1576</v>
      </c>
      <c r="C160" s="24" t="s">
        <v>1729</v>
      </c>
      <c r="D160" s="23" t="s">
        <v>1503</v>
      </c>
      <c r="E160" s="5">
        <f t="shared" si="2"/>
        <v>160.16999999999999</v>
      </c>
      <c r="F160" s="5">
        <v>160.16999999999999</v>
      </c>
      <c r="G160" s="5">
        <v>160.16999999999999</v>
      </c>
    </row>
    <row r="161" spans="1:7" ht="28.8" x14ac:dyDescent="0.3">
      <c r="A161" s="23">
        <v>93286</v>
      </c>
      <c r="B161" s="23" t="s">
        <v>1576</v>
      </c>
      <c r="C161" s="24" t="s">
        <v>1730</v>
      </c>
      <c r="D161" s="23" t="s">
        <v>1503</v>
      </c>
      <c r="E161" s="5">
        <f t="shared" si="2"/>
        <v>14.3</v>
      </c>
      <c r="F161" s="5">
        <v>14.3</v>
      </c>
      <c r="G161" s="5">
        <v>14.3</v>
      </c>
    </row>
    <row r="162" spans="1:7" ht="28.8" x14ac:dyDescent="0.3">
      <c r="A162" s="23">
        <v>96986</v>
      </c>
      <c r="B162" s="23" t="s">
        <v>1576</v>
      </c>
      <c r="C162" s="24" t="s">
        <v>1731</v>
      </c>
      <c r="D162" s="23" t="s">
        <v>1278</v>
      </c>
      <c r="E162" s="5">
        <f t="shared" si="2"/>
        <v>136.6</v>
      </c>
      <c r="F162" s="5">
        <v>135.06</v>
      </c>
      <c r="G162" s="5">
        <v>136.6</v>
      </c>
    </row>
    <row r="163" spans="1:7" ht="28.8" x14ac:dyDescent="0.3">
      <c r="A163" s="23">
        <v>92023</v>
      </c>
      <c r="B163" s="23" t="s">
        <v>1576</v>
      </c>
      <c r="C163" s="24" t="s">
        <v>1732</v>
      </c>
      <c r="D163" s="23" t="s">
        <v>1278</v>
      </c>
      <c r="E163" s="5">
        <f t="shared" si="2"/>
        <v>53.71</v>
      </c>
      <c r="F163" s="5">
        <v>51.26</v>
      </c>
      <c r="G163" s="5">
        <v>53.71</v>
      </c>
    </row>
    <row r="164" spans="1:7" ht="28.8" x14ac:dyDescent="0.3">
      <c r="A164" s="23">
        <v>92022</v>
      </c>
      <c r="B164" s="23" t="s">
        <v>1576</v>
      </c>
      <c r="C164" s="24" t="s">
        <v>1733</v>
      </c>
      <c r="D164" s="23" t="s">
        <v>1278</v>
      </c>
      <c r="E164" s="5">
        <f t="shared" si="2"/>
        <v>42</v>
      </c>
      <c r="F164" s="5">
        <v>40.06</v>
      </c>
      <c r="G164" s="5">
        <v>42</v>
      </c>
    </row>
    <row r="165" spans="1:7" x14ac:dyDescent="0.3">
      <c r="A165" s="23" t="s">
        <v>541</v>
      </c>
      <c r="B165" s="23" t="s">
        <v>1570</v>
      </c>
      <c r="C165" s="24" t="s">
        <v>1734</v>
      </c>
      <c r="D165" s="23" t="s">
        <v>1572</v>
      </c>
      <c r="E165" s="5">
        <f t="shared" si="2"/>
        <v>0</v>
      </c>
      <c r="F165" s="5">
        <v>0</v>
      </c>
      <c r="G165" s="5">
        <v>0</v>
      </c>
    </row>
    <row r="166" spans="1:7" ht="28.8" x14ac:dyDescent="0.3">
      <c r="A166" s="23" t="s">
        <v>1137</v>
      </c>
      <c r="B166" s="23" t="s">
        <v>1585</v>
      </c>
      <c r="C166" s="24" t="s">
        <v>1735</v>
      </c>
      <c r="D166" s="23" t="s">
        <v>1301</v>
      </c>
      <c r="E166" s="5">
        <f t="shared" si="2"/>
        <v>50.6</v>
      </c>
      <c r="F166" s="5">
        <v>50.6</v>
      </c>
      <c r="G166" s="5">
        <v>50.6</v>
      </c>
    </row>
    <row r="167" spans="1:7" ht="28.8" x14ac:dyDescent="0.3">
      <c r="A167" s="23">
        <v>96617</v>
      </c>
      <c r="B167" s="23" t="s">
        <v>1576</v>
      </c>
      <c r="C167" s="24" t="s">
        <v>1736</v>
      </c>
      <c r="D167" s="23" t="s">
        <v>1334</v>
      </c>
      <c r="E167" s="5">
        <f t="shared" si="2"/>
        <v>23.99</v>
      </c>
      <c r="F167" s="5">
        <v>23.27</v>
      </c>
      <c r="G167" s="5">
        <v>23.99</v>
      </c>
    </row>
    <row r="168" spans="1:7" x14ac:dyDescent="0.3">
      <c r="A168" s="23">
        <v>98524</v>
      </c>
      <c r="B168" s="23" t="s">
        <v>1576</v>
      </c>
      <c r="C168" s="24" t="s">
        <v>1737</v>
      </c>
      <c r="D168" s="23" t="s">
        <v>1334</v>
      </c>
      <c r="E168" s="5">
        <f t="shared" si="2"/>
        <v>4.62</v>
      </c>
      <c r="F168" s="5">
        <v>4.28</v>
      </c>
      <c r="G168" s="5">
        <v>4.62</v>
      </c>
    </row>
    <row r="169" spans="1:7" ht="28.8" x14ac:dyDescent="0.3">
      <c r="A169" s="23">
        <v>99059</v>
      </c>
      <c r="B169" s="23" t="s">
        <v>1576</v>
      </c>
      <c r="C169" s="24" t="s">
        <v>1738</v>
      </c>
      <c r="D169" s="23" t="s">
        <v>1296</v>
      </c>
      <c r="E169" s="5">
        <f t="shared" si="2"/>
        <v>60.26</v>
      </c>
      <c r="F169" s="5">
        <v>57.32</v>
      </c>
      <c r="G169" s="5">
        <v>60.26</v>
      </c>
    </row>
    <row r="170" spans="1:7" x14ac:dyDescent="0.3">
      <c r="A170" s="23" t="s">
        <v>521</v>
      </c>
      <c r="B170" s="23" t="s">
        <v>1570</v>
      </c>
      <c r="C170" s="24" t="s">
        <v>1739</v>
      </c>
      <c r="D170" s="23" t="s">
        <v>1278</v>
      </c>
      <c r="E170" s="5">
        <f t="shared" si="2"/>
        <v>0</v>
      </c>
      <c r="F170" s="5">
        <v>0</v>
      </c>
      <c r="G170" s="5">
        <v>0</v>
      </c>
    </row>
    <row r="171" spans="1:7" ht="28.8" x14ac:dyDescent="0.3">
      <c r="A171" s="23" t="s">
        <v>636</v>
      </c>
      <c r="B171" s="23" t="s">
        <v>1570</v>
      </c>
      <c r="C171" s="24" t="s">
        <v>1740</v>
      </c>
      <c r="D171" s="23" t="s">
        <v>1278</v>
      </c>
      <c r="E171" s="5">
        <f t="shared" si="2"/>
        <v>0</v>
      </c>
      <c r="F171" s="5">
        <v>0</v>
      </c>
      <c r="G171" s="5">
        <v>0</v>
      </c>
    </row>
    <row r="172" spans="1:7" x14ac:dyDescent="0.3">
      <c r="A172" s="23" t="s">
        <v>662</v>
      </c>
      <c r="B172" s="23" t="s">
        <v>1570</v>
      </c>
      <c r="C172" s="24" t="s">
        <v>1741</v>
      </c>
      <c r="D172" s="23" t="s">
        <v>1278</v>
      </c>
      <c r="E172" s="5">
        <f t="shared" si="2"/>
        <v>0</v>
      </c>
      <c r="F172" s="5">
        <v>0</v>
      </c>
      <c r="G172" s="5">
        <v>0</v>
      </c>
    </row>
    <row r="173" spans="1:7" ht="43.2" x14ac:dyDescent="0.3">
      <c r="A173" s="23">
        <v>92920</v>
      </c>
      <c r="B173" s="23" t="s">
        <v>1576</v>
      </c>
      <c r="C173" s="24" t="s">
        <v>1742</v>
      </c>
      <c r="D173" s="23" t="s">
        <v>1278</v>
      </c>
      <c r="E173" s="5">
        <f t="shared" si="2"/>
        <v>35.64</v>
      </c>
      <c r="F173" s="5">
        <v>33.729999999999997</v>
      </c>
      <c r="G173" s="5">
        <v>35.64</v>
      </c>
    </row>
    <row r="174" spans="1:7" ht="28.8" x14ac:dyDescent="0.3">
      <c r="A174" s="23">
        <v>91885</v>
      </c>
      <c r="B174" s="23" t="s">
        <v>1576</v>
      </c>
      <c r="C174" s="24" t="s">
        <v>1743</v>
      </c>
      <c r="D174" s="23" t="s">
        <v>1278</v>
      </c>
      <c r="E174" s="5">
        <f t="shared" si="2"/>
        <v>12.65</v>
      </c>
      <c r="F174" s="5">
        <v>11.78</v>
      </c>
      <c r="G174" s="5">
        <v>12.65</v>
      </c>
    </row>
    <row r="175" spans="1:7" ht="28.8" x14ac:dyDescent="0.3">
      <c r="A175" s="23">
        <v>97610</v>
      </c>
      <c r="B175" s="23" t="s">
        <v>1576</v>
      </c>
      <c r="C175" s="24" t="s">
        <v>1744</v>
      </c>
      <c r="D175" s="23" t="s">
        <v>1278</v>
      </c>
      <c r="E175" s="5">
        <f t="shared" si="2"/>
        <v>13.05</v>
      </c>
      <c r="F175" s="5">
        <v>12.59</v>
      </c>
      <c r="G175" s="5">
        <v>13.05</v>
      </c>
    </row>
    <row r="176" spans="1:7" ht="43.2" x14ac:dyDescent="0.3">
      <c r="A176" s="23">
        <v>87530</v>
      </c>
      <c r="B176" s="23" t="s">
        <v>1576</v>
      </c>
      <c r="C176" s="24" t="s">
        <v>1745</v>
      </c>
      <c r="D176" s="23" t="s">
        <v>1334</v>
      </c>
      <c r="E176" s="5">
        <f t="shared" si="2"/>
        <v>40.97</v>
      </c>
      <c r="F176" s="5">
        <v>39</v>
      </c>
      <c r="G176" s="5">
        <v>40.97</v>
      </c>
    </row>
    <row r="177" spans="1:7" x14ac:dyDescent="0.3">
      <c r="A177" s="23">
        <v>88277</v>
      </c>
      <c r="B177" s="23" t="s">
        <v>1576</v>
      </c>
      <c r="C177" s="24" t="s">
        <v>1746</v>
      </c>
      <c r="D177" s="23" t="s">
        <v>1503</v>
      </c>
      <c r="E177" s="5">
        <f t="shared" si="2"/>
        <v>28.44</v>
      </c>
      <c r="F177" s="5">
        <v>25.99</v>
      </c>
      <c r="G177" s="5">
        <v>28.44</v>
      </c>
    </row>
    <row r="178" spans="1:7" ht="43.2" x14ac:dyDescent="0.3">
      <c r="A178" s="23">
        <v>92415</v>
      </c>
      <c r="B178" s="23" t="s">
        <v>1576</v>
      </c>
      <c r="C178" s="24" t="s">
        <v>1747</v>
      </c>
      <c r="D178" s="23" t="s">
        <v>1334</v>
      </c>
      <c r="E178" s="5">
        <f t="shared" si="2"/>
        <v>149.22</v>
      </c>
      <c r="F178" s="5">
        <v>144.41999999999999</v>
      </c>
      <c r="G178" s="5">
        <v>149.22</v>
      </c>
    </row>
    <row r="179" spans="1:7" ht="43.2" x14ac:dyDescent="0.3">
      <c r="A179" s="23">
        <v>92451</v>
      </c>
      <c r="B179" s="23" t="s">
        <v>1576</v>
      </c>
      <c r="C179" s="24" t="s">
        <v>1748</v>
      </c>
      <c r="D179" s="23" t="s">
        <v>1334</v>
      </c>
      <c r="E179" s="5">
        <f t="shared" si="2"/>
        <v>209.77</v>
      </c>
      <c r="F179" s="5">
        <v>204.18</v>
      </c>
      <c r="G179" s="5">
        <v>209.77</v>
      </c>
    </row>
    <row r="180" spans="1:7" ht="28.8" x14ac:dyDescent="0.3">
      <c r="A180" s="23">
        <v>88377</v>
      </c>
      <c r="B180" s="23" t="s">
        <v>1576</v>
      </c>
      <c r="C180" s="24" t="s">
        <v>1749</v>
      </c>
      <c r="D180" s="23" t="s">
        <v>1503</v>
      </c>
      <c r="E180" s="5">
        <f t="shared" si="2"/>
        <v>27.09</v>
      </c>
      <c r="F180" s="5">
        <v>24.78</v>
      </c>
      <c r="G180" s="5">
        <v>27.09</v>
      </c>
    </row>
    <row r="181" spans="1:7" x14ac:dyDescent="0.3">
      <c r="A181" s="23">
        <v>88296</v>
      </c>
      <c r="B181" s="23" t="s">
        <v>1576</v>
      </c>
      <c r="C181" s="24" t="s">
        <v>1750</v>
      </c>
      <c r="D181" s="23" t="s">
        <v>1503</v>
      </c>
      <c r="E181" s="5">
        <f t="shared" si="2"/>
        <v>35.07</v>
      </c>
      <c r="F181" s="5">
        <v>31.92</v>
      </c>
      <c r="G181" s="5">
        <v>35.07</v>
      </c>
    </row>
    <row r="182" spans="1:7" x14ac:dyDescent="0.3">
      <c r="A182" s="23">
        <v>88297</v>
      </c>
      <c r="B182" s="23" t="s">
        <v>1576</v>
      </c>
      <c r="C182" s="24" t="s">
        <v>1751</v>
      </c>
      <c r="D182" s="23" t="s">
        <v>1503</v>
      </c>
      <c r="E182" s="5">
        <f t="shared" si="2"/>
        <v>27.16</v>
      </c>
      <c r="F182" s="5">
        <v>24.85</v>
      </c>
      <c r="G182" s="5">
        <v>27.16</v>
      </c>
    </row>
    <row r="183" spans="1:7" ht="28.8" x14ac:dyDescent="0.3">
      <c r="A183" s="23">
        <v>103800</v>
      </c>
      <c r="B183" s="23" t="s">
        <v>1576</v>
      </c>
      <c r="C183" s="24" t="s">
        <v>1752</v>
      </c>
      <c r="D183" s="23" t="s">
        <v>1301</v>
      </c>
      <c r="E183" s="5">
        <f t="shared" si="2"/>
        <v>680.59</v>
      </c>
      <c r="F183" s="5">
        <v>664.59</v>
      </c>
      <c r="G183" s="5">
        <v>680.59</v>
      </c>
    </row>
    <row r="184" spans="1:7" x14ac:dyDescent="0.3">
      <c r="A184" s="23">
        <v>88309</v>
      </c>
      <c r="B184" s="23" t="s">
        <v>1576</v>
      </c>
      <c r="C184" s="24" t="s">
        <v>1753</v>
      </c>
      <c r="D184" s="23" t="s">
        <v>1503</v>
      </c>
      <c r="E184" s="5">
        <f t="shared" si="2"/>
        <v>27.39</v>
      </c>
      <c r="F184" s="5">
        <v>25.17</v>
      </c>
      <c r="G184" s="5">
        <v>27.39</v>
      </c>
    </row>
    <row r="185" spans="1:7" x14ac:dyDescent="0.3">
      <c r="A185" s="23" t="s">
        <v>528</v>
      </c>
      <c r="B185" s="23" t="s">
        <v>1570</v>
      </c>
      <c r="C185" s="24" t="s">
        <v>1754</v>
      </c>
      <c r="D185" s="23" t="s">
        <v>1278</v>
      </c>
      <c r="E185" s="5">
        <f t="shared" si="2"/>
        <v>0</v>
      </c>
      <c r="F185" s="5">
        <v>0</v>
      </c>
      <c r="G185" s="5">
        <v>0</v>
      </c>
    </row>
    <row r="186" spans="1:7" x14ac:dyDescent="0.3">
      <c r="A186" s="23" t="s">
        <v>530</v>
      </c>
      <c r="B186" s="23" t="s">
        <v>1570</v>
      </c>
      <c r="C186" s="24" t="s">
        <v>1755</v>
      </c>
      <c r="D186" s="23" t="s">
        <v>1296</v>
      </c>
      <c r="E186" s="5">
        <f t="shared" si="2"/>
        <v>0</v>
      </c>
      <c r="F186" s="5">
        <v>0</v>
      </c>
      <c r="G186" s="5">
        <v>0</v>
      </c>
    </row>
    <row r="187" spans="1:7" x14ac:dyDescent="0.3">
      <c r="A187" s="23" t="s">
        <v>537</v>
      </c>
      <c r="B187" s="23" t="s">
        <v>1570</v>
      </c>
      <c r="C187" s="24" t="s">
        <v>1756</v>
      </c>
      <c r="D187" s="23" t="s">
        <v>1296</v>
      </c>
      <c r="E187" s="5">
        <f t="shared" si="2"/>
        <v>0</v>
      </c>
      <c r="F187" s="5">
        <v>0</v>
      </c>
      <c r="G187" s="5">
        <v>0</v>
      </c>
    </row>
    <row r="188" spans="1:7" x14ac:dyDescent="0.3">
      <c r="A188" s="23" t="s">
        <v>535</v>
      </c>
      <c r="B188" s="23" t="s">
        <v>1570</v>
      </c>
      <c r="C188" s="24" t="s">
        <v>1757</v>
      </c>
      <c r="D188" s="23" t="s">
        <v>1296</v>
      </c>
      <c r="E188" s="5">
        <f t="shared" si="2"/>
        <v>0</v>
      </c>
      <c r="F188" s="5">
        <v>0</v>
      </c>
      <c r="G188" s="5">
        <v>0</v>
      </c>
    </row>
    <row r="189" spans="1:7" x14ac:dyDescent="0.3">
      <c r="A189" s="23" t="s">
        <v>533</v>
      </c>
      <c r="B189" s="23" t="s">
        <v>1570</v>
      </c>
      <c r="C189" s="24" t="s">
        <v>1758</v>
      </c>
      <c r="D189" s="23" t="s">
        <v>1296</v>
      </c>
      <c r="E189" s="5">
        <f t="shared" si="2"/>
        <v>0</v>
      </c>
      <c r="F189" s="5">
        <v>0</v>
      </c>
      <c r="G189" s="5">
        <v>0</v>
      </c>
    </row>
    <row r="190" spans="1:7" x14ac:dyDescent="0.3">
      <c r="A190" s="23">
        <v>88310</v>
      </c>
      <c r="B190" s="23" t="s">
        <v>1576</v>
      </c>
      <c r="C190" s="24" t="s">
        <v>1759</v>
      </c>
      <c r="D190" s="23" t="s">
        <v>1503</v>
      </c>
      <c r="E190" s="5">
        <f t="shared" si="2"/>
        <v>29.07</v>
      </c>
      <c r="F190" s="5">
        <v>26.86</v>
      </c>
      <c r="G190" s="5">
        <v>29.07</v>
      </c>
    </row>
    <row r="191" spans="1:7" ht="43.2" x14ac:dyDescent="0.3">
      <c r="A191" s="23">
        <v>100758</v>
      </c>
      <c r="B191" s="23" t="s">
        <v>1576</v>
      </c>
      <c r="C191" s="24" t="s">
        <v>1760</v>
      </c>
      <c r="D191" s="23" t="s">
        <v>1334</v>
      </c>
      <c r="E191" s="5">
        <f t="shared" si="2"/>
        <v>50.27</v>
      </c>
      <c r="F191" s="5">
        <v>47.27</v>
      </c>
      <c r="G191" s="5">
        <v>50.27</v>
      </c>
    </row>
    <row r="192" spans="1:7" x14ac:dyDescent="0.3">
      <c r="A192" s="23" t="s">
        <v>1086</v>
      </c>
      <c r="B192" s="23" t="s">
        <v>1570</v>
      </c>
      <c r="C192" s="24" t="s">
        <v>1761</v>
      </c>
      <c r="D192" s="23" t="s">
        <v>1342</v>
      </c>
      <c r="E192" s="5">
        <f t="shared" si="2"/>
        <v>0</v>
      </c>
      <c r="F192" s="5">
        <v>0</v>
      </c>
      <c r="G192" s="5">
        <v>0</v>
      </c>
    </row>
    <row r="193" spans="1:7" ht="28.8" x14ac:dyDescent="0.3">
      <c r="A193" s="23">
        <v>101749</v>
      </c>
      <c r="B193" s="23" t="s">
        <v>1576</v>
      </c>
      <c r="C193" s="24" t="s">
        <v>1762</v>
      </c>
      <c r="D193" s="23" t="s">
        <v>1334</v>
      </c>
      <c r="E193" s="5">
        <f t="shared" si="2"/>
        <v>64.739999999999995</v>
      </c>
      <c r="F193" s="5">
        <v>62.95</v>
      </c>
      <c r="G193" s="5">
        <v>64.739999999999995</v>
      </c>
    </row>
    <row r="194" spans="1:7" x14ac:dyDescent="0.3">
      <c r="A194" s="23" t="s">
        <v>517</v>
      </c>
      <c r="B194" s="23" t="s">
        <v>1570</v>
      </c>
      <c r="C194" s="24" t="s">
        <v>1763</v>
      </c>
      <c r="D194" s="23" t="s">
        <v>1334</v>
      </c>
      <c r="E194" s="5">
        <f t="shared" si="2"/>
        <v>0</v>
      </c>
      <c r="F194" s="5">
        <v>0</v>
      </c>
      <c r="G194" s="5">
        <v>0</v>
      </c>
    </row>
    <row r="195" spans="1:7" ht="43.2" x14ac:dyDescent="0.3">
      <c r="A195" s="23" t="s">
        <v>633</v>
      </c>
      <c r="B195" s="23" t="s">
        <v>1570</v>
      </c>
      <c r="C195" s="24" t="s">
        <v>1764</v>
      </c>
      <c r="D195" s="23" t="s">
        <v>1278</v>
      </c>
      <c r="E195" s="5">
        <f t="shared" si="2"/>
        <v>0</v>
      </c>
      <c r="F195" s="5">
        <v>0</v>
      </c>
      <c r="G195" s="5">
        <v>0</v>
      </c>
    </row>
    <row r="196" spans="1:7" x14ac:dyDescent="0.3">
      <c r="A196" s="23">
        <v>100701</v>
      </c>
      <c r="B196" s="23" t="s">
        <v>1576</v>
      </c>
      <c r="C196" s="24" t="s">
        <v>1765</v>
      </c>
      <c r="D196" s="23" t="s">
        <v>1334</v>
      </c>
      <c r="E196" s="5">
        <f t="shared" si="2"/>
        <v>415.3</v>
      </c>
      <c r="F196" s="5">
        <v>413.75</v>
      </c>
      <c r="G196" s="5">
        <v>415.3</v>
      </c>
    </row>
    <row r="197" spans="1:7" ht="28.8" x14ac:dyDescent="0.3">
      <c r="A197" s="23" t="s">
        <v>614</v>
      </c>
      <c r="B197" s="23" t="s">
        <v>1630</v>
      </c>
      <c r="C197" s="24" t="s">
        <v>1766</v>
      </c>
      <c r="D197" s="23" t="s">
        <v>1334</v>
      </c>
      <c r="E197" s="5">
        <f t="shared" si="2"/>
        <v>491.21</v>
      </c>
      <c r="F197" s="5">
        <v>487.12</v>
      </c>
      <c r="G197" s="5">
        <v>491.21</v>
      </c>
    </row>
    <row r="198" spans="1:7" ht="28.8" x14ac:dyDescent="0.3">
      <c r="A198" s="23">
        <v>101877</v>
      </c>
      <c r="B198" s="23" t="s">
        <v>1576</v>
      </c>
      <c r="C198" s="24" t="s">
        <v>1767</v>
      </c>
      <c r="D198" s="23" t="s">
        <v>1278</v>
      </c>
      <c r="E198" s="5">
        <f t="shared" si="2"/>
        <v>63.51</v>
      </c>
      <c r="F198" s="5">
        <v>62.29</v>
      </c>
      <c r="G198" s="5">
        <v>63.51</v>
      </c>
    </row>
    <row r="199" spans="1:7" ht="28.8" x14ac:dyDescent="0.3">
      <c r="A199" s="23">
        <v>90456</v>
      </c>
      <c r="B199" s="23" t="s">
        <v>1576</v>
      </c>
      <c r="C199" s="24" t="s">
        <v>1768</v>
      </c>
      <c r="D199" s="23" t="s">
        <v>1278</v>
      </c>
      <c r="E199" s="5">
        <f t="shared" ref="E199:E226" si="3">IF(FOLHA="COM DESONERAÇÃO",F199,G199)</f>
        <v>5.3</v>
      </c>
      <c r="F199" s="5">
        <v>4.88</v>
      </c>
      <c r="G199" s="5">
        <v>5.3</v>
      </c>
    </row>
    <row r="200" spans="1:7" ht="28.8" x14ac:dyDescent="0.3">
      <c r="A200" s="23">
        <v>90447</v>
      </c>
      <c r="B200" s="23" t="s">
        <v>1576</v>
      </c>
      <c r="C200" s="24" t="s">
        <v>1769</v>
      </c>
      <c r="D200" s="23" t="s">
        <v>1296</v>
      </c>
      <c r="E200" s="5">
        <f t="shared" si="3"/>
        <v>8.01</v>
      </c>
      <c r="F200" s="5">
        <v>7.37</v>
      </c>
      <c r="G200" s="5">
        <v>8.01</v>
      </c>
    </row>
    <row r="201" spans="1:7" x14ac:dyDescent="0.3">
      <c r="A201" s="23" t="s">
        <v>640</v>
      </c>
      <c r="B201" s="23" t="s">
        <v>1570</v>
      </c>
      <c r="C201" s="24" t="s">
        <v>1770</v>
      </c>
      <c r="D201" s="23" t="s">
        <v>1572</v>
      </c>
      <c r="E201" s="5">
        <f t="shared" si="3"/>
        <v>0</v>
      </c>
      <c r="F201" s="5">
        <v>0</v>
      </c>
      <c r="G201" s="5">
        <v>0</v>
      </c>
    </row>
    <row r="202" spans="1:7" ht="28.8" x14ac:dyDescent="0.3">
      <c r="A202" s="23">
        <v>94497</v>
      </c>
      <c r="B202" s="23" t="s">
        <v>1576</v>
      </c>
      <c r="C202" s="24" t="s">
        <v>1771</v>
      </c>
      <c r="D202" s="23" t="s">
        <v>1278</v>
      </c>
      <c r="E202" s="5">
        <f t="shared" si="3"/>
        <v>118.8</v>
      </c>
      <c r="F202" s="5">
        <v>117.78</v>
      </c>
      <c r="G202" s="5">
        <v>118.8</v>
      </c>
    </row>
    <row r="203" spans="1:7" x14ac:dyDescent="0.3">
      <c r="A203" s="23" t="s">
        <v>549</v>
      </c>
      <c r="B203" s="23" t="s">
        <v>1570</v>
      </c>
      <c r="C203" s="24" t="s">
        <v>1772</v>
      </c>
      <c r="D203" s="23" t="s">
        <v>1278</v>
      </c>
      <c r="E203" s="5">
        <f t="shared" si="3"/>
        <v>0</v>
      </c>
      <c r="F203" s="5">
        <v>0</v>
      </c>
      <c r="G203" s="5">
        <v>0</v>
      </c>
    </row>
    <row r="204" spans="1:7" ht="57.6" x14ac:dyDescent="0.3">
      <c r="A204" s="23" t="s">
        <v>649</v>
      </c>
      <c r="B204" s="23" t="s">
        <v>1570</v>
      </c>
      <c r="C204" s="24" t="s">
        <v>1797</v>
      </c>
      <c r="D204" s="23" t="s">
        <v>1342</v>
      </c>
      <c r="E204" s="5">
        <f t="shared" si="3"/>
        <v>0</v>
      </c>
      <c r="F204" s="5">
        <v>0</v>
      </c>
      <c r="G204" s="5">
        <v>0</v>
      </c>
    </row>
    <row r="205" spans="1:7" ht="28.8" x14ac:dyDescent="0.3">
      <c r="A205" s="23">
        <v>91693</v>
      </c>
      <c r="B205" s="23" t="s">
        <v>1576</v>
      </c>
      <c r="C205" s="24" t="s">
        <v>1773</v>
      </c>
      <c r="D205" s="23" t="s">
        <v>1617</v>
      </c>
      <c r="E205" s="5">
        <f t="shared" si="3"/>
        <v>27.3</v>
      </c>
      <c r="F205" s="5">
        <v>24.99</v>
      </c>
      <c r="G205" s="5">
        <v>27.3</v>
      </c>
    </row>
    <row r="206" spans="1:7" ht="28.8" x14ac:dyDescent="0.3">
      <c r="A206" s="23">
        <v>91692</v>
      </c>
      <c r="B206" s="23" t="s">
        <v>1576</v>
      </c>
      <c r="C206" s="24" t="s">
        <v>1774</v>
      </c>
      <c r="D206" s="23" t="s">
        <v>1619</v>
      </c>
      <c r="E206" s="5">
        <f t="shared" si="3"/>
        <v>28.87</v>
      </c>
      <c r="F206" s="5">
        <v>26.56</v>
      </c>
      <c r="G206" s="5">
        <v>28.87</v>
      </c>
    </row>
    <row r="207" spans="1:7" ht="28.8" x14ac:dyDescent="0.3">
      <c r="A207" s="23">
        <v>91688</v>
      </c>
      <c r="B207" s="23" t="s">
        <v>1576</v>
      </c>
      <c r="C207" s="24" t="s">
        <v>1775</v>
      </c>
      <c r="D207" s="23" t="s">
        <v>1503</v>
      </c>
      <c r="E207" s="5">
        <f t="shared" si="3"/>
        <v>0.12</v>
      </c>
      <c r="F207" s="5">
        <v>0.12</v>
      </c>
      <c r="G207" s="5">
        <v>0.12</v>
      </c>
    </row>
    <row r="208" spans="1:7" ht="28.8" x14ac:dyDescent="0.3">
      <c r="A208" s="23">
        <v>91689</v>
      </c>
      <c r="B208" s="23" t="s">
        <v>1576</v>
      </c>
      <c r="C208" s="24" t="s">
        <v>1776</v>
      </c>
      <c r="D208" s="23" t="s">
        <v>1503</v>
      </c>
      <c r="E208" s="5">
        <f t="shared" si="3"/>
        <v>0.02</v>
      </c>
      <c r="F208" s="5">
        <v>0.02</v>
      </c>
      <c r="G208" s="5">
        <v>0.02</v>
      </c>
    </row>
    <row r="209" spans="1:7" ht="28.8" x14ac:dyDescent="0.3">
      <c r="A209" s="23">
        <v>91690</v>
      </c>
      <c r="B209" s="23" t="s">
        <v>1576</v>
      </c>
      <c r="C209" s="24" t="s">
        <v>1777</v>
      </c>
      <c r="D209" s="23" t="s">
        <v>1503</v>
      </c>
      <c r="E209" s="5">
        <f t="shared" si="3"/>
        <v>0.08</v>
      </c>
      <c r="F209" s="5">
        <v>0.08</v>
      </c>
      <c r="G209" s="5">
        <v>0.08</v>
      </c>
    </row>
    <row r="210" spans="1:7" ht="28.8" x14ac:dyDescent="0.3">
      <c r="A210" s="23">
        <v>91691</v>
      </c>
      <c r="B210" s="23" t="s">
        <v>1576</v>
      </c>
      <c r="C210" s="24" t="s">
        <v>1778</v>
      </c>
      <c r="D210" s="23" t="s">
        <v>1503</v>
      </c>
      <c r="E210" s="5">
        <f t="shared" si="3"/>
        <v>1.49</v>
      </c>
      <c r="F210" s="5">
        <v>1.49</v>
      </c>
      <c r="G210" s="5">
        <v>1.49</v>
      </c>
    </row>
    <row r="211" spans="1:7" x14ac:dyDescent="0.3">
      <c r="A211" s="23">
        <v>88316</v>
      </c>
      <c r="B211" s="23" t="s">
        <v>1576</v>
      </c>
      <c r="C211" s="24" t="s">
        <v>1779</v>
      </c>
      <c r="D211" s="23" t="s">
        <v>1503</v>
      </c>
      <c r="E211" s="5">
        <f t="shared" si="3"/>
        <v>21.71</v>
      </c>
      <c r="F211" s="5">
        <v>20.100000000000001</v>
      </c>
      <c r="G211" s="5">
        <v>21.71</v>
      </c>
    </row>
    <row r="212" spans="1:7" ht="28.8" x14ac:dyDescent="0.3">
      <c r="A212" s="23">
        <v>91946</v>
      </c>
      <c r="B212" s="23" t="s">
        <v>1576</v>
      </c>
      <c r="C212" s="24" t="s">
        <v>1780</v>
      </c>
      <c r="D212" s="23" t="s">
        <v>1278</v>
      </c>
      <c r="E212" s="5">
        <f t="shared" si="3"/>
        <v>11.71</v>
      </c>
      <c r="F212" s="5">
        <v>11.2</v>
      </c>
      <c r="G212" s="5">
        <v>11.71</v>
      </c>
    </row>
    <row r="213" spans="1:7" x14ac:dyDescent="0.3">
      <c r="A213" s="23">
        <v>88323</v>
      </c>
      <c r="B213" s="23" t="s">
        <v>1576</v>
      </c>
      <c r="C213" s="24" t="s">
        <v>1781</v>
      </c>
      <c r="D213" s="23" t="s">
        <v>1503</v>
      </c>
      <c r="E213" s="5">
        <f t="shared" si="3"/>
        <v>26.71</v>
      </c>
      <c r="F213" s="5">
        <v>24.55</v>
      </c>
      <c r="G213" s="5">
        <v>26.71</v>
      </c>
    </row>
    <row r="214" spans="1:7" ht="28.8" x14ac:dyDescent="0.3">
      <c r="A214" s="23" t="s">
        <v>599</v>
      </c>
      <c r="B214" s="23" t="s">
        <v>1570</v>
      </c>
      <c r="C214" s="24" t="s">
        <v>1782</v>
      </c>
      <c r="D214" s="23" t="s">
        <v>1783</v>
      </c>
      <c r="E214" s="5">
        <f t="shared" si="3"/>
        <v>0</v>
      </c>
      <c r="F214" s="5">
        <v>0</v>
      </c>
      <c r="G214" s="5">
        <v>0</v>
      </c>
    </row>
    <row r="215" spans="1:7" x14ac:dyDescent="0.3">
      <c r="A215" s="23" t="s">
        <v>545</v>
      </c>
      <c r="B215" s="23" t="s">
        <v>1570</v>
      </c>
      <c r="C215" s="24" t="s">
        <v>1784</v>
      </c>
      <c r="D215" s="23" t="s">
        <v>1503</v>
      </c>
      <c r="E215" s="5">
        <f t="shared" si="3"/>
        <v>0</v>
      </c>
      <c r="F215" s="5">
        <v>0</v>
      </c>
      <c r="G215" s="5">
        <v>0</v>
      </c>
    </row>
    <row r="216" spans="1:7" ht="28.8" x14ac:dyDescent="0.3">
      <c r="A216" s="23">
        <v>86906</v>
      </c>
      <c r="B216" s="23" t="s">
        <v>1576</v>
      </c>
      <c r="C216" s="24" t="s">
        <v>1785</v>
      </c>
      <c r="D216" s="23" t="s">
        <v>1278</v>
      </c>
      <c r="E216" s="5">
        <f t="shared" si="3"/>
        <v>81.239999999999995</v>
      </c>
      <c r="F216" s="5">
        <v>80.97</v>
      </c>
      <c r="G216" s="5">
        <v>81.239999999999995</v>
      </c>
    </row>
    <row r="217" spans="1:7" ht="28.8" x14ac:dyDescent="0.3">
      <c r="A217" s="23" t="s">
        <v>601</v>
      </c>
      <c r="B217" s="23" t="s">
        <v>1570</v>
      </c>
      <c r="C217" s="24" t="s">
        <v>1786</v>
      </c>
      <c r="D217" s="23" t="s">
        <v>1783</v>
      </c>
      <c r="E217" s="5">
        <f t="shared" si="3"/>
        <v>0</v>
      </c>
      <c r="F217" s="5">
        <v>0</v>
      </c>
      <c r="G217" s="5">
        <v>0</v>
      </c>
    </row>
    <row r="218" spans="1:7" x14ac:dyDescent="0.3">
      <c r="A218" s="23" t="s">
        <v>523</v>
      </c>
      <c r="B218" s="23" t="s">
        <v>1570</v>
      </c>
      <c r="C218" s="24" t="s">
        <v>1787</v>
      </c>
      <c r="D218" s="23" t="s">
        <v>1485</v>
      </c>
      <c r="E218" s="5">
        <f t="shared" si="3"/>
        <v>0</v>
      </c>
      <c r="F218" s="5">
        <v>0</v>
      </c>
      <c r="G218" s="5">
        <v>0</v>
      </c>
    </row>
    <row r="219" spans="1:7" ht="28.8" x14ac:dyDescent="0.3">
      <c r="A219" s="23" t="s">
        <v>666</v>
      </c>
      <c r="B219" s="23" t="s">
        <v>1570</v>
      </c>
      <c r="C219" s="24" t="s">
        <v>1788</v>
      </c>
      <c r="D219" s="23" t="s">
        <v>1296</v>
      </c>
      <c r="E219" s="5">
        <f t="shared" si="3"/>
        <v>0</v>
      </c>
      <c r="F219" s="5">
        <v>0</v>
      </c>
      <c r="G219" s="5">
        <v>0</v>
      </c>
    </row>
    <row r="220" spans="1:7" ht="28.8" x14ac:dyDescent="0.3">
      <c r="A220" s="23" t="s">
        <v>660</v>
      </c>
      <c r="B220" s="23" t="s">
        <v>1570</v>
      </c>
      <c r="C220" s="24" t="s">
        <v>1789</v>
      </c>
      <c r="D220" s="23" t="s">
        <v>1278</v>
      </c>
      <c r="E220" s="5">
        <f t="shared" si="3"/>
        <v>0</v>
      </c>
      <c r="F220" s="5">
        <v>0</v>
      </c>
      <c r="G220" s="5">
        <v>0</v>
      </c>
    </row>
    <row r="221" spans="1:7" ht="28.8" x14ac:dyDescent="0.3">
      <c r="A221" s="23">
        <v>90587</v>
      </c>
      <c r="B221" s="23" t="s">
        <v>1576</v>
      </c>
      <c r="C221" s="24" t="s">
        <v>1790</v>
      </c>
      <c r="D221" s="23" t="s">
        <v>1617</v>
      </c>
      <c r="E221" s="5">
        <f t="shared" si="3"/>
        <v>0.48</v>
      </c>
      <c r="F221" s="5">
        <v>0.48</v>
      </c>
      <c r="G221" s="5">
        <v>0.48</v>
      </c>
    </row>
    <row r="222" spans="1:7" ht="28.8" x14ac:dyDescent="0.3">
      <c r="A222" s="23">
        <v>90586</v>
      </c>
      <c r="B222" s="23" t="s">
        <v>1576</v>
      </c>
      <c r="C222" s="24" t="s">
        <v>1791</v>
      </c>
      <c r="D222" s="23" t="s">
        <v>1619</v>
      </c>
      <c r="E222" s="5">
        <f t="shared" si="3"/>
        <v>1.36</v>
      </c>
      <c r="F222" s="5">
        <v>1.36</v>
      </c>
      <c r="G222" s="5">
        <v>1.36</v>
      </c>
    </row>
    <row r="223" spans="1:7" ht="28.8" x14ac:dyDescent="0.3">
      <c r="A223" s="23">
        <v>90582</v>
      </c>
      <c r="B223" s="23" t="s">
        <v>1576</v>
      </c>
      <c r="C223" s="24" t="s">
        <v>1792</v>
      </c>
      <c r="D223" s="23" t="s">
        <v>1503</v>
      </c>
      <c r="E223" s="5">
        <f t="shared" si="3"/>
        <v>0.39</v>
      </c>
      <c r="F223" s="5">
        <v>0.39</v>
      </c>
      <c r="G223" s="5">
        <v>0.39</v>
      </c>
    </row>
    <row r="224" spans="1:7" ht="28.8" x14ac:dyDescent="0.3">
      <c r="A224" s="23">
        <v>90583</v>
      </c>
      <c r="B224" s="23" t="s">
        <v>1576</v>
      </c>
      <c r="C224" s="24" t="s">
        <v>1793</v>
      </c>
      <c r="D224" s="23" t="s">
        <v>1503</v>
      </c>
      <c r="E224" s="5">
        <f t="shared" si="3"/>
        <v>0.09</v>
      </c>
      <c r="F224" s="5">
        <v>0.09</v>
      </c>
      <c r="G224" s="5">
        <v>0.09</v>
      </c>
    </row>
    <row r="225" spans="1:7" ht="28.8" x14ac:dyDescent="0.3">
      <c r="A225" s="23">
        <v>90584</v>
      </c>
      <c r="B225" s="23" t="s">
        <v>1576</v>
      </c>
      <c r="C225" s="24" t="s">
        <v>1794</v>
      </c>
      <c r="D225" s="23" t="s">
        <v>1503</v>
      </c>
      <c r="E225" s="5">
        <f t="shared" si="3"/>
        <v>0.31</v>
      </c>
      <c r="F225" s="5">
        <v>0.31</v>
      </c>
      <c r="G225" s="5">
        <v>0.31</v>
      </c>
    </row>
    <row r="226" spans="1:7" ht="28.8" x14ac:dyDescent="0.3">
      <c r="A226" s="23">
        <v>90585</v>
      </c>
      <c r="B226" s="23" t="s">
        <v>1576</v>
      </c>
      <c r="C226" s="24" t="s">
        <v>1795</v>
      </c>
      <c r="D226" s="23" t="s">
        <v>1503</v>
      </c>
      <c r="E226" s="5">
        <f t="shared" si="3"/>
        <v>0.56999999999999995</v>
      </c>
      <c r="F226" s="5">
        <v>0.56999999999999995</v>
      </c>
      <c r="G226" s="5">
        <v>0.56999999999999995</v>
      </c>
    </row>
  </sheetData>
  <mergeCells count="3">
    <mergeCell ref="A1:G1"/>
    <mergeCell ref="A2:G2"/>
    <mergeCell ref="A3:G3"/>
  </mergeCells>
  <pageMargins left="0.78740157480314965" right="0.39370078740157483" top="1.1811023622047243" bottom="0.78740157480314965" header="0.31496062992125984" footer="0.31496062992125984"/>
  <pageSetup paperSize="9" fitToHeight="0"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232CA3-DD51-445C-B9B3-40BBC41CDC7D}">
  <sheetPr>
    <pageSetUpPr fitToPage="1"/>
  </sheetPr>
  <dimension ref="A1:F118"/>
  <sheetViews>
    <sheetView showGridLines="0" workbookViewId="0">
      <selection activeCell="E17" sqref="E17"/>
    </sheetView>
  </sheetViews>
  <sheetFormatPr defaultRowHeight="15" customHeight="1" x14ac:dyDescent="0.3"/>
  <cols>
    <col min="1" max="1" width="12" bestFit="1" customWidth="1"/>
    <col min="2" max="2" width="81.44140625" bestFit="1" customWidth="1"/>
    <col min="3" max="6" width="14.77734375" bestFit="1" customWidth="1"/>
  </cols>
  <sheetData>
    <row r="1" spans="1:6" ht="15" customHeight="1" x14ac:dyDescent="0.3">
      <c r="A1" s="33" t="str">
        <f>CIDADE</f>
        <v>MUNICÍPIO DE LAGOA DO PIAUI - PI</v>
      </c>
      <c r="B1" s="33"/>
      <c r="C1" s="33"/>
      <c r="D1" s="33"/>
      <c r="E1" s="33"/>
      <c r="F1" s="33"/>
    </row>
    <row r="2" spans="1:6" ht="15" customHeight="1" x14ac:dyDescent="0.3">
      <c r="A2" s="33" t="str">
        <f>OBRA</f>
        <v>IMPLANTAÇÃO DE 5 (CINCO) SISTEMAS SIMPLIFICADOS DE ABASTECIMENTO DE ÁGUA ZONA RURAL DO MUNICÍPIO DE LAGOA DO PIAUÍ-PI</v>
      </c>
      <c r="B2" s="33"/>
      <c r="C2" s="33"/>
      <c r="D2" s="33"/>
      <c r="E2" s="33"/>
      <c r="F2" s="33"/>
    </row>
    <row r="3" spans="1:6" ht="15" customHeight="1" x14ac:dyDescent="0.3">
      <c r="A3" s="33" t="s">
        <v>18</v>
      </c>
      <c r="B3" s="33"/>
      <c r="C3" s="33"/>
      <c r="D3" s="33"/>
      <c r="E3" s="33"/>
      <c r="F3" s="33"/>
    </row>
    <row r="5" spans="1:6" ht="15" customHeight="1" x14ac:dyDescent="0.3">
      <c r="A5" s="1" t="s">
        <v>3</v>
      </c>
      <c r="B5" s="7" t="str">
        <f>FONTE&amp;FOLHA</f>
        <v>SINAPI PI 06/2025, SEINFRA CE 28, ORSE SE 05/2025, SEM DESONERAÇÃO</v>
      </c>
      <c r="C5" s="1" t="s">
        <v>10</v>
      </c>
      <c r="D5" s="8">
        <f>LEI</f>
        <v>113.33</v>
      </c>
      <c r="E5" s="1" t="s">
        <v>19</v>
      </c>
      <c r="F5" s="8">
        <f>BDI</f>
        <v>24.84</v>
      </c>
    </row>
    <row r="6" spans="1:6" ht="15" customHeight="1" x14ac:dyDescent="0.3">
      <c r="A6" s="4" t="s">
        <v>20</v>
      </c>
      <c r="B6" s="34" t="s">
        <v>21</v>
      </c>
      <c r="C6" s="36"/>
      <c r="D6" s="35"/>
      <c r="E6" s="4" t="s">
        <v>15</v>
      </c>
      <c r="F6" s="4" t="s">
        <v>22</v>
      </c>
    </row>
    <row r="7" spans="1:6" ht="15" customHeight="1" x14ac:dyDescent="0.3">
      <c r="A7" s="9">
        <v>1</v>
      </c>
      <c r="B7" s="52" t="str">
        <f>VLOOKUP(A7,ORCAMENTO!$A:$I,2,FALSE)</f>
        <v>SERVIÇOS PRELIMINARES</v>
      </c>
      <c r="C7" s="53"/>
      <c r="D7" s="54"/>
      <c r="E7" s="10">
        <f>VLOOKUP(A7,ORCAMENTO!$A:$I,9,FALSE)</f>
        <v>45878.19</v>
      </c>
      <c r="F7" s="11">
        <f t="shared" ref="F7:F38" si="0">E7/$E$118</f>
        <v>6.3035147506896594E-2</v>
      </c>
    </row>
    <row r="8" spans="1:6" ht="15" customHeight="1" x14ac:dyDescent="0.3">
      <c r="A8" s="9">
        <v>2</v>
      </c>
      <c r="B8" s="52" t="str">
        <f>VLOOKUP(A8,ORCAMENTO!$A:$I,2,FALSE)</f>
        <v>COMUNIDADE SANTA MARIA</v>
      </c>
      <c r="C8" s="53"/>
      <c r="D8" s="54"/>
      <c r="E8" s="10">
        <f>VLOOKUP(A8,ORCAMENTO!$A:$I,9,FALSE)</f>
        <v>136489.88000000003</v>
      </c>
      <c r="F8" s="11">
        <f t="shared" si="0"/>
        <v>0.18753267552618394</v>
      </c>
    </row>
    <row r="9" spans="1:6" ht="15" customHeight="1" x14ac:dyDescent="0.3">
      <c r="A9" s="12" t="s">
        <v>23</v>
      </c>
      <c r="B9" s="46" t="str">
        <f>VLOOKUP(A9,ORCAMENTO!$A:$I,2,FALSE)</f>
        <v>PERFURAÇÃO DE POÇO TUBULAR</v>
      </c>
      <c r="C9" s="47"/>
      <c r="D9" s="48"/>
      <c r="E9" s="13">
        <f>VLOOKUP(A9,ORCAMENTO!$A:$I,9,FALSE)</f>
        <v>64914.180000000008</v>
      </c>
      <c r="F9" s="14">
        <f t="shared" si="0"/>
        <v>8.918998137435756E-2</v>
      </c>
    </row>
    <row r="10" spans="1:6" ht="15" customHeight="1" x14ac:dyDescent="0.3">
      <c r="A10" s="12" t="s">
        <v>24</v>
      </c>
      <c r="B10" s="46" t="str">
        <f>VLOOKUP(A10,ORCAMENTO!$A:$I,2,FALSE)</f>
        <v>AQUISIÇÃO E INSTALAÇÃO DE EQUIPAMENTOS DE BOMBEAMENTO, RECALQUE/BARRILETE E CONEXÕES PARA INTERLIGAÇÃO COM RESERVATÓRIO</v>
      </c>
      <c r="C10" s="47"/>
      <c r="D10" s="48"/>
      <c r="E10" s="13">
        <f>VLOOKUP(A10,ORCAMENTO!$A:$I,9,FALSE)</f>
        <v>19625.579999999998</v>
      </c>
      <c r="F10" s="14">
        <f t="shared" si="0"/>
        <v>2.6964911436314281E-2</v>
      </c>
    </row>
    <row r="11" spans="1:6" ht="15" customHeight="1" x14ac:dyDescent="0.3">
      <c r="A11" s="12" t="s">
        <v>25</v>
      </c>
      <c r="B11" s="46" t="str">
        <f>VLOOKUP(A11,ORCAMENTO!$A:$I,2,FALSE)</f>
        <v>CONSTRUÇÃO DA CASA DE COMANDO</v>
      </c>
      <c r="C11" s="47"/>
      <c r="D11" s="48"/>
      <c r="E11" s="13">
        <f>VLOOKUP(A11,ORCAMENTO!$A:$I,9,FALSE)</f>
        <v>25565.510000000002</v>
      </c>
      <c r="F11" s="14">
        <f t="shared" si="0"/>
        <v>3.5126182919139576E-2</v>
      </c>
    </row>
    <row r="12" spans="1:6" ht="15" customHeight="1" x14ac:dyDescent="0.3">
      <c r="A12" s="15" t="s">
        <v>26</v>
      </c>
      <c r="B12" s="49" t="str">
        <f>VLOOKUP(A12,ORCAMENTO!$A:$I,2,FALSE)</f>
        <v>SERVIÇOS PRELIMINARES</v>
      </c>
      <c r="C12" s="50"/>
      <c r="D12" s="51"/>
      <c r="E12" s="16">
        <f>VLOOKUP(A12,ORCAMENTO!$A:$I,9,FALSE)</f>
        <v>3887.12</v>
      </c>
      <c r="F12" s="17">
        <f t="shared" si="0"/>
        <v>5.3407770135876732E-3</v>
      </c>
    </row>
    <row r="13" spans="1:6" ht="15" customHeight="1" x14ac:dyDescent="0.3">
      <c r="A13" s="15" t="s">
        <v>27</v>
      </c>
      <c r="B13" s="49" t="str">
        <f>VLOOKUP(A13,ORCAMENTO!$A:$I,2,FALSE)</f>
        <v>MOVIMENTO DE TERRA</v>
      </c>
      <c r="C13" s="50"/>
      <c r="D13" s="51"/>
      <c r="E13" s="16">
        <f>VLOOKUP(A13,ORCAMENTO!$A:$I,9,FALSE)</f>
        <v>165.09</v>
      </c>
      <c r="F13" s="17">
        <f t="shared" si="0"/>
        <v>2.2682831432350661E-4</v>
      </c>
    </row>
    <row r="14" spans="1:6" ht="15" customHeight="1" x14ac:dyDescent="0.3">
      <c r="A14" s="15" t="s">
        <v>28</v>
      </c>
      <c r="B14" s="49" t="str">
        <f>VLOOKUP(A14,ORCAMENTO!$A:$I,2,FALSE)</f>
        <v>INFRAESTRUTURA</v>
      </c>
      <c r="C14" s="50"/>
      <c r="D14" s="51"/>
      <c r="E14" s="16">
        <f>VLOOKUP(A14,ORCAMENTO!$A:$I,9,FALSE)</f>
        <v>1275.5</v>
      </c>
      <c r="F14" s="17">
        <f t="shared" si="0"/>
        <v>1.7524956988287158E-3</v>
      </c>
    </row>
    <row r="15" spans="1:6" ht="15" customHeight="1" x14ac:dyDescent="0.3">
      <c r="A15" s="15" t="s">
        <v>29</v>
      </c>
      <c r="B15" s="49" t="str">
        <f>VLOOKUP(A15,ORCAMENTO!$A:$I,2,FALSE)</f>
        <v>SUPERESTRUTURA</v>
      </c>
      <c r="C15" s="50"/>
      <c r="D15" s="51"/>
      <c r="E15" s="16">
        <f>VLOOKUP(A15,ORCAMENTO!$A:$I,9,FALSE)</f>
        <v>1347.9099999999999</v>
      </c>
      <c r="F15" s="17">
        <f t="shared" si="0"/>
        <v>1.8519846941655932E-3</v>
      </c>
    </row>
    <row r="16" spans="1:6" ht="15" customHeight="1" x14ac:dyDescent="0.3">
      <c r="A16" s="15" t="s">
        <v>30</v>
      </c>
      <c r="B16" s="49" t="str">
        <f>VLOOKUP(A16,ORCAMENTO!$A:$I,2,FALSE)</f>
        <v>VEDAÇÃO VERTICAL</v>
      </c>
      <c r="C16" s="50"/>
      <c r="D16" s="51"/>
      <c r="E16" s="16">
        <f>VLOOKUP(A16,ORCAMENTO!$A:$I,9,FALSE)</f>
        <v>2674.92</v>
      </c>
      <c r="F16" s="17">
        <f t="shared" si="0"/>
        <v>3.6752534650810729E-3</v>
      </c>
    </row>
    <row r="17" spans="1:6" ht="15" customHeight="1" x14ac:dyDescent="0.3">
      <c r="A17" s="15" t="s">
        <v>31</v>
      </c>
      <c r="B17" s="49" t="str">
        <f>VLOOKUP(A17,ORCAMENTO!$A:$I,2,FALSE)</f>
        <v>COBERTURA</v>
      </c>
      <c r="C17" s="50"/>
      <c r="D17" s="51"/>
      <c r="E17" s="95" t="s">
        <v>516</v>
      </c>
      <c r="F17" s="17" t="e">
        <f t="shared" si="0"/>
        <v>#VALUE!</v>
      </c>
    </row>
    <row r="18" spans="1:6" ht="15" customHeight="1" x14ac:dyDescent="0.3">
      <c r="A18" s="15" t="s">
        <v>32</v>
      </c>
      <c r="B18" s="49" t="str">
        <f>VLOOKUP(A18,ORCAMENTO!$A:$I,2,FALSE)</f>
        <v>PISO</v>
      </c>
      <c r="C18" s="50"/>
      <c r="D18" s="51"/>
      <c r="E18" s="16">
        <f>VLOOKUP(A18,ORCAMENTO!$A:$I,9,FALSE)</f>
        <v>1208.82</v>
      </c>
      <c r="F18" s="17">
        <f t="shared" si="0"/>
        <v>1.6608795379522761E-3</v>
      </c>
    </row>
    <row r="19" spans="1:6" ht="15" customHeight="1" x14ac:dyDescent="0.3">
      <c r="A19" s="15" t="s">
        <v>33</v>
      </c>
      <c r="B19" s="49" t="str">
        <f>VLOOKUP(A19,ORCAMENTO!$A:$I,2,FALSE)</f>
        <v>REVESTIMENTO</v>
      </c>
      <c r="C19" s="50"/>
      <c r="D19" s="51"/>
      <c r="E19" s="16">
        <f>VLOOKUP(A19,ORCAMENTO!$A:$I,9,FALSE)</f>
        <v>2396.75</v>
      </c>
      <c r="F19" s="17">
        <f t="shared" si="0"/>
        <v>3.2930568923306347E-3</v>
      </c>
    </row>
    <row r="20" spans="1:6" ht="15" customHeight="1" x14ac:dyDescent="0.3">
      <c r="A20" s="15" t="s">
        <v>34</v>
      </c>
      <c r="B20" s="49" t="str">
        <f>VLOOKUP(A20,ORCAMENTO!$A:$I,2,FALSE)</f>
        <v>ESQUADRIAS</v>
      </c>
      <c r="C20" s="50"/>
      <c r="D20" s="51"/>
      <c r="E20" s="16">
        <f>VLOOKUP(A20,ORCAMENTO!$A:$I,9,FALSE)</f>
        <v>4550.21</v>
      </c>
      <c r="F20" s="17">
        <f t="shared" si="0"/>
        <v>6.2518412024832699E-3</v>
      </c>
    </row>
    <row r="21" spans="1:6" ht="15" customHeight="1" x14ac:dyDescent="0.3">
      <c r="A21" s="15" t="s">
        <v>35</v>
      </c>
      <c r="B21" s="49" t="str">
        <f>VLOOKUP(A21,ORCAMENTO!$A:$I,2,FALSE)</f>
        <v>PINTURA</v>
      </c>
      <c r="C21" s="50"/>
      <c r="D21" s="51"/>
      <c r="E21" s="16">
        <f>VLOOKUP(A21,ORCAMENTO!$A:$I,9,FALSE)</f>
        <v>663.11</v>
      </c>
      <c r="F21" s="17">
        <f t="shared" si="0"/>
        <v>9.1109166824798889E-4</v>
      </c>
    </row>
    <row r="22" spans="1:6" ht="15" customHeight="1" x14ac:dyDescent="0.3">
      <c r="A22" s="15" t="s">
        <v>36</v>
      </c>
      <c r="B22" s="49" t="str">
        <f>VLOOKUP(A22,ORCAMENTO!$A:$I,2,FALSE)</f>
        <v>CERCAMENTO</v>
      </c>
      <c r="C22" s="50"/>
      <c r="D22" s="51"/>
      <c r="E22" s="16">
        <f>VLOOKUP(A22,ORCAMENTO!$A:$I,9,FALSE)</f>
        <v>6063.93</v>
      </c>
      <c r="F22" s="17">
        <f t="shared" si="0"/>
        <v>8.3316434676584984E-3</v>
      </c>
    </row>
    <row r="23" spans="1:6" ht="15" customHeight="1" x14ac:dyDescent="0.3">
      <c r="A23" s="12" t="s">
        <v>37</v>
      </c>
      <c r="B23" s="46" t="str">
        <f>VLOOKUP(A23,ORCAMENTO!$A:$I,2,FALSE)</f>
        <v>INSTALAÇÕES ELÉTRICAS</v>
      </c>
      <c r="C23" s="47"/>
      <c r="D23" s="48"/>
      <c r="E23" s="13">
        <f>VLOOKUP(A23,ORCAMENTO!$A:$I,9,FALSE)</f>
        <v>1853.2700000000002</v>
      </c>
      <c r="F23" s="14">
        <f t="shared" si="0"/>
        <v>2.5463329704181062E-3</v>
      </c>
    </row>
    <row r="24" spans="1:6" ht="15" customHeight="1" x14ac:dyDescent="0.3">
      <c r="A24" s="12" t="s">
        <v>38</v>
      </c>
      <c r="B24" s="46" t="str">
        <f>VLOOKUP(A24,ORCAMENTO!$A:$I,2,FALSE)</f>
        <v>ADUÇÃO</v>
      </c>
      <c r="C24" s="47"/>
      <c r="D24" s="48"/>
      <c r="E24" s="13">
        <f>VLOOKUP(A24,ORCAMENTO!$A:$I,9,FALSE)</f>
        <v>1351.72</v>
      </c>
      <c r="F24" s="14">
        <f t="shared" si="0"/>
        <v>1.8572195107963557E-3</v>
      </c>
    </row>
    <row r="25" spans="1:6" ht="15" customHeight="1" x14ac:dyDescent="0.3">
      <c r="A25" s="15" t="s">
        <v>39</v>
      </c>
      <c r="B25" s="49" t="str">
        <f>VLOOKUP(A25,ORCAMENTO!$A:$I,2,FALSE)</f>
        <v>MOVIMENTO DE TERRA</v>
      </c>
      <c r="C25" s="50"/>
      <c r="D25" s="51"/>
      <c r="E25" s="16">
        <f>VLOOKUP(A25,ORCAMENTO!$A:$I,9,FALSE)</f>
        <v>423.02</v>
      </c>
      <c r="F25" s="17">
        <f t="shared" si="0"/>
        <v>5.8121578245278187E-4</v>
      </c>
    </row>
    <row r="26" spans="1:6" ht="15" customHeight="1" x14ac:dyDescent="0.3">
      <c r="A26" s="15" t="s">
        <v>40</v>
      </c>
      <c r="B26" s="49" t="str">
        <f>VLOOKUP(A26,ORCAMENTO!$A:$I,2,FALSE)</f>
        <v>INFRAESTRUTURA</v>
      </c>
      <c r="C26" s="50"/>
      <c r="D26" s="51"/>
      <c r="E26" s="16">
        <f>VLOOKUP(A26,ORCAMENTO!$A:$I,9,FALSE)</f>
        <v>265.19</v>
      </c>
      <c r="F26" s="17">
        <f t="shared" si="0"/>
        <v>3.6436247304773588E-4</v>
      </c>
    </row>
    <row r="27" spans="1:6" ht="15" customHeight="1" x14ac:dyDescent="0.3">
      <c r="A27" s="15" t="s">
        <v>41</v>
      </c>
      <c r="B27" s="49" t="str">
        <f>VLOOKUP(A27,ORCAMENTO!$A:$I,2,FALSE)</f>
        <v>INSTALAÇÕES HIDRÁULICAS</v>
      </c>
      <c r="C27" s="50"/>
      <c r="D27" s="51"/>
      <c r="E27" s="16">
        <f>VLOOKUP(A27,ORCAMENTO!$A:$I,9,FALSE)</f>
        <v>663.51</v>
      </c>
      <c r="F27" s="17">
        <f t="shared" si="0"/>
        <v>9.1164125529583789E-4</v>
      </c>
    </row>
    <row r="28" spans="1:6" ht="15" customHeight="1" x14ac:dyDescent="0.3">
      <c r="A28" s="12" t="s">
        <v>42</v>
      </c>
      <c r="B28" s="46" t="str">
        <f>VLOOKUP(A28,ORCAMENTO!$A:$I,2,FALSE)</f>
        <v>RESERVAÇÃO</v>
      </c>
      <c r="C28" s="47"/>
      <c r="D28" s="48"/>
      <c r="E28" s="13">
        <f>VLOOKUP(A28,ORCAMENTO!$A:$I,9,FALSE)</f>
        <v>20347.62</v>
      </c>
      <c r="F28" s="14">
        <f t="shared" si="0"/>
        <v>2.7956971016386636E-2</v>
      </c>
    </row>
    <row r="29" spans="1:6" ht="15" customHeight="1" x14ac:dyDescent="0.3">
      <c r="A29" s="12" t="s">
        <v>43</v>
      </c>
      <c r="B29" s="46" t="str">
        <f>VLOOKUP(A29,ORCAMENTO!$A:$I,2,FALSE)</f>
        <v>DISTRIBUIÇÃO (CHAFARIZ)</v>
      </c>
      <c r="C29" s="47"/>
      <c r="D29" s="48"/>
      <c r="E29" s="13">
        <f>VLOOKUP(A29,ORCAMENTO!$A:$I,9,FALSE)</f>
        <v>2831.9999999999995</v>
      </c>
      <c r="F29" s="14">
        <f t="shared" si="0"/>
        <v>3.8910762987714015E-3</v>
      </c>
    </row>
    <row r="30" spans="1:6" ht="15" customHeight="1" x14ac:dyDescent="0.3">
      <c r="A30" s="9">
        <v>3</v>
      </c>
      <c r="B30" s="52" t="str">
        <f>VLOOKUP(A30,ORCAMENTO!$A:$I,2,FALSE)</f>
        <v>COMUNIDADE JACAÚNA</v>
      </c>
      <c r="C30" s="53"/>
      <c r="D30" s="54"/>
      <c r="E30" s="10">
        <f>VLOOKUP(A30,ORCAMENTO!$A:$I,9,FALSE)</f>
        <v>136044.70000000001</v>
      </c>
      <c r="F30" s="11">
        <f t="shared" si="0"/>
        <v>0.1869210126212803</v>
      </c>
    </row>
    <row r="31" spans="1:6" ht="15" customHeight="1" x14ac:dyDescent="0.3">
      <c r="A31" s="12" t="s">
        <v>44</v>
      </c>
      <c r="B31" s="46" t="str">
        <f>VLOOKUP(A31,ORCAMENTO!$A:$I,2,FALSE)</f>
        <v>PERFURAÇÃO DE POÇO TUBULAR</v>
      </c>
      <c r="C31" s="47"/>
      <c r="D31" s="48"/>
      <c r="E31" s="13">
        <f>VLOOKUP(A31,ORCAMENTO!$A:$I,9,FALSE)</f>
        <v>64469</v>
      </c>
      <c r="F31" s="14">
        <f t="shared" si="0"/>
        <v>8.8578318469453923E-2</v>
      </c>
    </row>
    <row r="32" spans="1:6" ht="15" customHeight="1" x14ac:dyDescent="0.3">
      <c r="A32" s="12" t="s">
        <v>45</v>
      </c>
      <c r="B32" s="46" t="str">
        <f>VLOOKUP(A32,ORCAMENTO!$A:$I,2,FALSE)</f>
        <v>AQUISIÇÃO E INSTALAÇÃO DE EQUIPAMENTOS DE BOMBEAMENTO, RECALQUE/BARRILETE E CONEXÕES PARA INTERLIGAÇÃO COM RESERVATÓRIO</v>
      </c>
      <c r="C32" s="47"/>
      <c r="D32" s="48"/>
      <c r="E32" s="13">
        <f>VLOOKUP(A32,ORCAMENTO!$A:$I,9,FALSE)</f>
        <v>19625.579999999998</v>
      </c>
      <c r="F32" s="14">
        <f t="shared" si="0"/>
        <v>2.6964911436314281E-2</v>
      </c>
    </row>
    <row r="33" spans="1:6" ht="15" customHeight="1" x14ac:dyDescent="0.3">
      <c r="A33" s="12" t="s">
        <v>46</v>
      </c>
      <c r="B33" s="46" t="str">
        <f>VLOOKUP(A33,ORCAMENTO!$A:$I,2,FALSE)</f>
        <v>CONSTRUÇÃO DA CASA DE COMANDO</v>
      </c>
      <c r="C33" s="47"/>
      <c r="D33" s="48"/>
      <c r="E33" s="13">
        <f>VLOOKUP(A33,ORCAMENTO!$A:$I,9,FALSE)</f>
        <v>25565.510000000002</v>
      </c>
      <c r="F33" s="14">
        <f t="shared" si="0"/>
        <v>3.5126182919139576E-2</v>
      </c>
    </row>
    <row r="34" spans="1:6" ht="15" customHeight="1" x14ac:dyDescent="0.3">
      <c r="A34" s="15" t="s">
        <v>47</v>
      </c>
      <c r="B34" s="49" t="str">
        <f>VLOOKUP(A34,ORCAMENTO!$A:$I,2,FALSE)</f>
        <v>SERVIÇOS PRELIMINARES</v>
      </c>
      <c r="C34" s="50"/>
      <c r="D34" s="51"/>
      <c r="E34" s="16">
        <f>VLOOKUP(A34,ORCAMENTO!$A:$I,9,FALSE)</f>
        <v>3887.12</v>
      </c>
      <c r="F34" s="17">
        <f t="shared" si="0"/>
        <v>5.3407770135876732E-3</v>
      </c>
    </row>
    <row r="35" spans="1:6" ht="15" customHeight="1" x14ac:dyDescent="0.3">
      <c r="A35" s="15" t="s">
        <v>48</v>
      </c>
      <c r="B35" s="49" t="str">
        <f>VLOOKUP(A35,ORCAMENTO!$A:$I,2,FALSE)</f>
        <v>MOVIMENTO DE TERRA</v>
      </c>
      <c r="C35" s="50"/>
      <c r="D35" s="51"/>
      <c r="E35" s="16">
        <f>VLOOKUP(A35,ORCAMENTO!$A:$I,9,FALSE)</f>
        <v>165.09</v>
      </c>
      <c r="F35" s="17">
        <f t="shared" si="0"/>
        <v>2.2682831432350661E-4</v>
      </c>
    </row>
    <row r="36" spans="1:6" ht="15" customHeight="1" x14ac:dyDescent="0.3">
      <c r="A36" s="15" t="s">
        <v>49</v>
      </c>
      <c r="B36" s="49" t="str">
        <f>VLOOKUP(A36,ORCAMENTO!$A:$I,2,FALSE)</f>
        <v>INFRAESTRUTURA</v>
      </c>
      <c r="C36" s="50"/>
      <c r="D36" s="51"/>
      <c r="E36" s="16">
        <f>VLOOKUP(A36,ORCAMENTO!$A:$I,9,FALSE)</f>
        <v>1275.5</v>
      </c>
      <c r="F36" s="17">
        <f t="shared" si="0"/>
        <v>1.7524956988287158E-3</v>
      </c>
    </row>
    <row r="37" spans="1:6" ht="15" customHeight="1" x14ac:dyDescent="0.3">
      <c r="A37" s="15" t="s">
        <v>50</v>
      </c>
      <c r="B37" s="49" t="str">
        <f>VLOOKUP(A37,ORCAMENTO!$A:$I,2,FALSE)</f>
        <v>SUPERESTRUTURA</v>
      </c>
      <c r="C37" s="50"/>
      <c r="D37" s="51"/>
      <c r="E37" s="16">
        <f>VLOOKUP(A37,ORCAMENTO!$A:$I,9,FALSE)</f>
        <v>1347.9099999999999</v>
      </c>
      <c r="F37" s="17">
        <f t="shared" si="0"/>
        <v>1.8519846941655932E-3</v>
      </c>
    </row>
    <row r="38" spans="1:6" ht="15" customHeight="1" x14ac:dyDescent="0.3">
      <c r="A38" s="15" t="s">
        <v>51</v>
      </c>
      <c r="B38" s="49" t="str">
        <f>VLOOKUP(A38,ORCAMENTO!$A:$I,2,FALSE)</f>
        <v>VEDAÇÃO VERTICAL</v>
      </c>
      <c r="C38" s="50"/>
      <c r="D38" s="51"/>
      <c r="E38" s="16">
        <f>VLOOKUP(A38,ORCAMENTO!$A:$I,9,FALSE)</f>
        <v>2674.92</v>
      </c>
      <c r="F38" s="17">
        <f t="shared" si="0"/>
        <v>3.6752534650810729E-3</v>
      </c>
    </row>
    <row r="39" spans="1:6" ht="15" customHeight="1" x14ac:dyDescent="0.3">
      <c r="A39" s="15" t="s">
        <v>52</v>
      </c>
      <c r="B39" s="49" t="str">
        <f>VLOOKUP(A39,ORCAMENTO!$A:$I,2,FALSE)</f>
        <v>COBERTURA</v>
      </c>
      <c r="C39" s="50"/>
      <c r="D39" s="51"/>
      <c r="E39" s="16">
        <f>VLOOKUP(A39,ORCAMENTO!$A:$I,9,FALSE)</f>
        <v>1332.15</v>
      </c>
      <c r="F39" s="17">
        <f t="shared" ref="F39:F70" si="1">E39/$E$118</f>
        <v>1.8303309644803402E-3</v>
      </c>
    </row>
    <row r="40" spans="1:6" ht="15" customHeight="1" x14ac:dyDescent="0.3">
      <c r="A40" s="15" t="s">
        <v>53</v>
      </c>
      <c r="B40" s="49" t="str">
        <f>VLOOKUP(A40,ORCAMENTO!$A:$I,2,FALSE)</f>
        <v>PISO</v>
      </c>
      <c r="C40" s="50"/>
      <c r="D40" s="51"/>
      <c r="E40" s="16">
        <f>VLOOKUP(A40,ORCAMENTO!$A:$I,9,FALSE)</f>
        <v>1208.82</v>
      </c>
      <c r="F40" s="17">
        <f t="shared" si="1"/>
        <v>1.6608795379522761E-3</v>
      </c>
    </row>
    <row r="41" spans="1:6" ht="15" customHeight="1" x14ac:dyDescent="0.3">
      <c r="A41" s="15" t="s">
        <v>54</v>
      </c>
      <c r="B41" s="49" t="str">
        <f>VLOOKUP(A41,ORCAMENTO!$A:$I,2,FALSE)</f>
        <v>REVESTIMENTO</v>
      </c>
      <c r="C41" s="50"/>
      <c r="D41" s="51"/>
      <c r="E41" s="16">
        <f>VLOOKUP(A41,ORCAMENTO!$A:$I,9,FALSE)</f>
        <v>2396.75</v>
      </c>
      <c r="F41" s="17">
        <f t="shared" si="1"/>
        <v>3.2930568923306347E-3</v>
      </c>
    </row>
    <row r="42" spans="1:6" ht="15" customHeight="1" x14ac:dyDescent="0.3">
      <c r="A42" s="15" t="s">
        <v>55</v>
      </c>
      <c r="B42" s="49" t="str">
        <f>VLOOKUP(A42,ORCAMENTO!$A:$I,2,FALSE)</f>
        <v>ESQUADRIAS</v>
      </c>
      <c r="C42" s="50"/>
      <c r="D42" s="51"/>
      <c r="E42" s="16">
        <f>VLOOKUP(A42,ORCAMENTO!$A:$I,9,FALSE)</f>
        <v>4550.21</v>
      </c>
      <c r="F42" s="17">
        <f t="shared" si="1"/>
        <v>6.2518412024832699E-3</v>
      </c>
    </row>
    <row r="43" spans="1:6" ht="15" customHeight="1" x14ac:dyDescent="0.3">
      <c r="A43" s="15" t="s">
        <v>56</v>
      </c>
      <c r="B43" s="49" t="str">
        <f>VLOOKUP(A43,ORCAMENTO!$A:$I,2,FALSE)</f>
        <v>PINTURA</v>
      </c>
      <c r="C43" s="50"/>
      <c r="D43" s="51"/>
      <c r="E43" s="16">
        <f>VLOOKUP(A43,ORCAMENTO!$A:$I,9,FALSE)</f>
        <v>663.11</v>
      </c>
      <c r="F43" s="17">
        <f t="shared" si="1"/>
        <v>9.1109166824798889E-4</v>
      </c>
    </row>
    <row r="44" spans="1:6" ht="15" customHeight="1" x14ac:dyDescent="0.3">
      <c r="A44" s="15" t="s">
        <v>57</v>
      </c>
      <c r="B44" s="49" t="str">
        <f>VLOOKUP(A44,ORCAMENTO!$A:$I,2,FALSE)</f>
        <v>CERCAMENTO</v>
      </c>
      <c r="C44" s="50"/>
      <c r="D44" s="51"/>
      <c r="E44" s="16">
        <f>VLOOKUP(A44,ORCAMENTO!$A:$I,9,FALSE)</f>
        <v>6063.93</v>
      </c>
      <c r="F44" s="17">
        <f t="shared" si="1"/>
        <v>8.3316434676584984E-3</v>
      </c>
    </row>
    <row r="45" spans="1:6" ht="15" customHeight="1" x14ac:dyDescent="0.3">
      <c r="A45" s="12" t="s">
        <v>58</v>
      </c>
      <c r="B45" s="46" t="str">
        <f>VLOOKUP(A45,ORCAMENTO!$A:$I,2,FALSE)</f>
        <v>INSTALAÇÕES ELÉTRICAS</v>
      </c>
      <c r="C45" s="47"/>
      <c r="D45" s="48"/>
      <c r="E45" s="13">
        <f>VLOOKUP(A45,ORCAMENTO!$A:$I,9,FALSE)</f>
        <v>1853.2700000000002</v>
      </c>
      <c r="F45" s="14">
        <f t="shared" si="1"/>
        <v>2.5463329704181062E-3</v>
      </c>
    </row>
    <row r="46" spans="1:6" ht="15" customHeight="1" x14ac:dyDescent="0.3">
      <c r="A46" s="12" t="s">
        <v>59</v>
      </c>
      <c r="B46" s="46" t="str">
        <f>VLOOKUP(A46,ORCAMENTO!$A:$I,2,FALSE)</f>
        <v>ADUÇÃO</v>
      </c>
      <c r="C46" s="47"/>
      <c r="D46" s="48"/>
      <c r="E46" s="13">
        <f>VLOOKUP(A46,ORCAMENTO!$A:$I,9,FALSE)</f>
        <v>1351.72</v>
      </c>
      <c r="F46" s="14">
        <f t="shared" si="1"/>
        <v>1.8572195107963557E-3</v>
      </c>
    </row>
    <row r="47" spans="1:6" ht="15" customHeight="1" x14ac:dyDescent="0.3">
      <c r="A47" s="15" t="s">
        <v>60</v>
      </c>
      <c r="B47" s="49" t="str">
        <f>VLOOKUP(A47,ORCAMENTO!$A:$I,2,FALSE)</f>
        <v>MOVIMENTO DE TERRA</v>
      </c>
      <c r="C47" s="50"/>
      <c r="D47" s="51"/>
      <c r="E47" s="16">
        <f>VLOOKUP(A47,ORCAMENTO!$A:$I,9,FALSE)</f>
        <v>423.02</v>
      </c>
      <c r="F47" s="17">
        <f t="shared" si="1"/>
        <v>5.8121578245278187E-4</v>
      </c>
    </row>
    <row r="48" spans="1:6" ht="15" customHeight="1" x14ac:dyDescent="0.3">
      <c r="A48" s="15" t="s">
        <v>61</v>
      </c>
      <c r="B48" s="49" t="str">
        <f>VLOOKUP(A48,ORCAMENTO!$A:$I,2,FALSE)</f>
        <v>INFRAESTRUTURA</v>
      </c>
      <c r="C48" s="50"/>
      <c r="D48" s="51"/>
      <c r="E48" s="16">
        <f>VLOOKUP(A48,ORCAMENTO!$A:$I,9,FALSE)</f>
        <v>265.19</v>
      </c>
      <c r="F48" s="17">
        <f t="shared" si="1"/>
        <v>3.6436247304773588E-4</v>
      </c>
    </row>
    <row r="49" spans="1:6" ht="15" customHeight="1" x14ac:dyDescent="0.3">
      <c r="A49" s="15" t="s">
        <v>62</v>
      </c>
      <c r="B49" s="49" t="str">
        <f>VLOOKUP(A49,ORCAMENTO!$A:$I,2,FALSE)</f>
        <v>INSTALAÇÕES HIDRÁULICAS</v>
      </c>
      <c r="C49" s="50"/>
      <c r="D49" s="51"/>
      <c r="E49" s="16">
        <f>VLOOKUP(A49,ORCAMENTO!$A:$I,9,FALSE)</f>
        <v>663.51</v>
      </c>
      <c r="F49" s="17">
        <f t="shared" si="1"/>
        <v>9.1164125529583789E-4</v>
      </c>
    </row>
    <row r="50" spans="1:6" ht="15" customHeight="1" x14ac:dyDescent="0.3">
      <c r="A50" s="12" t="s">
        <v>63</v>
      </c>
      <c r="B50" s="46" t="str">
        <f>VLOOKUP(A50,ORCAMENTO!$A:$I,2,FALSE)</f>
        <v>RESERVAÇÃO</v>
      </c>
      <c r="C50" s="47"/>
      <c r="D50" s="48"/>
      <c r="E50" s="13">
        <f>VLOOKUP(A50,ORCAMENTO!$A:$I,9,FALSE)</f>
        <v>20347.62</v>
      </c>
      <c r="F50" s="14">
        <f t="shared" si="1"/>
        <v>2.7956971016386636E-2</v>
      </c>
    </row>
    <row r="51" spans="1:6" ht="15" customHeight="1" x14ac:dyDescent="0.3">
      <c r="A51" s="12" t="s">
        <v>64</v>
      </c>
      <c r="B51" s="46" t="str">
        <f>VLOOKUP(A51,ORCAMENTO!$A:$I,2,FALSE)</f>
        <v>DISTRIBUIÇÃO (CHAFARIZ)</v>
      </c>
      <c r="C51" s="47"/>
      <c r="D51" s="48"/>
      <c r="E51" s="13">
        <f>VLOOKUP(A51,ORCAMENTO!$A:$I,9,FALSE)</f>
        <v>2831.9999999999995</v>
      </c>
      <c r="F51" s="14">
        <f t="shared" si="1"/>
        <v>3.8910762987714015E-3</v>
      </c>
    </row>
    <row r="52" spans="1:6" ht="15" customHeight="1" x14ac:dyDescent="0.3">
      <c r="A52" s="9">
        <v>4</v>
      </c>
      <c r="B52" s="52" t="str">
        <f>VLOOKUP(A52,ORCAMENTO!$A:$I,2,FALSE)</f>
        <v>COMUNIDADE LAGOA DOURADA</v>
      </c>
      <c r="C52" s="53"/>
      <c r="D52" s="54"/>
      <c r="E52" s="10">
        <f>VLOOKUP(A52,ORCAMENTO!$A:$I,9,FALSE)</f>
        <v>136162.86000000002</v>
      </c>
      <c r="F52" s="11">
        <f t="shared" si="1"/>
        <v>0.18708336063521491</v>
      </c>
    </row>
    <row r="53" spans="1:6" ht="15" customHeight="1" x14ac:dyDescent="0.3">
      <c r="A53" s="12" t="s">
        <v>65</v>
      </c>
      <c r="B53" s="46" t="str">
        <f>VLOOKUP(A53,ORCAMENTO!$A:$I,2,FALSE)</f>
        <v>PERFURAÇÃO DE POÇO TUBULAR</v>
      </c>
      <c r="C53" s="47"/>
      <c r="D53" s="48"/>
      <c r="E53" s="13">
        <f>VLOOKUP(A53,ORCAMENTO!$A:$I,9,FALSE)</f>
        <v>64587.16</v>
      </c>
      <c r="F53" s="14">
        <f t="shared" si="1"/>
        <v>8.8740666483388547E-2</v>
      </c>
    </row>
    <row r="54" spans="1:6" ht="15" customHeight="1" x14ac:dyDescent="0.3">
      <c r="A54" s="12" t="s">
        <v>66</v>
      </c>
      <c r="B54" s="46" t="str">
        <f>VLOOKUP(A54,ORCAMENTO!$A:$I,2,FALSE)</f>
        <v>AQUISIÇÃO E INSTALAÇÃO DE EQUIPAMENTOS DE BOMBEAMENTO, RECALQUE/BARRILETE E CONEXÕES PARA INTERLIGAÇÃO COM RESERVATÓRIO</v>
      </c>
      <c r="C54" s="47"/>
      <c r="D54" s="48"/>
      <c r="E54" s="13">
        <f>VLOOKUP(A54,ORCAMENTO!$A:$I,9,FALSE)</f>
        <v>19625.579999999998</v>
      </c>
      <c r="F54" s="14">
        <f t="shared" si="1"/>
        <v>2.6964911436314281E-2</v>
      </c>
    </row>
    <row r="55" spans="1:6" ht="15" customHeight="1" x14ac:dyDescent="0.3">
      <c r="A55" s="12" t="s">
        <v>67</v>
      </c>
      <c r="B55" s="46" t="str">
        <f>VLOOKUP(A55,ORCAMENTO!$A:$I,2,FALSE)</f>
        <v>CONSTRUÇÃO DA CASA DE COMANDO</v>
      </c>
      <c r="C55" s="47"/>
      <c r="D55" s="48"/>
      <c r="E55" s="13">
        <f>VLOOKUP(A55,ORCAMENTO!$A:$I,9,FALSE)</f>
        <v>25565.510000000002</v>
      </c>
      <c r="F55" s="14">
        <f t="shared" si="1"/>
        <v>3.5126182919139576E-2</v>
      </c>
    </row>
    <row r="56" spans="1:6" ht="15" customHeight="1" x14ac:dyDescent="0.3">
      <c r="A56" s="15" t="s">
        <v>68</v>
      </c>
      <c r="B56" s="49" t="str">
        <f>VLOOKUP(A56,ORCAMENTO!$A:$I,2,FALSE)</f>
        <v>SERVIÇOS PRELIMINARES</v>
      </c>
      <c r="C56" s="50"/>
      <c r="D56" s="51"/>
      <c r="E56" s="16">
        <f>VLOOKUP(A56,ORCAMENTO!$A:$I,9,FALSE)</f>
        <v>3887.12</v>
      </c>
      <c r="F56" s="17">
        <f t="shared" si="1"/>
        <v>5.3407770135876732E-3</v>
      </c>
    </row>
    <row r="57" spans="1:6" ht="15" customHeight="1" x14ac:dyDescent="0.3">
      <c r="A57" s="15" t="s">
        <v>69</v>
      </c>
      <c r="B57" s="49" t="str">
        <f>VLOOKUP(A57,ORCAMENTO!$A:$I,2,FALSE)</f>
        <v>MOVIMENTO DE TERRA</v>
      </c>
      <c r="C57" s="50"/>
      <c r="D57" s="51"/>
      <c r="E57" s="16">
        <f>VLOOKUP(A57,ORCAMENTO!$A:$I,9,FALSE)</f>
        <v>165.09</v>
      </c>
      <c r="F57" s="17">
        <f t="shared" si="1"/>
        <v>2.2682831432350661E-4</v>
      </c>
    </row>
    <row r="58" spans="1:6" ht="15" customHeight="1" x14ac:dyDescent="0.3">
      <c r="A58" s="15" t="s">
        <v>70</v>
      </c>
      <c r="B58" s="49" t="str">
        <f>VLOOKUP(A58,ORCAMENTO!$A:$I,2,FALSE)</f>
        <v>INFRAESTRUTURA</v>
      </c>
      <c r="C58" s="50"/>
      <c r="D58" s="51"/>
      <c r="E58" s="16">
        <f>VLOOKUP(A58,ORCAMENTO!$A:$I,9,FALSE)</f>
        <v>1275.5</v>
      </c>
      <c r="F58" s="17">
        <f t="shared" si="1"/>
        <v>1.7524956988287158E-3</v>
      </c>
    </row>
    <row r="59" spans="1:6" ht="15" customHeight="1" x14ac:dyDescent="0.3">
      <c r="A59" s="15" t="s">
        <v>71</v>
      </c>
      <c r="B59" s="49" t="str">
        <f>VLOOKUP(A59,ORCAMENTO!$A:$I,2,FALSE)</f>
        <v>SUPERESTRUTURA</v>
      </c>
      <c r="C59" s="50"/>
      <c r="D59" s="51"/>
      <c r="E59" s="16">
        <f>VLOOKUP(A59,ORCAMENTO!$A:$I,9,FALSE)</f>
        <v>1347.9099999999999</v>
      </c>
      <c r="F59" s="17">
        <f t="shared" si="1"/>
        <v>1.8519846941655932E-3</v>
      </c>
    </row>
    <row r="60" spans="1:6" ht="15" customHeight="1" x14ac:dyDescent="0.3">
      <c r="A60" s="15" t="s">
        <v>72</v>
      </c>
      <c r="B60" s="49" t="str">
        <f>VLOOKUP(A60,ORCAMENTO!$A:$I,2,FALSE)</f>
        <v>VEDAÇÃO VERTICAL</v>
      </c>
      <c r="C60" s="50"/>
      <c r="D60" s="51"/>
      <c r="E60" s="16">
        <f>VLOOKUP(A60,ORCAMENTO!$A:$I,9,FALSE)</f>
        <v>2674.92</v>
      </c>
      <c r="F60" s="17">
        <f t="shared" si="1"/>
        <v>3.6752534650810729E-3</v>
      </c>
    </row>
    <row r="61" spans="1:6" ht="15" customHeight="1" x14ac:dyDescent="0.3">
      <c r="A61" s="15" t="s">
        <v>73</v>
      </c>
      <c r="B61" s="49" t="str">
        <f>VLOOKUP(A61,ORCAMENTO!$A:$I,2,FALSE)</f>
        <v>COBERTURA</v>
      </c>
      <c r="C61" s="50"/>
      <c r="D61" s="51"/>
      <c r="E61" s="16">
        <f>VLOOKUP(A61,ORCAMENTO!$A:$I,9,FALSE)</f>
        <v>1332.15</v>
      </c>
      <c r="F61" s="17">
        <f t="shared" si="1"/>
        <v>1.8303309644803402E-3</v>
      </c>
    </row>
    <row r="62" spans="1:6" ht="15" customHeight="1" x14ac:dyDescent="0.3">
      <c r="A62" s="15" t="s">
        <v>74</v>
      </c>
      <c r="B62" s="49" t="str">
        <f>VLOOKUP(A62,ORCAMENTO!$A:$I,2,FALSE)</f>
        <v>PISO</v>
      </c>
      <c r="C62" s="50"/>
      <c r="D62" s="51"/>
      <c r="E62" s="16">
        <f>VLOOKUP(A62,ORCAMENTO!$A:$I,9,FALSE)</f>
        <v>1208.82</v>
      </c>
      <c r="F62" s="17">
        <f t="shared" si="1"/>
        <v>1.6608795379522761E-3</v>
      </c>
    </row>
    <row r="63" spans="1:6" ht="15" customHeight="1" x14ac:dyDescent="0.3">
      <c r="A63" s="15" t="s">
        <v>75</v>
      </c>
      <c r="B63" s="49" t="str">
        <f>VLOOKUP(A63,ORCAMENTO!$A:$I,2,FALSE)</f>
        <v>REVESTIMENTO</v>
      </c>
      <c r="C63" s="50"/>
      <c r="D63" s="51"/>
      <c r="E63" s="16">
        <f>VLOOKUP(A63,ORCAMENTO!$A:$I,9,FALSE)</f>
        <v>2396.75</v>
      </c>
      <c r="F63" s="17">
        <f t="shared" si="1"/>
        <v>3.2930568923306347E-3</v>
      </c>
    </row>
    <row r="64" spans="1:6" ht="15" customHeight="1" x14ac:dyDescent="0.3">
      <c r="A64" s="15" t="s">
        <v>76</v>
      </c>
      <c r="B64" s="49" t="str">
        <f>VLOOKUP(A64,ORCAMENTO!$A:$I,2,FALSE)</f>
        <v>ESQUADRIAS</v>
      </c>
      <c r="C64" s="50"/>
      <c r="D64" s="51"/>
      <c r="E64" s="16">
        <f>VLOOKUP(A64,ORCAMENTO!$A:$I,9,FALSE)</f>
        <v>4550.21</v>
      </c>
      <c r="F64" s="17">
        <f t="shared" si="1"/>
        <v>6.2518412024832699E-3</v>
      </c>
    </row>
    <row r="65" spans="1:6" ht="15" customHeight="1" x14ac:dyDescent="0.3">
      <c r="A65" s="15" t="s">
        <v>77</v>
      </c>
      <c r="B65" s="49" t="str">
        <f>VLOOKUP(A65,ORCAMENTO!$A:$I,2,FALSE)</f>
        <v>PINTURA</v>
      </c>
      <c r="C65" s="50"/>
      <c r="D65" s="51"/>
      <c r="E65" s="16">
        <f>VLOOKUP(A65,ORCAMENTO!$A:$I,9,FALSE)</f>
        <v>663.11</v>
      </c>
      <c r="F65" s="17">
        <f t="shared" si="1"/>
        <v>9.1109166824798889E-4</v>
      </c>
    </row>
    <row r="66" spans="1:6" ht="15" customHeight="1" x14ac:dyDescent="0.3">
      <c r="A66" s="15" t="s">
        <v>78</v>
      </c>
      <c r="B66" s="49" t="str">
        <f>VLOOKUP(A66,ORCAMENTO!$A:$I,2,FALSE)</f>
        <v>CERCAMENTO</v>
      </c>
      <c r="C66" s="50"/>
      <c r="D66" s="51"/>
      <c r="E66" s="16">
        <f>VLOOKUP(A66,ORCAMENTO!$A:$I,9,FALSE)</f>
        <v>6063.93</v>
      </c>
      <c r="F66" s="17">
        <f t="shared" si="1"/>
        <v>8.3316434676584984E-3</v>
      </c>
    </row>
    <row r="67" spans="1:6" ht="15" customHeight="1" x14ac:dyDescent="0.3">
      <c r="A67" s="12" t="s">
        <v>79</v>
      </c>
      <c r="B67" s="46" t="str">
        <f>VLOOKUP(A67,ORCAMENTO!$A:$I,2,FALSE)</f>
        <v>INSTALAÇÕES ELÉTRICAS</v>
      </c>
      <c r="C67" s="47"/>
      <c r="D67" s="48"/>
      <c r="E67" s="13">
        <f>VLOOKUP(A67,ORCAMENTO!$A:$I,9,FALSE)</f>
        <v>1853.2700000000002</v>
      </c>
      <c r="F67" s="14">
        <f t="shared" si="1"/>
        <v>2.5463329704181062E-3</v>
      </c>
    </row>
    <row r="68" spans="1:6" ht="15" customHeight="1" x14ac:dyDescent="0.3">
      <c r="A68" s="12" t="s">
        <v>80</v>
      </c>
      <c r="B68" s="46" t="str">
        <f>VLOOKUP(A68,ORCAMENTO!$A:$I,2,FALSE)</f>
        <v>ADUÇÃO</v>
      </c>
      <c r="C68" s="47"/>
      <c r="D68" s="48"/>
      <c r="E68" s="13">
        <f>VLOOKUP(A68,ORCAMENTO!$A:$I,9,FALSE)</f>
        <v>1351.72</v>
      </c>
      <c r="F68" s="14">
        <f t="shared" si="1"/>
        <v>1.8572195107963557E-3</v>
      </c>
    </row>
    <row r="69" spans="1:6" ht="15" customHeight="1" x14ac:dyDescent="0.3">
      <c r="A69" s="15" t="s">
        <v>81</v>
      </c>
      <c r="B69" s="49" t="str">
        <f>VLOOKUP(A69,ORCAMENTO!$A:$I,2,FALSE)</f>
        <v>MOVIMENTO DE TERRA</v>
      </c>
      <c r="C69" s="50"/>
      <c r="D69" s="51"/>
      <c r="E69" s="16">
        <f>VLOOKUP(A69,ORCAMENTO!$A:$I,9,FALSE)</f>
        <v>423.02</v>
      </c>
      <c r="F69" s="17">
        <f t="shared" si="1"/>
        <v>5.8121578245278187E-4</v>
      </c>
    </row>
    <row r="70" spans="1:6" ht="15" customHeight="1" x14ac:dyDescent="0.3">
      <c r="A70" s="15" t="s">
        <v>82</v>
      </c>
      <c r="B70" s="49" t="str">
        <f>VLOOKUP(A70,ORCAMENTO!$A:$I,2,FALSE)</f>
        <v>INFRAESTRUTURA</v>
      </c>
      <c r="C70" s="50"/>
      <c r="D70" s="51"/>
      <c r="E70" s="16">
        <f>VLOOKUP(A70,ORCAMENTO!$A:$I,9,FALSE)</f>
        <v>265.19</v>
      </c>
      <c r="F70" s="17">
        <f t="shared" si="1"/>
        <v>3.6436247304773588E-4</v>
      </c>
    </row>
    <row r="71" spans="1:6" ht="15" customHeight="1" x14ac:dyDescent="0.3">
      <c r="A71" s="15" t="s">
        <v>83</v>
      </c>
      <c r="B71" s="49" t="str">
        <f>VLOOKUP(A71,ORCAMENTO!$A:$I,2,FALSE)</f>
        <v>INSTALAÇÕES HIDRÁULICAS</v>
      </c>
      <c r="C71" s="50"/>
      <c r="D71" s="51"/>
      <c r="E71" s="16">
        <f>VLOOKUP(A71,ORCAMENTO!$A:$I,9,FALSE)</f>
        <v>663.51</v>
      </c>
      <c r="F71" s="17">
        <f t="shared" ref="F71:F102" si="2">E71/$E$118</f>
        <v>9.1164125529583789E-4</v>
      </c>
    </row>
    <row r="72" spans="1:6" ht="15" customHeight="1" x14ac:dyDescent="0.3">
      <c r="A72" s="12" t="s">
        <v>84</v>
      </c>
      <c r="B72" s="46" t="str">
        <f>VLOOKUP(A72,ORCAMENTO!$A:$I,2,FALSE)</f>
        <v>RESERVAÇÃO</v>
      </c>
      <c r="C72" s="47"/>
      <c r="D72" s="48"/>
      <c r="E72" s="13">
        <f>VLOOKUP(A72,ORCAMENTO!$A:$I,9,FALSE)</f>
        <v>20347.62</v>
      </c>
      <c r="F72" s="14">
        <f t="shared" si="2"/>
        <v>2.7956971016386636E-2</v>
      </c>
    </row>
    <row r="73" spans="1:6" ht="15" customHeight="1" x14ac:dyDescent="0.3">
      <c r="A73" s="12" t="s">
        <v>85</v>
      </c>
      <c r="B73" s="46" t="str">
        <f>VLOOKUP(A73,ORCAMENTO!$A:$I,2,FALSE)</f>
        <v>DISTRIBUIÇÃO (CHAFARIZ)</v>
      </c>
      <c r="C73" s="47"/>
      <c r="D73" s="48"/>
      <c r="E73" s="13">
        <f>VLOOKUP(A73,ORCAMENTO!$A:$I,9,FALSE)</f>
        <v>2831.9999999999995</v>
      </c>
      <c r="F73" s="14">
        <f t="shared" si="2"/>
        <v>3.8910762987714015E-3</v>
      </c>
    </row>
    <row r="74" spans="1:6" ht="15" customHeight="1" x14ac:dyDescent="0.3">
      <c r="A74" s="9">
        <v>5</v>
      </c>
      <c r="B74" s="52" t="str">
        <f>VLOOKUP(A74,ORCAMENTO!$A:$I,2,FALSE)</f>
        <v>COMUNIDADE SERRA</v>
      </c>
      <c r="C74" s="53"/>
      <c r="D74" s="54"/>
      <c r="E74" s="10">
        <f>VLOOKUP(A74,ORCAMENTO!$A:$I,9,FALSE)</f>
        <v>136434.92000000001</v>
      </c>
      <c r="F74" s="11">
        <f t="shared" si="2"/>
        <v>0.18745716226580944</v>
      </c>
    </row>
    <row r="75" spans="1:6" ht="15" customHeight="1" x14ac:dyDescent="0.3">
      <c r="A75" s="12" t="s">
        <v>86</v>
      </c>
      <c r="B75" s="46" t="str">
        <f>VLOOKUP(A75,ORCAMENTO!$A:$I,2,FALSE)</f>
        <v>PERFURAÇÃO DE POÇO TUBULAR</v>
      </c>
      <c r="C75" s="47"/>
      <c r="D75" s="48"/>
      <c r="E75" s="13">
        <f>VLOOKUP(A75,ORCAMENTO!$A:$I,9,FALSE)</f>
        <v>64859.22</v>
      </c>
      <c r="F75" s="14">
        <f t="shared" si="2"/>
        <v>8.9114468113983089E-2</v>
      </c>
    </row>
    <row r="76" spans="1:6" ht="15" customHeight="1" x14ac:dyDescent="0.3">
      <c r="A76" s="12" t="s">
        <v>87</v>
      </c>
      <c r="B76" s="46" t="str">
        <f>VLOOKUP(A76,ORCAMENTO!$A:$I,2,FALSE)</f>
        <v>AQUISIÇÃO E INSTALAÇÃO DE EQUIPAMENTOS DE BOMBEAMENTO, RECALQUE/BARRILETE E CONEXÕES PARA INTERLIGAÇÃO COM RESERVATÓRIO</v>
      </c>
      <c r="C76" s="47"/>
      <c r="D76" s="48"/>
      <c r="E76" s="13">
        <f>VLOOKUP(A76,ORCAMENTO!$A:$I,9,FALSE)</f>
        <v>19625.579999999998</v>
      </c>
      <c r="F76" s="14">
        <f t="shared" si="2"/>
        <v>2.6964911436314281E-2</v>
      </c>
    </row>
    <row r="77" spans="1:6" ht="15" customHeight="1" x14ac:dyDescent="0.3">
      <c r="A77" s="12" t="s">
        <v>88</v>
      </c>
      <c r="B77" s="46" t="str">
        <f>VLOOKUP(A77,ORCAMENTO!$A:$I,2,FALSE)</f>
        <v>CONSTRUÇÃO DA CASA DE COMANDO</v>
      </c>
      <c r="C77" s="47"/>
      <c r="D77" s="48"/>
      <c r="E77" s="13">
        <f>VLOOKUP(A77,ORCAMENTO!$A:$I,9,FALSE)</f>
        <v>25565.510000000002</v>
      </c>
      <c r="F77" s="14">
        <f t="shared" si="2"/>
        <v>3.5126182919139576E-2</v>
      </c>
    </row>
    <row r="78" spans="1:6" ht="15" customHeight="1" x14ac:dyDescent="0.3">
      <c r="A78" s="15" t="s">
        <v>89</v>
      </c>
      <c r="B78" s="49" t="str">
        <f>VLOOKUP(A78,ORCAMENTO!$A:$I,2,FALSE)</f>
        <v>SERVIÇOS PRELIMINARES</v>
      </c>
      <c r="C78" s="50"/>
      <c r="D78" s="51"/>
      <c r="E78" s="16">
        <f>VLOOKUP(A78,ORCAMENTO!$A:$I,9,FALSE)</f>
        <v>3887.12</v>
      </c>
      <c r="F78" s="17">
        <f t="shared" si="2"/>
        <v>5.3407770135876732E-3</v>
      </c>
    </row>
    <row r="79" spans="1:6" ht="15" customHeight="1" x14ac:dyDescent="0.3">
      <c r="A79" s="15" t="s">
        <v>90</v>
      </c>
      <c r="B79" s="49" t="str">
        <f>VLOOKUP(A79,ORCAMENTO!$A:$I,2,FALSE)</f>
        <v>MOVIMENTO DE TERRA</v>
      </c>
      <c r="C79" s="50"/>
      <c r="D79" s="51"/>
      <c r="E79" s="16">
        <f>VLOOKUP(A79,ORCAMENTO!$A:$I,9,FALSE)</f>
        <v>165.09</v>
      </c>
      <c r="F79" s="17">
        <f t="shared" si="2"/>
        <v>2.2682831432350661E-4</v>
      </c>
    </row>
    <row r="80" spans="1:6" ht="15" customHeight="1" x14ac:dyDescent="0.3">
      <c r="A80" s="15" t="s">
        <v>91</v>
      </c>
      <c r="B80" s="49" t="str">
        <f>VLOOKUP(A80,ORCAMENTO!$A:$I,2,FALSE)</f>
        <v>INFRAESTRUTURA</v>
      </c>
      <c r="C80" s="50"/>
      <c r="D80" s="51"/>
      <c r="E80" s="16">
        <f>VLOOKUP(A80,ORCAMENTO!$A:$I,9,FALSE)</f>
        <v>1275.5</v>
      </c>
      <c r="F80" s="17">
        <f t="shared" si="2"/>
        <v>1.7524956988287158E-3</v>
      </c>
    </row>
    <row r="81" spans="1:6" ht="15" customHeight="1" x14ac:dyDescent="0.3">
      <c r="A81" s="15" t="s">
        <v>92</v>
      </c>
      <c r="B81" s="49" t="str">
        <f>VLOOKUP(A81,ORCAMENTO!$A:$I,2,FALSE)</f>
        <v>SUPERESTRUTURA</v>
      </c>
      <c r="C81" s="50"/>
      <c r="D81" s="51"/>
      <c r="E81" s="16">
        <f>VLOOKUP(A81,ORCAMENTO!$A:$I,9,FALSE)</f>
        <v>1347.9099999999999</v>
      </c>
      <c r="F81" s="17">
        <f t="shared" si="2"/>
        <v>1.8519846941655932E-3</v>
      </c>
    </row>
    <row r="82" spans="1:6" ht="15" customHeight="1" x14ac:dyDescent="0.3">
      <c r="A82" s="15" t="s">
        <v>93</v>
      </c>
      <c r="B82" s="49" t="str">
        <f>VLOOKUP(A82,ORCAMENTO!$A:$I,2,FALSE)</f>
        <v>VEDAÇÃO VERTICAL</v>
      </c>
      <c r="C82" s="50"/>
      <c r="D82" s="51"/>
      <c r="E82" s="16">
        <f>VLOOKUP(A82,ORCAMENTO!$A:$I,9,FALSE)</f>
        <v>2674.92</v>
      </c>
      <c r="F82" s="17">
        <f t="shared" si="2"/>
        <v>3.6752534650810729E-3</v>
      </c>
    </row>
    <row r="83" spans="1:6" ht="15" customHeight="1" x14ac:dyDescent="0.3">
      <c r="A83" s="15" t="s">
        <v>94</v>
      </c>
      <c r="B83" s="49" t="str">
        <f>VLOOKUP(A83,ORCAMENTO!$A:$I,2,FALSE)</f>
        <v>COBERTURA</v>
      </c>
      <c r="C83" s="50"/>
      <c r="D83" s="51"/>
      <c r="E83" s="16">
        <f>VLOOKUP(A83,ORCAMENTO!$A:$I,9,FALSE)</f>
        <v>1332.15</v>
      </c>
      <c r="F83" s="17">
        <f t="shared" si="2"/>
        <v>1.8303309644803402E-3</v>
      </c>
    </row>
    <row r="84" spans="1:6" ht="15" customHeight="1" x14ac:dyDescent="0.3">
      <c r="A84" s="15" t="s">
        <v>95</v>
      </c>
      <c r="B84" s="49" t="str">
        <f>VLOOKUP(A84,ORCAMENTO!$A:$I,2,FALSE)</f>
        <v>PISO</v>
      </c>
      <c r="C84" s="50"/>
      <c r="D84" s="51"/>
      <c r="E84" s="16">
        <f>VLOOKUP(A84,ORCAMENTO!$A:$I,9,FALSE)</f>
        <v>1208.82</v>
      </c>
      <c r="F84" s="17">
        <f t="shared" si="2"/>
        <v>1.6608795379522761E-3</v>
      </c>
    </row>
    <row r="85" spans="1:6" ht="15" customHeight="1" x14ac:dyDescent="0.3">
      <c r="A85" s="15" t="s">
        <v>96</v>
      </c>
      <c r="B85" s="49" t="str">
        <f>VLOOKUP(A85,ORCAMENTO!$A:$I,2,FALSE)</f>
        <v>REVESTIMENTO</v>
      </c>
      <c r="C85" s="50"/>
      <c r="D85" s="51"/>
      <c r="E85" s="16">
        <f>VLOOKUP(A85,ORCAMENTO!$A:$I,9,FALSE)</f>
        <v>2396.75</v>
      </c>
      <c r="F85" s="17">
        <f t="shared" si="2"/>
        <v>3.2930568923306347E-3</v>
      </c>
    </row>
    <row r="86" spans="1:6" ht="15" customHeight="1" x14ac:dyDescent="0.3">
      <c r="A86" s="15" t="s">
        <v>97</v>
      </c>
      <c r="B86" s="49" t="str">
        <f>VLOOKUP(A86,ORCAMENTO!$A:$I,2,FALSE)</f>
        <v>ESQUADRIAS</v>
      </c>
      <c r="C86" s="50"/>
      <c r="D86" s="51"/>
      <c r="E86" s="16">
        <f>VLOOKUP(A86,ORCAMENTO!$A:$I,9,FALSE)</f>
        <v>4550.21</v>
      </c>
      <c r="F86" s="17">
        <f t="shared" si="2"/>
        <v>6.2518412024832699E-3</v>
      </c>
    </row>
    <row r="87" spans="1:6" ht="15" customHeight="1" x14ac:dyDescent="0.3">
      <c r="A87" s="15" t="s">
        <v>98</v>
      </c>
      <c r="B87" s="49" t="str">
        <f>VLOOKUP(A87,ORCAMENTO!$A:$I,2,FALSE)</f>
        <v>PINTURA</v>
      </c>
      <c r="C87" s="50"/>
      <c r="D87" s="51"/>
      <c r="E87" s="16">
        <f>VLOOKUP(A87,ORCAMENTO!$A:$I,9,FALSE)</f>
        <v>663.11</v>
      </c>
      <c r="F87" s="17">
        <f t="shared" si="2"/>
        <v>9.1109166824798889E-4</v>
      </c>
    </row>
    <row r="88" spans="1:6" ht="15" customHeight="1" x14ac:dyDescent="0.3">
      <c r="A88" s="15" t="s">
        <v>99</v>
      </c>
      <c r="B88" s="49" t="str">
        <f>VLOOKUP(A88,ORCAMENTO!$A:$I,2,FALSE)</f>
        <v>CERCAMENTO</v>
      </c>
      <c r="C88" s="50"/>
      <c r="D88" s="51"/>
      <c r="E88" s="16">
        <f>VLOOKUP(A88,ORCAMENTO!$A:$I,9,FALSE)</f>
        <v>6063.93</v>
      </c>
      <c r="F88" s="17">
        <f t="shared" si="2"/>
        <v>8.3316434676584984E-3</v>
      </c>
    </row>
    <row r="89" spans="1:6" ht="15" customHeight="1" x14ac:dyDescent="0.3">
      <c r="A89" s="12" t="s">
        <v>100</v>
      </c>
      <c r="B89" s="46" t="str">
        <f>VLOOKUP(A89,ORCAMENTO!$A:$I,2,FALSE)</f>
        <v>INSTALAÇÕES ELÉTRICAS</v>
      </c>
      <c r="C89" s="47"/>
      <c r="D89" s="48"/>
      <c r="E89" s="13">
        <f>VLOOKUP(A89,ORCAMENTO!$A:$I,9,FALSE)</f>
        <v>1853.2700000000002</v>
      </c>
      <c r="F89" s="14">
        <f t="shared" si="2"/>
        <v>2.5463329704181062E-3</v>
      </c>
    </row>
    <row r="90" spans="1:6" ht="15" customHeight="1" x14ac:dyDescent="0.3">
      <c r="A90" s="12" t="s">
        <v>101</v>
      </c>
      <c r="B90" s="46" t="str">
        <f>VLOOKUP(A90,ORCAMENTO!$A:$I,2,FALSE)</f>
        <v>ADUÇÃO</v>
      </c>
      <c r="C90" s="47"/>
      <c r="D90" s="48"/>
      <c r="E90" s="13">
        <f>VLOOKUP(A90,ORCAMENTO!$A:$I,9,FALSE)</f>
        <v>1351.72</v>
      </c>
      <c r="F90" s="14">
        <f t="shared" si="2"/>
        <v>1.8572195107963557E-3</v>
      </c>
    </row>
    <row r="91" spans="1:6" ht="15" customHeight="1" x14ac:dyDescent="0.3">
      <c r="A91" s="15" t="s">
        <v>102</v>
      </c>
      <c r="B91" s="49" t="str">
        <f>VLOOKUP(A91,ORCAMENTO!$A:$I,2,FALSE)</f>
        <v>MOVIMENTO DE TERRA</v>
      </c>
      <c r="C91" s="50"/>
      <c r="D91" s="51"/>
      <c r="E91" s="16">
        <f>VLOOKUP(A91,ORCAMENTO!$A:$I,9,FALSE)</f>
        <v>423.02</v>
      </c>
      <c r="F91" s="17">
        <f t="shared" si="2"/>
        <v>5.8121578245278187E-4</v>
      </c>
    </row>
    <row r="92" spans="1:6" ht="15" customHeight="1" x14ac:dyDescent="0.3">
      <c r="A92" s="15" t="s">
        <v>103</v>
      </c>
      <c r="B92" s="49" t="str">
        <f>VLOOKUP(A92,ORCAMENTO!$A:$I,2,FALSE)</f>
        <v>INFRAESTRUTURA</v>
      </c>
      <c r="C92" s="50"/>
      <c r="D92" s="51"/>
      <c r="E92" s="16">
        <f>VLOOKUP(A92,ORCAMENTO!$A:$I,9,FALSE)</f>
        <v>265.19</v>
      </c>
      <c r="F92" s="17">
        <f t="shared" si="2"/>
        <v>3.6436247304773588E-4</v>
      </c>
    </row>
    <row r="93" spans="1:6" ht="15" customHeight="1" x14ac:dyDescent="0.3">
      <c r="A93" s="15" t="s">
        <v>104</v>
      </c>
      <c r="B93" s="49" t="str">
        <f>VLOOKUP(A93,ORCAMENTO!$A:$I,2,FALSE)</f>
        <v>INSTALAÇÕES HIDRÁULICAS</v>
      </c>
      <c r="C93" s="50"/>
      <c r="D93" s="51"/>
      <c r="E93" s="16">
        <f>VLOOKUP(A93,ORCAMENTO!$A:$I,9,FALSE)</f>
        <v>663.51</v>
      </c>
      <c r="F93" s="17">
        <f t="shared" si="2"/>
        <v>9.1164125529583789E-4</v>
      </c>
    </row>
    <row r="94" spans="1:6" ht="15" customHeight="1" x14ac:dyDescent="0.3">
      <c r="A94" s="12" t="s">
        <v>105</v>
      </c>
      <c r="B94" s="46" t="str">
        <f>VLOOKUP(A94,ORCAMENTO!$A:$I,2,FALSE)</f>
        <v>RESERVAÇÃO</v>
      </c>
      <c r="C94" s="47"/>
      <c r="D94" s="48"/>
      <c r="E94" s="13">
        <f>VLOOKUP(A94,ORCAMENTO!$A:$I,9,FALSE)</f>
        <v>20347.62</v>
      </c>
      <c r="F94" s="14">
        <f t="shared" si="2"/>
        <v>2.7956971016386636E-2</v>
      </c>
    </row>
    <row r="95" spans="1:6" ht="15" customHeight="1" x14ac:dyDescent="0.3">
      <c r="A95" s="12" t="s">
        <v>106</v>
      </c>
      <c r="B95" s="46" t="str">
        <f>VLOOKUP(A95,ORCAMENTO!$A:$I,2,FALSE)</f>
        <v>DISTRIBUIÇÃO (CHAFARIZ)</v>
      </c>
      <c r="C95" s="47"/>
      <c r="D95" s="48"/>
      <c r="E95" s="13">
        <f>VLOOKUP(A95,ORCAMENTO!$A:$I,9,FALSE)</f>
        <v>2831.9999999999995</v>
      </c>
      <c r="F95" s="14">
        <f t="shared" si="2"/>
        <v>3.8910762987714015E-3</v>
      </c>
    </row>
    <row r="96" spans="1:6" ht="15" customHeight="1" x14ac:dyDescent="0.3">
      <c r="A96" s="9">
        <v>6</v>
      </c>
      <c r="B96" s="52" t="str">
        <f>VLOOKUP(A96,ORCAMENTO!$A:$I,2,FALSE)</f>
        <v>COMUNIDADE VÁRZEA</v>
      </c>
      <c r="C96" s="53"/>
      <c r="D96" s="54"/>
      <c r="E96" s="10">
        <f>VLOOKUP(A96,ORCAMENTO!$A:$I,9,FALSE)</f>
        <v>136808.64000000001</v>
      </c>
      <c r="F96" s="11">
        <f t="shared" si="2"/>
        <v>0.18797064144461484</v>
      </c>
    </row>
    <row r="97" spans="1:6" ht="15" customHeight="1" x14ac:dyDescent="0.3">
      <c r="A97" s="12" t="s">
        <v>107</v>
      </c>
      <c r="B97" s="46" t="str">
        <f>VLOOKUP(A97,ORCAMENTO!$A:$I,2,FALSE)</f>
        <v>PERFURAÇÃO DE POÇO TUBULAR</v>
      </c>
      <c r="C97" s="47"/>
      <c r="D97" s="48"/>
      <c r="E97" s="13">
        <f>VLOOKUP(A97,ORCAMENTO!$A:$I,9,FALSE)</f>
        <v>65232.94</v>
      </c>
      <c r="F97" s="14">
        <f t="shared" si="2"/>
        <v>8.9627947292788473E-2</v>
      </c>
    </row>
    <row r="98" spans="1:6" ht="15" customHeight="1" x14ac:dyDescent="0.3">
      <c r="A98" s="12" t="s">
        <v>108</v>
      </c>
      <c r="B98" s="46" t="str">
        <f>VLOOKUP(A98,ORCAMENTO!$A:$I,2,FALSE)</f>
        <v>AQUISIÇÃO E INSTALAÇÃO DE EQUIPAMENTOS DE BOMBEAMENTO, RECALQUE/BARRILETE E CONEXÕES PARA INTERLIGAÇÃO COM RESERVATÓRIO</v>
      </c>
      <c r="C98" s="47"/>
      <c r="D98" s="48"/>
      <c r="E98" s="13">
        <f>VLOOKUP(A98,ORCAMENTO!$A:$I,9,FALSE)</f>
        <v>19625.579999999998</v>
      </c>
      <c r="F98" s="14">
        <f t="shared" si="2"/>
        <v>2.6964911436314281E-2</v>
      </c>
    </row>
    <row r="99" spans="1:6" ht="15" customHeight="1" x14ac:dyDescent="0.3">
      <c r="A99" s="12" t="s">
        <v>109</v>
      </c>
      <c r="B99" s="46" t="str">
        <f>VLOOKUP(A99,ORCAMENTO!$A:$I,2,FALSE)</f>
        <v>CONSTRUÇÃO DA CASA DE COMANDO</v>
      </c>
      <c r="C99" s="47"/>
      <c r="D99" s="48"/>
      <c r="E99" s="13">
        <f>VLOOKUP(A99,ORCAMENTO!$A:$I,9,FALSE)</f>
        <v>25565.510000000002</v>
      </c>
      <c r="F99" s="14">
        <f t="shared" si="2"/>
        <v>3.5126182919139576E-2</v>
      </c>
    </row>
    <row r="100" spans="1:6" ht="15" customHeight="1" x14ac:dyDescent="0.3">
      <c r="A100" s="15" t="s">
        <v>110</v>
      </c>
      <c r="B100" s="49" t="str">
        <f>VLOOKUP(A100,ORCAMENTO!$A:$I,2,FALSE)</f>
        <v>SERVIÇOS PRELIMINARES</v>
      </c>
      <c r="C100" s="50"/>
      <c r="D100" s="51"/>
      <c r="E100" s="16">
        <f>VLOOKUP(A100,ORCAMENTO!$A:$I,9,FALSE)</f>
        <v>3887.12</v>
      </c>
      <c r="F100" s="17">
        <f t="shared" si="2"/>
        <v>5.3407770135876732E-3</v>
      </c>
    </row>
    <row r="101" spans="1:6" ht="15" customHeight="1" x14ac:dyDescent="0.3">
      <c r="A101" s="15" t="s">
        <v>111</v>
      </c>
      <c r="B101" s="49" t="str">
        <f>VLOOKUP(A101,ORCAMENTO!$A:$I,2,FALSE)</f>
        <v>MOVIMENTO DE TERRA</v>
      </c>
      <c r="C101" s="50"/>
      <c r="D101" s="51"/>
      <c r="E101" s="16">
        <f>VLOOKUP(A101,ORCAMENTO!$A:$I,9,FALSE)</f>
        <v>165.09</v>
      </c>
      <c r="F101" s="17">
        <f t="shared" si="2"/>
        <v>2.2682831432350661E-4</v>
      </c>
    </row>
    <row r="102" spans="1:6" ht="15" customHeight="1" x14ac:dyDescent="0.3">
      <c r="A102" s="15" t="s">
        <v>112</v>
      </c>
      <c r="B102" s="49" t="str">
        <f>VLOOKUP(A102,ORCAMENTO!$A:$I,2,FALSE)</f>
        <v>INFRAESTRUTURA</v>
      </c>
      <c r="C102" s="50"/>
      <c r="D102" s="51"/>
      <c r="E102" s="16">
        <f>VLOOKUP(A102,ORCAMENTO!$A:$I,9,FALSE)</f>
        <v>1275.5</v>
      </c>
      <c r="F102" s="17">
        <f t="shared" si="2"/>
        <v>1.7524956988287158E-3</v>
      </c>
    </row>
    <row r="103" spans="1:6" ht="15" customHeight="1" x14ac:dyDescent="0.3">
      <c r="A103" s="15" t="s">
        <v>113</v>
      </c>
      <c r="B103" s="49" t="str">
        <f>VLOOKUP(A103,ORCAMENTO!$A:$I,2,FALSE)</f>
        <v>SUPERESTRUTURA</v>
      </c>
      <c r="C103" s="50"/>
      <c r="D103" s="51"/>
      <c r="E103" s="16">
        <f>VLOOKUP(A103,ORCAMENTO!$A:$I,9,FALSE)</f>
        <v>1347.9099999999999</v>
      </c>
      <c r="F103" s="17">
        <f t="shared" ref="F103:F117" si="3">E103/$E$118</f>
        <v>1.8519846941655932E-3</v>
      </c>
    </row>
    <row r="104" spans="1:6" ht="15" customHeight="1" x14ac:dyDescent="0.3">
      <c r="A104" s="15" t="s">
        <v>114</v>
      </c>
      <c r="B104" s="49" t="str">
        <f>VLOOKUP(A104,ORCAMENTO!$A:$I,2,FALSE)</f>
        <v>VEDAÇÃO VERTICAL</v>
      </c>
      <c r="C104" s="50"/>
      <c r="D104" s="51"/>
      <c r="E104" s="16">
        <f>VLOOKUP(A104,ORCAMENTO!$A:$I,9,FALSE)</f>
        <v>2674.92</v>
      </c>
      <c r="F104" s="17">
        <f t="shared" si="3"/>
        <v>3.6752534650810729E-3</v>
      </c>
    </row>
    <row r="105" spans="1:6" ht="15" customHeight="1" x14ac:dyDescent="0.3">
      <c r="A105" s="15" t="s">
        <v>115</v>
      </c>
      <c r="B105" s="49" t="str">
        <f>VLOOKUP(A105,ORCAMENTO!$A:$I,2,FALSE)</f>
        <v>COBERTURA</v>
      </c>
      <c r="C105" s="50"/>
      <c r="D105" s="51"/>
      <c r="E105" s="16">
        <f>VLOOKUP(A105,ORCAMENTO!$A:$I,9,FALSE)</f>
        <v>1332.15</v>
      </c>
      <c r="F105" s="17">
        <f t="shared" si="3"/>
        <v>1.8303309644803402E-3</v>
      </c>
    </row>
    <row r="106" spans="1:6" ht="15" customHeight="1" x14ac:dyDescent="0.3">
      <c r="A106" s="15" t="s">
        <v>116</v>
      </c>
      <c r="B106" s="49" t="str">
        <f>VLOOKUP(A106,ORCAMENTO!$A:$I,2,FALSE)</f>
        <v>PISO</v>
      </c>
      <c r="C106" s="50"/>
      <c r="D106" s="51"/>
      <c r="E106" s="16">
        <f>VLOOKUP(A106,ORCAMENTO!$A:$I,9,FALSE)</f>
        <v>1208.82</v>
      </c>
      <c r="F106" s="17">
        <f t="shared" si="3"/>
        <v>1.6608795379522761E-3</v>
      </c>
    </row>
    <row r="107" spans="1:6" ht="15" customHeight="1" x14ac:dyDescent="0.3">
      <c r="A107" s="15" t="s">
        <v>117</v>
      </c>
      <c r="B107" s="49" t="str">
        <f>VLOOKUP(A107,ORCAMENTO!$A:$I,2,FALSE)</f>
        <v>REVESTIMENTO</v>
      </c>
      <c r="C107" s="50"/>
      <c r="D107" s="51"/>
      <c r="E107" s="16">
        <f>VLOOKUP(A107,ORCAMENTO!$A:$I,9,FALSE)</f>
        <v>2396.75</v>
      </c>
      <c r="F107" s="17">
        <f t="shared" si="3"/>
        <v>3.2930568923306347E-3</v>
      </c>
    </row>
    <row r="108" spans="1:6" ht="15" customHeight="1" x14ac:dyDescent="0.3">
      <c r="A108" s="15" t="s">
        <v>118</v>
      </c>
      <c r="B108" s="49" t="str">
        <f>VLOOKUP(A108,ORCAMENTO!$A:$I,2,FALSE)</f>
        <v>ESQUADRIAS</v>
      </c>
      <c r="C108" s="50"/>
      <c r="D108" s="51"/>
      <c r="E108" s="16">
        <f>VLOOKUP(A108,ORCAMENTO!$A:$I,9,FALSE)</f>
        <v>4550.21</v>
      </c>
      <c r="F108" s="17">
        <f t="shared" si="3"/>
        <v>6.2518412024832699E-3</v>
      </c>
    </row>
    <row r="109" spans="1:6" ht="15" customHeight="1" x14ac:dyDescent="0.3">
      <c r="A109" s="15" t="s">
        <v>119</v>
      </c>
      <c r="B109" s="49" t="str">
        <f>VLOOKUP(A109,ORCAMENTO!$A:$I,2,FALSE)</f>
        <v>PINTURA</v>
      </c>
      <c r="C109" s="50"/>
      <c r="D109" s="51"/>
      <c r="E109" s="16">
        <f>VLOOKUP(A109,ORCAMENTO!$A:$I,9,FALSE)</f>
        <v>663.11</v>
      </c>
      <c r="F109" s="17">
        <f t="shared" si="3"/>
        <v>9.1109166824798889E-4</v>
      </c>
    </row>
    <row r="110" spans="1:6" ht="15" customHeight="1" x14ac:dyDescent="0.3">
      <c r="A110" s="15" t="s">
        <v>120</v>
      </c>
      <c r="B110" s="49" t="str">
        <f>VLOOKUP(A110,ORCAMENTO!$A:$I,2,FALSE)</f>
        <v>CERCAMENTO</v>
      </c>
      <c r="C110" s="50"/>
      <c r="D110" s="51"/>
      <c r="E110" s="16">
        <f>VLOOKUP(A110,ORCAMENTO!$A:$I,9,FALSE)</f>
        <v>6063.93</v>
      </c>
      <c r="F110" s="17">
        <f t="shared" si="3"/>
        <v>8.3316434676584984E-3</v>
      </c>
    </row>
    <row r="111" spans="1:6" ht="15" customHeight="1" x14ac:dyDescent="0.3">
      <c r="A111" s="12" t="s">
        <v>121</v>
      </c>
      <c r="B111" s="46" t="str">
        <f>VLOOKUP(A111,ORCAMENTO!$A:$I,2,FALSE)</f>
        <v>INSTALAÇÕES ELÉTRICAS</v>
      </c>
      <c r="C111" s="47"/>
      <c r="D111" s="48"/>
      <c r="E111" s="13">
        <f>VLOOKUP(A111,ORCAMENTO!$A:$I,9,FALSE)</f>
        <v>1853.2700000000002</v>
      </c>
      <c r="F111" s="14">
        <f t="shared" si="3"/>
        <v>2.5463329704181062E-3</v>
      </c>
    </row>
    <row r="112" spans="1:6" ht="15" customHeight="1" x14ac:dyDescent="0.3">
      <c r="A112" s="12" t="s">
        <v>122</v>
      </c>
      <c r="B112" s="46" t="str">
        <f>VLOOKUP(A112,ORCAMENTO!$A:$I,2,FALSE)</f>
        <v>ADUÇÃO</v>
      </c>
      <c r="C112" s="47"/>
      <c r="D112" s="48"/>
      <c r="E112" s="13">
        <f>VLOOKUP(A112,ORCAMENTO!$A:$I,9,FALSE)</f>
        <v>1351.72</v>
      </c>
      <c r="F112" s="14">
        <f t="shared" si="3"/>
        <v>1.8572195107963557E-3</v>
      </c>
    </row>
    <row r="113" spans="1:6" ht="15" customHeight="1" x14ac:dyDescent="0.3">
      <c r="A113" s="15" t="s">
        <v>123</v>
      </c>
      <c r="B113" s="49" t="str">
        <f>VLOOKUP(A113,ORCAMENTO!$A:$I,2,FALSE)</f>
        <v>MOVIMENTO DE TERRA</v>
      </c>
      <c r="C113" s="50"/>
      <c r="D113" s="51"/>
      <c r="E113" s="16">
        <f>VLOOKUP(A113,ORCAMENTO!$A:$I,9,FALSE)</f>
        <v>423.02</v>
      </c>
      <c r="F113" s="17">
        <f t="shared" si="3"/>
        <v>5.8121578245278187E-4</v>
      </c>
    </row>
    <row r="114" spans="1:6" ht="15" customHeight="1" x14ac:dyDescent="0.3">
      <c r="A114" s="15" t="s">
        <v>124</v>
      </c>
      <c r="B114" s="49" t="str">
        <f>VLOOKUP(A114,ORCAMENTO!$A:$I,2,FALSE)</f>
        <v>INFRAESTRUTURA</v>
      </c>
      <c r="C114" s="50"/>
      <c r="D114" s="51"/>
      <c r="E114" s="16">
        <f>VLOOKUP(A114,ORCAMENTO!$A:$I,9,FALSE)</f>
        <v>265.19</v>
      </c>
      <c r="F114" s="17">
        <f t="shared" si="3"/>
        <v>3.6436247304773588E-4</v>
      </c>
    </row>
    <row r="115" spans="1:6" ht="15" customHeight="1" x14ac:dyDescent="0.3">
      <c r="A115" s="15" t="s">
        <v>125</v>
      </c>
      <c r="B115" s="49" t="str">
        <f>VLOOKUP(A115,ORCAMENTO!$A:$I,2,FALSE)</f>
        <v>INSTALAÇÕES HIDRÁULICAS</v>
      </c>
      <c r="C115" s="50"/>
      <c r="D115" s="51"/>
      <c r="E115" s="16">
        <f>VLOOKUP(A115,ORCAMENTO!$A:$I,9,FALSE)</f>
        <v>663.51</v>
      </c>
      <c r="F115" s="17">
        <f t="shared" si="3"/>
        <v>9.1164125529583789E-4</v>
      </c>
    </row>
    <row r="116" spans="1:6" ht="15" customHeight="1" x14ac:dyDescent="0.3">
      <c r="A116" s="12" t="s">
        <v>126</v>
      </c>
      <c r="B116" s="46" t="str">
        <f>VLOOKUP(A116,ORCAMENTO!$A:$I,2,FALSE)</f>
        <v>RESERVAÇÃO</v>
      </c>
      <c r="C116" s="47"/>
      <c r="D116" s="48"/>
      <c r="E116" s="13">
        <f>VLOOKUP(A116,ORCAMENTO!$A:$I,9,FALSE)</f>
        <v>20347.62</v>
      </c>
      <c r="F116" s="14">
        <f t="shared" si="3"/>
        <v>2.7956971016386636E-2</v>
      </c>
    </row>
    <row r="117" spans="1:6" ht="15" customHeight="1" x14ac:dyDescent="0.3">
      <c r="A117" s="12" t="s">
        <v>127</v>
      </c>
      <c r="B117" s="46" t="str">
        <f>VLOOKUP(A117,ORCAMENTO!$A:$I,2,FALSE)</f>
        <v>DISTRIBUIÇÃO (CHAFARIZ)</v>
      </c>
      <c r="C117" s="47"/>
      <c r="D117" s="48"/>
      <c r="E117" s="13">
        <f>VLOOKUP(A117,ORCAMENTO!$A:$I,9,FALSE)</f>
        <v>2831.9999999999995</v>
      </c>
      <c r="F117" s="14">
        <f t="shared" si="3"/>
        <v>3.8910762987714015E-3</v>
      </c>
    </row>
    <row r="118" spans="1:6" ht="15" customHeight="1" x14ac:dyDescent="0.3">
      <c r="A118" s="34" t="s">
        <v>128</v>
      </c>
      <c r="B118" s="36"/>
      <c r="C118" s="36"/>
      <c r="D118" s="35"/>
      <c r="E118" s="18">
        <f>SUM(E7,E8,E30,E52,E74,E96,)</f>
        <v>727819.19000000006</v>
      </c>
      <c r="F118" s="19">
        <f>SUM(F7,F8,F30,F52,F74,F96,)</f>
        <v>1</v>
      </c>
    </row>
  </sheetData>
  <mergeCells count="116">
    <mergeCell ref="A1:F1"/>
    <mergeCell ref="A2:F2"/>
    <mergeCell ref="A3:F3"/>
    <mergeCell ref="B6:D6"/>
    <mergeCell ref="B7:D7"/>
    <mergeCell ref="B8:D8"/>
    <mergeCell ref="B15:D15"/>
    <mergeCell ref="B16:D16"/>
    <mergeCell ref="B17:D17"/>
    <mergeCell ref="B18:D18"/>
    <mergeCell ref="B19:D19"/>
    <mergeCell ref="B20:D20"/>
    <mergeCell ref="B9:D9"/>
    <mergeCell ref="B10:D10"/>
    <mergeCell ref="B11:D11"/>
    <mergeCell ref="B12:D12"/>
    <mergeCell ref="B13:D13"/>
    <mergeCell ref="B14:D14"/>
    <mergeCell ref="B27:D27"/>
    <mergeCell ref="B28:D28"/>
    <mergeCell ref="B29:D29"/>
    <mergeCell ref="B30:D30"/>
    <mergeCell ref="B31:D31"/>
    <mergeCell ref="B32:D32"/>
    <mergeCell ref="B21:D21"/>
    <mergeCell ref="B22:D22"/>
    <mergeCell ref="B23:D23"/>
    <mergeCell ref="B24:D24"/>
    <mergeCell ref="B25:D25"/>
    <mergeCell ref="B26:D26"/>
    <mergeCell ref="B39:D39"/>
    <mergeCell ref="B40:D40"/>
    <mergeCell ref="B41:D41"/>
    <mergeCell ref="B42:D42"/>
    <mergeCell ref="B43:D43"/>
    <mergeCell ref="B44:D44"/>
    <mergeCell ref="B33:D33"/>
    <mergeCell ref="B34:D34"/>
    <mergeCell ref="B35:D35"/>
    <mergeCell ref="B36:D36"/>
    <mergeCell ref="B37:D37"/>
    <mergeCell ref="B38:D38"/>
    <mergeCell ref="B51:D51"/>
    <mergeCell ref="B52:D52"/>
    <mergeCell ref="B53:D53"/>
    <mergeCell ref="B54:D54"/>
    <mergeCell ref="B55:D55"/>
    <mergeCell ref="B56:D56"/>
    <mergeCell ref="B45:D45"/>
    <mergeCell ref="B46:D46"/>
    <mergeCell ref="B47:D47"/>
    <mergeCell ref="B48:D48"/>
    <mergeCell ref="B49:D49"/>
    <mergeCell ref="B50:D50"/>
    <mergeCell ref="B63:D63"/>
    <mergeCell ref="B64:D64"/>
    <mergeCell ref="B65:D65"/>
    <mergeCell ref="B66:D66"/>
    <mergeCell ref="B67:D67"/>
    <mergeCell ref="B68:D68"/>
    <mergeCell ref="B57:D57"/>
    <mergeCell ref="B58:D58"/>
    <mergeCell ref="B59:D59"/>
    <mergeCell ref="B60:D60"/>
    <mergeCell ref="B61:D61"/>
    <mergeCell ref="B62:D62"/>
    <mergeCell ref="B75:D75"/>
    <mergeCell ref="B76:D76"/>
    <mergeCell ref="B77:D77"/>
    <mergeCell ref="B78:D78"/>
    <mergeCell ref="B79:D79"/>
    <mergeCell ref="B80:D80"/>
    <mergeCell ref="B69:D69"/>
    <mergeCell ref="B70:D70"/>
    <mergeCell ref="B71:D71"/>
    <mergeCell ref="B72:D72"/>
    <mergeCell ref="B73:D73"/>
    <mergeCell ref="B74:D74"/>
    <mergeCell ref="B87:D87"/>
    <mergeCell ref="B88:D88"/>
    <mergeCell ref="B89:D89"/>
    <mergeCell ref="B90:D90"/>
    <mergeCell ref="B91:D91"/>
    <mergeCell ref="B92:D92"/>
    <mergeCell ref="B81:D81"/>
    <mergeCell ref="B82:D82"/>
    <mergeCell ref="B83:D83"/>
    <mergeCell ref="B84:D84"/>
    <mergeCell ref="B85:D85"/>
    <mergeCell ref="B86:D86"/>
    <mergeCell ref="B99:D99"/>
    <mergeCell ref="B100:D100"/>
    <mergeCell ref="B101:D101"/>
    <mergeCell ref="B102:D102"/>
    <mergeCell ref="B103:D103"/>
    <mergeCell ref="B104:D104"/>
    <mergeCell ref="B93:D93"/>
    <mergeCell ref="B94:D94"/>
    <mergeCell ref="B95:D95"/>
    <mergeCell ref="B96:D96"/>
    <mergeCell ref="B97:D97"/>
    <mergeCell ref="B98:D98"/>
    <mergeCell ref="B117:D117"/>
    <mergeCell ref="A118:D118"/>
    <mergeCell ref="B111:D111"/>
    <mergeCell ref="B112:D112"/>
    <mergeCell ref="B113:D113"/>
    <mergeCell ref="B114:D114"/>
    <mergeCell ref="B115:D115"/>
    <mergeCell ref="B116:D116"/>
    <mergeCell ref="B105:D105"/>
    <mergeCell ref="B106:D106"/>
    <mergeCell ref="B107:D107"/>
    <mergeCell ref="B108:D108"/>
    <mergeCell ref="B109:D109"/>
    <mergeCell ref="B110:D110"/>
  </mergeCells>
  <pageMargins left="0.78740157480314965" right="0.39370078740157483" top="1.1811023622047245" bottom="0.78740157480314965" header="0.31496062992125984" footer="0.31496062992125984"/>
  <pageSetup paperSize="9" scale="59" fitToHeight="0" orientation="portrait" r:id="rId1"/>
  <headerFooter>
    <oddHeader>&amp;C&amp;G</oddHeader>
  </headerFooter>
  <legacyDrawingHF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6F775F-D583-465B-94E4-9EA78A51BAE1}">
  <sheetPr>
    <tabColor indexed="10"/>
    <pageSetUpPr fitToPage="1"/>
  </sheetPr>
  <dimension ref="A1:G280"/>
  <sheetViews>
    <sheetView showGridLines="0" topLeftCell="A181" workbookViewId="0">
      <selection activeCell="E192" sqref="E192"/>
    </sheetView>
  </sheetViews>
  <sheetFormatPr defaultRowHeight="14.4" x14ac:dyDescent="0.3"/>
  <cols>
    <col min="1" max="2" width="12" bestFit="1" customWidth="1"/>
    <col min="3" max="3" width="74.109375" bestFit="1" customWidth="1"/>
    <col min="4" max="7" width="15.77734375" bestFit="1" customWidth="1"/>
    <col min="8" max="10" width="14.77734375" bestFit="1" customWidth="1"/>
  </cols>
  <sheetData>
    <row r="1" spans="1:7" x14ac:dyDescent="0.3">
      <c r="A1" s="33" t="str">
        <f>CIDADE</f>
        <v>MUNICÍPIO DE LAGOA DO PIAUI - PI</v>
      </c>
      <c r="B1" s="33"/>
      <c r="C1" s="33"/>
      <c r="D1" s="33"/>
      <c r="E1" s="33"/>
      <c r="F1" s="33"/>
      <c r="G1" s="33"/>
    </row>
    <row r="2" spans="1:7" x14ac:dyDescent="0.3">
      <c r="A2" s="33" t="str">
        <f>OBRA</f>
        <v>IMPLANTAÇÃO DE 5 (CINCO) SISTEMAS SIMPLIFICADOS DE ABASTECIMENTO DE ÁGUA ZONA RURAL DO MUNICÍPIO DE LAGOA DO PIAUÍ-PI</v>
      </c>
      <c r="B2" s="33"/>
      <c r="C2" s="33"/>
      <c r="D2" s="33"/>
      <c r="E2" s="33"/>
      <c r="F2" s="33"/>
      <c r="G2" s="33"/>
    </row>
    <row r="3" spans="1:7" x14ac:dyDescent="0.3">
      <c r="A3" s="33" t="s">
        <v>1796</v>
      </c>
      <c r="B3" s="33"/>
      <c r="C3" s="33"/>
      <c r="D3" s="33"/>
      <c r="E3" s="33"/>
      <c r="F3" s="33"/>
      <c r="G3" s="33"/>
    </row>
    <row r="5" spans="1:7" x14ac:dyDescent="0.3">
      <c r="A5" s="1" t="s">
        <v>3</v>
      </c>
      <c r="B5" s="7" t="str">
        <f>FONTE&amp;FOLHA</f>
        <v>SINAPI PI 06/2025, SEINFRA CE 28, ORSE SE 05/2025, SEM DESONERAÇÃO</v>
      </c>
      <c r="C5" s="3"/>
      <c r="D5" s="1" t="s">
        <v>10</v>
      </c>
      <c r="E5" s="8">
        <f>LEI</f>
        <v>113.33</v>
      </c>
      <c r="F5" s="1" t="s">
        <v>19</v>
      </c>
      <c r="G5" s="8">
        <f>BDI</f>
        <v>24.84</v>
      </c>
    </row>
    <row r="6" spans="1:7" x14ac:dyDescent="0.3">
      <c r="A6" s="4" t="s">
        <v>138</v>
      </c>
      <c r="B6" s="4" t="s">
        <v>139</v>
      </c>
      <c r="C6" s="4" t="s">
        <v>21</v>
      </c>
      <c r="D6" s="4" t="s">
        <v>140</v>
      </c>
      <c r="E6" s="4" t="s">
        <v>1567</v>
      </c>
      <c r="F6" s="4" t="s">
        <v>1568</v>
      </c>
      <c r="G6" s="4" t="s">
        <v>1569</v>
      </c>
    </row>
    <row r="7" spans="1:7" x14ac:dyDescent="0.3">
      <c r="A7" s="23" t="s">
        <v>1048</v>
      </c>
      <c r="B7" s="23" t="s">
        <v>1585</v>
      </c>
      <c r="C7" s="24" t="s">
        <v>1277</v>
      </c>
      <c r="D7" s="23" t="s">
        <v>1278</v>
      </c>
      <c r="E7" s="5">
        <f t="shared" ref="E7:E17" si="0">ROUND(IF(FOLHA="COM DESONERAÇÃO",F7,G7)*icf,2)</f>
        <v>55.73</v>
      </c>
      <c r="F7" s="5">
        <v>55.73</v>
      </c>
      <c r="G7" s="5">
        <v>55.73</v>
      </c>
    </row>
    <row r="8" spans="1:7" x14ac:dyDescent="0.3">
      <c r="A8" s="23">
        <v>34</v>
      </c>
      <c r="B8" s="23" t="s">
        <v>1576</v>
      </c>
      <c r="C8" s="24" t="s">
        <v>1279</v>
      </c>
      <c r="D8" s="23" t="s">
        <v>1280</v>
      </c>
      <c r="E8" s="5">
        <f t="shared" si="0"/>
        <v>8.08</v>
      </c>
      <c r="F8" s="5">
        <v>8.08</v>
      </c>
      <c r="G8" s="5">
        <v>8.08</v>
      </c>
    </row>
    <row r="9" spans="1:7" x14ac:dyDescent="0.3">
      <c r="A9" s="23">
        <v>43055</v>
      </c>
      <c r="B9" s="23" t="s">
        <v>1576</v>
      </c>
      <c r="C9" s="24" t="s">
        <v>1281</v>
      </c>
      <c r="D9" s="23" t="s">
        <v>1280</v>
      </c>
      <c r="E9" s="5">
        <f t="shared" si="0"/>
        <v>7</v>
      </c>
      <c r="F9" s="5">
        <v>7</v>
      </c>
      <c r="G9" s="5">
        <v>7</v>
      </c>
    </row>
    <row r="10" spans="1:7" x14ac:dyDescent="0.3">
      <c r="A10" s="23">
        <v>43056</v>
      </c>
      <c r="B10" s="23" t="s">
        <v>1576</v>
      </c>
      <c r="C10" s="24" t="s">
        <v>1282</v>
      </c>
      <c r="D10" s="23" t="s">
        <v>1280</v>
      </c>
      <c r="E10" s="5">
        <f t="shared" si="0"/>
        <v>8.07</v>
      </c>
      <c r="F10" s="5">
        <v>8.07</v>
      </c>
      <c r="G10" s="5">
        <v>8.07</v>
      </c>
    </row>
    <row r="11" spans="1:7" x14ac:dyDescent="0.3">
      <c r="A11" s="23">
        <v>32</v>
      </c>
      <c r="B11" s="23" t="s">
        <v>1576</v>
      </c>
      <c r="C11" s="24" t="s">
        <v>1283</v>
      </c>
      <c r="D11" s="23" t="s">
        <v>1280</v>
      </c>
      <c r="E11" s="5">
        <f t="shared" si="0"/>
        <v>8.52</v>
      </c>
      <c r="F11" s="5">
        <v>8.52</v>
      </c>
      <c r="G11" s="5">
        <v>8.52</v>
      </c>
    </row>
    <row r="12" spans="1:7" x14ac:dyDescent="0.3">
      <c r="A12" s="23">
        <v>33</v>
      </c>
      <c r="B12" s="23" t="s">
        <v>1576</v>
      </c>
      <c r="C12" s="24" t="s">
        <v>1284</v>
      </c>
      <c r="D12" s="23" t="s">
        <v>1280</v>
      </c>
      <c r="E12" s="5">
        <f t="shared" si="0"/>
        <v>8.57</v>
      </c>
      <c r="F12" s="5">
        <v>8.57</v>
      </c>
      <c r="G12" s="5">
        <v>8.57</v>
      </c>
    </row>
    <row r="13" spans="1:7" x14ac:dyDescent="0.3">
      <c r="A13" s="23">
        <v>43059</v>
      </c>
      <c r="B13" s="23" t="s">
        <v>1576</v>
      </c>
      <c r="C13" s="24" t="s">
        <v>1285</v>
      </c>
      <c r="D13" s="23" t="s">
        <v>1280</v>
      </c>
      <c r="E13" s="5">
        <f t="shared" si="0"/>
        <v>7.65</v>
      </c>
      <c r="F13" s="5">
        <v>7.65</v>
      </c>
      <c r="G13" s="5">
        <v>7.65</v>
      </c>
    </row>
    <row r="14" spans="1:7" x14ac:dyDescent="0.3">
      <c r="A14" s="23">
        <v>108</v>
      </c>
      <c r="B14" s="23" t="s">
        <v>1576</v>
      </c>
      <c r="C14" s="24" t="s">
        <v>1286</v>
      </c>
      <c r="D14" s="23" t="s">
        <v>1278</v>
      </c>
      <c r="E14" s="5">
        <f t="shared" si="0"/>
        <v>1.79</v>
      </c>
      <c r="F14" s="5">
        <v>1.79</v>
      </c>
      <c r="G14" s="5">
        <v>1.79</v>
      </c>
    </row>
    <row r="15" spans="1:7" ht="28.8" x14ac:dyDescent="0.3">
      <c r="A15" s="23">
        <v>110</v>
      </c>
      <c r="B15" s="23" t="s">
        <v>1576</v>
      </c>
      <c r="C15" s="24" t="s">
        <v>1287</v>
      </c>
      <c r="D15" s="23" t="s">
        <v>1278</v>
      </c>
      <c r="E15" s="5">
        <f t="shared" si="0"/>
        <v>6.22</v>
      </c>
      <c r="F15" s="5">
        <v>6.22</v>
      </c>
      <c r="G15" s="5">
        <v>6.22</v>
      </c>
    </row>
    <row r="16" spans="1:7" ht="28.8" x14ac:dyDescent="0.3">
      <c r="A16" s="23">
        <v>72</v>
      </c>
      <c r="B16" s="23" t="s">
        <v>1576</v>
      </c>
      <c r="C16" s="24" t="s">
        <v>1288</v>
      </c>
      <c r="D16" s="23" t="s">
        <v>1278</v>
      </c>
      <c r="E16" s="5">
        <f t="shared" si="0"/>
        <v>50.26</v>
      </c>
      <c r="F16" s="5">
        <v>50.26</v>
      </c>
      <c r="G16" s="5">
        <v>50.26</v>
      </c>
    </row>
    <row r="17" spans="1:7" x14ac:dyDescent="0.3">
      <c r="A17" s="23">
        <v>122</v>
      </c>
      <c r="B17" s="23" t="s">
        <v>1576</v>
      </c>
      <c r="C17" s="24" t="s">
        <v>1289</v>
      </c>
      <c r="D17" s="23" t="s">
        <v>1278</v>
      </c>
      <c r="E17" s="5">
        <f t="shared" si="0"/>
        <v>70.400000000000006</v>
      </c>
      <c r="F17" s="5">
        <v>70.400000000000006</v>
      </c>
      <c r="G17" s="5">
        <v>70.400000000000006</v>
      </c>
    </row>
    <row r="18" spans="1:7" x14ac:dyDescent="0.3">
      <c r="A18" s="23">
        <v>6114</v>
      </c>
      <c r="B18" s="23" t="s">
        <v>1576</v>
      </c>
      <c r="C18" s="24" t="s">
        <v>1502</v>
      </c>
      <c r="D18" s="23" t="s">
        <v>1503</v>
      </c>
      <c r="E18" s="5">
        <f>IF(FOLHA="COM DESONERAÇÃO",F18,G18)</f>
        <v>15.57</v>
      </c>
      <c r="F18" s="5">
        <v>13.91</v>
      </c>
      <c r="G18" s="5">
        <v>15.57</v>
      </c>
    </row>
    <row r="19" spans="1:7" x14ac:dyDescent="0.3">
      <c r="A19" s="23" t="s">
        <v>1125</v>
      </c>
      <c r="B19" s="23" t="s">
        <v>1630</v>
      </c>
      <c r="C19" s="24" t="s">
        <v>1504</v>
      </c>
      <c r="D19" s="23" t="s">
        <v>1503</v>
      </c>
      <c r="E19" s="5">
        <f>IF(FOLHA="COM DESONERAÇÃO",F19,G19)</f>
        <v>21.1</v>
      </c>
      <c r="F19" s="5">
        <v>19.100000000000001</v>
      </c>
      <c r="G19" s="5">
        <v>21.1</v>
      </c>
    </row>
    <row r="20" spans="1:7" x14ac:dyDescent="0.3">
      <c r="A20" s="23">
        <v>247</v>
      </c>
      <c r="B20" s="23" t="s">
        <v>1576</v>
      </c>
      <c r="C20" s="24" t="s">
        <v>1505</v>
      </c>
      <c r="D20" s="23" t="s">
        <v>1503</v>
      </c>
      <c r="E20" s="5">
        <f>IF(FOLHA="COM DESONERAÇÃO",F20,G20)</f>
        <v>15.57</v>
      </c>
      <c r="F20" s="5">
        <v>13.91</v>
      </c>
      <c r="G20" s="5">
        <v>15.57</v>
      </c>
    </row>
    <row r="21" spans="1:7" x14ac:dyDescent="0.3">
      <c r="A21" s="23" t="s">
        <v>1118</v>
      </c>
      <c r="B21" s="23" t="s">
        <v>1585</v>
      </c>
      <c r="C21" s="24" t="s">
        <v>1290</v>
      </c>
      <c r="D21" s="23" t="s">
        <v>1278</v>
      </c>
      <c r="E21" s="5">
        <f>ROUND(IF(FOLHA="COM DESONERAÇÃO",F21,G21)*icf,2)</f>
        <v>47.69</v>
      </c>
      <c r="F21" s="5">
        <v>47.69</v>
      </c>
      <c r="G21" s="5">
        <v>47.69</v>
      </c>
    </row>
    <row r="22" spans="1:7" x14ac:dyDescent="0.3">
      <c r="A22" s="23" t="s">
        <v>1119</v>
      </c>
      <c r="B22" s="23" t="s">
        <v>1585</v>
      </c>
      <c r="C22" s="24" t="s">
        <v>1291</v>
      </c>
      <c r="D22" s="23" t="s">
        <v>1278</v>
      </c>
      <c r="E22" s="5">
        <f>ROUND(IF(FOLHA="COM DESONERAÇÃO",F22,G22)*icf,2)</f>
        <v>170.6</v>
      </c>
      <c r="F22" s="5">
        <v>170.6</v>
      </c>
      <c r="G22" s="5">
        <v>170.6</v>
      </c>
    </row>
    <row r="23" spans="1:7" x14ac:dyDescent="0.3">
      <c r="A23" s="23">
        <v>37370</v>
      </c>
      <c r="B23" s="23" t="s">
        <v>1576</v>
      </c>
      <c r="C23" s="24" t="s">
        <v>1506</v>
      </c>
      <c r="D23" s="23" t="s">
        <v>1503</v>
      </c>
      <c r="E23" s="5">
        <f>IF(FOLHA="COM DESONERAÇÃO",F23,G23)</f>
        <v>2.46</v>
      </c>
      <c r="F23" s="5">
        <v>2.46</v>
      </c>
      <c r="G23" s="5">
        <v>2.46</v>
      </c>
    </row>
    <row r="24" spans="1:7" x14ac:dyDescent="0.3">
      <c r="A24" s="23">
        <v>253</v>
      </c>
      <c r="B24" s="23" t="s">
        <v>1576</v>
      </c>
      <c r="C24" s="24" t="s">
        <v>1507</v>
      </c>
      <c r="D24" s="23" t="s">
        <v>1503</v>
      </c>
      <c r="E24" s="5">
        <f>IF(FOLHA="COM DESONERAÇÃO",F24,G24)</f>
        <v>20.329999999999998</v>
      </c>
      <c r="F24" s="5">
        <v>18.16</v>
      </c>
      <c r="G24" s="5">
        <v>20.329999999999998</v>
      </c>
    </row>
    <row r="25" spans="1:7" x14ac:dyDescent="0.3">
      <c r="A25" s="23" t="s">
        <v>1104</v>
      </c>
      <c r="B25" s="23" t="s">
        <v>1585</v>
      </c>
      <c r="C25" s="24" t="s">
        <v>1292</v>
      </c>
      <c r="D25" s="23" t="s">
        <v>1278</v>
      </c>
      <c r="E25" s="5">
        <f t="shared" ref="E25:E36" si="1">ROUND(IF(FOLHA="COM DESONERAÇÃO",F25,G25)*icf,2)</f>
        <v>14</v>
      </c>
      <c r="F25" s="5">
        <v>14</v>
      </c>
      <c r="G25" s="5">
        <v>14</v>
      </c>
    </row>
    <row r="26" spans="1:7" x14ac:dyDescent="0.3">
      <c r="A26" s="23">
        <v>325</v>
      </c>
      <c r="B26" s="23" t="s">
        <v>1576</v>
      </c>
      <c r="C26" s="24" t="s">
        <v>1293</v>
      </c>
      <c r="D26" s="23" t="s">
        <v>1278</v>
      </c>
      <c r="E26" s="5">
        <f t="shared" si="1"/>
        <v>2.96</v>
      </c>
      <c r="F26" s="5">
        <v>2.96</v>
      </c>
      <c r="G26" s="5">
        <v>2.96</v>
      </c>
    </row>
    <row r="27" spans="1:7" x14ac:dyDescent="0.3">
      <c r="A27" s="23" t="s">
        <v>1097</v>
      </c>
      <c r="B27" s="23" t="s">
        <v>1585</v>
      </c>
      <c r="C27" s="24" t="s">
        <v>1294</v>
      </c>
      <c r="D27" s="23" t="s">
        <v>1278</v>
      </c>
      <c r="E27" s="5">
        <f t="shared" si="1"/>
        <v>565.21</v>
      </c>
      <c r="F27" s="5">
        <v>565.21</v>
      </c>
      <c r="G27" s="5">
        <v>565.21</v>
      </c>
    </row>
    <row r="28" spans="1:7" x14ac:dyDescent="0.3">
      <c r="A28" s="23">
        <v>339</v>
      </c>
      <c r="B28" s="23" t="s">
        <v>1576</v>
      </c>
      <c r="C28" s="24" t="s">
        <v>1295</v>
      </c>
      <c r="D28" s="23" t="s">
        <v>1296</v>
      </c>
      <c r="E28" s="5">
        <f t="shared" si="1"/>
        <v>1.32</v>
      </c>
      <c r="F28" s="5">
        <v>1.32</v>
      </c>
      <c r="G28" s="5">
        <v>1.32</v>
      </c>
    </row>
    <row r="29" spans="1:7" ht="28.8" x14ac:dyDescent="0.3">
      <c r="A29" s="23">
        <v>43130</v>
      </c>
      <c r="B29" s="23" t="s">
        <v>1576</v>
      </c>
      <c r="C29" s="24" t="s">
        <v>1297</v>
      </c>
      <c r="D29" s="23" t="s">
        <v>1280</v>
      </c>
      <c r="E29" s="5">
        <f t="shared" si="1"/>
        <v>21.59</v>
      </c>
      <c r="F29" s="5">
        <v>21.59</v>
      </c>
      <c r="G29" s="5">
        <v>21.59</v>
      </c>
    </row>
    <row r="30" spans="1:7" ht="28.8" x14ac:dyDescent="0.3">
      <c r="A30" s="23">
        <v>43132</v>
      </c>
      <c r="B30" s="23" t="s">
        <v>1576</v>
      </c>
      <c r="C30" s="24" t="s">
        <v>1298</v>
      </c>
      <c r="D30" s="23" t="s">
        <v>1280</v>
      </c>
      <c r="E30" s="5">
        <f t="shared" si="1"/>
        <v>21.59</v>
      </c>
      <c r="F30" s="5">
        <v>21.59</v>
      </c>
      <c r="G30" s="5">
        <v>21.59</v>
      </c>
    </row>
    <row r="31" spans="1:7" x14ac:dyDescent="0.3">
      <c r="A31" s="23" t="s">
        <v>1148</v>
      </c>
      <c r="B31" s="23" t="s">
        <v>1585</v>
      </c>
      <c r="C31" s="24" t="s">
        <v>1299</v>
      </c>
      <c r="D31" s="23" t="s">
        <v>1278</v>
      </c>
      <c r="E31" s="5">
        <f t="shared" si="1"/>
        <v>19.899999999999999</v>
      </c>
      <c r="F31" s="5">
        <v>19.899999999999999</v>
      </c>
      <c r="G31" s="5">
        <v>19.899999999999999</v>
      </c>
    </row>
    <row r="32" spans="1:7" x14ac:dyDescent="0.3">
      <c r="A32" s="23" t="s">
        <v>1067</v>
      </c>
      <c r="B32" s="23" t="s">
        <v>1630</v>
      </c>
      <c r="C32" s="24" t="s">
        <v>1300</v>
      </c>
      <c r="D32" s="23" t="s">
        <v>1301</v>
      </c>
      <c r="E32" s="5">
        <f t="shared" si="1"/>
        <v>119.58</v>
      </c>
      <c r="F32" s="5">
        <v>119.58</v>
      </c>
      <c r="G32" s="5">
        <v>119.58</v>
      </c>
    </row>
    <row r="33" spans="1:7" x14ac:dyDescent="0.3">
      <c r="A33" s="23">
        <v>367</v>
      </c>
      <c r="B33" s="23" t="s">
        <v>1576</v>
      </c>
      <c r="C33" s="24" t="s">
        <v>1302</v>
      </c>
      <c r="D33" s="23" t="s">
        <v>1301</v>
      </c>
      <c r="E33" s="5">
        <f t="shared" si="1"/>
        <v>96.24</v>
      </c>
      <c r="F33" s="5">
        <v>96.24</v>
      </c>
      <c r="G33" s="5">
        <v>96.24</v>
      </c>
    </row>
    <row r="34" spans="1:7" x14ac:dyDescent="0.3">
      <c r="A34" s="23" t="s">
        <v>1123</v>
      </c>
      <c r="B34" s="23" t="s">
        <v>1630</v>
      </c>
      <c r="C34" s="24" t="s">
        <v>1303</v>
      </c>
      <c r="D34" s="23" t="s">
        <v>1301</v>
      </c>
      <c r="E34" s="5">
        <f t="shared" si="1"/>
        <v>83.58</v>
      </c>
      <c r="F34" s="5">
        <v>83.58</v>
      </c>
      <c r="G34" s="5">
        <v>83.58</v>
      </c>
    </row>
    <row r="35" spans="1:7" x14ac:dyDescent="0.3">
      <c r="A35" s="23">
        <v>370</v>
      </c>
      <c r="B35" s="23" t="s">
        <v>1576</v>
      </c>
      <c r="C35" s="24" t="s">
        <v>1304</v>
      </c>
      <c r="D35" s="23" t="s">
        <v>1301</v>
      </c>
      <c r="E35" s="5">
        <f t="shared" si="1"/>
        <v>95</v>
      </c>
      <c r="F35" s="5">
        <v>95</v>
      </c>
      <c r="G35" s="5">
        <v>95</v>
      </c>
    </row>
    <row r="36" spans="1:7" ht="28.8" x14ac:dyDescent="0.3">
      <c r="A36" s="23">
        <v>1094</v>
      </c>
      <c r="B36" s="23" t="s">
        <v>1576</v>
      </c>
      <c r="C36" s="24" t="s">
        <v>1305</v>
      </c>
      <c r="D36" s="23" t="s">
        <v>1278</v>
      </c>
      <c r="E36" s="5">
        <f t="shared" si="1"/>
        <v>25.72</v>
      </c>
      <c r="F36" s="5">
        <v>25.72</v>
      </c>
      <c r="G36" s="5">
        <v>25.72</v>
      </c>
    </row>
    <row r="37" spans="1:7" x14ac:dyDescent="0.3">
      <c r="A37" s="23">
        <v>378</v>
      </c>
      <c r="B37" s="23" t="s">
        <v>1576</v>
      </c>
      <c r="C37" s="24" t="s">
        <v>1508</v>
      </c>
      <c r="D37" s="23" t="s">
        <v>1503</v>
      </c>
      <c r="E37" s="5">
        <f>IF(FOLHA="COM DESONERAÇÃO",F37,G37)</f>
        <v>20.329999999999998</v>
      </c>
      <c r="F37" s="5">
        <v>18.16</v>
      </c>
      <c r="G37" s="5">
        <v>20.329999999999998</v>
      </c>
    </row>
    <row r="38" spans="1:7" ht="28.8" x14ac:dyDescent="0.3">
      <c r="A38" s="23">
        <v>11267</v>
      </c>
      <c r="B38" s="23" t="s">
        <v>1576</v>
      </c>
      <c r="C38" s="24" t="s">
        <v>1306</v>
      </c>
      <c r="D38" s="23" t="s">
        <v>1278</v>
      </c>
      <c r="E38" s="5">
        <f>ROUND(IF(FOLHA="COM DESONERAÇÃO",F38,G38)*icf,2)</f>
        <v>1.42</v>
      </c>
      <c r="F38" s="5">
        <v>1.42</v>
      </c>
      <c r="G38" s="5">
        <v>1.42</v>
      </c>
    </row>
    <row r="39" spans="1:7" x14ac:dyDescent="0.3">
      <c r="A39" s="23">
        <v>40331</v>
      </c>
      <c r="B39" s="23" t="s">
        <v>1576</v>
      </c>
      <c r="C39" s="24" t="s">
        <v>1509</v>
      </c>
      <c r="D39" s="23" t="s">
        <v>1503</v>
      </c>
      <c r="E39" s="5">
        <f>IF(FOLHA="COM DESONERAÇÃO",F39,G39)</f>
        <v>13.99</v>
      </c>
      <c r="F39" s="5">
        <v>12.5</v>
      </c>
      <c r="G39" s="5">
        <v>13.99</v>
      </c>
    </row>
    <row r="40" spans="1:7" x14ac:dyDescent="0.3">
      <c r="A40" s="23">
        <v>246</v>
      </c>
      <c r="B40" s="23" t="s">
        <v>1576</v>
      </c>
      <c r="C40" s="24" t="s">
        <v>1510</v>
      </c>
      <c r="D40" s="23" t="s">
        <v>1503</v>
      </c>
      <c r="E40" s="5">
        <f>IF(FOLHA="COM DESONERAÇÃO",F40,G40)</f>
        <v>15.57</v>
      </c>
      <c r="F40" s="5">
        <v>13.91</v>
      </c>
      <c r="G40" s="5">
        <v>15.57</v>
      </c>
    </row>
    <row r="41" spans="1:7" x14ac:dyDescent="0.3">
      <c r="A41" s="23">
        <v>251</v>
      </c>
      <c r="B41" s="23" t="s">
        <v>1576</v>
      </c>
      <c r="C41" s="24" t="s">
        <v>1511</v>
      </c>
      <c r="D41" s="23" t="s">
        <v>1503</v>
      </c>
      <c r="E41" s="5">
        <f>IF(FOLHA="COM DESONERAÇÃO",F41,G41)</f>
        <v>15.57</v>
      </c>
      <c r="F41" s="5">
        <v>13.91</v>
      </c>
      <c r="G41" s="5">
        <v>15.57</v>
      </c>
    </row>
    <row r="42" spans="1:7" x14ac:dyDescent="0.3">
      <c r="A42" s="23">
        <v>6127</v>
      </c>
      <c r="B42" s="23" t="s">
        <v>1576</v>
      </c>
      <c r="C42" s="24" t="s">
        <v>1512</v>
      </c>
      <c r="D42" s="23" t="s">
        <v>1503</v>
      </c>
      <c r="E42" s="5">
        <f>IF(FOLHA="COM DESONERAÇÃO",F42,G42)</f>
        <v>15.57</v>
      </c>
      <c r="F42" s="5">
        <v>13.91</v>
      </c>
      <c r="G42" s="5">
        <v>15.57</v>
      </c>
    </row>
    <row r="43" spans="1:7" x14ac:dyDescent="0.3">
      <c r="A43" s="23">
        <v>532</v>
      </c>
      <c r="B43" s="23" t="s">
        <v>1576</v>
      </c>
      <c r="C43" s="24" t="s">
        <v>1513</v>
      </c>
      <c r="D43" s="23" t="s">
        <v>1503</v>
      </c>
      <c r="E43" s="5">
        <f>IF(FOLHA="COM DESONERAÇÃO",F43,G43)</f>
        <v>24.06</v>
      </c>
      <c r="F43" s="5">
        <v>21.5</v>
      </c>
      <c r="G43" s="5">
        <v>24.06</v>
      </c>
    </row>
    <row r="44" spans="1:7" x14ac:dyDescent="0.3">
      <c r="A44" s="23" t="s">
        <v>1138</v>
      </c>
      <c r="B44" s="23" t="s">
        <v>1585</v>
      </c>
      <c r="C44" s="24" t="s">
        <v>1307</v>
      </c>
      <c r="D44" s="23" t="s">
        <v>1280</v>
      </c>
      <c r="E44" s="5">
        <f>ROUND(IF(FOLHA="COM DESONERAÇÃO",F44,G44)*icf,2)</f>
        <v>9.14</v>
      </c>
      <c r="F44" s="5">
        <v>9.14</v>
      </c>
      <c r="G44" s="5">
        <v>9.14</v>
      </c>
    </row>
    <row r="45" spans="1:7" ht="28.8" x14ac:dyDescent="0.3">
      <c r="A45" s="23" t="s">
        <v>1085</v>
      </c>
      <c r="B45" s="23" t="s">
        <v>1570</v>
      </c>
      <c r="C45" s="24" t="s">
        <v>1308</v>
      </c>
      <c r="D45" s="23" t="s">
        <v>1278</v>
      </c>
      <c r="E45" s="5">
        <f>ROUND(IF(FOLHA="COM DESONERAÇÃO",F45,G45)*icf,2)</f>
        <v>9800</v>
      </c>
      <c r="F45" s="5">
        <v>9800</v>
      </c>
      <c r="G45" s="5">
        <v>9800</v>
      </c>
    </row>
    <row r="46" spans="1:7" ht="28.8" x14ac:dyDescent="0.3">
      <c r="A46" s="23">
        <v>10535</v>
      </c>
      <c r="B46" s="23" t="s">
        <v>1576</v>
      </c>
      <c r="C46" s="24" t="s">
        <v>1309</v>
      </c>
      <c r="D46" s="23" t="s">
        <v>1278</v>
      </c>
      <c r="E46" s="5">
        <f>ROUND(IF(FOLHA="COM DESONERAÇÃO",F46,G46)*icf,2)</f>
        <v>6439.62</v>
      </c>
      <c r="F46" s="5">
        <v>6439.62</v>
      </c>
      <c r="G46" s="5">
        <v>6439.62</v>
      </c>
    </row>
    <row r="47" spans="1:7" x14ac:dyDescent="0.3">
      <c r="A47" s="23" t="s">
        <v>1122</v>
      </c>
      <c r="B47" s="23" t="s">
        <v>1630</v>
      </c>
      <c r="C47" s="24" t="s">
        <v>1514</v>
      </c>
      <c r="D47" s="23" t="s">
        <v>1503</v>
      </c>
      <c r="E47" s="5">
        <f>IF(FOLHA="COM DESONERAÇÃO",F47,G47)</f>
        <v>27.6</v>
      </c>
      <c r="F47" s="5">
        <v>25.18</v>
      </c>
      <c r="G47" s="5">
        <v>27.6</v>
      </c>
    </row>
    <row r="48" spans="1:7" ht="28.8" x14ac:dyDescent="0.3">
      <c r="A48" s="23">
        <v>36397</v>
      </c>
      <c r="B48" s="23" t="s">
        <v>1576</v>
      </c>
      <c r="C48" s="24" t="s">
        <v>1310</v>
      </c>
      <c r="D48" s="23" t="s">
        <v>1278</v>
      </c>
      <c r="E48" s="5">
        <f t="shared" ref="E48:E67" si="2">ROUND(IF(FOLHA="COM DESONERAÇÃO",F48,G48)*icf,2)</f>
        <v>26195.06</v>
      </c>
      <c r="F48" s="5">
        <v>26195.06</v>
      </c>
      <c r="G48" s="5">
        <v>26195.06</v>
      </c>
    </row>
    <row r="49" spans="1:7" ht="28.8" x14ac:dyDescent="0.3">
      <c r="A49" s="23">
        <v>7267</v>
      </c>
      <c r="B49" s="23" t="s">
        <v>1576</v>
      </c>
      <c r="C49" s="24" t="s">
        <v>1311</v>
      </c>
      <c r="D49" s="23" t="s">
        <v>1278</v>
      </c>
      <c r="E49" s="5">
        <f t="shared" si="2"/>
        <v>0.71</v>
      </c>
      <c r="F49" s="5">
        <v>0.71</v>
      </c>
      <c r="G49" s="5">
        <v>0.71</v>
      </c>
    </row>
    <row r="50" spans="1:7" ht="28.8" x14ac:dyDescent="0.3">
      <c r="A50" s="23">
        <v>7271</v>
      </c>
      <c r="B50" s="23" t="s">
        <v>1576</v>
      </c>
      <c r="C50" s="24" t="s">
        <v>1312</v>
      </c>
      <c r="D50" s="23" t="s">
        <v>1278</v>
      </c>
      <c r="E50" s="5">
        <f t="shared" si="2"/>
        <v>0.9</v>
      </c>
      <c r="F50" s="5">
        <v>0.9</v>
      </c>
      <c r="G50" s="5">
        <v>0.9</v>
      </c>
    </row>
    <row r="51" spans="1:7" x14ac:dyDescent="0.3">
      <c r="A51" s="23" t="s">
        <v>1046</v>
      </c>
      <c r="B51" s="23" t="s">
        <v>1570</v>
      </c>
      <c r="C51" s="24" t="s">
        <v>1313</v>
      </c>
      <c r="D51" s="23" t="s">
        <v>1278</v>
      </c>
      <c r="E51" s="5">
        <f t="shared" si="2"/>
        <v>3471</v>
      </c>
      <c r="F51" s="5">
        <v>3471</v>
      </c>
      <c r="G51" s="5">
        <v>3471</v>
      </c>
    </row>
    <row r="52" spans="1:7" x14ac:dyDescent="0.3">
      <c r="A52" s="23">
        <v>12893</v>
      </c>
      <c r="B52" s="23" t="s">
        <v>1576</v>
      </c>
      <c r="C52" s="24" t="s">
        <v>1314</v>
      </c>
      <c r="D52" s="23" t="s">
        <v>1315</v>
      </c>
      <c r="E52" s="5">
        <f t="shared" si="2"/>
        <v>103.39</v>
      </c>
      <c r="F52" s="5">
        <v>103.39</v>
      </c>
      <c r="G52" s="5">
        <v>103.39</v>
      </c>
    </row>
    <row r="53" spans="1:7" x14ac:dyDescent="0.3">
      <c r="A53" s="23">
        <v>791</v>
      </c>
      <c r="B53" s="23" t="s">
        <v>1576</v>
      </c>
      <c r="C53" s="24" t="s">
        <v>1316</v>
      </c>
      <c r="D53" s="23" t="s">
        <v>1278</v>
      </c>
      <c r="E53" s="5">
        <f t="shared" si="2"/>
        <v>17.75</v>
      </c>
      <c r="F53" s="5">
        <v>17.75</v>
      </c>
      <c r="G53" s="5">
        <v>17.75</v>
      </c>
    </row>
    <row r="54" spans="1:7" x14ac:dyDescent="0.3">
      <c r="A54" s="23">
        <v>788</v>
      </c>
      <c r="B54" s="23" t="s">
        <v>1576</v>
      </c>
      <c r="C54" s="24" t="s">
        <v>1317</v>
      </c>
      <c r="D54" s="23" t="s">
        <v>1278</v>
      </c>
      <c r="E54" s="5">
        <f t="shared" si="2"/>
        <v>23.82</v>
      </c>
      <c r="F54" s="5">
        <v>23.82</v>
      </c>
      <c r="G54" s="5">
        <v>23.82</v>
      </c>
    </row>
    <row r="55" spans="1:7" x14ac:dyDescent="0.3">
      <c r="A55" s="23">
        <v>867</v>
      </c>
      <c r="B55" s="23" t="s">
        <v>1576</v>
      </c>
      <c r="C55" s="24" t="s">
        <v>1318</v>
      </c>
      <c r="D55" s="23" t="s">
        <v>1296</v>
      </c>
      <c r="E55" s="5">
        <f t="shared" si="2"/>
        <v>59.54</v>
      </c>
      <c r="F55" s="5">
        <v>59.54</v>
      </c>
      <c r="G55" s="5">
        <v>59.54</v>
      </c>
    </row>
    <row r="56" spans="1:7" ht="28.8" x14ac:dyDescent="0.3">
      <c r="A56" s="23">
        <v>1014</v>
      </c>
      <c r="B56" s="23" t="s">
        <v>1576</v>
      </c>
      <c r="C56" s="24" t="s">
        <v>1319</v>
      </c>
      <c r="D56" s="23" t="s">
        <v>1296</v>
      </c>
      <c r="E56" s="5">
        <f t="shared" si="2"/>
        <v>2.5299999999999998</v>
      </c>
      <c r="F56" s="5">
        <v>2.5299999999999998</v>
      </c>
      <c r="G56" s="5">
        <v>2.5299999999999998</v>
      </c>
    </row>
    <row r="57" spans="1:7" ht="43.2" x14ac:dyDescent="0.3">
      <c r="A57" s="23">
        <v>1020</v>
      </c>
      <c r="B57" s="23" t="s">
        <v>1576</v>
      </c>
      <c r="C57" s="24" t="s">
        <v>1320</v>
      </c>
      <c r="D57" s="23" t="s">
        <v>1296</v>
      </c>
      <c r="E57" s="5">
        <f t="shared" si="2"/>
        <v>10.97</v>
      </c>
      <c r="F57" s="5">
        <v>10.97</v>
      </c>
      <c r="G57" s="5">
        <v>10.97</v>
      </c>
    </row>
    <row r="58" spans="1:7" x14ac:dyDescent="0.3">
      <c r="A58" s="23">
        <v>34622</v>
      </c>
      <c r="B58" s="23" t="s">
        <v>1576</v>
      </c>
      <c r="C58" s="24" t="s">
        <v>1321</v>
      </c>
      <c r="D58" s="23" t="s">
        <v>1296</v>
      </c>
      <c r="E58" s="5">
        <f t="shared" si="2"/>
        <v>23.41</v>
      </c>
      <c r="F58" s="5">
        <v>23.41</v>
      </c>
      <c r="G58" s="5">
        <v>23.41</v>
      </c>
    </row>
    <row r="59" spans="1:7" ht="28.8" x14ac:dyDescent="0.3">
      <c r="A59" s="23">
        <v>4430</v>
      </c>
      <c r="B59" s="23" t="s">
        <v>1576</v>
      </c>
      <c r="C59" s="24" t="s">
        <v>1322</v>
      </c>
      <c r="D59" s="23" t="s">
        <v>1296</v>
      </c>
      <c r="E59" s="5">
        <f t="shared" si="2"/>
        <v>10</v>
      </c>
      <c r="F59" s="5">
        <v>10</v>
      </c>
      <c r="G59" s="5">
        <v>10</v>
      </c>
    </row>
    <row r="60" spans="1:7" ht="28.8" x14ac:dyDescent="0.3">
      <c r="A60" s="23">
        <v>4433</v>
      </c>
      <c r="B60" s="23" t="s">
        <v>1576</v>
      </c>
      <c r="C60" s="24" t="s">
        <v>1323</v>
      </c>
      <c r="D60" s="23" t="s">
        <v>1296</v>
      </c>
      <c r="E60" s="5">
        <f t="shared" si="2"/>
        <v>19.55</v>
      </c>
      <c r="F60" s="5">
        <v>19.55</v>
      </c>
      <c r="G60" s="5">
        <v>19.55</v>
      </c>
    </row>
    <row r="61" spans="1:7" ht="28.8" x14ac:dyDescent="0.3">
      <c r="A61" s="23">
        <v>37106</v>
      </c>
      <c r="B61" s="23" t="s">
        <v>1576</v>
      </c>
      <c r="C61" s="24" t="s">
        <v>1324</v>
      </c>
      <c r="D61" s="23" t="s">
        <v>1278</v>
      </c>
      <c r="E61" s="5">
        <f t="shared" si="2"/>
        <v>5813.32</v>
      </c>
      <c r="F61" s="5">
        <v>5813.32</v>
      </c>
      <c r="G61" s="5">
        <v>5813.32</v>
      </c>
    </row>
    <row r="62" spans="1:7" ht="28.8" x14ac:dyDescent="0.3">
      <c r="A62" s="23">
        <v>34643</v>
      </c>
      <c r="B62" s="23" t="s">
        <v>1576</v>
      </c>
      <c r="C62" s="24" t="s">
        <v>1325</v>
      </c>
      <c r="D62" s="23" t="s">
        <v>1278</v>
      </c>
      <c r="E62" s="5">
        <f t="shared" si="2"/>
        <v>41.96</v>
      </c>
      <c r="F62" s="5">
        <v>41.96</v>
      </c>
      <c r="G62" s="5">
        <v>41.96</v>
      </c>
    </row>
    <row r="63" spans="1:7" x14ac:dyDescent="0.3">
      <c r="A63" s="23">
        <v>1872</v>
      </c>
      <c r="B63" s="23" t="s">
        <v>1576</v>
      </c>
      <c r="C63" s="24" t="s">
        <v>1326</v>
      </c>
      <c r="D63" s="23" t="s">
        <v>1278</v>
      </c>
      <c r="E63" s="5">
        <f t="shared" si="2"/>
        <v>2.27</v>
      </c>
      <c r="F63" s="5">
        <v>2.27</v>
      </c>
      <c r="G63" s="5">
        <v>2.27</v>
      </c>
    </row>
    <row r="64" spans="1:7" ht="28.8" x14ac:dyDescent="0.3">
      <c r="A64" s="23">
        <v>39808</v>
      </c>
      <c r="B64" s="23" t="s">
        <v>1576</v>
      </c>
      <c r="C64" s="24" t="s">
        <v>1327</v>
      </c>
      <c r="D64" s="23" t="s">
        <v>1278</v>
      </c>
      <c r="E64" s="5">
        <f t="shared" si="2"/>
        <v>98.35</v>
      </c>
      <c r="F64" s="5">
        <v>98.35</v>
      </c>
      <c r="G64" s="5">
        <v>98.35</v>
      </c>
    </row>
    <row r="65" spans="1:7" x14ac:dyDescent="0.3">
      <c r="A65" s="23">
        <v>1106</v>
      </c>
      <c r="B65" s="23" t="s">
        <v>1576</v>
      </c>
      <c r="C65" s="24" t="s">
        <v>1328</v>
      </c>
      <c r="D65" s="23" t="s">
        <v>1280</v>
      </c>
      <c r="E65" s="5">
        <f t="shared" si="2"/>
        <v>1.24</v>
      </c>
      <c r="F65" s="5">
        <v>1.24</v>
      </c>
      <c r="G65" s="5">
        <v>1.24</v>
      </c>
    </row>
    <row r="66" spans="1:7" ht="28.8" x14ac:dyDescent="0.3">
      <c r="A66" s="23">
        <v>12894</v>
      </c>
      <c r="B66" s="23" t="s">
        <v>1576</v>
      </c>
      <c r="C66" s="24" t="s">
        <v>1329</v>
      </c>
      <c r="D66" s="23" t="s">
        <v>1278</v>
      </c>
      <c r="E66" s="5">
        <f t="shared" si="2"/>
        <v>28.12</v>
      </c>
      <c r="F66" s="5">
        <v>28.12</v>
      </c>
      <c r="G66" s="5">
        <v>28.12</v>
      </c>
    </row>
    <row r="67" spans="1:7" ht="28.8" x14ac:dyDescent="0.3">
      <c r="A67" s="23">
        <v>12895</v>
      </c>
      <c r="B67" s="23" t="s">
        <v>1576</v>
      </c>
      <c r="C67" s="24" t="s">
        <v>1330</v>
      </c>
      <c r="D67" s="23" t="s">
        <v>1278</v>
      </c>
      <c r="E67" s="5">
        <f t="shared" si="2"/>
        <v>18.88</v>
      </c>
      <c r="F67" s="5">
        <v>18.88</v>
      </c>
      <c r="G67" s="5">
        <v>18.88</v>
      </c>
    </row>
    <row r="68" spans="1:7" x14ac:dyDescent="0.3">
      <c r="A68" s="23" t="s">
        <v>1126</v>
      </c>
      <c r="B68" s="23" t="s">
        <v>1630</v>
      </c>
      <c r="C68" s="24" t="s">
        <v>1515</v>
      </c>
      <c r="D68" s="23" t="s">
        <v>1503</v>
      </c>
      <c r="E68" s="5">
        <f>IF(FOLHA="COM DESONERAÇÃO",F68,G68)</f>
        <v>26.86</v>
      </c>
      <c r="F68" s="5">
        <v>24.16</v>
      </c>
      <c r="G68" s="5">
        <v>26.86</v>
      </c>
    </row>
    <row r="69" spans="1:7" x14ac:dyDescent="0.3">
      <c r="A69" s="23">
        <v>6117</v>
      </c>
      <c r="B69" s="23" t="s">
        <v>1576</v>
      </c>
      <c r="C69" s="24" t="s">
        <v>1516</v>
      </c>
      <c r="D69" s="23" t="s">
        <v>1503</v>
      </c>
      <c r="E69" s="5">
        <f>IF(FOLHA="COM DESONERAÇÃO",F69,G69)</f>
        <v>15.57</v>
      </c>
      <c r="F69" s="5">
        <v>13.91</v>
      </c>
      <c r="G69" s="5">
        <v>15.57</v>
      </c>
    </row>
    <row r="70" spans="1:7" x14ac:dyDescent="0.3">
      <c r="A70" s="23">
        <v>1213</v>
      </c>
      <c r="B70" s="23" t="s">
        <v>1576</v>
      </c>
      <c r="C70" s="24" t="s">
        <v>1517</v>
      </c>
      <c r="D70" s="23" t="s">
        <v>1503</v>
      </c>
      <c r="E70" s="5">
        <f>IF(FOLHA="COM DESONERAÇÃO",F70,G70)</f>
        <v>20.329999999999998</v>
      </c>
      <c r="F70" s="5">
        <v>18.16</v>
      </c>
      <c r="G70" s="5">
        <v>20.329999999999998</v>
      </c>
    </row>
    <row r="71" spans="1:7" ht="28.8" x14ac:dyDescent="0.3">
      <c r="A71" s="23">
        <v>2711</v>
      </c>
      <c r="B71" s="23" t="s">
        <v>1576</v>
      </c>
      <c r="C71" s="24" t="s">
        <v>1331</v>
      </c>
      <c r="D71" s="23" t="s">
        <v>1278</v>
      </c>
      <c r="E71" s="5">
        <f t="shared" ref="E71:E98" si="3">ROUND(IF(FOLHA="COM DESONERAÇÃO",F71,G71)*icf,2)</f>
        <v>369</v>
      </c>
      <c r="F71" s="5">
        <v>369</v>
      </c>
      <c r="G71" s="5">
        <v>369</v>
      </c>
    </row>
    <row r="72" spans="1:7" x14ac:dyDescent="0.3">
      <c r="A72" s="23" t="s">
        <v>1111</v>
      </c>
      <c r="B72" s="23" t="s">
        <v>1585</v>
      </c>
      <c r="C72" s="24" t="s">
        <v>1332</v>
      </c>
      <c r="D72" s="23" t="s">
        <v>1278</v>
      </c>
      <c r="E72" s="5">
        <f t="shared" si="3"/>
        <v>205</v>
      </c>
      <c r="F72" s="5">
        <v>205</v>
      </c>
      <c r="G72" s="5">
        <v>205</v>
      </c>
    </row>
    <row r="73" spans="1:7" x14ac:dyDescent="0.3">
      <c r="A73" s="23" t="s">
        <v>1027</v>
      </c>
      <c r="B73" s="23" t="s">
        <v>1630</v>
      </c>
      <c r="C73" s="24" t="s">
        <v>1333</v>
      </c>
      <c r="D73" s="23" t="s">
        <v>1334</v>
      </c>
      <c r="E73" s="5">
        <f t="shared" si="3"/>
        <v>39.03</v>
      </c>
      <c r="F73" s="5">
        <v>39.03</v>
      </c>
      <c r="G73" s="5">
        <v>39.03</v>
      </c>
    </row>
    <row r="74" spans="1:7" ht="28.8" x14ac:dyDescent="0.3">
      <c r="A74" s="23">
        <v>1345</v>
      </c>
      <c r="B74" s="23" t="s">
        <v>1576</v>
      </c>
      <c r="C74" s="24" t="s">
        <v>1335</v>
      </c>
      <c r="D74" s="23" t="s">
        <v>1334</v>
      </c>
      <c r="E74" s="5">
        <f t="shared" si="3"/>
        <v>106.63</v>
      </c>
      <c r="F74" s="5">
        <v>106.63</v>
      </c>
      <c r="G74" s="5">
        <v>106.63</v>
      </c>
    </row>
    <row r="75" spans="1:7" ht="28.8" x14ac:dyDescent="0.3">
      <c r="A75" s="23">
        <v>1358</v>
      </c>
      <c r="B75" s="23" t="s">
        <v>1576</v>
      </c>
      <c r="C75" s="24" t="s">
        <v>1336</v>
      </c>
      <c r="D75" s="23" t="s">
        <v>1334</v>
      </c>
      <c r="E75" s="5">
        <f t="shared" si="3"/>
        <v>62.96</v>
      </c>
      <c r="F75" s="5">
        <v>62.96</v>
      </c>
      <c r="G75" s="5">
        <v>62.96</v>
      </c>
    </row>
    <row r="76" spans="1:7" x14ac:dyDescent="0.3">
      <c r="A76" s="23" t="s">
        <v>1117</v>
      </c>
      <c r="B76" s="23" t="s">
        <v>1585</v>
      </c>
      <c r="C76" s="24" t="s">
        <v>1337</v>
      </c>
      <c r="D76" s="23" t="s">
        <v>1278</v>
      </c>
      <c r="E76" s="5">
        <f t="shared" si="3"/>
        <v>26.89</v>
      </c>
      <c r="F76" s="5">
        <v>26.89</v>
      </c>
      <c r="G76" s="5">
        <v>26.89</v>
      </c>
    </row>
    <row r="77" spans="1:7" x14ac:dyDescent="0.3">
      <c r="A77" s="23" t="s">
        <v>1120</v>
      </c>
      <c r="B77" s="23" t="s">
        <v>1585</v>
      </c>
      <c r="C77" s="24" t="s">
        <v>1338</v>
      </c>
      <c r="D77" s="23" t="s">
        <v>1278</v>
      </c>
      <c r="E77" s="5">
        <f t="shared" si="3"/>
        <v>34</v>
      </c>
      <c r="F77" s="5">
        <v>34</v>
      </c>
      <c r="G77" s="5">
        <v>34</v>
      </c>
    </row>
    <row r="78" spans="1:7" x14ac:dyDescent="0.3">
      <c r="A78" s="23" t="s">
        <v>1068</v>
      </c>
      <c r="B78" s="23" t="s">
        <v>1630</v>
      </c>
      <c r="C78" s="24" t="s">
        <v>1339</v>
      </c>
      <c r="D78" s="23" t="s">
        <v>1280</v>
      </c>
      <c r="E78" s="5">
        <f t="shared" si="3"/>
        <v>0.71</v>
      </c>
      <c r="F78" s="5">
        <v>0.71</v>
      </c>
      <c r="G78" s="5">
        <v>0.71</v>
      </c>
    </row>
    <row r="79" spans="1:7" x14ac:dyDescent="0.3">
      <c r="A79" s="23">
        <v>1379</v>
      </c>
      <c r="B79" s="23" t="s">
        <v>1576</v>
      </c>
      <c r="C79" s="24" t="s">
        <v>1340</v>
      </c>
      <c r="D79" s="23" t="s">
        <v>1280</v>
      </c>
      <c r="E79" s="5">
        <f t="shared" si="3"/>
        <v>1</v>
      </c>
      <c r="F79" s="5">
        <v>1</v>
      </c>
      <c r="G79" s="5">
        <v>1</v>
      </c>
    </row>
    <row r="80" spans="1:7" x14ac:dyDescent="0.3">
      <c r="A80" s="23" t="s">
        <v>1050</v>
      </c>
      <c r="B80" s="23" t="s">
        <v>1570</v>
      </c>
      <c r="C80" s="24" t="s">
        <v>1341</v>
      </c>
      <c r="D80" s="23" t="s">
        <v>1342</v>
      </c>
      <c r="E80" s="5">
        <f t="shared" si="3"/>
        <v>20</v>
      </c>
      <c r="F80" s="5">
        <v>20</v>
      </c>
      <c r="G80" s="5">
        <v>20</v>
      </c>
    </row>
    <row r="81" spans="1:7" x14ac:dyDescent="0.3">
      <c r="A81" s="23" t="s">
        <v>1152</v>
      </c>
      <c r="B81" s="23" t="s">
        <v>1585</v>
      </c>
      <c r="C81" s="24" t="s">
        <v>1343</v>
      </c>
      <c r="D81" s="23" t="s">
        <v>1278</v>
      </c>
      <c r="E81" s="5">
        <f t="shared" si="3"/>
        <v>18.8</v>
      </c>
      <c r="F81" s="5">
        <v>18.8</v>
      </c>
      <c r="G81" s="5">
        <v>18.8</v>
      </c>
    </row>
    <row r="82" spans="1:7" x14ac:dyDescent="0.3">
      <c r="A82" s="23" t="s">
        <v>1133</v>
      </c>
      <c r="B82" s="23" t="s">
        <v>1585</v>
      </c>
      <c r="C82" s="24" t="s">
        <v>1344</v>
      </c>
      <c r="D82" s="23" t="s">
        <v>1334</v>
      </c>
      <c r="E82" s="5">
        <f t="shared" si="3"/>
        <v>44.17</v>
      </c>
      <c r="F82" s="5">
        <v>44.17</v>
      </c>
      <c r="G82" s="5">
        <v>44.17</v>
      </c>
    </row>
    <row r="83" spans="1:7" ht="43.2" x14ac:dyDescent="0.3">
      <c r="A83" s="23">
        <v>1527</v>
      </c>
      <c r="B83" s="23" t="s">
        <v>1576</v>
      </c>
      <c r="C83" s="24" t="s">
        <v>1345</v>
      </c>
      <c r="D83" s="23" t="s">
        <v>1301</v>
      </c>
      <c r="E83" s="5">
        <f t="shared" si="3"/>
        <v>601.49</v>
      </c>
      <c r="F83" s="5">
        <v>601.49</v>
      </c>
      <c r="G83" s="5">
        <v>601.49</v>
      </c>
    </row>
    <row r="84" spans="1:7" x14ac:dyDescent="0.3">
      <c r="A84" s="23">
        <v>1648</v>
      </c>
      <c r="B84" s="23" t="s">
        <v>1576</v>
      </c>
      <c r="C84" s="24" t="s">
        <v>1346</v>
      </c>
      <c r="D84" s="23" t="s">
        <v>1278</v>
      </c>
      <c r="E84" s="5">
        <f t="shared" si="3"/>
        <v>35.42</v>
      </c>
      <c r="F84" s="5">
        <v>35.42</v>
      </c>
      <c r="G84" s="5">
        <v>35.42</v>
      </c>
    </row>
    <row r="85" spans="1:7" x14ac:dyDescent="0.3">
      <c r="A85" s="23">
        <v>39276</v>
      </c>
      <c r="B85" s="23" t="s">
        <v>1576</v>
      </c>
      <c r="C85" s="24" t="s">
        <v>1347</v>
      </c>
      <c r="D85" s="23" t="s">
        <v>1278</v>
      </c>
      <c r="E85" s="5">
        <f t="shared" si="3"/>
        <v>5.9</v>
      </c>
      <c r="F85" s="5">
        <v>5.9</v>
      </c>
      <c r="G85" s="5">
        <v>5.9</v>
      </c>
    </row>
    <row r="86" spans="1:7" x14ac:dyDescent="0.3">
      <c r="A86" s="23">
        <v>1789</v>
      </c>
      <c r="B86" s="23" t="s">
        <v>1576</v>
      </c>
      <c r="C86" s="24" t="s">
        <v>1348</v>
      </c>
      <c r="D86" s="23" t="s">
        <v>1278</v>
      </c>
      <c r="E86" s="5">
        <f t="shared" si="3"/>
        <v>68.05</v>
      </c>
      <c r="F86" s="5">
        <v>68.05</v>
      </c>
      <c r="G86" s="5">
        <v>68.05</v>
      </c>
    </row>
    <row r="87" spans="1:7" x14ac:dyDescent="0.3">
      <c r="A87" s="23">
        <v>1787</v>
      </c>
      <c r="B87" s="23" t="s">
        <v>1576</v>
      </c>
      <c r="C87" s="24" t="s">
        <v>1349</v>
      </c>
      <c r="D87" s="23" t="s">
        <v>1278</v>
      </c>
      <c r="E87" s="5">
        <f t="shared" si="3"/>
        <v>32.43</v>
      </c>
      <c r="F87" s="5">
        <v>32.43</v>
      </c>
      <c r="G87" s="5">
        <v>32.43</v>
      </c>
    </row>
    <row r="88" spans="1:7" x14ac:dyDescent="0.3">
      <c r="A88" s="23">
        <v>1884</v>
      </c>
      <c r="B88" s="23" t="s">
        <v>1576</v>
      </c>
      <c r="C88" s="24" t="s">
        <v>1350</v>
      </c>
      <c r="D88" s="23" t="s">
        <v>1278</v>
      </c>
      <c r="E88" s="5">
        <f t="shared" si="3"/>
        <v>3.99</v>
      </c>
      <c r="F88" s="5">
        <v>3.99</v>
      </c>
      <c r="G88" s="5">
        <v>3.99</v>
      </c>
    </row>
    <row r="89" spans="1:7" x14ac:dyDescent="0.3">
      <c r="A89" s="23">
        <v>1957</v>
      </c>
      <c r="B89" s="23" t="s">
        <v>1576</v>
      </c>
      <c r="C89" s="24" t="s">
        <v>1351</v>
      </c>
      <c r="D89" s="23" t="s">
        <v>1278</v>
      </c>
      <c r="E89" s="5">
        <f t="shared" si="3"/>
        <v>6.45</v>
      </c>
      <c r="F89" s="5">
        <v>6.45</v>
      </c>
      <c r="G89" s="5">
        <v>6.45</v>
      </c>
    </row>
    <row r="90" spans="1:7" x14ac:dyDescent="0.3">
      <c r="A90" s="23" t="s">
        <v>1151</v>
      </c>
      <c r="B90" s="23" t="s">
        <v>1585</v>
      </c>
      <c r="C90" s="24" t="s">
        <v>1352</v>
      </c>
      <c r="D90" s="23" t="s">
        <v>1278</v>
      </c>
      <c r="E90" s="5">
        <f t="shared" si="3"/>
        <v>12</v>
      </c>
      <c r="F90" s="5">
        <v>12</v>
      </c>
      <c r="G90" s="5">
        <v>12</v>
      </c>
    </row>
    <row r="91" spans="1:7" x14ac:dyDescent="0.3">
      <c r="A91" s="23" t="s">
        <v>1157</v>
      </c>
      <c r="B91" s="23" t="s">
        <v>1585</v>
      </c>
      <c r="C91" s="24" t="s">
        <v>1353</v>
      </c>
      <c r="D91" s="23" t="s">
        <v>1278</v>
      </c>
      <c r="E91" s="5">
        <f t="shared" si="3"/>
        <v>11.6</v>
      </c>
      <c r="F91" s="5">
        <v>11.6</v>
      </c>
      <c r="G91" s="5">
        <v>11.6</v>
      </c>
    </row>
    <row r="92" spans="1:7" x14ac:dyDescent="0.3">
      <c r="A92" s="23" t="s">
        <v>1127</v>
      </c>
      <c r="B92" s="23" t="s">
        <v>1630</v>
      </c>
      <c r="C92" s="24" t="s">
        <v>1354</v>
      </c>
      <c r="D92" s="23" t="s">
        <v>1178</v>
      </c>
      <c r="E92" s="5">
        <f t="shared" si="3"/>
        <v>8.4499999999999993</v>
      </c>
      <c r="F92" s="5">
        <v>8.4499999999999993</v>
      </c>
      <c r="G92" s="5">
        <v>8.4499999999999993</v>
      </c>
    </row>
    <row r="93" spans="1:7" ht="28.8" x14ac:dyDescent="0.3">
      <c r="A93" s="23">
        <v>2692</v>
      </c>
      <c r="B93" s="23" t="s">
        <v>1576</v>
      </c>
      <c r="C93" s="24" t="s">
        <v>1355</v>
      </c>
      <c r="D93" s="23" t="s">
        <v>1178</v>
      </c>
      <c r="E93" s="5">
        <f t="shared" si="3"/>
        <v>10.75</v>
      </c>
      <c r="F93" s="5">
        <v>10.75</v>
      </c>
      <c r="G93" s="5">
        <v>10.75</v>
      </c>
    </row>
    <row r="94" spans="1:7" x14ac:dyDescent="0.3">
      <c r="A94" s="23">
        <v>5318</v>
      </c>
      <c r="B94" s="23" t="s">
        <v>1576</v>
      </c>
      <c r="C94" s="24" t="s">
        <v>1356</v>
      </c>
      <c r="D94" s="23" t="s">
        <v>1178</v>
      </c>
      <c r="E94" s="5">
        <f t="shared" si="3"/>
        <v>29.16</v>
      </c>
      <c r="F94" s="5">
        <v>29.16</v>
      </c>
      <c r="G94" s="5">
        <v>29.16</v>
      </c>
    </row>
    <row r="95" spans="1:7" x14ac:dyDescent="0.3">
      <c r="A95" s="23">
        <v>34686</v>
      </c>
      <c r="B95" s="23" t="s">
        <v>1576</v>
      </c>
      <c r="C95" s="24" t="s">
        <v>1357</v>
      </c>
      <c r="D95" s="23" t="s">
        <v>1278</v>
      </c>
      <c r="E95" s="5">
        <f t="shared" si="3"/>
        <v>12.35</v>
      </c>
      <c r="F95" s="5">
        <v>12.35</v>
      </c>
      <c r="G95" s="5">
        <v>12.35</v>
      </c>
    </row>
    <row r="96" spans="1:7" x14ac:dyDescent="0.3">
      <c r="A96" s="23">
        <v>34653</v>
      </c>
      <c r="B96" s="23" t="s">
        <v>1576</v>
      </c>
      <c r="C96" s="24" t="s">
        <v>1358</v>
      </c>
      <c r="D96" s="23" t="s">
        <v>1278</v>
      </c>
      <c r="E96" s="5">
        <f t="shared" si="3"/>
        <v>8.33</v>
      </c>
      <c r="F96" s="5">
        <v>8.33</v>
      </c>
      <c r="G96" s="5">
        <v>8.33</v>
      </c>
    </row>
    <row r="97" spans="1:7" x14ac:dyDescent="0.3">
      <c r="A97" s="23" t="s">
        <v>1075</v>
      </c>
      <c r="B97" s="23" t="s">
        <v>1585</v>
      </c>
      <c r="C97" s="24" t="s">
        <v>1359</v>
      </c>
      <c r="D97" s="23" t="s">
        <v>1278</v>
      </c>
      <c r="E97" s="5">
        <f t="shared" si="3"/>
        <v>75.2</v>
      </c>
      <c r="F97" s="5">
        <v>75.2</v>
      </c>
      <c r="G97" s="5">
        <v>75.2</v>
      </c>
    </row>
    <row r="98" spans="1:7" x14ac:dyDescent="0.3">
      <c r="A98" s="23">
        <v>665</v>
      </c>
      <c r="B98" s="23" t="s">
        <v>1576</v>
      </c>
      <c r="C98" s="24" t="s">
        <v>1360</v>
      </c>
      <c r="D98" s="23" t="s">
        <v>1278</v>
      </c>
      <c r="E98" s="5">
        <f t="shared" si="3"/>
        <v>30.15</v>
      </c>
      <c r="F98" s="5">
        <v>30.15</v>
      </c>
      <c r="G98" s="5">
        <v>30.15</v>
      </c>
    </row>
    <row r="99" spans="1:7" x14ac:dyDescent="0.3">
      <c r="A99" s="23">
        <v>2436</v>
      </c>
      <c r="B99" s="23" t="s">
        <v>1576</v>
      </c>
      <c r="C99" s="24" t="s">
        <v>1518</v>
      </c>
      <c r="D99" s="23" t="s">
        <v>1503</v>
      </c>
      <c r="E99" s="5">
        <f>IF(FOLHA="COM DESONERAÇÃO",F99,G99)</f>
        <v>20.329999999999998</v>
      </c>
      <c r="F99" s="5">
        <v>18.16</v>
      </c>
      <c r="G99" s="5">
        <v>20.329999999999998</v>
      </c>
    </row>
    <row r="100" spans="1:7" x14ac:dyDescent="0.3">
      <c r="A100" s="23">
        <v>2685</v>
      </c>
      <c r="B100" s="23" t="s">
        <v>1576</v>
      </c>
      <c r="C100" s="24" t="s">
        <v>1361</v>
      </c>
      <c r="D100" s="23" t="s">
        <v>1296</v>
      </c>
      <c r="E100" s="5">
        <f>ROUND(IF(FOLHA="COM DESONERAÇÃO",F100,G100)*icf,2)</f>
        <v>8.09</v>
      </c>
      <c r="F100" s="5">
        <v>8.09</v>
      </c>
      <c r="G100" s="5">
        <v>8.09</v>
      </c>
    </row>
    <row r="101" spans="1:7" x14ac:dyDescent="0.3">
      <c r="A101" s="23">
        <v>2689</v>
      </c>
      <c r="B101" s="23" t="s">
        <v>1576</v>
      </c>
      <c r="C101" s="24" t="s">
        <v>1362</v>
      </c>
      <c r="D101" s="23" t="s">
        <v>1296</v>
      </c>
      <c r="E101" s="5">
        <f>ROUND(IF(FOLHA="COM DESONERAÇÃO",F101,G101)*icf,2)</f>
        <v>2.5099999999999998</v>
      </c>
      <c r="F101" s="5">
        <v>2.5099999999999998</v>
      </c>
      <c r="G101" s="5">
        <v>2.5099999999999998</v>
      </c>
    </row>
    <row r="102" spans="1:7" x14ac:dyDescent="0.3">
      <c r="A102" s="23">
        <v>2696</v>
      </c>
      <c r="B102" s="23" t="s">
        <v>1576</v>
      </c>
      <c r="C102" s="24" t="s">
        <v>1519</v>
      </c>
      <c r="D102" s="23" t="s">
        <v>1503</v>
      </c>
      <c r="E102" s="5">
        <f>IF(FOLHA="COM DESONERAÇÃO",F102,G102)</f>
        <v>20.329999999999998</v>
      </c>
      <c r="F102" s="5">
        <v>18.16</v>
      </c>
      <c r="G102" s="5">
        <v>20.329999999999998</v>
      </c>
    </row>
    <row r="103" spans="1:7" x14ac:dyDescent="0.3">
      <c r="A103" s="23">
        <v>4083</v>
      </c>
      <c r="B103" s="23" t="s">
        <v>1576</v>
      </c>
      <c r="C103" s="24" t="s">
        <v>1520</v>
      </c>
      <c r="D103" s="23" t="s">
        <v>1503</v>
      </c>
      <c r="E103" s="5">
        <f>IF(FOLHA="COM DESONERAÇÃO",F103,G103)</f>
        <v>31.85</v>
      </c>
      <c r="F103" s="5">
        <v>28.46</v>
      </c>
      <c r="G103" s="5">
        <v>31.85</v>
      </c>
    </row>
    <row r="104" spans="1:7" x14ac:dyDescent="0.3">
      <c r="A104" s="23">
        <v>2705</v>
      </c>
      <c r="B104" s="23" t="s">
        <v>1576</v>
      </c>
      <c r="C104" s="24" t="s">
        <v>1363</v>
      </c>
      <c r="D104" s="23" t="s">
        <v>1364</v>
      </c>
      <c r="E104" s="5">
        <f>ROUND(IF(FOLHA="COM DESONERAÇÃO",F104,G104)*icf,2)</f>
        <v>1.1000000000000001</v>
      </c>
      <c r="F104" s="5">
        <v>1.1000000000000001</v>
      </c>
      <c r="G104" s="5">
        <v>1.1000000000000001</v>
      </c>
    </row>
    <row r="105" spans="1:7" x14ac:dyDescent="0.3">
      <c r="A105" s="23">
        <v>2706</v>
      </c>
      <c r="B105" s="23" t="s">
        <v>1576</v>
      </c>
      <c r="C105" s="24" t="s">
        <v>1521</v>
      </c>
      <c r="D105" s="23" t="s">
        <v>1503</v>
      </c>
      <c r="E105" s="5">
        <f t="shared" ref="E105:E116" si="4">IF(FOLHA="COM DESONERAÇÃO",F105,G105)</f>
        <v>125.11</v>
      </c>
      <c r="F105" s="5">
        <v>111.82</v>
      </c>
      <c r="G105" s="5">
        <v>125.11</v>
      </c>
    </row>
    <row r="106" spans="1:7" x14ac:dyDescent="0.3">
      <c r="A106" s="23">
        <v>2708</v>
      </c>
      <c r="B106" s="23" t="s">
        <v>1576</v>
      </c>
      <c r="C106" s="24" t="s">
        <v>1522</v>
      </c>
      <c r="D106" s="23" t="s">
        <v>1503</v>
      </c>
      <c r="E106" s="5">
        <f t="shared" si="4"/>
        <v>147.6</v>
      </c>
      <c r="F106" s="5">
        <v>131.91</v>
      </c>
      <c r="G106" s="5">
        <v>147.6</v>
      </c>
    </row>
    <row r="107" spans="1:7" ht="28.8" x14ac:dyDescent="0.3">
      <c r="A107" s="23">
        <v>43482</v>
      </c>
      <c r="B107" s="23" t="s">
        <v>1576</v>
      </c>
      <c r="C107" s="24" t="s">
        <v>1523</v>
      </c>
      <c r="D107" s="23" t="s">
        <v>1503</v>
      </c>
      <c r="E107" s="5">
        <f t="shared" si="4"/>
        <v>0.81</v>
      </c>
      <c r="F107" s="5">
        <v>0.81</v>
      </c>
      <c r="G107" s="5">
        <v>0.81</v>
      </c>
    </row>
    <row r="108" spans="1:7" ht="28.8" x14ac:dyDescent="0.3">
      <c r="A108" s="23">
        <v>43483</v>
      </c>
      <c r="B108" s="23" t="s">
        <v>1576</v>
      </c>
      <c r="C108" s="24" t="s">
        <v>1524</v>
      </c>
      <c r="D108" s="23" t="s">
        <v>1503</v>
      </c>
      <c r="E108" s="5">
        <f t="shared" si="4"/>
        <v>1.43</v>
      </c>
      <c r="F108" s="5">
        <v>1.43</v>
      </c>
      <c r="G108" s="5">
        <v>1.43</v>
      </c>
    </row>
    <row r="109" spans="1:7" ht="28.8" x14ac:dyDescent="0.3">
      <c r="A109" s="23">
        <v>43484</v>
      </c>
      <c r="B109" s="23" t="s">
        <v>1576</v>
      </c>
      <c r="C109" s="24" t="s">
        <v>1525</v>
      </c>
      <c r="D109" s="23" t="s">
        <v>1503</v>
      </c>
      <c r="E109" s="5">
        <f t="shared" si="4"/>
        <v>1.26</v>
      </c>
      <c r="F109" s="5">
        <v>1.26</v>
      </c>
      <c r="G109" s="5">
        <v>1.26</v>
      </c>
    </row>
    <row r="110" spans="1:7" ht="28.8" x14ac:dyDescent="0.3">
      <c r="A110" s="23">
        <v>43485</v>
      </c>
      <c r="B110" s="23" t="s">
        <v>1576</v>
      </c>
      <c r="C110" s="24" t="s">
        <v>1526</v>
      </c>
      <c r="D110" s="23" t="s">
        <v>1503</v>
      </c>
      <c r="E110" s="5">
        <f t="shared" si="4"/>
        <v>1.1299999999999999</v>
      </c>
      <c r="F110" s="5">
        <v>1.1299999999999999</v>
      </c>
      <c r="G110" s="5">
        <v>1.1299999999999999</v>
      </c>
    </row>
    <row r="111" spans="1:7" ht="28.8" x14ac:dyDescent="0.3">
      <c r="A111" s="23">
        <v>43487</v>
      </c>
      <c r="B111" s="23" t="s">
        <v>1576</v>
      </c>
      <c r="C111" s="24" t="s">
        <v>1527</v>
      </c>
      <c r="D111" s="23" t="s">
        <v>1503</v>
      </c>
      <c r="E111" s="5">
        <f t="shared" si="4"/>
        <v>1.28</v>
      </c>
      <c r="F111" s="5">
        <v>1.28</v>
      </c>
      <c r="G111" s="5">
        <v>1.28</v>
      </c>
    </row>
    <row r="112" spans="1:7" ht="28.8" x14ac:dyDescent="0.3">
      <c r="A112" s="23">
        <v>43486</v>
      </c>
      <c r="B112" s="23" t="s">
        <v>1576</v>
      </c>
      <c r="C112" s="24" t="s">
        <v>1528</v>
      </c>
      <c r="D112" s="23" t="s">
        <v>1503</v>
      </c>
      <c r="E112" s="5">
        <f t="shared" si="4"/>
        <v>0.77</v>
      </c>
      <c r="F112" s="5">
        <v>0.77</v>
      </c>
      <c r="G112" s="5">
        <v>0.77</v>
      </c>
    </row>
    <row r="113" spans="1:7" ht="28.8" x14ac:dyDescent="0.3">
      <c r="A113" s="23">
        <v>43488</v>
      </c>
      <c r="B113" s="23" t="s">
        <v>1576</v>
      </c>
      <c r="C113" s="24" t="s">
        <v>1529</v>
      </c>
      <c r="D113" s="23" t="s">
        <v>1503</v>
      </c>
      <c r="E113" s="5">
        <f t="shared" si="4"/>
        <v>0.89</v>
      </c>
      <c r="F113" s="5">
        <v>0.89</v>
      </c>
      <c r="G113" s="5">
        <v>0.89</v>
      </c>
    </row>
    <row r="114" spans="1:7" x14ac:dyDescent="0.3">
      <c r="A114" s="23">
        <v>43489</v>
      </c>
      <c r="B114" s="23" t="s">
        <v>1576</v>
      </c>
      <c r="C114" s="24" t="s">
        <v>1530</v>
      </c>
      <c r="D114" s="23" t="s">
        <v>1503</v>
      </c>
      <c r="E114" s="5">
        <f t="shared" si="4"/>
        <v>1.31</v>
      </c>
      <c r="F114" s="5">
        <v>1.31</v>
      </c>
      <c r="G114" s="5">
        <v>1.31</v>
      </c>
    </row>
    <row r="115" spans="1:7" x14ac:dyDescent="0.3">
      <c r="A115" s="23">
        <v>43490</v>
      </c>
      <c r="B115" s="23" t="s">
        <v>1576</v>
      </c>
      <c r="C115" s="24" t="s">
        <v>1531</v>
      </c>
      <c r="D115" s="23" t="s">
        <v>1503</v>
      </c>
      <c r="E115" s="5">
        <f t="shared" si="4"/>
        <v>1.85</v>
      </c>
      <c r="F115" s="5">
        <v>1.85</v>
      </c>
      <c r="G115" s="5">
        <v>1.85</v>
      </c>
    </row>
    <row r="116" spans="1:7" x14ac:dyDescent="0.3">
      <c r="A116" s="23">
        <v>43491</v>
      </c>
      <c r="B116" s="23" t="s">
        <v>1576</v>
      </c>
      <c r="C116" s="24" t="s">
        <v>1532</v>
      </c>
      <c r="D116" s="23" t="s">
        <v>1503</v>
      </c>
      <c r="E116" s="5">
        <f t="shared" si="4"/>
        <v>1.39</v>
      </c>
      <c r="F116" s="5">
        <v>1.39</v>
      </c>
      <c r="G116" s="5">
        <v>1.39</v>
      </c>
    </row>
    <row r="117" spans="1:7" ht="28.8" x14ac:dyDescent="0.3">
      <c r="A117" s="23" t="s">
        <v>1044</v>
      </c>
      <c r="B117" s="23" t="s">
        <v>1570</v>
      </c>
      <c r="C117" s="24" t="s">
        <v>1365</v>
      </c>
      <c r="D117" s="23" t="s">
        <v>1366</v>
      </c>
      <c r="E117" s="5">
        <f>ROUND(IF(FOLHA="COM DESONERAÇÃO",F117,G117)*icf,2)</f>
        <v>420.5</v>
      </c>
      <c r="F117" s="5">
        <v>420.5</v>
      </c>
      <c r="G117" s="5">
        <v>420.5</v>
      </c>
    </row>
    <row r="118" spans="1:7" ht="28.8" x14ac:dyDescent="0.3">
      <c r="A118" s="23" t="s">
        <v>1036</v>
      </c>
      <c r="B118" s="23" t="s">
        <v>1570</v>
      </c>
      <c r="C118" s="24" t="s">
        <v>1367</v>
      </c>
      <c r="D118" s="23" t="s">
        <v>1366</v>
      </c>
      <c r="E118" s="5">
        <f>ROUND(IF(FOLHA="COM DESONERAÇÃO",F118,G118)*icf,2)</f>
        <v>420.5</v>
      </c>
      <c r="F118" s="5">
        <v>420.5</v>
      </c>
      <c r="G118" s="5">
        <v>420.5</v>
      </c>
    </row>
    <row r="119" spans="1:7" ht="28.8" x14ac:dyDescent="0.3">
      <c r="A119" s="23" t="s">
        <v>1038</v>
      </c>
      <c r="B119" s="23" t="s">
        <v>1570</v>
      </c>
      <c r="C119" s="24" t="s">
        <v>1367</v>
      </c>
      <c r="D119" s="23" t="s">
        <v>1366</v>
      </c>
      <c r="E119" s="5">
        <f>ROUND(IF(FOLHA="COM DESONERAÇÃO",F119,G119)*icf,2)</f>
        <v>420.5</v>
      </c>
      <c r="F119" s="5">
        <v>420.5</v>
      </c>
      <c r="G119" s="5">
        <v>420.5</v>
      </c>
    </row>
    <row r="120" spans="1:7" ht="28.8" x14ac:dyDescent="0.3">
      <c r="A120" s="23" t="s">
        <v>1039</v>
      </c>
      <c r="B120" s="23" t="s">
        <v>1570</v>
      </c>
      <c r="C120" s="24" t="s">
        <v>1367</v>
      </c>
      <c r="D120" s="23" t="s">
        <v>1503</v>
      </c>
      <c r="E120" s="5">
        <f>IF(FOLHA="COM DESONERAÇÃO",F120,G120)</f>
        <v>420.5</v>
      </c>
      <c r="F120" s="5">
        <v>420.5</v>
      </c>
      <c r="G120" s="5">
        <v>420.5</v>
      </c>
    </row>
    <row r="121" spans="1:7" ht="28.8" x14ac:dyDescent="0.3">
      <c r="A121" s="23" t="s">
        <v>1035</v>
      </c>
      <c r="B121" s="23" t="s">
        <v>1570</v>
      </c>
      <c r="C121" s="24" t="s">
        <v>1368</v>
      </c>
      <c r="D121" s="23" t="s">
        <v>1366</v>
      </c>
      <c r="E121" s="5">
        <f t="shared" ref="E121:E127" si="5">ROUND(IF(FOLHA="COM DESONERAÇÃO",F121,G121)*icf,2)</f>
        <v>420.5</v>
      </c>
      <c r="F121" s="5">
        <v>420.5</v>
      </c>
      <c r="G121" s="5">
        <v>420.5</v>
      </c>
    </row>
    <row r="122" spans="1:7" ht="28.8" x14ac:dyDescent="0.3">
      <c r="A122" s="23" t="s">
        <v>1037</v>
      </c>
      <c r="B122" s="23" t="s">
        <v>1570</v>
      </c>
      <c r="C122" s="24" t="s">
        <v>1368</v>
      </c>
      <c r="D122" s="23" t="s">
        <v>1366</v>
      </c>
      <c r="E122" s="5">
        <f t="shared" si="5"/>
        <v>420.5</v>
      </c>
      <c r="F122" s="5">
        <v>420.5</v>
      </c>
      <c r="G122" s="5">
        <v>420.5</v>
      </c>
    </row>
    <row r="123" spans="1:7" x14ac:dyDescent="0.3">
      <c r="A123" s="23" t="s">
        <v>1158</v>
      </c>
      <c r="B123" s="23" t="s">
        <v>1585</v>
      </c>
      <c r="C123" s="24" t="s">
        <v>1369</v>
      </c>
      <c r="D123" s="23" t="s">
        <v>1278</v>
      </c>
      <c r="E123" s="5">
        <f t="shared" si="5"/>
        <v>10.220000000000001</v>
      </c>
      <c r="F123" s="5">
        <v>10.220000000000001</v>
      </c>
      <c r="G123" s="5">
        <v>10.220000000000001</v>
      </c>
    </row>
    <row r="124" spans="1:7" x14ac:dyDescent="0.3">
      <c r="A124" s="23" t="s">
        <v>1030</v>
      </c>
      <c r="B124" s="23" t="s">
        <v>1630</v>
      </c>
      <c r="C124" s="24" t="s">
        <v>1370</v>
      </c>
      <c r="D124" s="23" t="s">
        <v>1178</v>
      </c>
      <c r="E124" s="5">
        <f t="shared" si="5"/>
        <v>31.88</v>
      </c>
      <c r="F124" s="5">
        <v>31.88</v>
      </c>
      <c r="G124" s="5">
        <v>31.88</v>
      </c>
    </row>
    <row r="125" spans="1:7" ht="28.8" x14ac:dyDescent="0.3">
      <c r="A125" s="23">
        <v>39017</v>
      </c>
      <c r="B125" s="23" t="s">
        <v>1576</v>
      </c>
      <c r="C125" s="24" t="s">
        <v>1371</v>
      </c>
      <c r="D125" s="23" t="s">
        <v>1278</v>
      </c>
      <c r="E125" s="5">
        <f t="shared" si="5"/>
        <v>0.22</v>
      </c>
      <c r="F125" s="5">
        <v>0.22</v>
      </c>
      <c r="G125" s="5">
        <v>0.22</v>
      </c>
    </row>
    <row r="126" spans="1:7" ht="28.8" x14ac:dyDescent="0.3">
      <c r="A126" s="23">
        <v>39315</v>
      </c>
      <c r="B126" s="23" t="s">
        <v>1576</v>
      </c>
      <c r="C126" s="24" t="s">
        <v>1372</v>
      </c>
      <c r="D126" s="23" t="s">
        <v>1278</v>
      </c>
      <c r="E126" s="5">
        <f t="shared" si="5"/>
        <v>0.36</v>
      </c>
      <c r="F126" s="5">
        <v>0.36</v>
      </c>
      <c r="G126" s="5">
        <v>0.36</v>
      </c>
    </row>
    <row r="127" spans="1:7" ht="28.8" x14ac:dyDescent="0.3">
      <c r="A127" s="23">
        <v>38094</v>
      </c>
      <c r="B127" s="23" t="s">
        <v>1576</v>
      </c>
      <c r="C127" s="24" t="s">
        <v>1373</v>
      </c>
      <c r="D127" s="23" t="s">
        <v>1278</v>
      </c>
      <c r="E127" s="5">
        <f t="shared" si="5"/>
        <v>3.46</v>
      </c>
      <c r="F127" s="5">
        <v>3.46</v>
      </c>
      <c r="G127" s="5">
        <v>3.46</v>
      </c>
    </row>
    <row r="128" spans="1:7" x14ac:dyDescent="0.3">
      <c r="A128" s="23">
        <v>37372</v>
      </c>
      <c r="B128" s="23" t="s">
        <v>1576</v>
      </c>
      <c r="C128" s="24" t="s">
        <v>1533</v>
      </c>
      <c r="D128" s="23" t="s">
        <v>1503</v>
      </c>
      <c r="E128" s="5">
        <f>IF(FOLHA="COM DESONERAÇÃO",F128,G128)</f>
        <v>1.43</v>
      </c>
      <c r="F128" s="5">
        <v>1.43</v>
      </c>
      <c r="G128" s="5">
        <v>1.43</v>
      </c>
    </row>
    <row r="129" spans="1:7" x14ac:dyDescent="0.3">
      <c r="A129" s="23" t="s">
        <v>1112</v>
      </c>
      <c r="B129" s="23" t="s">
        <v>1585</v>
      </c>
      <c r="C129" s="24" t="s">
        <v>1374</v>
      </c>
      <c r="D129" s="23" t="s">
        <v>1375</v>
      </c>
      <c r="E129" s="5">
        <f>ROUND(IF(FOLHA="COM DESONERAÇÃO",F129,G129)*icf,2)</f>
        <v>300</v>
      </c>
      <c r="F129" s="5">
        <v>300</v>
      </c>
      <c r="G129" s="5">
        <v>300</v>
      </c>
    </row>
    <row r="130" spans="1:7" x14ac:dyDescent="0.3">
      <c r="A130" s="23" t="s">
        <v>1105</v>
      </c>
      <c r="B130" s="23" t="s">
        <v>1585</v>
      </c>
      <c r="C130" s="24" t="s">
        <v>1376</v>
      </c>
      <c r="D130" s="23" t="s">
        <v>1278</v>
      </c>
      <c r="E130" s="5">
        <f>ROUND(IF(FOLHA="COM DESONERAÇÃO",F130,G130)*icf,2)</f>
        <v>196.71</v>
      </c>
      <c r="F130" s="5">
        <v>196.71</v>
      </c>
      <c r="G130" s="5">
        <v>196.71</v>
      </c>
    </row>
    <row r="131" spans="1:7" ht="28.8" x14ac:dyDescent="0.3">
      <c r="A131" s="23">
        <v>43458</v>
      </c>
      <c r="B131" s="23" t="s">
        <v>1576</v>
      </c>
      <c r="C131" s="24" t="s">
        <v>1534</v>
      </c>
      <c r="D131" s="23" t="s">
        <v>1503</v>
      </c>
      <c r="E131" s="5">
        <f t="shared" ref="E131:E140" si="6">IF(FOLHA="COM DESONERAÇÃO",F131,G131)</f>
        <v>0.06</v>
      </c>
      <c r="F131" s="5">
        <v>0.06</v>
      </c>
      <c r="G131" s="5">
        <v>0.06</v>
      </c>
    </row>
    <row r="132" spans="1:7" ht="28.8" x14ac:dyDescent="0.3">
      <c r="A132" s="23">
        <v>43459</v>
      </c>
      <c r="B132" s="23" t="s">
        <v>1576</v>
      </c>
      <c r="C132" s="24" t="s">
        <v>1535</v>
      </c>
      <c r="D132" s="23" t="s">
        <v>1503</v>
      </c>
      <c r="E132" s="5">
        <f t="shared" si="6"/>
        <v>0.44</v>
      </c>
      <c r="F132" s="5">
        <v>0.44</v>
      </c>
      <c r="G132" s="5">
        <v>0.44</v>
      </c>
    </row>
    <row r="133" spans="1:7" ht="28.8" x14ac:dyDescent="0.3">
      <c r="A133" s="23">
        <v>43460</v>
      </c>
      <c r="B133" s="23" t="s">
        <v>1576</v>
      </c>
      <c r="C133" s="24" t="s">
        <v>1536</v>
      </c>
      <c r="D133" s="23" t="s">
        <v>1503</v>
      </c>
      <c r="E133" s="5">
        <f t="shared" si="6"/>
        <v>0.86</v>
      </c>
      <c r="F133" s="5">
        <v>0.86</v>
      </c>
      <c r="G133" s="5">
        <v>0.86</v>
      </c>
    </row>
    <row r="134" spans="1:7" ht="28.8" x14ac:dyDescent="0.3">
      <c r="A134" s="23">
        <v>43461</v>
      </c>
      <c r="B134" s="23" t="s">
        <v>1576</v>
      </c>
      <c r="C134" s="24" t="s">
        <v>1537</v>
      </c>
      <c r="D134" s="23" t="s">
        <v>1503</v>
      </c>
      <c r="E134" s="5">
        <f t="shared" si="6"/>
        <v>0.31</v>
      </c>
      <c r="F134" s="5">
        <v>0.31</v>
      </c>
      <c r="G134" s="5">
        <v>0.31</v>
      </c>
    </row>
    <row r="135" spans="1:7" ht="28.8" x14ac:dyDescent="0.3">
      <c r="A135" s="23">
        <v>43463</v>
      </c>
      <c r="B135" s="23" t="s">
        <v>1576</v>
      </c>
      <c r="C135" s="24" t="s">
        <v>1538</v>
      </c>
      <c r="D135" s="23" t="s">
        <v>1503</v>
      </c>
      <c r="E135" s="5">
        <f t="shared" si="6"/>
        <v>0.08</v>
      </c>
      <c r="F135" s="5">
        <v>0.08</v>
      </c>
      <c r="G135" s="5">
        <v>0.08</v>
      </c>
    </row>
    <row r="136" spans="1:7" ht="28.8" x14ac:dyDescent="0.3">
      <c r="A136" s="23">
        <v>43462</v>
      </c>
      <c r="B136" s="23" t="s">
        <v>1576</v>
      </c>
      <c r="C136" s="24" t="s">
        <v>1539</v>
      </c>
      <c r="D136" s="23" t="s">
        <v>1503</v>
      </c>
      <c r="E136" s="5">
        <f t="shared" si="6"/>
        <v>0.01</v>
      </c>
      <c r="F136" s="5">
        <v>0.01</v>
      </c>
      <c r="G136" s="5">
        <v>0.01</v>
      </c>
    </row>
    <row r="137" spans="1:7" ht="28.8" x14ac:dyDescent="0.3">
      <c r="A137" s="23">
        <v>43464</v>
      </c>
      <c r="B137" s="23" t="s">
        <v>1576</v>
      </c>
      <c r="C137" s="24" t="s">
        <v>1540</v>
      </c>
      <c r="D137" s="23" t="s">
        <v>1503</v>
      </c>
      <c r="E137" s="5">
        <f t="shared" si="6"/>
        <v>0.01</v>
      </c>
      <c r="F137" s="5">
        <v>0.01</v>
      </c>
      <c r="G137" s="5">
        <v>0.01</v>
      </c>
    </row>
    <row r="138" spans="1:7" ht="28.8" x14ac:dyDescent="0.3">
      <c r="A138" s="23">
        <v>43465</v>
      </c>
      <c r="B138" s="23" t="s">
        <v>1576</v>
      </c>
      <c r="C138" s="24" t="s">
        <v>1541</v>
      </c>
      <c r="D138" s="23" t="s">
        <v>1503</v>
      </c>
      <c r="E138" s="5">
        <f t="shared" si="6"/>
        <v>0.78</v>
      </c>
      <c r="F138" s="5">
        <v>0.78</v>
      </c>
      <c r="G138" s="5">
        <v>0.78</v>
      </c>
    </row>
    <row r="139" spans="1:7" ht="28.8" x14ac:dyDescent="0.3">
      <c r="A139" s="23">
        <v>43466</v>
      </c>
      <c r="B139" s="23" t="s">
        <v>1576</v>
      </c>
      <c r="C139" s="24" t="s">
        <v>1542</v>
      </c>
      <c r="D139" s="23" t="s">
        <v>1503</v>
      </c>
      <c r="E139" s="5">
        <f t="shared" si="6"/>
        <v>2.0499999999999998</v>
      </c>
      <c r="F139" s="5">
        <v>2.0499999999999998</v>
      </c>
      <c r="G139" s="5">
        <v>2.0499999999999998</v>
      </c>
    </row>
    <row r="140" spans="1:7" ht="28.8" x14ac:dyDescent="0.3">
      <c r="A140" s="23">
        <v>43467</v>
      </c>
      <c r="B140" s="23" t="s">
        <v>1576</v>
      </c>
      <c r="C140" s="24" t="s">
        <v>1543</v>
      </c>
      <c r="D140" s="23" t="s">
        <v>1503</v>
      </c>
      <c r="E140" s="5">
        <f t="shared" si="6"/>
        <v>0.61</v>
      </c>
      <c r="F140" s="5">
        <v>0.61</v>
      </c>
      <c r="G140" s="5">
        <v>0.61</v>
      </c>
    </row>
    <row r="141" spans="1:7" x14ac:dyDescent="0.3">
      <c r="A141" s="23">
        <v>21127</v>
      </c>
      <c r="B141" s="23" t="s">
        <v>1576</v>
      </c>
      <c r="C141" s="24" t="s">
        <v>1377</v>
      </c>
      <c r="D141" s="23" t="s">
        <v>1278</v>
      </c>
      <c r="E141" s="5">
        <f t="shared" ref="E141:E147" si="7">ROUND(IF(FOLHA="COM DESONERAÇÃO",F141,G141)*icf,2)</f>
        <v>3.69</v>
      </c>
      <c r="F141" s="5">
        <v>3.69</v>
      </c>
      <c r="G141" s="5">
        <v>3.69</v>
      </c>
    </row>
    <row r="142" spans="1:7" ht="28.8" x14ac:dyDescent="0.3">
      <c r="A142" s="23">
        <v>14153</v>
      </c>
      <c r="B142" s="23" t="s">
        <v>1576</v>
      </c>
      <c r="C142" s="24" t="s">
        <v>1378</v>
      </c>
      <c r="D142" s="23" t="s">
        <v>1278</v>
      </c>
      <c r="E142" s="5">
        <f t="shared" si="7"/>
        <v>61.66</v>
      </c>
      <c r="F142" s="5">
        <v>61.66</v>
      </c>
      <c r="G142" s="5">
        <v>61.66</v>
      </c>
    </row>
    <row r="143" spans="1:7" x14ac:dyDescent="0.3">
      <c r="A143" s="23">
        <v>3146</v>
      </c>
      <c r="B143" s="23" t="s">
        <v>1576</v>
      </c>
      <c r="C143" s="24" t="s">
        <v>1379</v>
      </c>
      <c r="D143" s="23" t="s">
        <v>1278</v>
      </c>
      <c r="E143" s="5">
        <f t="shared" si="7"/>
        <v>4.1399999999999997</v>
      </c>
      <c r="F143" s="5">
        <v>4.1399999999999997</v>
      </c>
      <c r="G143" s="5">
        <v>4.1399999999999997</v>
      </c>
    </row>
    <row r="144" spans="1:7" x14ac:dyDescent="0.3">
      <c r="A144" s="23">
        <v>3148</v>
      </c>
      <c r="B144" s="23" t="s">
        <v>1576</v>
      </c>
      <c r="C144" s="24" t="s">
        <v>1380</v>
      </c>
      <c r="D144" s="23" t="s">
        <v>1278</v>
      </c>
      <c r="E144" s="5">
        <f t="shared" si="7"/>
        <v>15.26</v>
      </c>
      <c r="F144" s="5">
        <v>15.26</v>
      </c>
      <c r="G144" s="5">
        <v>15.26</v>
      </c>
    </row>
    <row r="145" spans="1:7" x14ac:dyDescent="0.3">
      <c r="A145" s="23" t="s">
        <v>1143</v>
      </c>
      <c r="B145" s="23" t="s">
        <v>1585</v>
      </c>
      <c r="C145" s="24" t="s">
        <v>1381</v>
      </c>
      <c r="D145" s="23" t="s">
        <v>1278</v>
      </c>
      <c r="E145" s="5">
        <f t="shared" si="7"/>
        <v>15.15</v>
      </c>
      <c r="F145" s="5">
        <v>15.15</v>
      </c>
      <c r="G145" s="5">
        <v>15.15</v>
      </c>
    </row>
    <row r="146" spans="1:7" x14ac:dyDescent="0.3">
      <c r="A146" s="23">
        <v>7307</v>
      </c>
      <c r="B146" s="23" t="s">
        <v>1576</v>
      </c>
      <c r="C146" s="24" t="s">
        <v>1382</v>
      </c>
      <c r="D146" s="23" t="s">
        <v>1178</v>
      </c>
      <c r="E146" s="5">
        <f t="shared" si="7"/>
        <v>41.5</v>
      </c>
      <c r="F146" s="5">
        <v>41.5</v>
      </c>
      <c r="G146" s="5">
        <v>41.5</v>
      </c>
    </row>
    <row r="147" spans="1:7" x14ac:dyDescent="0.3">
      <c r="A147" s="23" t="s">
        <v>1145</v>
      </c>
      <c r="B147" s="23" t="s">
        <v>1585</v>
      </c>
      <c r="C147" s="24" t="s">
        <v>1383</v>
      </c>
      <c r="D147" s="23" t="s">
        <v>1278</v>
      </c>
      <c r="E147" s="5">
        <f t="shared" si="7"/>
        <v>246</v>
      </c>
      <c r="F147" s="5">
        <v>246</v>
      </c>
      <c r="G147" s="5">
        <v>246</v>
      </c>
    </row>
    <row r="148" spans="1:7" x14ac:dyDescent="0.3">
      <c r="A148" s="23" t="s">
        <v>1042</v>
      </c>
      <c r="B148" s="23" t="s">
        <v>1570</v>
      </c>
      <c r="C148" s="24" t="s">
        <v>1544</v>
      </c>
      <c r="D148" s="23" t="s">
        <v>1503</v>
      </c>
      <c r="E148" s="5">
        <f>IF(FOLHA="COM DESONERAÇÃO",F148,G148)</f>
        <v>111.02</v>
      </c>
      <c r="F148" s="5">
        <v>111.02</v>
      </c>
      <c r="G148" s="5">
        <v>111.02</v>
      </c>
    </row>
    <row r="149" spans="1:7" x14ac:dyDescent="0.3">
      <c r="A149" s="23" t="s">
        <v>1024</v>
      </c>
      <c r="B149" s="23" t="s">
        <v>1570</v>
      </c>
      <c r="C149" s="24" t="s">
        <v>1545</v>
      </c>
      <c r="D149" s="23" t="s">
        <v>1503</v>
      </c>
      <c r="E149" s="5">
        <f>IF(FOLHA="COM DESONERAÇÃO",F149,G149)</f>
        <v>111.02</v>
      </c>
      <c r="F149" s="5">
        <v>111.02</v>
      </c>
      <c r="G149" s="5">
        <v>111.02</v>
      </c>
    </row>
    <row r="150" spans="1:7" x14ac:dyDescent="0.3">
      <c r="A150" s="23" t="s">
        <v>1032</v>
      </c>
      <c r="B150" s="23" t="s">
        <v>1570</v>
      </c>
      <c r="C150" s="24" t="s">
        <v>1545</v>
      </c>
      <c r="D150" s="23" t="s">
        <v>1503</v>
      </c>
      <c r="E150" s="5">
        <f>IF(FOLHA="COM DESONERAÇÃO",F150,G150)</f>
        <v>111.02</v>
      </c>
      <c r="F150" s="5">
        <v>111.02</v>
      </c>
      <c r="G150" s="5">
        <v>111.02</v>
      </c>
    </row>
    <row r="151" spans="1:7" x14ac:dyDescent="0.3">
      <c r="A151" s="23" t="s">
        <v>1034</v>
      </c>
      <c r="B151" s="23" t="s">
        <v>1570</v>
      </c>
      <c r="C151" s="24" t="s">
        <v>1546</v>
      </c>
      <c r="D151" s="23" t="s">
        <v>1503</v>
      </c>
      <c r="E151" s="5">
        <f>IF(FOLHA="COM DESONERAÇÃO",F151,G151)</f>
        <v>111.02</v>
      </c>
      <c r="F151" s="5">
        <v>111.02</v>
      </c>
      <c r="G151" s="5">
        <v>111.02</v>
      </c>
    </row>
    <row r="152" spans="1:7" ht="28.8" x14ac:dyDescent="0.3">
      <c r="A152" s="23">
        <v>416</v>
      </c>
      <c r="B152" s="23" t="s">
        <v>1576</v>
      </c>
      <c r="C152" s="24" t="s">
        <v>1384</v>
      </c>
      <c r="D152" s="23" t="s">
        <v>1278</v>
      </c>
      <c r="E152" s="5">
        <f>ROUND(IF(FOLHA="COM DESONERAÇÃO",F152,G152)*icf,2)</f>
        <v>12.1</v>
      </c>
      <c r="F152" s="5">
        <v>12.1</v>
      </c>
      <c r="G152" s="5">
        <v>12.1</v>
      </c>
    </row>
    <row r="153" spans="1:7" ht="28.8" x14ac:dyDescent="0.3">
      <c r="A153" s="23">
        <v>44474</v>
      </c>
      <c r="B153" s="23" t="s">
        <v>1576</v>
      </c>
      <c r="C153" s="24" t="s">
        <v>1385</v>
      </c>
      <c r="D153" s="23" t="s">
        <v>1278</v>
      </c>
      <c r="E153" s="5">
        <f>ROUND(IF(FOLHA="COM DESONERAÇÃO",F153,G153)*icf,2)</f>
        <v>2491030.2799999998</v>
      </c>
      <c r="F153" s="5">
        <v>2491030.2799999998</v>
      </c>
      <c r="G153" s="5">
        <v>2491030.2799999998</v>
      </c>
    </row>
    <row r="154" spans="1:7" ht="28.8" x14ac:dyDescent="0.3">
      <c r="A154" s="23">
        <v>3378</v>
      </c>
      <c r="B154" s="23" t="s">
        <v>1576</v>
      </c>
      <c r="C154" s="24" t="s">
        <v>1386</v>
      </c>
      <c r="D154" s="23" t="s">
        <v>1278</v>
      </c>
      <c r="E154" s="5">
        <f>ROUND(IF(FOLHA="COM DESONERAÇÃO",F154,G154)*icf,2)</f>
        <v>116.99</v>
      </c>
      <c r="F154" s="5">
        <v>116.99</v>
      </c>
      <c r="G154" s="5">
        <v>116.99</v>
      </c>
    </row>
    <row r="155" spans="1:7" x14ac:dyDescent="0.3">
      <c r="A155" s="23" t="s">
        <v>1051</v>
      </c>
      <c r="B155" s="23" t="s">
        <v>1585</v>
      </c>
      <c r="C155" s="24" t="s">
        <v>1387</v>
      </c>
      <c r="D155" s="23" t="s">
        <v>1278</v>
      </c>
      <c r="E155" s="5">
        <f>ROUND(IF(FOLHA="COM DESONERAÇÃO",F155,G155)*icf,2)</f>
        <v>647.55999999999995</v>
      </c>
      <c r="F155" s="5">
        <v>647.55999999999995</v>
      </c>
      <c r="G155" s="5">
        <v>647.55999999999995</v>
      </c>
    </row>
    <row r="156" spans="1:7" x14ac:dyDescent="0.3">
      <c r="A156" s="23" t="s">
        <v>1041</v>
      </c>
      <c r="B156" s="23" t="s">
        <v>1570</v>
      </c>
      <c r="C156" s="24" t="s">
        <v>1388</v>
      </c>
      <c r="D156" s="23" t="s">
        <v>1178</v>
      </c>
      <c r="E156" s="5">
        <f>ROUND(IF(FOLHA="COM DESONERAÇÃO",F156,G156)*icf,2)</f>
        <v>4.2</v>
      </c>
      <c r="F156" s="5">
        <v>4.2</v>
      </c>
      <c r="G156" s="5">
        <v>4.2</v>
      </c>
    </row>
    <row r="157" spans="1:7" x14ac:dyDescent="0.3">
      <c r="A157" s="23">
        <v>2701</v>
      </c>
      <c r="B157" s="23" t="s">
        <v>1576</v>
      </c>
      <c r="C157" s="24" t="s">
        <v>1547</v>
      </c>
      <c r="D157" s="23" t="s">
        <v>1503</v>
      </c>
      <c r="E157" s="5">
        <f>IF(FOLHA="COM DESONERAÇÃO",F157,G157)</f>
        <v>22.67</v>
      </c>
      <c r="F157" s="5">
        <v>20.260000000000002</v>
      </c>
      <c r="G157" s="5">
        <v>22.67</v>
      </c>
    </row>
    <row r="158" spans="1:7" x14ac:dyDescent="0.3">
      <c r="A158" s="23">
        <v>38112</v>
      </c>
      <c r="B158" s="23" t="s">
        <v>1576</v>
      </c>
      <c r="C158" s="24" t="s">
        <v>1389</v>
      </c>
      <c r="D158" s="23" t="s">
        <v>1278</v>
      </c>
      <c r="E158" s="5">
        <f t="shared" ref="E158:E166" si="8">ROUND(IF(FOLHA="COM DESONERAÇÃO",F158,G158)*icf,2)</f>
        <v>8.16</v>
      </c>
      <c r="F158" s="5">
        <v>8.16</v>
      </c>
      <c r="G158" s="5">
        <v>8.16</v>
      </c>
    </row>
    <row r="159" spans="1:7" ht="28.8" x14ac:dyDescent="0.3">
      <c r="A159" s="23">
        <v>3398</v>
      </c>
      <c r="B159" s="23" t="s">
        <v>1576</v>
      </c>
      <c r="C159" s="24" t="s">
        <v>1390</v>
      </c>
      <c r="D159" s="23" t="s">
        <v>1278</v>
      </c>
      <c r="E159" s="5">
        <f t="shared" si="8"/>
        <v>1.69</v>
      </c>
      <c r="F159" s="5">
        <v>1.69</v>
      </c>
      <c r="G159" s="5">
        <v>1.69</v>
      </c>
    </row>
    <row r="160" spans="1:7" x14ac:dyDescent="0.3">
      <c r="A160" s="23">
        <v>3536</v>
      </c>
      <c r="B160" s="23" t="s">
        <v>1576</v>
      </c>
      <c r="C160" s="24" t="s">
        <v>1391</v>
      </c>
      <c r="D160" s="23" t="s">
        <v>1278</v>
      </c>
      <c r="E160" s="5">
        <f t="shared" si="8"/>
        <v>2.42</v>
      </c>
      <c r="F160" s="5">
        <v>2.42</v>
      </c>
      <c r="G160" s="5">
        <v>2.42</v>
      </c>
    </row>
    <row r="161" spans="1:7" ht="28.8" x14ac:dyDescent="0.3">
      <c r="A161" s="23">
        <v>3671</v>
      </c>
      <c r="B161" s="23" t="s">
        <v>1576</v>
      </c>
      <c r="C161" s="24" t="s">
        <v>1392</v>
      </c>
      <c r="D161" s="23" t="s">
        <v>1296</v>
      </c>
      <c r="E161" s="5">
        <f t="shared" si="8"/>
        <v>2.95</v>
      </c>
      <c r="F161" s="5">
        <v>2.95</v>
      </c>
      <c r="G161" s="5">
        <v>2.95</v>
      </c>
    </row>
    <row r="162" spans="1:7" x14ac:dyDescent="0.3">
      <c r="A162" s="23">
        <v>38194</v>
      </c>
      <c r="B162" s="23" t="s">
        <v>1576</v>
      </c>
      <c r="C162" s="24" t="s">
        <v>1393</v>
      </c>
      <c r="D162" s="23" t="s">
        <v>1278</v>
      </c>
      <c r="E162" s="5">
        <f t="shared" si="8"/>
        <v>5.08</v>
      </c>
      <c r="F162" s="5">
        <v>5.08</v>
      </c>
      <c r="G162" s="5">
        <v>5.08</v>
      </c>
    </row>
    <row r="163" spans="1:7" x14ac:dyDescent="0.3">
      <c r="A163" s="23">
        <v>38193</v>
      </c>
      <c r="B163" s="23" t="s">
        <v>1576</v>
      </c>
      <c r="C163" s="24" t="s">
        <v>1394</v>
      </c>
      <c r="D163" s="23" t="s">
        <v>1278</v>
      </c>
      <c r="E163" s="5">
        <f t="shared" si="8"/>
        <v>4.41</v>
      </c>
      <c r="F163" s="5">
        <v>4.41</v>
      </c>
      <c r="G163" s="5">
        <v>4.41</v>
      </c>
    </row>
    <row r="164" spans="1:7" x14ac:dyDescent="0.3">
      <c r="A164" s="23">
        <v>38383</v>
      </c>
      <c r="B164" s="23" t="s">
        <v>1576</v>
      </c>
      <c r="C164" s="24" t="s">
        <v>1395</v>
      </c>
      <c r="D164" s="23" t="s">
        <v>1278</v>
      </c>
      <c r="E164" s="5">
        <f t="shared" si="8"/>
        <v>2.15</v>
      </c>
      <c r="F164" s="5">
        <v>2.15</v>
      </c>
      <c r="G164" s="5">
        <v>2.15</v>
      </c>
    </row>
    <row r="165" spans="1:7" ht="28.8" x14ac:dyDescent="0.3">
      <c r="A165" s="23">
        <v>40271</v>
      </c>
      <c r="B165" s="23" t="s">
        <v>1576</v>
      </c>
      <c r="C165" s="24" t="s">
        <v>1396</v>
      </c>
      <c r="D165" s="23" t="s">
        <v>1397</v>
      </c>
      <c r="E165" s="5">
        <f t="shared" si="8"/>
        <v>15.31</v>
      </c>
      <c r="F165" s="5">
        <v>15.31</v>
      </c>
      <c r="G165" s="5">
        <v>15.31</v>
      </c>
    </row>
    <row r="166" spans="1:7" ht="28.8" x14ac:dyDescent="0.3">
      <c r="A166" s="23">
        <v>40287</v>
      </c>
      <c r="B166" s="23" t="s">
        <v>1576</v>
      </c>
      <c r="C166" s="24" t="s">
        <v>1548</v>
      </c>
      <c r="D166" s="23" t="s">
        <v>1549</v>
      </c>
      <c r="E166" s="5">
        <f t="shared" si="8"/>
        <v>5.89</v>
      </c>
      <c r="F166" s="5">
        <v>5.89</v>
      </c>
      <c r="G166" s="5">
        <v>5.89</v>
      </c>
    </row>
    <row r="167" spans="1:7" ht="57.6" x14ac:dyDescent="0.3">
      <c r="A167" s="23">
        <v>743</v>
      </c>
      <c r="B167" s="23" t="s">
        <v>1576</v>
      </c>
      <c r="C167" s="24" t="s">
        <v>1550</v>
      </c>
      <c r="D167" s="23" t="s">
        <v>1503</v>
      </c>
      <c r="E167" s="5">
        <f>IF(FOLHA="COM DESONERAÇÃO",F167,G167)</f>
        <v>2.4300000000000002</v>
      </c>
      <c r="F167" s="5">
        <v>2.4300000000000002</v>
      </c>
      <c r="G167" s="5">
        <v>2.4300000000000002</v>
      </c>
    </row>
    <row r="168" spans="1:7" ht="28.8" x14ac:dyDescent="0.3">
      <c r="A168" s="23">
        <v>3346</v>
      </c>
      <c r="B168" s="23" t="s">
        <v>1576</v>
      </c>
      <c r="C168" s="24" t="s">
        <v>1551</v>
      </c>
      <c r="D168" s="23" t="s">
        <v>1503</v>
      </c>
      <c r="E168" s="5">
        <f>IF(FOLHA="COM DESONERAÇÃO",F168,G168)</f>
        <v>23.43</v>
      </c>
      <c r="F168" s="5">
        <v>23.43</v>
      </c>
      <c r="G168" s="5">
        <v>23.43</v>
      </c>
    </row>
    <row r="169" spans="1:7" ht="28.8" x14ac:dyDescent="0.3">
      <c r="A169" s="23">
        <v>40275</v>
      </c>
      <c r="B169" s="23" t="s">
        <v>1576</v>
      </c>
      <c r="C169" s="24" t="s">
        <v>1398</v>
      </c>
      <c r="D169" s="23" t="s">
        <v>1397</v>
      </c>
      <c r="E169" s="5">
        <f t="shared" ref="E169:E183" si="9">ROUND(IF(FOLHA="COM DESONERAÇÃO",F169,G169)*icf,2)</f>
        <v>16</v>
      </c>
      <c r="F169" s="5">
        <v>16</v>
      </c>
      <c r="G169" s="5">
        <v>16</v>
      </c>
    </row>
    <row r="170" spans="1:7" ht="28.8" x14ac:dyDescent="0.3">
      <c r="A170" s="23">
        <v>38769</v>
      </c>
      <c r="B170" s="23" t="s">
        <v>1576</v>
      </c>
      <c r="C170" s="24" t="s">
        <v>1399</v>
      </c>
      <c r="D170" s="23" t="s">
        <v>1278</v>
      </c>
      <c r="E170" s="5">
        <f t="shared" si="9"/>
        <v>65.27</v>
      </c>
      <c r="F170" s="5">
        <v>65.27</v>
      </c>
      <c r="G170" s="5">
        <v>65.27</v>
      </c>
    </row>
    <row r="171" spans="1:7" x14ac:dyDescent="0.3">
      <c r="A171" s="23">
        <v>3939</v>
      </c>
      <c r="B171" s="23" t="s">
        <v>1576</v>
      </c>
      <c r="C171" s="24" t="s">
        <v>1400</v>
      </c>
      <c r="D171" s="23" t="s">
        <v>1278</v>
      </c>
      <c r="E171" s="5">
        <f t="shared" si="9"/>
        <v>19.670000000000002</v>
      </c>
      <c r="F171" s="5">
        <v>19.670000000000002</v>
      </c>
      <c r="G171" s="5">
        <v>19.670000000000002</v>
      </c>
    </row>
    <row r="172" spans="1:7" x14ac:dyDescent="0.3">
      <c r="A172" s="23">
        <v>3910</v>
      </c>
      <c r="B172" s="23" t="s">
        <v>1576</v>
      </c>
      <c r="C172" s="24" t="s">
        <v>1401</v>
      </c>
      <c r="D172" s="23" t="s">
        <v>1278</v>
      </c>
      <c r="E172" s="5">
        <f t="shared" si="9"/>
        <v>11.49</v>
      </c>
      <c r="F172" s="5">
        <v>11.49</v>
      </c>
      <c r="G172" s="5">
        <v>11.49</v>
      </c>
    </row>
    <row r="173" spans="1:7" x14ac:dyDescent="0.3">
      <c r="A173" s="23">
        <v>3919</v>
      </c>
      <c r="B173" s="23" t="s">
        <v>1576</v>
      </c>
      <c r="C173" s="24" t="s">
        <v>1402</v>
      </c>
      <c r="D173" s="23" t="s">
        <v>1278</v>
      </c>
      <c r="E173" s="5">
        <f t="shared" si="9"/>
        <v>11.58</v>
      </c>
      <c r="F173" s="5">
        <v>11.58</v>
      </c>
      <c r="G173" s="5">
        <v>11.58</v>
      </c>
    </row>
    <row r="174" spans="1:7" x14ac:dyDescent="0.3">
      <c r="A174" s="23">
        <v>1892</v>
      </c>
      <c r="B174" s="23" t="s">
        <v>1576</v>
      </c>
      <c r="C174" s="24" t="s">
        <v>1403</v>
      </c>
      <c r="D174" s="23" t="s">
        <v>1278</v>
      </c>
      <c r="E174" s="5">
        <f t="shared" si="9"/>
        <v>1.59</v>
      </c>
      <c r="F174" s="5">
        <v>1.59</v>
      </c>
      <c r="G174" s="5">
        <v>1.59</v>
      </c>
    </row>
    <row r="175" spans="1:7" x14ac:dyDescent="0.3">
      <c r="A175" s="23" t="s">
        <v>1049</v>
      </c>
      <c r="B175" s="23" t="s">
        <v>1585</v>
      </c>
      <c r="C175" s="24" t="s">
        <v>1404</v>
      </c>
      <c r="D175" s="23" t="s">
        <v>1278</v>
      </c>
      <c r="E175" s="5">
        <f t="shared" si="9"/>
        <v>4.3899999999999997</v>
      </c>
      <c r="F175" s="5">
        <v>4.3899999999999997</v>
      </c>
      <c r="G175" s="5">
        <v>4.3899999999999997</v>
      </c>
    </row>
    <row r="176" spans="1:7" x14ac:dyDescent="0.3">
      <c r="A176" s="23">
        <v>12892</v>
      </c>
      <c r="B176" s="23" t="s">
        <v>1576</v>
      </c>
      <c r="C176" s="24" t="s">
        <v>1405</v>
      </c>
      <c r="D176" s="23" t="s">
        <v>1315</v>
      </c>
      <c r="E176" s="5">
        <f t="shared" si="9"/>
        <v>15.21</v>
      </c>
      <c r="F176" s="5">
        <v>15.21</v>
      </c>
      <c r="G176" s="5">
        <v>15.21</v>
      </c>
    </row>
    <row r="177" spans="1:7" x14ac:dyDescent="0.3">
      <c r="A177" s="23" t="s">
        <v>1134</v>
      </c>
      <c r="B177" s="23" t="s">
        <v>1585</v>
      </c>
      <c r="C177" s="24" t="s">
        <v>1406</v>
      </c>
      <c r="D177" s="23" t="s">
        <v>1296</v>
      </c>
      <c r="E177" s="5">
        <f t="shared" si="9"/>
        <v>6.69</v>
      </c>
      <c r="F177" s="5">
        <v>6.69</v>
      </c>
      <c r="G177" s="5">
        <v>6.69</v>
      </c>
    </row>
    <row r="178" spans="1:7" ht="28.8" x14ac:dyDescent="0.3">
      <c r="A178" s="23">
        <v>12898</v>
      </c>
      <c r="B178" s="23" t="s">
        <v>1576</v>
      </c>
      <c r="C178" s="24" t="s">
        <v>1407</v>
      </c>
      <c r="D178" s="23" t="s">
        <v>1278</v>
      </c>
      <c r="E178" s="5">
        <f t="shared" si="9"/>
        <v>210</v>
      </c>
      <c r="F178" s="5">
        <v>210</v>
      </c>
      <c r="G178" s="5">
        <v>210</v>
      </c>
    </row>
    <row r="179" spans="1:7" x14ac:dyDescent="0.3">
      <c r="A179" s="23" t="s">
        <v>1109</v>
      </c>
      <c r="B179" s="23" t="s">
        <v>1585</v>
      </c>
      <c r="C179" s="24" t="s">
        <v>1408</v>
      </c>
      <c r="D179" s="23" t="s">
        <v>1278</v>
      </c>
      <c r="E179" s="5">
        <f t="shared" si="9"/>
        <v>37.799999999999997</v>
      </c>
      <c r="F179" s="5">
        <v>37.799999999999997</v>
      </c>
      <c r="G179" s="5">
        <v>37.799999999999997</v>
      </c>
    </row>
    <row r="180" spans="1:7" x14ac:dyDescent="0.3">
      <c r="A180" s="23" t="s">
        <v>1160</v>
      </c>
      <c r="B180" s="23" t="s">
        <v>1585</v>
      </c>
      <c r="C180" s="24" t="s">
        <v>1409</v>
      </c>
      <c r="D180" s="23" t="s">
        <v>1278</v>
      </c>
      <c r="E180" s="5">
        <f t="shared" si="9"/>
        <v>13.52</v>
      </c>
      <c r="F180" s="5">
        <v>13.52</v>
      </c>
      <c r="G180" s="5">
        <v>13.52</v>
      </c>
    </row>
    <row r="181" spans="1:7" x14ac:dyDescent="0.3">
      <c r="A181" s="23" t="s">
        <v>1144</v>
      </c>
      <c r="B181" s="23" t="s">
        <v>1585</v>
      </c>
      <c r="C181" s="24" t="s">
        <v>1410</v>
      </c>
      <c r="D181" s="23" t="s">
        <v>1278</v>
      </c>
      <c r="E181" s="5">
        <f t="shared" si="9"/>
        <v>48.95</v>
      </c>
      <c r="F181" s="5">
        <v>48.95</v>
      </c>
      <c r="G181" s="5">
        <v>48.95</v>
      </c>
    </row>
    <row r="182" spans="1:7" x14ac:dyDescent="0.3">
      <c r="A182" s="23" t="s">
        <v>1161</v>
      </c>
      <c r="B182" s="23" t="s">
        <v>1585</v>
      </c>
      <c r="C182" s="24" t="s">
        <v>1411</v>
      </c>
      <c r="D182" s="23" t="s">
        <v>1278</v>
      </c>
      <c r="E182" s="5">
        <f t="shared" si="9"/>
        <v>18.75</v>
      </c>
      <c r="F182" s="5">
        <v>18.75</v>
      </c>
      <c r="G182" s="5">
        <v>18.75</v>
      </c>
    </row>
    <row r="183" spans="1:7" x14ac:dyDescent="0.3">
      <c r="A183" s="23" t="s">
        <v>1156</v>
      </c>
      <c r="B183" s="23" t="s">
        <v>1585</v>
      </c>
      <c r="C183" s="24" t="s">
        <v>1412</v>
      </c>
      <c r="D183" s="23" t="s">
        <v>1278</v>
      </c>
      <c r="E183" s="5">
        <f t="shared" si="9"/>
        <v>28</v>
      </c>
      <c r="F183" s="5">
        <v>28</v>
      </c>
      <c r="G183" s="5">
        <v>28</v>
      </c>
    </row>
    <row r="184" spans="1:7" x14ac:dyDescent="0.3">
      <c r="A184" s="23" t="s">
        <v>1040</v>
      </c>
      <c r="B184" s="23" t="s">
        <v>1570</v>
      </c>
      <c r="C184" s="24" t="s">
        <v>1552</v>
      </c>
      <c r="D184" s="23" t="s">
        <v>1503</v>
      </c>
      <c r="E184" s="5">
        <f>IF(FOLHA="COM DESONERAÇÃO",F184,G184)</f>
        <v>0.16</v>
      </c>
      <c r="F184" s="5">
        <v>0.16</v>
      </c>
      <c r="G184" s="5">
        <v>0.16</v>
      </c>
    </row>
    <row r="185" spans="1:7" x14ac:dyDescent="0.3">
      <c r="A185" s="23" t="s">
        <v>1064</v>
      </c>
      <c r="B185" s="23" t="s">
        <v>1630</v>
      </c>
      <c r="C185" s="24" t="s">
        <v>1553</v>
      </c>
      <c r="D185" s="23" t="s">
        <v>1503</v>
      </c>
      <c r="E185" s="5">
        <f>IF(FOLHA="COM DESONERAÇÃO",F185,G185)</f>
        <v>26.86</v>
      </c>
      <c r="F185" s="5">
        <v>24.16</v>
      </c>
      <c r="G185" s="5">
        <v>26.86</v>
      </c>
    </row>
    <row r="186" spans="1:7" ht="28.8" x14ac:dyDescent="0.3">
      <c r="A186" s="23">
        <v>4114</v>
      </c>
      <c r="B186" s="23" t="s">
        <v>1576</v>
      </c>
      <c r="C186" s="24" t="s">
        <v>1413</v>
      </c>
      <c r="D186" s="23" t="s">
        <v>1278</v>
      </c>
      <c r="E186" s="5">
        <f>ROUND(IF(FOLHA="COM DESONERAÇÃO",F186,G186)*icf,2)</f>
        <v>64.400000000000006</v>
      </c>
      <c r="F186" s="5">
        <v>64.400000000000006</v>
      </c>
      <c r="G186" s="5">
        <v>64.400000000000006</v>
      </c>
    </row>
    <row r="187" spans="1:7" x14ac:dyDescent="0.3">
      <c r="A187" s="23">
        <v>4209</v>
      </c>
      <c r="B187" s="23" t="s">
        <v>1576</v>
      </c>
      <c r="C187" s="24" t="s">
        <v>1414</v>
      </c>
      <c r="D187" s="23" t="s">
        <v>1278</v>
      </c>
      <c r="E187" s="5">
        <f>ROUND(IF(FOLHA="COM DESONERAÇÃO",F187,G187)*icf,2)</f>
        <v>19.38</v>
      </c>
      <c r="F187" s="5">
        <v>19.38</v>
      </c>
      <c r="G187" s="5">
        <v>19.38</v>
      </c>
    </row>
    <row r="188" spans="1:7" x14ac:dyDescent="0.3">
      <c r="A188" s="23" t="s">
        <v>1154</v>
      </c>
      <c r="B188" s="23" t="s">
        <v>1585</v>
      </c>
      <c r="C188" s="24" t="s">
        <v>1415</v>
      </c>
      <c r="D188" s="23" t="s">
        <v>1278</v>
      </c>
      <c r="E188" s="5">
        <f>ROUND(IF(FOLHA="COM DESONERAÇÃO",F188,G188)*icf,2)</f>
        <v>15.4</v>
      </c>
      <c r="F188" s="5">
        <v>15.4</v>
      </c>
      <c r="G188" s="5">
        <v>15.4</v>
      </c>
    </row>
    <row r="189" spans="1:7" x14ac:dyDescent="0.3">
      <c r="A189" s="23">
        <v>37666</v>
      </c>
      <c r="B189" s="23" t="s">
        <v>1576</v>
      </c>
      <c r="C189" s="24" t="s">
        <v>1554</v>
      </c>
      <c r="D189" s="23" t="s">
        <v>1503</v>
      </c>
      <c r="E189" s="5">
        <f>IF(FOLHA="COM DESONERAÇÃO",F189,G189)</f>
        <v>21.48</v>
      </c>
      <c r="F189" s="5">
        <v>19.190000000000001</v>
      </c>
      <c r="G189" s="5">
        <v>21.48</v>
      </c>
    </row>
    <row r="190" spans="1:7" x14ac:dyDescent="0.3">
      <c r="A190" s="23">
        <v>4254</v>
      </c>
      <c r="B190" s="23" t="s">
        <v>1576</v>
      </c>
      <c r="C190" s="24" t="s">
        <v>1555</v>
      </c>
      <c r="D190" s="23" t="s">
        <v>1503</v>
      </c>
      <c r="E190" s="5">
        <f>IF(FOLHA="COM DESONERAÇÃO",F190,G190)</f>
        <v>29.16</v>
      </c>
      <c r="F190" s="5">
        <v>26.06</v>
      </c>
      <c r="G190" s="5">
        <v>29.16</v>
      </c>
    </row>
    <row r="191" spans="1:7" x14ac:dyDescent="0.3">
      <c r="A191" s="23">
        <v>4230</v>
      </c>
      <c r="B191" s="23" t="s">
        <v>1576</v>
      </c>
      <c r="C191" s="24" t="s">
        <v>1556</v>
      </c>
      <c r="D191" s="23" t="s">
        <v>1503</v>
      </c>
      <c r="E191" s="5">
        <f>IF(FOLHA="COM DESONERAÇÃO",F191,G191)</f>
        <v>21.48</v>
      </c>
      <c r="F191" s="5">
        <v>19.190000000000001</v>
      </c>
      <c r="G191" s="5">
        <v>21.48</v>
      </c>
    </row>
    <row r="192" spans="1:7" x14ac:dyDescent="0.3">
      <c r="A192" s="23" t="s">
        <v>1047</v>
      </c>
      <c r="B192" s="23" t="s">
        <v>1570</v>
      </c>
      <c r="C192" s="24" t="s">
        <v>1416</v>
      </c>
      <c r="D192" s="23" t="s">
        <v>1278</v>
      </c>
      <c r="E192" s="5">
        <f>ROUND(IF(FOLHA="COM DESONERAÇÃO",F192,G192)*icf,2)</f>
        <v>470</v>
      </c>
      <c r="F192" s="5">
        <v>470</v>
      </c>
      <c r="G192" s="5">
        <v>470</v>
      </c>
    </row>
    <row r="193" spans="1:7" ht="28.8" x14ac:dyDescent="0.3">
      <c r="A193" s="23">
        <v>4346</v>
      </c>
      <c r="B193" s="23" t="s">
        <v>1576</v>
      </c>
      <c r="C193" s="24" t="s">
        <v>1417</v>
      </c>
      <c r="D193" s="23" t="s">
        <v>1278</v>
      </c>
      <c r="E193" s="5">
        <f>ROUND(IF(FOLHA="COM DESONERAÇÃO",F193,G193)*icf,2)</f>
        <v>11.24</v>
      </c>
      <c r="F193" s="5">
        <v>11.24</v>
      </c>
      <c r="G193" s="5">
        <v>11.24</v>
      </c>
    </row>
    <row r="194" spans="1:7" x14ac:dyDescent="0.3">
      <c r="A194" s="23">
        <v>4721</v>
      </c>
      <c r="B194" s="23" t="s">
        <v>1576</v>
      </c>
      <c r="C194" s="24" t="s">
        <v>1418</v>
      </c>
      <c r="D194" s="23" t="s">
        <v>1301</v>
      </c>
      <c r="E194" s="5">
        <f>ROUND(IF(FOLHA="COM DESONERAÇÃO",F194,G194)*icf,2)</f>
        <v>248.89</v>
      </c>
      <c r="F194" s="5">
        <v>248.89</v>
      </c>
      <c r="G194" s="5">
        <v>248.89</v>
      </c>
    </row>
    <row r="195" spans="1:7" x14ac:dyDescent="0.3">
      <c r="A195" s="23">
        <v>4718</v>
      </c>
      <c r="B195" s="23" t="s">
        <v>1576</v>
      </c>
      <c r="C195" s="24" t="s">
        <v>1419</v>
      </c>
      <c r="D195" s="23" t="s">
        <v>1301</v>
      </c>
      <c r="E195" s="5">
        <f>ROUND(IF(FOLHA="COM DESONERAÇÃO",F195,G195)*icf,2)</f>
        <v>250.2</v>
      </c>
      <c r="F195" s="5">
        <v>250.2</v>
      </c>
      <c r="G195" s="5">
        <v>250.2</v>
      </c>
    </row>
    <row r="196" spans="1:7" ht="28.8" x14ac:dyDescent="0.3">
      <c r="A196" s="23">
        <v>4730</v>
      </c>
      <c r="B196" s="23" t="s">
        <v>1576</v>
      </c>
      <c r="C196" s="24" t="s">
        <v>1420</v>
      </c>
      <c r="D196" s="23" t="s">
        <v>1301</v>
      </c>
      <c r="E196" s="5">
        <f>ROUND(IF(FOLHA="COM DESONERAÇÃO",F196,G196)*icf,2)</f>
        <v>233.94</v>
      </c>
      <c r="F196" s="5">
        <v>233.94</v>
      </c>
      <c r="G196" s="5">
        <v>233.94</v>
      </c>
    </row>
    <row r="197" spans="1:7" x14ac:dyDescent="0.3">
      <c r="A197" s="23" t="s">
        <v>1065</v>
      </c>
      <c r="B197" s="23" t="s">
        <v>1630</v>
      </c>
      <c r="C197" s="24" t="s">
        <v>1557</v>
      </c>
      <c r="D197" s="23" t="s">
        <v>1503</v>
      </c>
      <c r="E197" s="5">
        <f>IF(FOLHA="COM DESONERAÇÃO",F197,G197)</f>
        <v>26.86</v>
      </c>
      <c r="F197" s="5">
        <v>24.16</v>
      </c>
      <c r="G197" s="5">
        <v>26.86</v>
      </c>
    </row>
    <row r="198" spans="1:7" x14ac:dyDescent="0.3">
      <c r="A198" s="23">
        <v>4750</v>
      </c>
      <c r="B198" s="23" t="s">
        <v>1576</v>
      </c>
      <c r="C198" s="24" t="s">
        <v>1558</v>
      </c>
      <c r="D198" s="23" t="s">
        <v>1503</v>
      </c>
      <c r="E198" s="5">
        <f>IF(FOLHA="COM DESONERAÇÃO",F198,G198)</f>
        <v>20.329999999999998</v>
      </c>
      <c r="F198" s="5">
        <v>18.16</v>
      </c>
      <c r="G198" s="5">
        <v>20.329999999999998</v>
      </c>
    </row>
    <row r="199" spans="1:7" x14ac:dyDescent="0.3">
      <c r="A199" s="23" t="s">
        <v>1124</v>
      </c>
      <c r="B199" s="23" t="s">
        <v>1630</v>
      </c>
      <c r="C199" s="24" t="s">
        <v>1421</v>
      </c>
      <c r="D199" s="23" t="s">
        <v>1301</v>
      </c>
      <c r="E199" s="5">
        <f>ROUND(IF(FOLHA="COM DESONERAÇÃO",F199,G199)*icf,2)</f>
        <v>100.5</v>
      </c>
      <c r="F199" s="5">
        <v>100.5</v>
      </c>
      <c r="G199" s="5">
        <v>100.5</v>
      </c>
    </row>
    <row r="200" spans="1:7" x14ac:dyDescent="0.3">
      <c r="A200" s="23">
        <v>37395</v>
      </c>
      <c r="B200" s="23" t="s">
        <v>1576</v>
      </c>
      <c r="C200" s="24" t="s">
        <v>1422</v>
      </c>
      <c r="D200" s="23" t="s">
        <v>1423</v>
      </c>
      <c r="E200" s="5">
        <f>ROUND(IF(FOLHA="COM DESONERAÇÃO",F200,G200)*icf,2)</f>
        <v>44.82</v>
      </c>
      <c r="F200" s="5">
        <v>44.82</v>
      </c>
      <c r="G200" s="5">
        <v>44.82</v>
      </c>
    </row>
    <row r="201" spans="1:7" x14ac:dyDescent="0.3">
      <c r="A201" s="23">
        <v>4783</v>
      </c>
      <c r="B201" s="23" t="s">
        <v>1576</v>
      </c>
      <c r="C201" s="24" t="s">
        <v>1559</v>
      </c>
      <c r="D201" s="23" t="s">
        <v>1503</v>
      </c>
      <c r="E201" s="5">
        <f>IF(FOLHA="COM DESONERAÇÃO",F201,G201)</f>
        <v>20.329999999999998</v>
      </c>
      <c r="F201" s="5">
        <v>18.16</v>
      </c>
      <c r="G201" s="5">
        <v>20.329999999999998</v>
      </c>
    </row>
    <row r="202" spans="1:7" x14ac:dyDescent="0.3">
      <c r="A202" s="23">
        <v>4893</v>
      </c>
      <c r="B202" s="23" t="s">
        <v>1576</v>
      </c>
      <c r="C202" s="24" t="s">
        <v>1424</v>
      </c>
      <c r="D202" s="23" t="s">
        <v>1278</v>
      </c>
      <c r="E202" s="5">
        <f t="shared" ref="E202:E229" si="10">ROUND(IF(FOLHA="COM DESONERAÇÃO",F202,G202)*icf,2)</f>
        <v>12.09</v>
      </c>
      <c r="F202" s="5">
        <v>12.09</v>
      </c>
      <c r="G202" s="5">
        <v>12.09</v>
      </c>
    </row>
    <row r="203" spans="1:7" x14ac:dyDescent="0.3">
      <c r="A203" s="23">
        <v>4491</v>
      </c>
      <c r="B203" s="23" t="s">
        <v>1576</v>
      </c>
      <c r="C203" s="24" t="s">
        <v>1425</v>
      </c>
      <c r="D203" s="23" t="s">
        <v>1296</v>
      </c>
      <c r="E203" s="5">
        <f t="shared" si="10"/>
        <v>10.050000000000001</v>
      </c>
      <c r="F203" s="5">
        <v>10.050000000000001</v>
      </c>
      <c r="G203" s="5">
        <v>10.050000000000001</v>
      </c>
    </row>
    <row r="204" spans="1:7" x14ac:dyDescent="0.3">
      <c r="A204" s="23" t="s">
        <v>1028</v>
      </c>
      <c r="B204" s="23" t="s">
        <v>1630</v>
      </c>
      <c r="C204" s="24" t="s">
        <v>1426</v>
      </c>
      <c r="D204" s="23" t="s">
        <v>1296</v>
      </c>
      <c r="E204" s="5">
        <f t="shared" si="10"/>
        <v>16.09</v>
      </c>
      <c r="F204" s="5">
        <v>16.09</v>
      </c>
      <c r="G204" s="5">
        <v>16.09</v>
      </c>
    </row>
    <row r="205" spans="1:7" x14ac:dyDescent="0.3">
      <c r="A205" s="23">
        <v>39997</v>
      </c>
      <c r="B205" s="23" t="s">
        <v>1576</v>
      </c>
      <c r="C205" s="24" t="s">
        <v>1427</v>
      </c>
      <c r="D205" s="23" t="s">
        <v>1278</v>
      </c>
      <c r="E205" s="5">
        <f t="shared" si="10"/>
        <v>0.33</v>
      </c>
      <c r="F205" s="5">
        <v>0.33</v>
      </c>
      <c r="G205" s="5">
        <v>0.33</v>
      </c>
    </row>
    <row r="206" spans="1:7" ht="28.8" x14ac:dyDescent="0.3">
      <c r="A206" s="23">
        <v>4930</v>
      </c>
      <c r="B206" s="23" t="s">
        <v>1576</v>
      </c>
      <c r="C206" s="24" t="s">
        <v>1428</v>
      </c>
      <c r="D206" s="23" t="s">
        <v>1334</v>
      </c>
      <c r="E206" s="5">
        <f t="shared" si="10"/>
        <v>389.05</v>
      </c>
      <c r="F206" s="5">
        <v>389.05</v>
      </c>
      <c r="G206" s="5">
        <v>389.05</v>
      </c>
    </row>
    <row r="207" spans="1:7" ht="28.8" x14ac:dyDescent="0.3">
      <c r="A207" s="23" t="s">
        <v>1069</v>
      </c>
      <c r="B207" s="23" t="s">
        <v>1630</v>
      </c>
      <c r="C207" s="24" t="s">
        <v>1429</v>
      </c>
      <c r="D207" s="23" t="s">
        <v>1278</v>
      </c>
      <c r="E207" s="5">
        <f t="shared" si="10"/>
        <v>449.66</v>
      </c>
      <c r="F207" s="5">
        <v>449.66</v>
      </c>
      <c r="G207" s="5">
        <v>449.66</v>
      </c>
    </row>
    <row r="208" spans="1:7" x14ac:dyDescent="0.3">
      <c r="A208" s="23" t="s">
        <v>1029</v>
      </c>
      <c r="B208" s="23" t="s">
        <v>1630</v>
      </c>
      <c r="C208" s="24" t="s">
        <v>1430</v>
      </c>
      <c r="D208" s="23" t="s">
        <v>1280</v>
      </c>
      <c r="E208" s="5">
        <f t="shared" si="10"/>
        <v>15.99</v>
      </c>
      <c r="F208" s="5">
        <v>15.99</v>
      </c>
      <c r="G208" s="5">
        <v>15.99</v>
      </c>
    </row>
    <row r="209" spans="1:7" x14ac:dyDescent="0.3">
      <c r="A209" s="23" t="s">
        <v>1128</v>
      </c>
      <c r="B209" s="23" t="s">
        <v>1630</v>
      </c>
      <c r="C209" s="24" t="s">
        <v>1431</v>
      </c>
      <c r="D209" s="23" t="s">
        <v>1280</v>
      </c>
      <c r="E209" s="5">
        <f t="shared" si="10"/>
        <v>14.2</v>
      </c>
      <c r="F209" s="5">
        <v>14.2</v>
      </c>
      <c r="G209" s="5">
        <v>14.2</v>
      </c>
    </row>
    <row r="210" spans="1:7" x14ac:dyDescent="0.3">
      <c r="A210" s="23">
        <v>20247</v>
      </c>
      <c r="B210" s="23" t="s">
        <v>1576</v>
      </c>
      <c r="C210" s="24" t="s">
        <v>1432</v>
      </c>
      <c r="D210" s="23" t="s">
        <v>1280</v>
      </c>
      <c r="E210" s="5">
        <f t="shared" si="10"/>
        <v>22.53</v>
      </c>
      <c r="F210" s="5">
        <v>22.53</v>
      </c>
      <c r="G210" s="5">
        <v>22.53</v>
      </c>
    </row>
    <row r="211" spans="1:7" x14ac:dyDescent="0.3">
      <c r="A211" s="23">
        <v>5068</v>
      </c>
      <c r="B211" s="23" t="s">
        <v>1576</v>
      </c>
      <c r="C211" s="24" t="s">
        <v>1433</v>
      </c>
      <c r="D211" s="23" t="s">
        <v>1280</v>
      </c>
      <c r="E211" s="5">
        <f t="shared" si="10"/>
        <v>20.34</v>
      </c>
      <c r="F211" s="5">
        <v>20.34</v>
      </c>
      <c r="G211" s="5">
        <v>20.34</v>
      </c>
    </row>
    <row r="212" spans="1:7" x14ac:dyDescent="0.3">
      <c r="A212" s="23">
        <v>5069</v>
      </c>
      <c r="B212" s="23" t="s">
        <v>1576</v>
      </c>
      <c r="C212" s="24" t="s">
        <v>1434</v>
      </c>
      <c r="D212" s="23" t="s">
        <v>1280</v>
      </c>
      <c r="E212" s="5">
        <f t="shared" si="10"/>
        <v>20.74</v>
      </c>
      <c r="F212" s="5">
        <v>20.74</v>
      </c>
      <c r="G212" s="5">
        <v>20.74</v>
      </c>
    </row>
    <row r="213" spans="1:7" x14ac:dyDescent="0.3">
      <c r="A213" s="23">
        <v>39027</v>
      </c>
      <c r="B213" s="23" t="s">
        <v>1576</v>
      </c>
      <c r="C213" s="24" t="s">
        <v>1435</v>
      </c>
      <c r="D213" s="23" t="s">
        <v>1280</v>
      </c>
      <c r="E213" s="5">
        <f t="shared" si="10"/>
        <v>20.32</v>
      </c>
      <c r="F213" s="5">
        <v>20.32</v>
      </c>
      <c r="G213" s="5">
        <v>20.32</v>
      </c>
    </row>
    <row r="214" spans="1:7" x14ac:dyDescent="0.3">
      <c r="A214" s="23">
        <v>40568</v>
      </c>
      <c r="B214" s="23" t="s">
        <v>1576</v>
      </c>
      <c r="C214" s="24" t="s">
        <v>1436</v>
      </c>
      <c r="D214" s="23" t="s">
        <v>1280</v>
      </c>
      <c r="E214" s="5">
        <f t="shared" si="10"/>
        <v>20.5</v>
      </c>
      <c r="F214" s="5">
        <v>20.5</v>
      </c>
      <c r="G214" s="5">
        <v>20.5</v>
      </c>
    </row>
    <row r="215" spans="1:7" x14ac:dyDescent="0.3">
      <c r="A215" s="23">
        <v>40304</v>
      </c>
      <c r="B215" s="23" t="s">
        <v>1576</v>
      </c>
      <c r="C215" s="24" t="s">
        <v>1437</v>
      </c>
      <c r="D215" s="23" t="s">
        <v>1280</v>
      </c>
      <c r="E215" s="5">
        <f t="shared" si="10"/>
        <v>25.11</v>
      </c>
      <c r="F215" s="5">
        <v>25.11</v>
      </c>
      <c r="G215" s="5">
        <v>25.11</v>
      </c>
    </row>
    <row r="216" spans="1:7" x14ac:dyDescent="0.3">
      <c r="A216" s="23" t="s">
        <v>1113</v>
      </c>
      <c r="B216" s="23" t="s">
        <v>1585</v>
      </c>
      <c r="C216" s="24" t="s">
        <v>1438</v>
      </c>
      <c r="D216" s="23" t="s">
        <v>1278</v>
      </c>
      <c r="E216" s="5">
        <f t="shared" si="10"/>
        <v>4.9000000000000004</v>
      </c>
      <c r="F216" s="5">
        <v>4.9000000000000004</v>
      </c>
      <c r="G216" s="5">
        <v>4.9000000000000004</v>
      </c>
    </row>
    <row r="217" spans="1:7" x14ac:dyDescent="0.3">
      <c r="A217" s="23" t="s">
        <v>1114</v>
      </c>
      <c r="B217" s="23" t="s">
        <v>1585</v>
      </c>
      <c r="C217" s="24" t="s">
        <v>1439</v>
      </c>
      <c r="D217" s="23" t="s">
        <v>1278</v>
      </c>
      <c r="E217" s="5">
        <f t="shared" si="10"/>
        <v>18</v>
      </c>
      <c r="F217" s="5">
        <v>18</v>
      </c>
      <c r="G217" s="5">
        <v>18</v>
      </c>
    </row>
    <row r="218" spans="1:7" x14ac:dyDescent="0.3">
      <c r="A218" s="23" t="s">
        <v>1155</v>
      </c>
      <c r="B218" s="23" t="s">
        <v>1585</v>
      </c>
      <c r="C218" s="24" t="s">
        <v>1440</v>
      </c>
      <c r="D218" s="23" t="s">
        <v>1278</v>
      </c>
      <c r="E218" s="5">
        <f t="shared" si="10"/>
        <v>25.95</v>
      </c>
      <c r="F218" s="5">
        <v>25.95</v>
      </c>
      <c r="G218" s="5">
        <v>25.95</v>
      </c>
    </row>
    <row r="219" spans="1:7" x14ac:dyDescent="0.3">
      <c r="A219" s="23" t="s">
        <v>1116</v>
      </c>
      <c r="B219" s="23" t="s">
        <v>1585</v>
      </c>
      <c r="C219" s="24" t="s">
        <v>1441</v>
      </c>
      <c r="D219" s="23" t="s">
        <v>1278</v>
      </c>
      <c r="E219" s="5">
        <f t="shared" si="10"/>
        <v>36.9</v>
      </c>
      <c r="F219" s="5">
        <v>36.9</v>
      </c>
      <c r="G219" s="5">
        <v>36.9</v>
      </c>
    </row>
    <row r="220" spans="1:7" ht="28.8" x14ac:dyDescent="0.3">
      <c r="A220" s="23">
        <v>39794</v>
      </c>
      <c r="B220" s="23" t="s">
        <v>1576</v>
      </c>
      <c r="C220" s="24" t="s">
        <v>1442</v>
      </c>
      <c r="D220" s="23" t="s">
        <v>1278</v>
      </c>
      <c r="E220" s="5">
        <f t="shared" si="10"/>
        <v>46.21</v>
      </c>
      <c r="F220" s="5">
        <v>46.21</v>
      </c>
      <c r="G220" s="5">
        <v>46.21</v>
      </c>
    </row>
    <row r="221" spans="1:7" x14ac:dyDescent="0.3">
      <c r="A221" s="23" t="s">
        <v>1115</v>
      </c>
      <c r="B221" s="23" t="s">
        <v>1585</v>
      </c>
      <c r="C221" s="24" t="s">
        <v>1443</v>
      </c>
      <c r="D221" s="23" t="s">
        <v>1278</v>
      </c>
      <c r="E221" s="5">
        <f t="shared" si="10"/>
        <v>5</v>
      </c>
      <c r="F221" s="5">
        <v>5</v>
      </c>
      <c r="G221" s="5">
        <v>5</v>
      </c>
    </row>
    <row r="222" spans="1:7" ht="28.8" x14ac:dyDescent="0.3">
      <c r="A222" s="23">
        <v>11675</v>
      </c>
      <c r="B222" s="23" t="s">
        <v>1576</v>
      </c>
      <c r="C222" s="24" t="s">
        <v>1444</v>
      </c>
      <c r="D222" s="23" t="s">
        <v>1278</v>
      </c>
      <c r="E222" s="5">
        <f t="shared" si="10"/>
        <v>47.8</v>
      </c>
      <c r="F222" s="5">
        <v>47.8</v>
      </c>
      <c r="G222" s="5">
        <v>47.8</v>
      </c>
    </row>
    <row r="223" spans="1:7" x14ac:dyDescent="0.3">
      <c r="A223" s="23">
        <v>6010</v>
      </c>
      <c r="B223" s="23" t="s">
        <v>1576</v>
      </c>
      <c r="C223" s="24" t="s">
        <v>1445</v>
      </c>
      <c r="D223" s="23" t="s">
        <v>1278</v>
      </c>
      <c r="E223" s="5">
        <f t="shared" si="10"/>
        <v>105.75</v>
      </c>
      <c r="F223" s="5">
        <v>105.75</v>
      </c>
      <c r="G223" s="5">
        <v>105.75</v>
      </c>
    </row>
    <row r="224" spans="1:7" x14ac:dyDescent="0.3">
      <c r="A224" s="23" t="s">
        <v>1153</v>
      </c>
      <c r="B224" s="23" t="s">
        <v>1585</v>
      </c>
      <c r="C224" s="24" t="s">
        <v>1446</v>
      </c>
      <c r="D224" s="23" t="s">
        <v>1278</v>
      </c>
      <c r="E224" s="5">
        <f t="shared" si="10"/>
        <v>44</v>
      </c>
      <c r="F224" s="5">
        <v>44</v>
      </c>
      <c r="G224" s="5">
        <v>44</v>
      </c>
    </row>
    <row r="225" spans="1:7" ht="28.8" x14ac:dyDescent="0.3">
      <c r="A225" s="23">
        <v>4408</v>
      </c>
      <c r="B225" s="23" t="s">
        <v>1576</v>
      </c>
      <c r="C225" s="24" t="s">
        <v>1447</v>
      </c>
      <c r="D225" s="23" t="s">
        <v>1296</v>
      </c>
      <c r="E225" s="5">
        <f t="shared" si="10"/>
        <v>1.9</v>
      </c>
      <c r="F225" s="5">
        <v>1.9</v>
      </c>
      <c r="G225" s="5">
        <v>1.9</v>
      </c>
    </row>
    <row r="226" spans="1:7" x14ac:dyDescent="0.3">
      <c r="A226" s="23">
        <v>4509</v>
      </c>
      <c r="B226" s="23" t="s">
        <v>1576</v>
      </c>
      <c r="C226" s="24" t="s">
        <v>1448</v>
      </c>
      <c r="D226" s="23" t="s">
        <v>1296</v>
      </c>
      <c r="E226" s="5">
        <f t="shared" si="10"/>
        <v>5.0999999999999996</v>
      </c>
      <c r="F226" s="5">
        <v>5.0999999999999996</v>
      </c>
      <c r="G226" s="5">
        <v>5.0999999999999996</v>
      </c>
    </row>
    <row r="227" spans="1:7" x14ac:dyDescent="0.3">
      <c r="A227" s="23">
        <v>4517</v>
      </c>
      <c r="B227" s="23" t="s">
        <v>1576</v>
      </c>
      <c r="C227" s="24" t="s">
        <v>1449</v>
      </c>
      <c r="D227" s="23" t="s">
        <v>1296</v>
      </c>
      <c r="E227" s="5">
        <f t="shared" si="10"/>
        <v>3.52</v>
      </c>
      <c r="F227" s="5">
        <v>3.52</v>
      </c>
      <c r="G227" s="5">
        <v>3.52</v>
      </c>
    </row>
    <row r="228" spans="1:7" x14ac:dyDescent="0.3">
      <c r="A228" s="23" t="s">
        <v>1129</v>
      </c>
      <c r="B228" s="23" t="s">
        <v>1630</v>
      </c>
      <c r="C228" s="24" t="s">
        <v>1450</v>
      </c>
      <c r="D228" s="23" t="s">
        <v>1296</v>
      </c>
      <c r="E228" s="5">
        <f t="shared" si="10"/>
        <v>6.05</v>
      </c>
      <c r="F228" s="5">
        <v>6.05</v>
      </c>
      <c r="G228" s="5">
        <v>6.05</v>
      </c>
    </row>
    <row r="229" spans="1:7" ht="28.8" x14ac:dyDescent="0.3">
      <c r="A229" s="23">
        <v>4417</v>
      </c>
      <c r="B229" s="23" t="s">
        <v>1576</v>
      </c>
      <c r="C229" s="24" t="s">
        <v>1451</v>
      </c>
      <c r="D229" s="23" t="s">
        <v>1296</v>
      </c>
      <c r="E229" s="5">
        <f t="shared" si="10"/>
        <v>5.44</v>
      </c>
      <c r="F229" s="5">
        <v>5.44</v>
      </c>
      <c r="G229" s="5">
        <v>5.44</v>
      </c>
    </row>
    <row r="230" spans="1:7" x14ac:dyDescent="0.3">
      <c r="A230" s="23">
        <v>37373</v>
      </c>
      <c r="B230" s="23" t="s">
        <v>1576</v>
      </c>
      <c r="C230" s="24" t="s">
        <v>1560</v>
      </c>
      <c r="D230" s="23" t="s">
        <v>1503</v>
      </c>
      <c r="E230" s="5">
        <f>IF(FOLHA="COM DESONERAÇÃO",F230,G230)</f>
        <v>0.08</v>
      </c>
      <c r="F230" s="5">
        <v>0.08</v>
      </c>
      <c r="G230" s="5">
        <v>0.08</v>
      </c>
    </row>
    <row r="231" spans="1:7" x14ac:dyDescent="0.3">
      <c r="A231" s="23" t="s">
        <v>1110</v>
      </c>
      <c r="B231" s="23" t="s">
        <v>1585</v>
      </c>
      <c r="C231" s="24" t="s">
        <v>1452</v>
      </c>
      <c r="D231" s="23" t="s">
        <v>1278</v>
      </c>
      <c r="E231" s="5">
        <f>ROUND(IF(FOLHA="COM DESONERAÇÃO",F231,G231)*icf,2)</f>
        <v>12.54</v>
      </c>
      <c r="F231" s="5">
        <v>12.54</v>
      </c>
      <c r="G231" s="5">
        <v>12.54</v>
      </c>
    </row>
    <row r="232" spans="1:7" ht="28.8" x14ac:dyDescent="0.3">
      <c r="A232" s="23">
        <v>14618</v>
      </c>
      <c r="B232" s="23" t="s">
        <v>1576</v>
      </c>
      <c r="C232" s="24" t="s">
        <v>1453</v>
      </c>
      <c r="D232" s="23" t="s">
        <v>1278</v>
      </c>
      <c r="E232" s="5">
        <f>ROUND(IF(FOLHA="COM DESONERAÇÃO",F232,G232)*icf,2)</f>
        <v>1705.61</v>
      </c>
      <c r="F232" s="5">
        <v>1705.61</v>
      </c>
      <c r="G232" s="5">
        <v>1705.61</v>
      </c>
    </row>
    <row r="233" spans="1:7" x14ac:dyDescent="0.3">
      <c r="A233" s="23" t="s">
        <v>1146</v>
      </c>
      <c r="B233" s="23" t="s">
        <v>1585</v>
      </c>
      <c r="C233" s="24" t="s">
        <v>1454</v>
      </c>
      <c r="D233" s="23" t="s">
        <v>1278</v>
      </c>
      <c r="E233" s="5">
        <f>ROUND(IF(FOLHA="COM DESONERAÇÃO",F233,G233)*icf,2)</f>
        <v>617.95000000000005</v>
      </c>
      <c r="F233" s="5">
        <v>617.95000000000005</v>
      </c>
      <c r="G233" s="5">
        <v>617.95000000000005</v>
      </c>
    </row>
    <row r="234" spans="1:7" x14ac:dyDescent="0.3">
      <c r="A234" s="23" t="s">
        <v>1159</v>
      </c>
      <c r="B234" s="23" t="s">
        <v>1585</v>
      </c>
      <c r="C234" s="24" t="s">
        <v>1455</v>
      </c>
      <c r="D234" s="23" t="s">
        <v>1278</v>
      </c>
      <c r="E234" s="5">
        <f>ROUND(IF(FOLHA="COM DESONERAÇÃO",F234,G234)*icf,2)</f>
        <v>327.8</v>
      </c>
      <c r="F234" s="5">
        <v>327.8</v>
      </c>
      <c r="G234" s="5">
        <v>327.8</v>
      </c>
    </row>
    <row r="235" spans="1:7" x14ac:dyDescent="0.3">
      <c r="A235" s="23" t="s">
        <v>1142</v>
      </c>
      <c r="B235" s="23" t="s">
        <v>1585</v>
      </c>
      <c r="C235" s="24" t="s">
        <v>1456</v>
      </c>
      <c r="D235" s="23" t="s">
        <v>1278</v>
      </c>
      <c r="E235" s="5">
        <f>ROUND(IF(FOLHA="COM DESONERAÇÃO",F235,G235)*icf,2)</f>
        <v>29.9</v>
      </c>
      <c r="F235" s="5">
        <v>29.9</v>
      </c>
      <c r="G235" s="5">
        <v>29.9</v>
      </c>
    </row>
    <row r="236" spans="1:7" x14ac:dyDescent="0.3">
      <c r="A236" s="23" t="s">
        <v>1066</v>
      </c>
      <c r="B236" s="23" t="s">
        <v>1630</v>
      </c>
      <c r="C236" s="24" t="s">
        <v>1561</v>
      </c>
      <c r="D236" s="23" t="s">
        <v>1503</v>
      </c>
      <c r="E236" s="5">
        <f>IF(FOLHA="COM DESONERAÇÃO",F236,G236)</f>
        <v>20.260000000000002</v>
      </c>
      <c r="F236" s="5">
        <v>18.46</v>
      </c>
      <c r="G236" s="5">
        <v>20.260000000000002</v>
      </c>
    </row>
    <row r="237" spans="1:7" x14ac:dyDescent="0.3">
      <c r="A237" s="23">
        <v>6111</v>
      </c>
      <c r="B237" s="23" t="s">
        <v>1576</v>
      </c>
      <c r="C237" s="24" t="s">
        <v>1562</v>
      </c>
      <c r="D237" s="23" t="s">
        <v>1503</v>
      </c>
      <c r="E237" s="5">
        <f>IF(FOLHA="COM DESONERAÇÃO",F237,G237)</f>
        <v>14.86</v>
      </c>
      <c r="F237" s="5">
        <v>13.28</v>
      </c>
      <c r="G237" s="5">
        <v>14.86</v>
      </c>
    </row>
    <row r="238" spans="1:7" x14ac:dyDescent="0.3">
      <c r="A238" s="23">
        <v>20083</v>
      </c>
      <c r="B238" s="23" t="s">
        <v>1576</v>
      </c>
      <c r="C238" s="24" t="s">
        <v>1457</v>
      </c>
      <c r="D238" s="23" t="s">
        <v>1278</v>
      </c>
      <c r="E238" s="5">
        <f t="shared" ref="E238:E254" si="11">ROUND(IF(FOLHA="COM DESONERAÇÃO",F238,G238)*icf,2)</f>
        <v>79.760000000000005</v>
      </c>
      <c r="F238" s="5">
        <v>79.760000000000005</v>
      </c>
      <c r="G238" s="5">
        <v>79.760000000000005</v>
      </c>
    </row>
    <row r="239" spans="1:7" x14ac:dyDescent="0.3">
      <c r="A239" s="23">
        <v>12295</v>
      </c>
      <c r="B239" s="23" t="s">
        <v>1576</v>
      </c>
      <c r="C239" s="24" t="s">
        <v>1458</v>
      </c>
      <c r="D239" s="23" t="s">
        <v>1278</v>
      </c>
      <c r="E239" s="5">
        <f t="shared" si="11"/>
        <v>2.2999999999999998</v>
      </c>
      <c r="F239" s="5">
        <v>2.2999999999999998</v>
      </c>
      <c r="G239" s="5">
        <v>2.2999999999999998</v>
      </c>
    </row>
    <row r="240" spans="1:7" x14ac:dyDescent="0.3">
      <c r="A240" s="23" t="s">
        <v>1070</v>
      </c>
      <c r="B240" s="23" t="s">
        <v>1630</v>
      </c>
      <c r="C240" s="24" t="s">
        <v>1459</v>
      </c>
      <c r="D240" s="23" t="s">
        <v>1280</v>
      </c>
      <c r="E240" s="5">
        <f t="shared" si="11"/>
        <v>1.47</v>
      </c>
      <c r="F240" s="5">
        <v>1.47</v>
      </c>
      <c r="G240" s="5">
        <v>1.47</v>
      </c>
    </row>
    <row r="241" spans="1:7" ht="28.8" x14ac:dyDescent="0.3">
      <c r="A241" s="23">
        <v>38099</v>
      </c>
      <c r="B241" s="23" t="s">
        <v>1576</v>
      </c>
      <c r="C241" s="24" t="s">
        <v>1460</v>
      </c>
      <c r="D241" s="23" t="s">
        <v>1278</v>
      </c>
      <c r="E241" s="5">
        <f t="shared" si="11"/>
        <v>1.79</v>
      </c>
      <c r="F241" s="5">
        <v>1.79</v>
      </c>
      <c r="G241" s="5">
        <v>1.79</v>
      </c>
    </row>
    <row r="242" spans="1:7" x14ac:dyDescent="0.3">
      <c r="A242" s="23">
        <v>10567</v>
      </c>
      <c r="B242" s="23" t="s">
        <v>1576</v>
      </c>
      <c r="C242" s="24" t="s">
        <v>1461</v>
      </c>
      <c r="D242" s="23" t="s">
        <v>1296</v>
      </c>
      <c r="E242" s="5">
        <f t="shared" si="11"/>
        <v>11.36</v>
      </c>
      <c r="F242" s="5">
        <v>11.36</v>
      </c>
      <c r="G242" s="5">
        <v>11.36</v>
      </c>
    </row>
    <row r="243" spans="1:7" x14ac:dyDescent="0.3">
      <c r="A243" s="23" t="s">
        <v>1130</v>
      </c>
      <c r="B243" s="23" t="s">
        <v>1630</v>
      </c>
      <c r="C243" s="24" t="s">
        <v>1462</v>
      </c>
      <c r="D243" s="23" t="s">
        <v>1296</v>
      </c>
      <c r="E243" s="5">
        <f t="shared" si="11"/>
        <v>12.77</v>
      </c>
      <c r="F243" s="5">
        <v>12.77</v>
      </c>
      <c r="G243" s="5">
        <v>12.77</v>
      </c>
    </row>
    <row r="244" spans="1:7" ht="28.8" x14ac:dyDescent="0.3">
      <c r="A244" s="23">
        <v>6193</v>
      </c>
      <c r="B244" s="23" t="s">
        <v>1576</v>
      </c>
      <c r="C244" s="24" t="s">
        <v>1463</v>
      </c>
      <c r="D244" s="23" t="s">
        <v>1296</v>
      </c>
      <c r="E244" s="5">
        <f t="shared" si="11"/>
        <v>14.13</v>
      </c>
      <c r="F244" s="5">
        <v>14.13</v>
      </c>
      <c r="G244" s="5">
        <v>14.13</v>
      </c>
    </row>
    <row r="245" spans="1:7" ht="28.8" x14ac:dyDescent="0.3">
      <c r="A245" s="23">
        <v>6189</v>
      </c>
      <c r="B245" s="23" t="s">
        <v>1576</v>
      </c>
      <c r="C245" s="24" t="s">
        <v>1464</v>
      </c>
      <c r="D245" s="23" t="s">
        <v>1296</v>
      </c>
      <c r="E245" s="5">
        <f t="shared" si="11"/>
        <v>20.62</v>
      </c>
      <c r="F245" s="5">
        <v>20.62</v>
      </c>
      <c r="G245" s="5">
        <v>20.62</v>
      </c>
    </row>
    <row r="246" spans="1:7" x14ac:dyDescent="0.3">
      <c r="A246" s="23" t="s">
        <v>1108</v>
      </c>
      <c r="B246" s="23" t="s">
        <v>1585</v>
      </c>
      <c r="C246" s="24" t="s">
        <v>1465</v>
      </c>
      <c r="D246" s="23" t="s">
        <v>1278</v>
      </c>
      <c r="E246" s="5">
        <f t="shared" si="11"/>
        <v>18.579999999999998</v>
      </c>
      <c r="F246" s="5">
        <v>18.579999999999998</v>
      </c>
      <c r="G246" s="5">
        <v>18.579999999999998</v>
      </c>
    </row>
    <row r="247" spans="1:7" x14ac:dyDescent="0.3">
      <c r="A247" s="23" t="s">
        <v>1045</v>
      </c>
      <c r="B247" s="23" t="s">
        <v>1585</v>
      </c>
      <c r="C247" s="24" t="s">
        <v>1466</v>
      </c>
      <c r="D247" s="23" t="s">
        <v>1278</v>
      </c>
      <c r="E247" s="5">
        <f t="shared" si="11"/>
        <v>107.28</v>
      </c>
      <c r="F247" s="5">
        <v>107.28</v>
      </c>
      <c r="G247" s="5">
        <v>107.28</v>
      </c>
    </row>
    <row r="248" spans="1:7" x14ac:dyDescent="0.3">
      <c r="A248" s="23">
        <v>6297</v>
      </c>
      <c r="B248" s="23" t="s">
        <v>1576</v>
      </c>
      <c r="C248" s="24" t="s">
        <v>1467</v>
      </c>
      <c r="D248" s="23" t="s">
        <v>1278</v>
      </c>
      <c r="E248" s="5">
        <f t="shared" si="11"/>
        <v>35.909999999999997</v>
      </c>
      <c r="F248" s="5">
        <v>35.909999999999997</v>
      </c>
      <c r="G248" s="5">
        <v>35.909999999999997</v>
      </c>
    </row>
    <row r="249" spans="1:7" x14ac:dyDescent="0.3">
      <c r="A249" s="23">
        <v>6323</v>
      </c>
      <c r="B249" s="23" t="s">
        <v>1576</v>
      </c>
      <c r="C249" s="24" t="s">
        <v>1468</v>
      </c>
      <c r="D249" s="23" t="s">
        <v>1278</v>
      </c>
      <c r="E249" s="5">
        <f t="shared" si="11"/>
        <v>18.52</v>
      </c>
      <c r="F249" s="5">
        <v>18.52</v>
      </c>
      <c r="G249" s="5">
        <v>18.52</v>
      </c>
    </row>
    <row r="250" spans="1:7" x14ac:dyDescent="0.3">
      <c r="A250" s="23">
        <v>7140</v>
      </c>
      <c r="B250" s="23" t="s">
        <v>1576</v>
      </c>
      <c r="C250" s="24" t="s">
        <v>1469</v>
      </c>
      <c r="D250" s="23" t="s">
        <v>1278</v>
      </c>
      <c r="E250" s="5">
        <f t="shared" si="11"/>
        <v>3.77</v>
      </c>
      <c r="F250" s="5">
        <v>3.77</v>
      </c>
      <c r="G250" s="5">
        <v>3.77</v>
      </c>
    </row>
    <row r="251" spans="1:7" ht="28.8" x14ac:dyDescent="0.3">
      <c r="A251" s="23">
        <v>34547</v>
      </c>
      <c r="B251" s="23" t="s">
        <v>1576</v>
      </c>
      <c r="C251" s="24" t="s">
        <v>1470</v>
      </c>
      <c r="D251" s="23" t="s">
        <v>1296</v>
      </c>
      <c r="E251" s="5">
        <f t="shared" si="11"/>
        <v>3.66</v>
      </c>
      <c r="F251" s="5">
        <v>3.66</v>
      </c>
      <c r="G251" s="5">
        <v>3.66</v>
      </c>
    </row>
    <row r="252" spans="1:7" ht="28.8" x14ac:dyDescent="0.3">
      <c r="A252" s="23">
        <v>34557</v>
      </c>
      <c r="B252" s="23" t="s">
        <v>1576</v>
      </c>
      <c r="C252" s="24" t="s">
        <v>1471</v>
      </c>
      <c r="D252" s="23" t="s">
        <v>1296</v>
      </c>
      <c r="E252" s="5">
        <f t="shared" si="11"/>
        <v>2.3199999999999998</v>
      </c>
      <c r="F252" s="5">
        <v>2.3199999999999998</v>
      </c>
      <c r="G252" s="5">
        <v>2.3199999999999998</v>
      </c>
    </row>
    <row r="253" spans="1:7" ht="28.8" x14ac:dyDescent="0.3">
      <c r="A253" s="23">
        <v>7156</v>
      </c>
      <c r="B253" s="23" t="s">
        <v>1576</v>
      </c>
      <c r="C253" s="24" t="s">
        <v>1472</v>
      </c>
      <c r="D253" s="23" t="s">
        <v>1334</v>
      </c>
      <c r="E253" s="5">
        <f t="shared" si="11"/>
        <v>26.18</v>
      </c>
      <c r="F253" s="5">
        <v>26.18</v>
      </c>
      <c r="G253" s="5">
        <v>26.18</v>
      </c>
    </row>
    <row r="254" spans="1:7" ht="43.2" x14ac:dyDescent="0.3">
      <c r="A254" s="23">
        <v>7173</v>
      </c>
      <c r="B254" s="23" t="s">
        <v>1576</v>
      </c>
      <c r="C254" s="24" t="s">
        <v>1473</v>
      </c>
      <c r="D254" s="23" t="s">
        <v>1474</v>
      </c>
      <c r="E254" s="5">
        <f t="shared" si="11"/>
        <v>925</v>
      </c>
      <c r="F254" s="5">
        <v>925</v>
      </c>
      <c r="G254" s="5">
        <v>925</v>
      </c>
    </row>
    <row r="255" spans="1:7" x14ac:dyDescent="0.3">
      <c r="A255" s="23">
        <v>12869</v>
      </c>
      <c r="B255" s="23" t="s">
        <v>1576</v>
      </c>
      <c r="C255" s="24" t="s">
        <v>1563</v>
      </c>
      <c r="D255" s="23" t="s">
        <v>1503</v>
      </c>
      <c r="E255" s="5">
        <f>IF(FOLHA="COM DESONERAÇÃO",F255,G255)</f>
        <v>20.07</v>
      </c>
      <c r="F255" s="5">
        <v>17.940000000000001</v>
      </c>
      <c r="G255" s="5">
        <v>20.07</v>
      </c>
    </row>
    <row r="256" spans="1:7" ht="28.8" x14ac:dyDescent="0.3">
      <c r="A256" s="23">
        <v>1575</v>
      </c>
      <c r="B256" s="23" t="s">
        <v>1576</v>
      </c>
      <c r="C256" s="24" t="s">
        <v>1475</v>
      </c>
      <c r="D256" s="23" t="s">
        <v>1278</v>
      </c>
      <c r="E256" s="5">
        <f t="shared" ref="E256:E264" si="12">ROUND(IF(FOLHA="COM DESONERAÇÃO",F256,G256)*icf,2)</f>
        <v>2.54</v>
      </c>
      <c r="F256" s="5">
        <v>2.54</v>
      </c>
      <c r="G256" s="5">
        <v>2.54</v>
      </c>
    </row>
    <row r="257" spans="1:7" ht="28.8" x14ac:dyDescent="0.3">
      <c r="A257" s="23">
        <v>1570</v>
      </c>
      <c r="B257" s="23" t="s">
        <v>1576</v>
      </c>
      <c r="C257" s="24" t="s">
        <v>1476</v>
      </c>
      <c r="D257" s="23" t="s">
        <v>1278</v>
      </c>
      <c r="E257" s="5">
        <f t="shared" si="12"/>
        <v>1.28</v>
      </c>
      <c r="F257" s="5">
        <v>1.28</v>
      </c>
      <c r="G257" s="5">
        <v>1.28</v>
      </c>
    </row>
    <row r="258" spans="1:7" ht="28.8" x14ac:dyDescent="0.3">
      <c r="A258" s="23">
        <v>1571</v>
      </c>
      <c r="B258" s="23" t="s">
        <v>1576</v>
      </c>
      <c r="C258" s="24" t="s">
        <v>1477</v>
      </c>
      <c r="D258" s="23" t="s">
        <v>1278</v>
      </c>
      <c r="E258" s="5">
        <f t="shared" si="12"/>
        <v>1.66</v>
      </c>
      <c r="F258" s="5">
        <v>1.66</v>
      </c>
      <c r="G258" s="5">
        <v>1.66</v>
      </c>
    </row>
    <row r="259" spans="1:7" x14ac:dyDescent="0.3">
      <c r="A259" s="23">
        <v>43776</v>
      </c>
      <c r="B259" s="23" t="s">
        <v>1576</v>
      </c>
      <c r="C259" s="24" t="s">
        <v>1478</v>
      </c>
      <c r="D259" s="23" t="s">
        <v>1178</v>
      </c>
      <c r="E259" s="5">
        <f t="shared" si="12"/>
        <v>26.79</v>
      </c>
      <c r="F259" s="5">
        <v>26.79</v>
      </c>
      <c r="G259" s="5">
        <v>26.79</v>
      </c>
    </row>
    <row r="260" spans="1:7" x14ac:dyDescent="0.3">
      <c r="A260" s="23">
        <v>7311</v>
      </c>
      <c r="B260" s="23" t="s">
        <v>1576</v>
      </c>
      <c r="C260" s="24" t="s">
        <v>1479</v>
      </c>
      <c r="D260" s="23" t="s">
        <v>1178</v>
      </c>
      <c r="E260" s="5">
        <f t="shared" si="12"/>
        <v>39.74</v>
      </c>
      <c r="F260" s="5">
        <v>39.74</v>
      </c>
      <c r="G260" s="5">
        <v>39.74</v>
      </c>
    </row>
    <row r="261" spans="1:7" x14ac:dyDescent="0.3">
      <c r="A261" s="23">
        <v>7356</v>
      </c>
      <c r="B261" s="23" t="s">
        <v>1576</v>
      </c>
      <c r="C261" s="24" t="s">
        <v>1480</v>
      </c>
      <c r="D261" s="23" t="s">
        <v>1178</v>
      </c>
      <c r="E261" s="5">
        <f t="shared" si="12"/>
        <v>28.97</v>
      </c>
      <c r="F261" s="5">
        <v>28.97</v>
      </c>
      <c r="G261" s="5">
        <v>28.97</v>
      </c>
    </row>
    <row r="262" spans="1:7" x14ac:dyDescent="0.3">
      <c r="A262" s="23">
        <v>38101</v>
      </c>
      <c r="B262" s="23" t="s">
        <v>1576</v>
      </c>
      <c r="C262" s="24" t="s">
        <v>1481</v>
      </c>
      <c r="D262" s="23" t="s">
        <v>1278</v>
      </c>
      <c r="E262" s="5">
        <f t="shared" si="12"/>
        <v>9.2799999999999994</v>
      </c>
      <c r="F262" s="5">
        <v>9.2799999999999994</v>
      </c>
      <c r="G262" s="5">
        <v>9.2799999999999994</v>
      </c>
    </row>
    <row r="263" spans="1:7" ht="28.8" x14ac:dyDescent="0.3">
      <c r="A263" s="23">
        <v>13415</v>
      </c>
      <c r="B263" s="23" t="s">
        <v>1576</v>
      </c>
      <c r="C263" s="24" t="s">
        <v>1482</v>
      </c>
      <c r="D263" s="23" t="s">
        <v>1278</v>
      </c>
      <c r="E263" s="5">
        <f t="shared" si="12"/>
        <v>77.95</v>
      </c>
      <c r="F263" s="5">
        <v>77.95</v>
      </c>
      <c r="G263" s="5">
        <v>77.95</v>
      </c>
    </row>
    <row r="264" spans="1:7" x14ac:dyDescent="0.3">
      <c r="A264" s="23" t="s">
        <v>1149</v>
      </c>
      <c r="B264" s="23" t="s">
        <v>1585</v>
      </c>
      <c r="C264" s="24" t="s">
        <v>1483</v>
      </c>
      <c r="D264" s="23" t="s">
        <v>1278</v>
      </c>
      <c r="E264" s="5">
        <f t="shared" si="12"/>
        <v>39</v>
      </c>
      <c r="F264" s="5">
        <v>39</v>
      </c>
      <c r="G264" s="5">
        <v>39</v>
      </c>
    </row>
    <row r="265" spans="1:7" x14ac:dyDescent="0.3">
      <c r="A265" s="23">
        <v>37371</v>
      </c>
      <c r="B265" s="23" t="s">
        <v>1576</v>
      </c>
      <c r="C265" s="24" t="s">
        <v>1564</v>
      </c>
      <c r="D265" s="23" t="s">
        <v>1503</v>
      </c>
      <c r="E265" s="5">
        <f>IF(FOLHA="COM DESONERAÇÃO",F265,G265)</f>
        <v>0.56999999999999995</v>
      </c>
      <c r="F265" s="5">
        <v>0.56999999999999995</v>
      </c>
      <c r="G265" s="5">
        <v>0.56999999999999995</v>
      </c>
    </row>
    <row r="266" spans="1:7" x14ac:dyDescent="0.3">
      <c r="A266" s="23" t="s">
        <v>1033</v>
      </c>
      <c r="B266" s="23" t="s">
        <v>1585</v>
      </c>
      <c r="C266" s="24" t="s">
        <v>1484</v>
      </c>
      <c r="D266" s="23" t="s">
        <v>1485</v>
      </c>
      <c r="E266" s="5">
        <f t="shared" ref="E266:E276" si="13">ROUND(IF(FOLHA="COM DESONERAÇÃO",F266,G266)*icf,2)</f>
        <v>5.5</v>
      </c>
      <c r="F266" s="5">
        <v>5.5</v>
      </c>
      <c r="G266" s="5">
        <v>5.5</v>
      </c>
    </row>
    <row r="267" spans="1:7" ht="28.8" x14ac:dyDescent="0.3">
      <c r="A267" s="23">
        <v>21010</v>
      </c>
      <c r="B267" s="23" t="s">
        <v>1576</v>
      </c>
      <c r="C267" s="24" t="s">
        <v>1486</v>
      </c>
      <c r="D267" s="23" t="s">
        <v>1296</v>
      </c>
      <c r="E267" s="5">
        <f t="shared" si="13"/>
        <v>31.97</v>
      </c>
      <c r="F267" s="5">
        <v>31.97</v>
      </c>
      <c r="G267" s="5">
        <v>31.97</v>
      </c>
    </row>
    <row r="268" spans="1:7" ht="28.8" x14ac:dyDescent="0.3">
      <c r="A268" s="23">
        <v>21012</v>
      </c>
      <c r="B268" s="23" t="s">
        <v>1576</v>
      </c>
      <c r="C268" s="24" t="s">
        <v>1487</v>
      </c>
      <c r="D268" s="23" t="s">
        <v>1296</v>
      </c>
      <c r="E268" s="5">
        <f t="shared" si="13"/>
        <v>51.49</v>
      </c>
      <c r="F268" s="5">
        <v>51.49</v>
      </c>
      <c r="G268" s="5">
        <v>51.49</v>
      </c>
    </row>
    <row r="269" spans="1:7" ht="28.8" x14ac:dyDescent="0.3">
      <c r="A269" s="23">
        <v>9854</v>
      </c>
      <c r="B269" s="23" t="s">
        <v>1576</v>
      </c>
      <c r="C269" s="24" t="s">
        <v>1488</v>
      </c>
      <c r="D269" s="23" t="s">
        <v>1296</v>
      </c>
      <c r="E269" s="5">
        <f t="shared" si="13"/>
        <v>115.12</v>
      </c>
      <c r="F269" s="5">
        <v>115.12</v>
      </c>
      <c r="G269" s="5">
        <v>115.12</v>
      </c>
    </row>
    <row r="270" spans="1:7" x14ac:dyDescent="0.3">
      <c r="A270" s="23">
        <v>36084</v>
      </c>
      <c r="B270" s="23" t="s">
        <v>1576</v>
      </c>
      <c r="C270" s="24" t="s">
        <v>1489</v>
      </c>
      <c r="D270" s="23" t="s">
        <v>1296</v>
      </c>
      <c r="E270" s="5">
        <f t="shared" si="13"/>
        <v>23.34</v>
      </c>
      <c r="F270" s="5">
        <v>23.34</v>
      </c>
      <c r="G270" s="5">
        <v>23.34</v>
      </c>
    </row>
    <row r="271" spans="1:7" x14ac:dyDescent="0.3">
      <c r="A271" s="23">
        <v>9862</v>
      </c>
      <c r="B271" s="23" t="s">
        <v>1576</v>
      </c>
      <c r="C271" s="24" t="s">
        <v>1490</v>
      </c>
      <c r="D271" s="23" t="s">
        <v>1296</v>
      </c>
      <c r="E271" s="5">
        <f t="shared" si="13"/>
        <v>31.31</v>
      </c>
      <c r="F271" s="5">
        <v>31.31</v>
      </c>
      <c r="G271" s="5">
        <v>31.31</v>
      </c>
    </row>
    <row r="272" spans="1:7" x14ac:dyDescent="0.3">
      <c r="A272" s="23">
        <v>9869</v>
      </c>
      <c r="B272" s="23" t="s">
        <v>1576</v>
      </c>
      <c r="C272" s="24" t="s">
        <v>1491</v>
      </c>
      <c r="D272" s="23" t="s">
        <v>1296</v>
      </c>
      <c r="E272" s="5">
        <f t="shared" si="13"/>
        <v>8.9499999999999993</v>
      </c>
      <c r="F272" s="5">
        <v>8.9499999999999993</v>
      </c>
      <c r="G272" s="5">
        <v>8.9499999999999993</v>
      </c>
    </row>
    <row r="273" spans="1:7" x14ac:dyDescent="0.3">
      <c r="A273" s="23">
        <v>12424</v>
      </c>
      <c r="B273" s="23" t="s">
        <v>1576</v>
      </c>
      <c r="C273" s="24" t="s">
        <v>1492</v>
      </c>
      <c r="D273" s="23" t="s">
        <v>1278</v>
      </c>
      <c r="E273" s="5">
        <f t="shared" si="13"/>
        <v>82.38</v>
      </c>
      <c r="F273" s="5">
        <v>82.38</v>
      </c>
      <c r="G273" s="5">
        <v>82.38</v>
      </c>
    </row>
    <row r="274" spans="1:7" x14ac:dyDescent="0.3">
      <c r="A274" s="23" t="s">
        <v>1107</v>
      </c>
      <c r="B274" s="23" t="s">
        <v>1585</v>
      </c>
      <c r="C274" s="24" t="s">
        <v>1493</v>
      </c>
      <c r="D274" s="23" t="s">
        <v>1278</v>
      </c>
      <c r="E274" s="5">
        <f t="shared" si="13"/>
        <v>4.5</v>
      </c>
      <c r="F274" s="5">
        <v>4.5</v>
      </c>
      <c r="G274" s="5">
        <v>4.5</v>
      </c>
    </row>
    <row r="275" spans="1:7" ht="28.8" x14ac:dyDescent="0.3">
      <c r="A275" s="23">
        <v>10409</v>
      </c>
      <c r="B275" s="23" t="s">
        <v>1576</v>
      </c>
      <c r="C275" s="24" t="s">
        <v>1494</v>
      </c>
      <c r="D275" s="23" t="s">
        <v>1278</v>
      </c>
      <c r="E275" s="5">
        <f t="shared" si="13"/>
        <v>298.89999999999998</v>
      </c>
      <c r="F275" s="5">
        <v>298.89999999999998</v>
      </c>
      <c r="G275" s="5">
        <v>298.89999999999998</v>
      </c>
    </row>
    <row r="276" spans="1:7" x14ac:dyDescent="0.3">
      <c r="A276" s="23">
        <v>39996</v>
      </c>
      <c r="B276" s="23" t="s">
        <v>1576</v>
      </c>
      <c r="C276" s="24" t="s">
        <v>1495</v>
      </c>
      <c r="D276" s="23" t="s">
        <v>1296</v>
      </c>
      <c r="E276" s="5">
        <f t="shared" si="13"/>
        <v>3.62</v>
      </c>
      <c r="F276" s="5">
        <v>3.62</v>
      </c>
      <c r="G276" s="5">
        <v>3.62</v>
      </c>
    </row>
    <row r="277" spans="1:7" x14ac:dyDescent="0.3">
      <c r="A277" s="23" t="s">
        <v>1026</v>
      </c>
      <c r="B277" s="23" t="s">
        <v>1585</v>
      </c>
      <c r="C277" s="24" t="s">
        <v>1565</v>
      </c>
      <c r="D277" s="23" t="s">
        <v>1503</v>
      </c>
      <c r="E277" s="5">
        <f>IF(FOLHA="COM DESONERAÇÃO",F277,G277)</f>
        <v>10.56</v>
      </c>
      <c r="F277" s="5">
        <v>10.56</v>
      </c>
      <c r="G277" s="5">
        <v>10.56</v>
      </c>
    </row>
    <row r="278" spans="1:7" ht="28.8" x14ac:dyDescent="0.3">
      <c r="A278" s="23">
        <v>13896</v>
      </c>
      <c r="B278" s="23" t="s">
        <v>1576</v>
      </c>
      <c r="C278" s="24" t="s">
        <v>1496</v>
      </c>
      <c r="D278" s="23" t="s">
        <v>1278</v>
      </c>
      <c r="E278" s="5">
        <f>ROUND(IF(FOLHA="COM DESONERAÇÃO",F278,G278)*icf,2)</f>
        <v>3120.96</v>
      </c>
      <c r="F278" s="5">
        <v>3120.96</v>
      </c>
      <c r="G278" s="5">
        <v>3120.96</v>
      </c>
    </row>
    <row r="279" spans="1:7" ht="28.8" x14ac:dyDescent="0.3">
      <c r="A279" s="23">
        <v>4425</v>
      </c>
      <c r="B279" s="23" t="s">
        <v>1576</v>
      </c>
      <c r="C279" s="24" t="s">
        <v>1497</v>
      </c>
      <c r="D279" s="23" t="s">
        <v>1296</v>
      </c>
      <c r="E279" s="5">
        <f>ROUND(IF(FOLHA="COM DESONERAÇÃO",F279,G279)*icf,2)</f>
        <v>21.15</v>
      </c>
      <c r="F279" s="5">
        <v>21.15</v>
      </c>
      <c r="G279" s="5">
        <v>21.15</v>
      </c>
    </row>
    <row r="280" spans="1:7" x14ac:dyDescent="0.3">
      <c r="A280" s="23" t="s">
        <v>1106</v>
      </c>
      <c r="B280" s="23" t="s">
        <v>1585</v>
      </c>
      <c r="C280" s="24" t="s">
        <v>1498</v>
      </c>
      <c r="D280" s="23" t="s">
        <v>1499</v>
      </c>
      <c r="E280" s="5">
        <f>ROUND(IF(FOLHA="COM DESONERAÇÃO",F280,G280)*icf,2)</f>
        <v>7</v>
      </c>
      <c r="F280" s="5">
        <v>7</v>
      </c>
      <c r="G280" s="5">
        <v>7</v>
      </c>
    </row>
  </sheetData>
  <mergeCells count="3">
    <mergeCell ref="A1:G1"/>
    <mergeCell ref="A2:G2"/>
    <mergeCell ref="A3:G3"/>
  </mergeCells>
  <pageMargins left="0.78740157480314965" right="0.39370078740157483" top="1.1811023622047243" bottom="0.78740157480314965" header="0.31496062992125984" footer="0.31496062992125984"/>
  <pageSetup paperSize="9" fitToHeight="0"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7EB591-5ECA-4D23-B21C-6DD2F66F5F25}">
  <sheetPr>
    <pageSetUpPr fitToPage="1"/>
  </sheetPr>
  <dimension ref="A1:M120"/>
  <sheetViews>
    <sheetView showGridLines="0" zoomScale="70" zoomScaleNormal="70" workbookViewId="0">
      <selection sqref="A1:M1"/>
    </sheetView>
  </sheetViews>
  <sheetFormatPr defaultRowHeight="14.4" x14ac:dyDescent="0.3"/>
  <cols>
    <col min="1" max="1" width="12" bestFit="1" customWidth="1"/>
    <col min="2" max="2" width="58.33203125" bestFit="1" customWidth="1"/>
    <col min="3" max="14" width="15.77734375" bestFit="1" customWidth="1"/>
  </cols>
  <sheetData>
    <row r="1" spans="1:13" x14ac:dyDescent="0.3">
      <c r="A1" s="33" t="str">
        <f>CIDADE</f>
        <v>MUNICÍPIO DE LAGOA DO PIAUI - PI</v>
      </c>
      <c r="B1" s="33"/>
      <c r="C1" s="33"/>
      <c r="D1" s="33"/>
      <c r="E1" s="33"/>
      <c r="F1" s="33"/>
      <c r="G1" s="33"/>
      <c r="H1" s="33"/>
      <c r="I1" s="33"/>
      <c r="J1" s="33"/>
      <c r="K1" s="33"/>
      <c r="L1" s="33"/>
      <c r="M1" s="33"/>
    </row>
    <row r="2" spans="1:13" x14ac:dyDescent="0.3">
      <c r="A2" s="33" t="str">
        <f>OBRA</f>
        <v>IMPLANTAÇÃO DE 5 (CINCO) SISTEMAS SIMPLIFICADOS DE ABASTECIMENTO DE ÁGUA ZONA RURAL DO MUNICÍPIO DE LAGOA DO PIAUÍ-PI</v>
      </c>
      <c r="B2" s="33"/>
      <c r="C2" s="33"/>
      <c r="D2" s="33"/>
      <c r="E2" s="33"/>
      <c r="F2" s="33"/>
      <c r="G2" s="33"/>
      <c r="H2" s="33"/>
      <c r="I2" s="33"/>
      <c r="J2" s="33"/>
      <c r="K2" s="33"/>
      <c r="L2" s="33"/>
      <c r="M2" s="33"/>
    </row>
    <row r="3" spans="1:13" x14ac:dyDescent="0.3">
      <c r="A3" s="33" t="s">
        <v>129</v>
      </c>
      <c r="B3" s="33"/>
      <c r="C3" s="33"/>
      <c r="D3" s="33"/>
      <c r="E3" s="33"/>
      <c r="F3" s="33"/>
      <c r="G3" s="33"/>
      <c r="H3" s="33"/>
      <c r="I3" s="33"/>
      <c r="J3" s="33"/>
      <c r="K3" s="33"/>
      <c r="L3" s="33"/>
      <c r="M3" s="33"/>
    </row>
    <row r="5" spans="1:13" x14ac:dyDescent="0.3">
      <c r="A5" s="1" t="s">
        <v>3</v>
      </c>
      <c r="B5" s="7" t="str">
        <f>FONTE&amp;FOLHA</f>
        <v>SINAPI PI 06/2025, SEINFRA CE 28, ORSE SE 05/2025, SEM DESONERAÇÃO</v>
      </c>
      <c r="C5" s="3"/>
      <c r="D5" s="3"/>
      <c r="E5" s="3"/>
      <c r="F5" s="3"/>
      <c r="G5" s="3"/>
      <c r="H5" s="3"/>
      <c r="I5" s="3"/>
      <c r="J5" s="1" t="s">
        <v>10</v>
      </c>
      <c r="K5" s="8">
        <f>LEI</f>
        <v>113.33</v>
      </c>
      <c r="L5" s="1" t="s">
        <v>19</v>
      </c>
      <c r="M5" s="8">
        <f>BDI</f>
        <v>24.84</v>
      </c>
    </row>
    <row r="6" spans="1:13" x14ac:dyDescent="0.3">
      <c r="A6" s="55" t="s">
        <v>20</v>
      </c>
      <c r="B6" s="55" t="s">
        <v>21</v>
      </c>
      <c r="C6" s="55" t="s">
        <v>15</v>
      </c>
      <c r="D6" s="55" t="s">
        <v>22</v>
      </c>
      <c r="E6" s="61" t="s">
        <v>130</v>
      </c>
      <c r="F6" s="62"/>
      <c r="G6" s="61" t="s">
        <v>131</v>
      </c>
      <c r="H6" s="62"/>
      <c r="I6" s="61" t="s">
        <v>132</v>
      </c>
      <c r="J6" s="62"/>
      <c r="K6" s="55" t="s">
        <v>15</v>
      </c>
      <c r="L6" s="34" t="s">
        <v>22</v>
      </c>
      <c r="M6" s="35"/>
    </row>
    <row r="7" spans="1:13" x14ac:dyDescent="0.3">
      <c r="A7" s="56"/>
      <c r="B7" s="56"/>
      <c r="C7" s="56"/>
      <c r="D7" s="56"/>
      <c r="E7" s="63"/>
      <c r="F7" s="64"/>
      <c r="G7" s="63"/>
      <c r="H7" s="64"/>
      <c r="I7" s="63"/>
      <c r="J7" s="64"/>
      <c r="K7" s="56"/>
      <c r="L7" s="4" t="s">
        <v>133</v>
      </c>
      <c r="M7" s="4" t="s">
        <v>134</v>
      </c>
    </row>
    <row r="8" spans="1:13" x14ac:dyDescent="0.3">
      <c r="A8" s="9">
        <v>1</v>
      </c>
      <c r="B8" s="20" t="str">
        <f>VLOOKUP(A8,ORCAMENTO!$A:$I,2,FALSE)</f>
        <v>SERVIÇOS PRELIMINARES</v>
      </c>
      <c r="C8" s="10">
        <f>VLOOKUP(A8,ORCAMENTO!$A:$I,9,FALSE)</f>
        <v>45878.19</v>
      </c>
      <c r="D8" s="11">
        <f t="shared" ref="D8:D39" si="0">C8/$C$119</f>
        <v>6.3035147506896594E-2</v>
      </c>
      <c r="E8" s="10">
        <f>VLOOKUP(A8,CO!$A:$R,10,FALSE)</f>
        <v>19273</v>
      </c>
      <c r="F8" s="11">
        <f t="shared" ref="F8:F39" si="1">E8/C8</f>
        <v>0.42009067925303939</v>
      </c>
      <c r="G8" s="10">
        <f>VLOOKUP(A8,CO!$A:$R,13,FALSE)</f>
        <v>17736.79</v>
      </c>
      <c r="H8" s="11">
        <f t="shared" ref="H8:H39" si="2">G8/C8</f>
        <v>0.38660614117514225</v>
      </c>
      <c r="I8" s="10">
        <f>VLOOKUP(A8,CO!$A:$R,16,FALSE)</f>
        <v>8868.4</v>
      </c>
      <c r="J8" s="11">
        <f t="shared" ref="J8:J39" si="3">I8/C8</f>
        <v>0.19330317957181831</v>
      </c>
      <c r="K8" s="10">
        <f t="shared" ref="K8:K39" si="4">SUM(E8,G8,I8,)</f>
        <v>45878.19</v>
      </c>
      <c r="L8" s="11">
        <f t="shared" ref="L8:L39" si="5">SUM(F8,H8,J8,)</f>
        <v>1</v>
      </c>
      <c r="M8" s="11">
        <f t="shared" ref="M8:M39" si="6">K8/$C$119</f>
        <v>6.3035147506896594E-2</v>
      </c>
    </row>
    <row r="9" spans="1:13" x14ac:dyDescent="0.3">
      <c r="A9" s="9">
        <v>2</v>
      </c>
      <c r="B9" s="20" t="str">
        <f>VLOOKUP(A9,ORCAMENTO!$A:$I,2,FALSE)</f>
        <v>COMUNIDADE SANTA MARIA</v>
      </c>
      <c r="C9" s="10">
        <f>VLOOKUP(A9,ORCAMENTO!$A:$I,9,FALSE)</f>
        <v>136489.88000000003</v>
      </c>
      <c r="D9" s="11">
        <f t="shared" si="0"/>
        <v>0.18753267552618394</v>
      </c>
      <c r="E9" s="10">
        <f>SUM(E$10,E$11,E$12,E$24,E$25,E$29,E$30,)</f>
        <v>136489.88000000003</v>
      </c>
      <c r="F9" s="11">
        <f t="shared" si="1"/>
        <v>1</v>
      </c>
      <c r="G9" s="10">
        <f>SUM(G$10,G$11,G$12,G$24,G$25,G$29,G$30,)</f>
        <v>0</v>
      </c>
      <c r="H9" s="11">
        <f t="shared" si="2"/>
        <v>0</v>
      </c>
      <c r="I9" s="10">
        <f>SUM(I$10,I$11,I$12,I$24,I$25,I$29,I$30,)</f>
        <v>0</v>
      </c>
      <c r="J9" s="11">
        <f t="shared" si="3"/>
        <v>0</v>
      </c>
      <c r="K9" s="10">
        <f t="shared" si="4"/>
        <v>136489.88000000003</v>
      </c>
      <c r="L9" s="11">
        <f t="shared" si="5"/>
        <v>1</v>
      </c>
      <c r="M9" s="11">
        <f t="shared" si="6"/>
        <v>0.18753267552618394</v>
      </c>
    </row>
    <row r="10" spans="1:13" x14ac:dyDescent="0.3">
      <c r="A10" s="12" t="s">
        <v>23</v>
      </c>
      <c r="B10" s="21" t="str">
        <f>VLOOKUP(A10,ORCAMENTO!$A:$I,2,FALSE)</f>
        <v>PERFURAÇÃO DE POÇO TUBULAR</v>
      </c>
      <c r="C10" s="13">
        <f>VLOOKUP(A10,ORCAMENTO!$A:$I,9,FALSE)</f>
        <v>64914.180000000008</v>
      </c>
      <c r="D10" s="14">
        <f t="shared" si="0"/>
        <v>8.918998137435756E-2</v>
      </c>
      <c r="E10" s="13">
        <f>VLOOKUP(A10,CO!$A:$R,10,FALSE)</f>
        <v>64914.180000000008</v>
      </c>
      <c r="F10" s="14">
        <f t="shared" si="1"/>
        <v>1</v>
      </c>
      <c r="G10" s="13">
        <f>VLOOKUP(A10,CO!$A:$R,13,FALSE)</f>
        <v>0</v>
      </c>
      <c r="H10" s="14">
        <f t="shared" si="2"/>
        <v>0</v>
      </c>
      <c r="I10" s="13">
        <f>VLOOKUP(A10,CO!$A:$R,16,FALSE)</f>
        <v>0</v>
      </c>
      <c r="J10" s="14">
        <f t="shared" si="3"/>
        <v>0</v>
      </c>
      <c r="K10" s="13">
        <f t="shared" si="4"/>
        <v>64914.180000000008</v>
      </c>
      <c r="L10" s="14">
        <f t="shared" si="5"/>
        <v>1</v>
      </c>
      <c r="M10" s="14">
        <f t="shared" si="6"/>
        <v>8.918998137435756E-2</v>
      </c>
    </row>
    <row r="11" spans="1:13" ht="43.2" x14ac:dyDescent="0.3">
      <c r="A11" s="12" t="s">
        <v>24</v>
      </c>
      <c r="B11" s="21" t="str">
        <f>VLOOKUP(A11,ORCAMENTO!$A:$I,2,FALSE)</f>
        <v>AQUISIÇÃO E INSTALAÇÃO DE EQUIPAMENTOS DE BOMBEAMENTO, RECALQUE/BARRILETE E CONEXÕES PARA INTERLIGAÇÃO COM RESERVATÓRIO</v>
      </c>
      <c r="C11" s="13">
        <f>VLOOKUP(A11,ORCAMENTO!$A:$I,9,FALSE)</f>
        <v>19625.579999999998</v>
      </c>
      <c r="D11" s="14">
        <f t="shared" si="0"/>
        <v>2.6964911436314281E-2</v>
      </c>
      <c r="E11" s="13">
        <f>VLOOKUP(A11,CO!$A:$R,10,FALSE)</f>
        <v>19625.579999999998</v>
      </c>
      <c r="F11" s="14">
        <f t="shared" si="1"/>
        <v>1</v>
      </c>
      <c r="G11" s="13">
        <f>VLOOKUP(A11,CO!$A:$R,13,FALSE)</f>
        <v>0</v>
      </c>
      <c r="H11" s="14">
        <f t="shared" si="2"/>
        <v>0</v>
      </c>
      <c r="I11" s="13">
        <f>VLOOKUP(A11,CO!$A:$R,16,FALSE)</f>
        <v>0</v>
      </c>
      <c r="J11" s="14">
        <f t="shared" si="3"/>
        <v>0</v>
      </c>
      <c r="K11" s="13">
        <f t="shared" si="4"/>
        <v>19625.579999999998</v>
      </c>
      <c r="L11" s="14">
        <f t="shared" si="5"/>
        <v>1</v>
      </c>
      <c r="M11" s="14">
        <f t="shared" si="6"/>
        <v>2.6964911436314281E-2</v>
      </c>
    </row>
    <row r="12" spans="1:13" x14ac:dyDescent="0.3">
      <c r="A12" s="12" t="s">
        <v>25</v>
      </c>
      <c r="B12" s="21" t="str">
        <f>VLOOKUP(A12,ORCAMENTO!$A:$I,2,FALSE)</f>
        <v>CONSTRUÇÃO DA CASA DE COMANDO</v>
      </c>
      <c r="C12" s="13">
        <f>VLOOKUP(A12,ORCAMENTO!$A:$I,9,FALSE)</f>
        <v>25565.510000000002</v>
      </c>
      <c r="D12" s="14">
        <f t="shared" si="0"/>
        <v>3.5126182919139576E-2</v>
      </c>
      <c r="E12" s="13">
        <f>SUM(E$13,E$14,E$15,E$16,E$17,E$18,E$19,E$20,E$21,E$22,E$23,)</f>
        <v>25565.510000000002</v>
      </c>
      <c r="F12" s="14">
        <f t="shared" si="1"/>
        <v>1</v>
      </c>
      <c r="G12" s="13">
        <f>SUM(G$13,G$14,G$15,G$16,G$17,G$18,G$19,G$20,G$21,G$22,G$23,)</f>
        <v>0</v>
      </c>
      <c r="H12" s="14">
        <f t="shared" si="2"/>
        <v>0</v>
      </c>
      <c r="I12" s="13">
        <f>SUM(I$13,I$14,I$15,I$16,I$17,I$18,I$19,I$20,I$21,I$22,I$23,)</f>
        <v>0</v>
      </c>
      <c r="J12" s="14">
        <f t="shared" si="3"/>
        <v>0</v>
      </c>
      <c r="K12" s="13">
        <f t="shared" si="4"/>
        <v>25565.510000000002</v>
      </c>
      <c r="L12" s="14">
        <f t="shared" si="5"/>
        <v>1</v>
      </c>
      <c r="M12" s="14">
        <f t="shared" si="6"/>
        <v>3.5126182919139576E-2</v>
      </c>
    </row>
    <row r="13" spans="1:13" x14ac:dyDescent="0.3">
      <c r="A13" s="15" t="s">
        <v>26</v>
      </c>
      <c r="B13" s="22" t="str">
        <f>VLOOKUP(A13,ORCAMENTO!$A:$I,2,FALSE)</f>
        <v>SERVIÇOS PRELIMINARES</v>
      </c>
      <c r="C13" s="16">
        <f>VLOOKUP(A13,ORCAMENTO!$A:$I,9,FALSE)</f>
        <v>3887.12</v>
      </c>
      <c r="D13" s="17">
        <f t="shared" si="0"/>
        <v>5.3407770135876732E-3</v>
      </c>
      <c r="E13" s="16">
        <f>VLOOKUP(A13,CO!$A:$R,10,FALSE)</f>
        <v>3887.12</v>
      </c>
      <c r="F13" s="17">
        <f t="shared" si="1"/>
        <v>1</v>
      </c>
      <c r="G13" s="16">
        <f>VLOOKUP(A13,CO!$A:$R,13,FALSE)</f>
        <v>0</v>
      </c>
      <c r="H13" s="17">
        <f t="shared" si="2"/>
        <v>0</v>
      </c>
      <c r="I13" s="16">
        <f>VLOOKUP(A13,CO!$A:$R,16,FALSE)</f>
        <v>0</v>
      </c>
      <c r="J13" s="17">
        <f t="shared" si="3"/>
        <v>0</v>
      </c>
      <c r="K13" s="16">
        <f t="shared" si="4"/>
        <v>3887.12</v>
      </c>
      <c r="L13" s="17">
        <f t="shared" si="5"/>
        <v>1</v>
      </c>
      <c r="M13" s="17">
        <f t="shared" si="6"/>
        <v>5.3407770135876732E-3</v>
      </c>
    </row>
    <row r="14" spans="1:13" x14ac:dyDescent="0.3">
      <c r="A14" s="15" t="s">
        <v>27</v>
      </c>
      <c r="B14" s="22" t="str">
        <f>VLOOKUP(A14,ORCAMENTO!$A:$I,2,FALSE)</f>
        <v>MOVIMENTO DE TERRA</v>
      </c>
      <c r="C14" s="16">
        <f>VLOOKUP(A14,ORCAMENTO!$A:$I,9,FALSE)</f>
        <v>165.09</v>
      </c>
      <c r="D14" s="17">
        <f t="shared" si="0"/>
        <v>2.2682831432350661E-4</v>
      </c>
      <c r="E14" s="16">
        <f>VLOOKUP(A14,CO!$A:$R,10,FALSE)</f>
        <v>165.09</v>
      </c>
      <c r="F14" s="17">
        <f t="shared" si="1"/>
        <v>1</v>
      </c>
      <c r="G14" s="16">
        <f>VLOOKUP(A14,CO!$A:$R,13,FALSE)</f>
        <v>0</v>
      </c>
      <c r="H14" s="17">
        <f t="shared" si="2"/>
        <v>0</v>
      </c>
      <c r="I14" s="16">
        <f>VLOOKUP(A14,CO!$A:$R,16,FALSE)</f>
        <v>0</v>
      </c>
      <c r="J14" s="17">
        <f t="shared" si="3"/>
        <v>0</v>
      </c>
      <c r="K14" s="16">
        <f t="shared" si="4"/>
        <v>165.09</v>
      </c>
      <c r="L14" s="17">
        <f t="shared" si="5"/>
        <v>1</v>
      </c>
      <c r="M14" s="17">
        <f t="shared" si="6"/>
        <v>2.2682831432350661E-4</v>
      </c>
    </row>
    <row r="15" spans="1:13" x14ac:dyDescent="0.3">
      <c r="A15" s="15" t="s">
        <v>28</v>
      </c>
      <c r="B15" s="22" t="str">
        <f>VLOOKUP(A15,ORCAMENTO!$A:$I,2,FALSE)</f>
        <v>INFRAESTRUTURA</v>
      </c>
      <c r="C15" s="16">
        <f>VLOOKUP(A15,ORCAMENTO!$A:$I,9,FALSE)</f>
        <v>1275.5</v>
      </c>
      <c r="D15" s="17">
        <f t="shared" si="0"/>
        <v>1.7524956988287158E-3</v>
      </c>
      <c r="E15" s="16">
        <f>VLOOKUP(A15,CO!$A:$R,10,FALSE)</f>
        <v>1275.5</v>
      </c>
      <c r="F15" s="17">
        <f t="shared" si="1"/>
        <v>1</v>
      </c>
      <c r="G15" s="16">
        <f>VLOOKUP(A15,CO!$A:$R,13,FALSE)</f>
        <v>0</v>
      </c>
      <c r="H15" s="17">
        <f t="shared" si="2"/>
        <v>0</v>
      </c>
      <c r="I15" s="16">
        <f>VLOOKUP(A15,CO!$A:$R,16,FALSE)</f>
        <v>0</v>
      </c>
      <c r="J15" s="17">
        <f t="shared" si="3"/>
        <v>0</v>
      </c>
      <c r="K15" s="16">
        <f t="shared" si="4"/>
        <v>1275.5</v>
      </c>
      <c r="L15" s="17">
        <f t="shared" si="5"/>
        <v>1</v>
      </c>
      <c r="M15" s="17">
        <f t="shared" si="6"/>
        <v>1.7524956988287158E-3</v>
      </c>
    </row>
    <row r="16" spans="1:13" x14ac:dyDescent="0.3">
      <c r="A16" s="15" t="s">
        <v>29</v>
      </c>
      <c r="B16" s="22" t="str">
        <f>VLOOKUP(A16,ORCAMENTO!$A:$I,2,FALSE)</f>
        <v>SUPERESTRUTURA</v>
      </c>
      <c r="C16" s="16">
        <f>VLOOKUP(A16,ORCAMENTO!$A:$I,9,FALSE)</f>
        <v>1347.9099999999999</v>
      </c>
      <c r="D16" s="17">
        <f t="shared" si="0"/>
        <v>1.8519846941655932E-3</v>
      </c>
      <c r="E16" s="16">
        <f>VLOOKUP(A16,CO!$A:$R,10,FALSE)</f>
        <v>1347.9099999999999</v>
      </c>
      <c r="F16" s="17">
        <f t="shared" si="1"/>
        <v>1</v>
      </c>
      <c r="G16" s="16">
        <f>VLOOKUP(A16,CO!$A:$R,13,FALSE)</f>
        <v>0</v>
      </c>
      <c r="H16" s="17">
        <f t="shared" si="2"/>
        <v>0</v>
      </c>
      <c r="I16" s="16">
        <f>VLOOKUP(A16,CO!$A:$R,16,FALSE)</f>
        <v>0</v>
      </c>
      <c r="J16" s="17">
        <f t="shared" si="3"/>
        <v>0</v>
      </c>
      <c r="K16" s="16">
        <f t="shared" si="4"/>
        <v>1347.9099999999999</v>
      </c>
      <c r="L16" s="17">
        <f t="shared" si="5"/>
        <v>1</v>
      </c>
      <c r="M16" s="17">
        <f t="shared" si="6"/>
        <v>1.8519846941655932E-3</v>
      </c>
    </row>
    <row r="17" spans="1:13" x14ac:dyDescent="0.3">
      <c r="A17" s="15" t="s">
        <v>30</v>
      </c>
      <c r="B17" s="22" t="str">
        <f>VLOOKUP(A17,ORCAMENTO!$A:$I,2,FALSE)</f>
        <v>VEDAÇÃO VERTICAL</v>
      </c>
      <c r="C17" s="16">
        <f>VLOOKUP(A17,ORCAMENTO!$A:$I,9,FALSE)</f>
        <v>2674.92</v>
      </c>
      <c r="D17" s="17">
        <f t="shared" si="0"/>
        <v>3.6752534650810729E-3</v>
      </c>
      <c r="E17" s="16">
        <f>VLOOKUP(A17,CO!$A:$R,10,FALSE)</f>
        <v>2674.92</v>
      </c>
      <c r="F17" s="17">
        <f t="shared" si="1"/>
        <v>1</v>
      </c>
      <c r="G17" s="16">
        <f>VLOOKUP(A17,CO!$A:$R,13,FALSE)</f>
        <v>0</v>
      </c>
      <c r="H17" s="17">
        <f t="shared" si="2"/>
        <v>0</v>
      </c>
      <c r="I17" s="16">
        <f>VLOOKUP(A17,CO!$A:$R,16,FALSE)</f>
        <v>0</v>
      </c>
      <c r="J17" s="17">
        <f t="shared" si="3"/>
        <v>0</v>
      </c>
      <c r="K17" s="16">
        <f t="shared" si="4"/>
        <v>2674.92</v>
      </c>
      <c r="L17" s="17">
        <f t="shared" si="5"/>
        <v>1</v>
      </c>
      <c r="M17" s="17">
        <f t="shared" si="6"/>
        <v>3.6752534650810729E-3</v>
      </c>
    </row>
    <row r="18" spans="1:13" x14ac:dyDescent="0.3">
      <c r="A18" s="15" t="s">
        <v>31</v>
      </c>
      <c r="B18" s="22" t="str">
        <f>VLOOKUP(A18,ORCAMENTO!$A:$I,2,FALSE)</f>
        <v>COBERTURA</v>
      </c>
      <c r="C18" s="16">
        <f>VLOOKUP(A18,ORCAMENTO!$A:$I,9,FALSE)</f>
        <v>1332.15</v>
      </c>
      <c r="D18" s="17">
        <f t="shared" si="0"/>
        <v>1.8303309644803402E-3</v>
      </c>
      <c r="E18" s="16">
        <f>VLOOKUP(A18,CO!$A:$R,10,FALSE)</f>
        <v>1332.15</v>
      </c>
      <c r="F18" s="17">
        <f t="shared" si="1"/>
        <v>1</v>
      </c>
      <c r="G18" s="16">
        <f>VLOOKUP(A18,CO!$A:$R,13,FALSE)</f>
        <v>0</v>
      </c>
      <c r="H18" s="17">
        <f t="shared" si="2"/>
        <v>0</v>
      </c>
      <c r="I18" s="16">
        <f>VLOOKUP(A18,CO!$A:$R,16,FALSE)</f>
        <v>0</v>
      </c>
      <c r="J18" s="17">
        <f t="shared" si="3"/>
        <v>0</v>
      </c>
      <c r="K18" s="16">
        <f t="shared" si="4"/>
        <v>1332.15</v>
      </c>
      <c r="L18" s="17">
        <f t="shared" si="5"/>
        <v>1</v>
      </c>
      <c r="M18" s="17">
        <f t="shared" si="6"/>
        <v>1.8303309644803402E-3</v>
      </c>
    </row>
    <row r="19" spans="1:13" x14ac:dyDescent="0.3">
      <c r="A19" s="15" t="s">
        <v>32</v>
      </c>
      <c r="B19" s="22" t="str">
        <f>VLOOKUP(A19,ORCAMENTO!$A:$I,2,FALSE)</f>
        <v>PISO</v>
      </c>
      <c r="C19" s="16">
        <f>VLOOKUP(A19,ORCAMENTO!$A:$I,9,FALSE)</f>
        <v>1208.82</v>
      </c>
      <c r="D19" s="17">
        <f t="shared" si="0"/>
        <v>1.6608795379522761E-3</v>
      </c>
      <c r="E19" s="16">
        <f>VLOOKUP(A19,CO!$A:$R,10,FALSE)</f>
        <v>1208.82</v>
      </c>
      <c r="F19" s="17">
        <f t="shared" si="1"/>
        <v>1</v>
      </c>
      <c r="G19" s="16">
        <f>VLOOKUP(A19,CO!$A:$R,13,FALSE)</f>
        <v>0</v>
      </c>
      <c r="H19" s="17">
        <f t="shared" si="2"/>
        <v>0</v>
      </c>
      <c r="I19" s="16">
        <f>VLOOKUP(A19,CO!$A:$R,16,FALSE)</f>
        <v>0</v>
      </c>
      <c r="J19" s="17">
        <f t="shared" si="3"/>
        <v>0</v>
      </c>
      <c r="K19" s="16">
        <f t="shared" si="4"/>
        <v>1208.82</v>
      </c>
      <c r="L19" s="17">
        <f t="shared" si="5"/>
        <v>1</v>
      </c>
      <c r="M19" s="17">
        <f t="shared" si="6"/>
        <v>1.6608795379522761E-3</v>
      </c>
    </row>
    <row r="20" spans="1:13" x14ac:dyDescent="0.3">
      <c r="A20" s="15" t="s">
        <v>33</v>
      </c>
      <c r="B20" s="22" t="str">
        <f>VLOOKUP(A20,ORCAMENTO!$A:$I,2,FALSE)</f>
        <v>REVESTIMENTO</v>
      </c>
      <c r="C20" s="16">
        <f>VLOOKUP(A20,ORCAMENTO!$A:$I,9,FALSE)</f>
        <v>2396.75</v>
      </c>
      <c r="D20" s="17">
        <f t="shared" si="0"/>
        <v>3.2930568923306347E-3</v>
      </c>
      <c r="E20" s="16">
        <f>VLOOKUP(A20,CO!$A:$R,10,FALSE)</f>
        <v>2396.75</v>
      </c>
      <c r="F20" s="17">
        <f t="shared" si="1"/>
        <v>1</v>
      </c>
      <c r="G20" s="16">
        <f>VLOOKUP(A20,CO!$A:$R,13,FALSE)</f>
        <v>0</v>
      </c>
      <c r="H20" s="17">
        <f t="shared" si="2"/>
        <v>0</v>
      </c>
      <c r="I20" s="16">
        <f>VLOOKUP(A20,CO!$A:$R,16,FALSE)</f>
        <v>0</v>
      </c>
      <c r="J20" s="17">
        <f t="shared" si="3"/>
        <v>0</v>
      </c>
      <c r="K20" s="16">
        <f t="shared" si="4"/>
        <v>2396.75</v>
      </c>
      <c r="L20" s="17">
        <f t="shared" si="5"/>
        <v>1</v>
      </c>
      <c r="M20" s="17">
        <f t="shared" si="6"/>
        <v>3.2930568923306347E-3</v>
      </c>
    </row>
    <row r="21" spans="1:13" x14ac:dyDescent="0.3">
      <c r="A21" s="15" t="s">
        <v>34</v>
      </c>
      <c r="B21" s="22" t="str">
        <f>VLOOKUP(A21,ORCAMENTO!$A:$I,2,FALSE)</f>
        <v>ESQUADRIAS</v>
      </c>
      <c r="C21" s="16">
        <f>VLOOKUP(A21,ORCAMENTO!$A:$I,9,FALSE)</f>
        <v>4550.21</v>
      </c>
      <c r="D21" s="17">
        <f t="shared" si="0"/>
        <v>6.2518412024832699E-3</v>
      </c>
      <c r="E21" s="16">
        <f>VLOOKUP(A21,CO!$A:$R,10,FALSE)</f>
        <v>4550.21</v>
      </c>
      <c r="F21" s="17">
        <f t="shared" si="1"/>
        <v>1</v>
      </c>
      <c r="G21" s="16">
        <f>VLOOKUP(A21,CO!$A:$R,13,FALSE)</f>
        <v>0</v>
      </c>
      <c r="H21" s="17">
        <f t="shared" si="2"/>
        <v>0</v>
      </c>
      <c r="I21" s="16">
        <f>VLOOKUP(A21,CO!$A:$R,16,FALSE)</f>
        <v>0</v>
      </c>
      <c r="J21" s="17">
        <f t="shared" si="3"/>
        <v>0</v>
      </c>
      <c r="K21" s="16">
        <f t="shared" si="4"/>
        <v>4550.21</v>
      </c>
      <c r="L21" s="17">
        <f t="shared" si="5"/>
        <v>1</v>
      </c>
      <c r="M21" s="17">
        <f t="shared" si="6"/>
        <v>6.2518412024832699E-3</v>
      </c>
    </row>
    <row r="22" spans="1:13" x14ac:dyDescent="0.3">
      <c r="A22" s="15" t="s">
        <v>35</v>
      </c>
      <c r="B22" s="22" t="str">
        <f>VLOOKUP(A22,ORCAMENTO!$A:$I,2,FALSE)</f>
        <v>PINTURA</v>
      </c>
      <c r="C22" s="16">
        <f>VLOOKUP(A22,ORCAMENTO!$A:$I,9,FALSE)</f>
        <v>663.11</v>
      </c>
      <c r="D22" s="17">
        <f t="shared" si="0"/>
        <v>9.1109166824798889E-4</v>
      </c>
      <c r="E22" s="16">
        <f>VLOOKUP(A22,CO!$A:$R,10,FALSE)</f>
        <v>663.11</v>
      </c>
      <c r="F22" s="17">
        <f t="shared" si="1"/>
        <v>1</v>
      </c>
      <c r="G22" s="16">
        <f>VLOOKUP(A22,CO!$A:$R,13,FALSE)</f>
        <v>0</v>
      </c>
      <c r="H22" s="17">
        <f t="shared" si="2"/>
        <v>0</v>
      </c>
      <c r="I22" s="16">
        <f>VLOOKUP(A22,CO!$A:$R,16,FALSE)</f>
        <v>0</v>
      </c>
      <c r="J22" s="17">
        <f t="shared" si="3"/>
        <v>0</v>
      </c>
      <c r="K22" s="16">
        <f t="shared" si="4"/>
        <v>663.11</v>
      </c>
      <c r="L22" s="17">
        <f t="shared" si="5"/>
        <v>1</v>
      </c>
      <c r="M22" s="17">
        <f t="shared" si="6"/>
        <v>9.1109166824798889E-4</v>
      </c>
    </row>
    <row r="23" spans="1:13" x14ac:dyDescent="0.3">
      <c r="A23" s="15" t="s">
        <v>36</v>
      </c>
      <c r="B23" s="22" t="str">
        <f>VLOOKUP(A23,ORCAMENTO!$A:$I,2,FALSE)</f>
        <v>CERCAMENTO</v>
      </c>
      <c r="C23" s="16">
        <f>VLOOKUP(A23,ORCAMENTO!$A:$I,9,FALSE)</f>
        <v>6063.93</v>
      </c>
      <c r="D23" s="17">
        <f t="shared" si="0"/>
        <v>8.3316434676584984E-3</v>
      </c>
      <c r="E23" s="16">
        <f>VLOOKUP(A23,CO!$A:$R,10,FALSE)</f>
        <v>6063.93</v>
      </c>
      <c r="F23" s="17">
        <f t="shared" si="1"/>
        <v>1</v>
      </c>
      <c r="G23" s="16">
        <f>VLOOKUP(A23,CO!$A:$R,13,FALSE)</f>
        <v>0</v>
      </c>
      <c r="H23" s="17">
        <f t="shared" si="2"/>
        <v>0</v>
      </c>
      <c r="I23" s="16">
        <f>VLOOKUP(A23,CO!$A:$R,16,FALSE)</f>
        <v>0</v>
      </c>
      <c r="J23" s="17">
        <f t="shared" si="3"/>
        <v>0</v>
      </c>
      <c r="K23" s="16">
        <f t="shared" si="4"/>
        <v>6063.93</v>
      </c>
      <c r="L23" s="17">
        <f t="shared" si="5"/>
        <v>1</v>
      </c>
      <c r="M23" s="17">
        <f t="shared" si="6"/>
        <v>8.3316434676584984E-3</v>
      </c>
    </row>
    <row r="24" spans="1:13" x14ac:dyDescent="0.3">
      <c r="A24" s="12" t="s">
        <v>37</v>
      </c>
      <c r="B24" s="21" t="str">
        <f>VLOOKUP(A24,ORCAMENTO!$A:$I,2,FALSE)</f>
        <v>INSTALAÇÕES ELÉTRICAS</v>
      </c>
      <c r="C24" s="13">
        <f>VLOOKUP(A24,ORCAMENTO!$A:$I,9,FALSE)</f>
        <v>1853.2700000000002</v>
      </c>
      <c r="D24" s="14">
        <f t="shared" si="0"/>
        <v>2.5463329704181062E-3</v>
      </c>
      <c r="E24" s="13">
        <f>VLOOKUP(A24,CO!$A:$R,10,FALSE)</f>
        <v>1853.2700000000002</v>
      </c>
      <c r="F24" s="14">
        <f t="shared" si="1"/>
        <v>1</v>
      </c>
      <c r="G24" s="13">
        <f>VLOOKUP(A24,CO!$A:$R,13,FALSE)</f>
        <v>0</v>
      </c>
      <c r="H24" s="14">
        <f t="shared" si="2"/>
        <v>0</v>
      </c>
      <c r="I24" s="13">
        <f>VLOOKUP(A24,CO!$A:$R,16,FALSE)</f>
        <v>0</v>
      </c>
      <c r="J24" s="14">
        <f t="shared" si="3"/>
        <v>0</v>
      </c>
      <c r="K24" s="13">
        <f t="shared" si="4"/>
        <v>1853.2700000000002</v>
      </c>
      <c r="L24" s="14">
        <f t="shared" si="5"/>
        <v>1</v>
      </c>
      <c r="M24" s="14">
        <f t="shared" si="6"/>
        <v>2.5463329704181062E-3</v>
      </c>
    </row>
    <row r="25" spans="1:13" x14ac:dyDescent="0.3">
      <c r="A25" s="12" t="s">
        <v>38</v>
      </c>
      <c r="B25" s="21" t="str">
        <f>VLOOKUP(A25,ORCAMENTO!$A:$I,2,FALSE)</f>
        <v>ADUÇÃO</v>
      </c>
      <c r="C25" s="13">
        <f>VLOOKUP(A25,ORCAMENTO!$A:$I,9,FALSE)</f>
        <v>1351.72</v>
      </c>
      <c r="D25" s="14">
        <f t="shared" si="0"/>
        <v>1.8572195107963557E-3</v>
      </c>
      <c r="E25" s="13">
        <f>SUM(E$26,E$27,E$28,)</f>
        <v>1351.72</v>
      </c>
      <c r="F25" s="14">
        <f t="shared" si="1"/>
        <v>1</v>
      </c>
      <c r="G25" s="13">
        <f>SUM(G$26,G$27,G$28,)</f>
        <v>0</v>
      </c>
      <c r="H25" s="14">
        <f t="shared" si="2"/>
        <v>0</v>
      </c>
      <c r="I25" s="13">
        <f>SUM(I$26,I$27,I$28,)</f>
        <v>0</v>
      </c>
      <c r="J25" s="14">
        <f t="shared" si="3"/>
        <v>0</v>
      </c>
      <c r="K25" s="13">
        <f t="shared" si="4"/>
        <v>1351.72</v>
      </c>
      <c r="L25" s="14">
        <f t="shared" si="5"/>
        <v>1</v>
      </c>
      <c r="M25" s="14">
        <f t="shared" si="6"/>
        <v>1.8572195107963557E-3</v>
      </c>
    </row>
    <row r="26" spans="1:13" x14ac:dyDescent="0.3">
      <c r="A26" s="15" t="s">
        <v>39</v>
      </c>
      <c r="B26" s="22" t="str">
        <f>VLOOKUP(A26,ORCAMENTO!$A:$I,2,FALSE)</f>
        <v>MOVIMENTO DE TERRA</v>
      </c>
      <c r="C26" s="16">
        <f>VLOOKUP(A26,ORCAMENTO!$A:$I,9,FALSE)</f>
        <v>423.02</v>
      </c>
      <c r="D26" s="17">
        <f t="shared" si="0"/>
        <v>5.8121578245278187E-4</v>
      </c>
      <c r="E26" s="16">
        <f>VLOOKUP(A26,CO!$A:$R,10,FALSE)</f>
        <v>423.02</v>
      </c>
      <c r="F26" s="17">
        <f t="shared" si="1"/>
        <v>1</v>
      </c>
      <c r="G26" s="16">
        <f>VLOOKUP(A26,CO!$A:$R,13,FALSE)</f>
        <v>0</v>
      </c>
      <c r="H26" s="17">
        <f t="shared" si="2"/>
        <v>0</v>
      </c>
      <c r="I26" s="16">
        <f>VLOOKUP(A26,CO!$A:$R,16,FALSE)</f>
        <v>0</v>
      </c>
      <c r="J26" s="17">
        <f t="shared" si="3"/>
        <v>0</v>
      </c>
      <c r="K26" s="16">
        <f t="shared" si="4"/>
        <v>423.02</v>
      </c>
      <c r="L26" s="17">
        <f t="shared" si="5"/>
        <v>1</v>
      </c>
      <c r="M26" s="17">
        <f t="shared" si="6"/>
        <v>5.8121578245278187E-4</v>
      </c>
    </row>
    <row r="27" spans="1:13" x14ac:dyDescent="0.3">
      <c r="A27" s="15" t="s">
        <v>40</v>
      </c>
      <c r="B27" s="22" t="str">
        <f>VLOOKUP(A27,ORCAMENTO!$A:$I,2,FALSE)</f>
        <v>INFRAESTRUTURA</v>
      </c>
      <c r="C27" s="16">
        <f>VLOOKUP(A27,ORCAMENTO!$A:$I,9,FALSE)</f>
        <v>265.19</v>
      </c>
      <c r="D27" s="17">
        <f t="shared" si="0"/>
        <v>3.6436247304773588E-4</v>
      </c>
      <c r="E27" s="16">
        <f>VLOOKUP(A27,CO!$A:$R,10,FALSE)</f>
        <v>265.19</v>
      </c>
      <c r="F27" s="17">
        <f t="shared" si="1"/>
        <v>1</v>
      </c>
      <c r="G27" s="16">
        <f>VLOOKUP(A27,CO!$A:$R,13,FALSE)</f>
        <v>0</v>
      </c>
      <c r="H27" s="17">
        <f t="shared" si="2"/>
        <v>0</v>
      </c>
      <c r="I27" s="16">
        <f>VLOOKUP(A27,CO!$A:$R,16,FALSE)</f>
        <v>0</v>
      </c>
      <c r="J27" s="17">
        <f t="shared" si="3"/>
        <v>0</v>
      </c>
      <c r="K27" s="16">
        <f t="shared" si="4"/>
        <v>265.19</v>
      </c>
      <c r="L27" s="17">
        <f t="shared" si="5"/>
        <v>1</v>
      </c>
      <c r="M27" s="17">
        <f t="shared" si="6"/>
        <v>3.6436247304773588E-4</v>
      </c>
    </row>
    <row r="28" spans="1:13" x14ac:dyDescent="0.3">
      <c r="A28" s="15" t="s">
        <v>41</v>
      </c>
      <c r="B28" s="22" t="str">
        <f>VLOOKUP(A28,ORCAMENTO!$A:$I,2,FALSE)</f>
        <v>INSTALAÇÕES HIDRÁULICAS</v>
      </c>
      <c r="C28" s="16">
        <f>VLOOKUP(A28,ORCAMENTO!$A:$I,9,FALSE)</f>
        <v>663.51</v>
      </c>
      <c r="D28" s="17">
        <f t="shared" si="0"/>
        <v>9.1164125529583789E-4</v>
      </c>
      <c r="E28" s="16">
        <f>VLOOKUP(A28,CO!$A:$R,10,FALSE)</f>
        <v>663.51</v>
      </c>
      <c r="F28" s="17">
        <f t="shared" si="1"/>
        <v>1</v>
      </c>
      <c r="G28" s="16">
        <f>VLOOKUP(A28,CO!$A:$R,13,FALSE)</f>
        <v>0</v>
      </c>
      <c r="H28" s="17">
        <f t="shared" si="2"/>
        <v>0</v>
      </c>
      <c r="I28" s="16">
        <f>VLOOKUP(A28,CO!$A:$R,16,FALSE)</f>
        <v>0</v>
      </c>
      <c r="J28" s="17">
        <f t="shared" si="3"/>
        <v>0</v>
      </c>
      <c r="K28" s="16">
        <f t="shared" si="4"/>
        <v>663.51</v>
      </c>
      <c r="L28" s="17">
        <f t="shared" si="5"/>
        <v>1</v>
      </c>
      <c r="M28" s="17">
        <f t="shared" si="6"/>
        <v>9.1164125529583789E-4</v>
      </c>
    </row>
    <row r="29" spans="1:13" x14ac:dyDescent="0.3">
      <c r="A29" s="12" t="s">
        <v>42</v>
      </c>
      <c r="B29" s="21" t="str">
        <f>VLOOKUP(A29,ORCAMENTO!$A:$I,2,FALSE)</f>
        <v>RESERVAÇÃO</v>
      </c>
      <c r="C29" s="13">
        <f>VLOOKUP(A29,ORCAMENTO!$A:$I,9,FALSE)</f>
        <v>20347.62</v>
      </c>
      <c r="D29" s="14">
        <f t="shared" si="0"/>
        <v>2.7956971016386636E-2</v>
      </c>
      <c r="E29" s="13">
        <f>VLOOKUP(A29,CO!$A:$R,10,FALSE)</f>
        <v>20347.62</v>
      </c>
      <c r="F29" s="14">
        <f t="shared" si="1"/>
        <v>1</v>
      </c>
      <c r="G29" s="13">
        <f>VLOOKUP(A29,CO!$A:$R,13,FALSE)</f>
        <v>0</v>
      </c>
      <c r="H29" s="14">
        <f t="shared" si="2"/>
        <v>0</v>
      </c>
      <c r="I29" s="13">
        <f>VLOOKUP(A29,CO!$A:$R,16,FALSE)</f>
        <v>0</v>
      </c>
      <c r="J29" s="14">
        <f t="shared" si="3"/>
        <v>0</v>
      </c>
      <c r="K29" s="13">
        <f t="shared" si="4"/>
        <v>20347.62</v>
      </c>
      <c r="L29" s="14">
        <f t="shared" si="5"/>
        <v>1</v>
      </c>
      <c r="M29" s="14">
        <f t="shared" si="6"/>
        <v>2.7956971016386636E-2</v>
      </c>
    </row>
    <row r="30" spans="1:13" x14ac:dyDescent="0.3">
      <c r="A30" s="12" t="s">
        <v>43</v>
      </c>
      <c r="B30" s="21" t="str">
        <f>VLOOKUP(A30,ORCAMENTO!$A:$I,2,FALSE)</f>
        <v>DISTRIBUIÇÃO (CHAFARIZ)</v>
      </c>
      <c r="C30" s="13">
        <f>VLOOKUP(A30,ORCAMENTO!$A:$I,9,FALSE)</f>
        <v>2831.9999999999995</v>
      </c>
      <c r="D30" s="14">
        <f t="shared" si="0"/>
        <v>3.8910762987714015E-3</v>
      </c>
      <c r="E30" s="13">
        <f>VLOOKUP(A30,CO!$A:$R,10,FALSE)</f>
        <v>2831.9999999999995</v>
      </c>
      <c r="F30" s="14">
        <f t="shared" si="1"/>
        <v>1</v>
      </c>
      <c r="G30" s="13">
        <f>VLOOKUP(A30,CO!$A:$R,13,FALSE)</f>
        <v>0</v>
      </c>
      <c r="H30" s="14">
        <f t="shared" si="2"/>
        <v>0</v>
      </c>
      <c r="I30" s="13">
        <f>VLOOKUP(A30,CO!$A:$R,16,FALSE)</f>
        <v>0</v>
      </c>
      <c r="J30" s="14">
        <f t="shared" si="3"/>
        <v>0</v>
      </c>
      <c r="K30" s="13">
        <f t="shared" si="4"/>
        <v>2831.9999999999995</v>
      </c>
      <c r="L30" s="14">
        <f t="shared" si="5"/>
        <v>1</v>
      </c>
      <c r="M30" s="14">
        <f t="shared" si="6"/>
        <v>3.8910762987714015E-3</v>
      </c>
    </row>
    <row r="31" spans="1:13" x14ac:dyDescent="0.3">
      <c r="A31" s="9">
        <v>3</v>
      </c>
      <c r="B31" s="20" t="str">
        <f>VLOOKUP(A31,ORCAMENTO!$A:$I,2,FALSE)</f>
        <v>COMUNIDADE JACAÚNA</v>
      </c>
      <c r="C31" s="10">
        <f>VLOOKUP(A31,ORCAMENTO!$A:$I,9,FALSE)</f>
        <v>136044.70000000001</v>
      </c>
      <c r="D31" s="11">
        <f t="shared" si="0"/>
        <v>0.1869210126212803</v>
      </c>
      <c r="E31" s="10">
        <f>SUM(E$32,E$33,E$34,E$46,E$47,E$51,E$52,)</f>
        <v>136044.70000000001</v>
      </c>
      <c r="F31" s="11">
        <f t="shared" si="1"/>
        <v>1</v>
      </c>
      <c r="G31" s="10">
        <f>SUM(G$32,G$33,G$34,G$46,G$47,G$51,G$52,)</f>
        <v>0</v>
      </c>
      <c r="H31" s="11">
        <f t="shared" si="2"/>
        <v>0</v>
      </c>
      <c r="I31" s="10">
        <f>SUM(I$32,I$33,I$34,I$46,I$47,I$51,I$52,)</f>
        <v>0</v>
      </c>
      <c r="J31" s="11">
        <f t="shared" si="3"/>
        <v>0</v>
      </c>
      <c r="K31" s="10">
        <f t="shared" si="4"/>
        <v>136044.70000000001</v>
      </c>
      <c r="L31" s="11">
        <f t="shared" si="5"/>
        <v>1</v>
      </c>
      <c r="M31" s="11">
        <f t="shared" si="6"/>
        <v>0.1869210126212803</v>
      </c>
    </row>
    <row r="32" spans="1:13" x14ac:dyDescent="0.3">
      <c r="A32" s="12" t="s">
        <v>44</v>
      </c>
      <c r="B32" s="21" t="str">
        <f>VLOOKUP(A32,ORCAMENTO!$A:$I,2,FALSE)</f>
        <v>PERFURAÇÃO DE POÇO TUBULAR</v>
      </c>
      <c r="C32" s="13">
        <f>VLOOKUP(A32,ORCAMENTO!$A:$I,9,FALSE)</f>
        <v>64469</v>
      </c>
      <c r="D32" s="14">
        <f t="shared" si="0"/>
        <v>8.8578318469453923E-2</v>
      </c>
      <c r="E32" s="13">
        <f>VLOOKUP(A32,CO!$A:$R,10,FALSE)</f>
        <v>64469</v>
      </c>
      <c r="F32" s="14">
        <f t="shared" si="1"/>
        <v>1</v>
      </c>
      <c r="G32" s="13">
        <f>VLOOKUP(A32,CO!$A:$R,13,FALSE)</f>
        <v>0</v>
      </c>
      <c r="H32" s="14">
        <f t="shared" si="2"/>
        <v>0</v>
      </c>
      <c r="I32" s="13">
        <f>VLOOKUP(A32,CO!$A:$R,16,FALSE)</f>
        <v>0</v>
      </c>
      <c r="J32" s="14">
        <f t="shared" si="3"/>
        <v>0</v>
      </c>
      <c r="K32" s="13">
        <f t="shared" si="4"/>
        <v>64469</v>
      </c>
      <c r="L32" s="14">
        <f t="shared" si="5"/>
        <v>1</v>
      </c>
      <c r="M32" s="14">
        <f t="shared" si="6"/>
        <v>8.8578318469453923E-2</v>
      </c>
    </row>
    <row r="33" spans="1:13" ht="43.2" x14ac:dyDescent="0.3">
      <c r="A33" s="12" t="s">
        <v>45</v>
      </c>
      <c r="B33" s="21" t="str">
        <f>VLOOKUP(A33,ORCAMENTO!$A:$I,2,FALSE)</f>
        <v>AQUISIÇÃO E INSTALAÇÃO DE EQUIPAMENTOS DE BOMBEAMENTO, RECALQUE/BARRILETE E CONEXÕES PARA INTERLIGAÇÃO COM RESERVATÓRIO</v>
      </c>
      <c r="C33" s="13">
        <f>VLOOKUP(A33,ORCAMENTO!$A:$I,9,FALSE)</f>
        <v>19625.579999999998</v>
      </c>
      <c r="D33" s="14">
        <f t="shared" si="0"/>
        <v>2.6964911436314281E-2</v>
      </c>
      <c r="E33" s="13">
        <f>VLOOKUP(A33,CO!$A:$R,10,FALSE)</f>
        <v>19625.579999999998</v>
      </c>
      <c r="F33" s="14">
        <f t="shared" si="1"/>
        <v>1</v>
      </c>
      <c r="G33" s="13">
        <f>VLOOKUP(A33,CO!$A:$R,13,FALSE)</f>
        <v>0</v>
      </c>
      <c r="H33" s="14">
        <f t="shared" si="2"/>
        <v>0</v>
      </c>
      <c r="I33" s="13">
        <f>VLOOKUP(A33,CO!$A:$R,16,FALSE)</f>
        <v>0</v>
      </c>
      <c r="J33" s="14">
        <f t="shared" si="3"/>
        <v>0</v>
      </c>
      <c r="K33" s="13">
        <f t="shared" si="4"/>
        <v>19625.579999999998</v>
      </c>
      <c r="L33" s="14">
        <f t="shared" si="5"/>
        <v>1</v>
      </c>
      <c r="M33" s="14">
        <f t="shared" si="6"/>
        <v>2.6964911436314281E-2</v>
      </c>
    </row>
    <row r="34" spans="1:13" x14ac:dyDescent="0.3">
      <c r="A34" s="12" t="s">
        <v>46</v>
      </c>
      <c r="B34" s="21" t="str">
        <f>VLOOKUP(A34,ORCAMENTO!$A:$I,2,FALSE)</f>
        <v>CONSTRUÇÃO DA CASA DE COMANDO</v>
      </c>
      <c r="C34" s="13">
        <f>VLOOKUP(A34,ORCAMENTO!$A:$I,9,FALSE)</f>
        <v>25565.510000000002</v>
      </c>
      <c r="D34" s="14">
        <f t="shared" si="0"/>
        <v>3.5126182919139576E-2</v>
      </c>
      <c r="E34" s="13">
        <f>SUM(E$35,E$36,E$37,E$38,E$39,E$40,E$41,E$42,E$43,E$44,E$45,)</f>
        <v>25565.510000000002</v>
      </c>
      <c r="F34" s="14">
        <f t="shared" si="1"/>
        <v>1</v>
      </c>
      <c r="G34" s="13">
        <f>SUM(G$35,G$36,G$37,G$38,G$39,G$40,G$41,G$42,G$43,G$44,G$45,)</f>
        <v>0</v>
      </c>
      <c r="H34" s="14">
        <f t="shared" si="2"/>
        <v>0</v>
      </c>
      <c r="I34" s="13">
        <f>SUM(I$35,I$36,I$37,I$38,I$39,I$40,I$41,I$42,I$43,I$44,I$45,)</f>
        <v>0</v>
      </c>
      <c r="J34" s="14">
        <f t="shared" si="3"/>
        <v>0</v>
      </c>
      <c r="K34" s="13">
        <f t="shared" si="4"/>
        <v>25565.510000000002</v>
      </c>
      <c r="L34" s="14">
        <f t="shared" si="5"/>
        <v>1</v>
      </c>
      <c r="M34" s="14">
        <f t="shared" si="6"/>
        <v>3.5126182919139576E-2</v>
      </c>
    </row>
    <row r="35" spans="1:13" x14ac:dyDescent="0.3">
      <c r="A35" s="15" t="s">
        <v>47</v>
      </c>
      <c r="B35" s="22" t="str">
        <f>VLOOKUP(A35,ORCAMENTO!$A:$I,2,FALSE)</f>
        <v>SERVIÇOS PRELIMINARES</v>
      </c>
      <c r="C35" s="16">
        <f>VLOOKUP(A35,ORCAMENTO!$A:$I,9,FALSE)</f>
        <v>3887.12</v>
      </c>
      <c r="D35" s="17">
        <f t="shared" si="0"/>
        <v>5.3407770135876732E-3</v>
      </c>
      <c r="E35" s="16">
        <f>VLOOKUP(A35,CO!$A:$R,10,FALSE)</f>
        <v>3887.12</v>
      </c>
      <c r="F35" s="17">
        <f t="shared" si="1"/>
        <v>1</v>
      </c>
      <c r="G35" s="16">
        <f>VLOOKUP(A35,CO!$A:$R,13,FALSE)</f>
        <v>0</v>
      </c>
      <c r="H35" s="17">
        <f t="shared" si="2"/>
        <v>0</v>
      </c>
      <c r="I35" s="16">
        <f>VLOOKUP(A35,CO!$A:$R,16,FALSE)</f>
        <v>0</v>
      </c>
      <c r="J35" s="17">
        <f t="shared" si="3"/>
        <v>0</v>
      </c>
      <c r="K35" s="16">
        <f t="shared" si="4"/>
        <v>3887.12</v>
      </c>
      <c r="L35" s="17">
        <f t="shared" si="5"/>
        <v>1</v>
      </c>
      <c r="M35" s="17">
        <f t="shared" si="6"/>
        <v>5.3407770135876732E-3</v>
      </c>
    </row>
    <row r="36" spans="1:13" x14ac:dyDescent="0.3">
      <c r="A36" s="15" t="s">
        <v>48</v>
      </c>
      <c r="B36" s="22" t="str">
        <f>VLOOKUP(A36,ORCAMENTO!$A:$I,2,FALSE)</f>
        <v>MOVIMENTO DE TERRA</v>
      </c>
      <c r="C36" s="16">
        <f>VLOOKUP(A36,ORCAMENTO!$A:$I,9,FALSE)</f>
        <v>165.09</v>
      </c>
      <c r="D36" s="17">
        <f t="shared" si="0"/>
        <v>2.2682831432350661E-4</v>
      </c>
      <c r="E36" s="16">
        <f>VLOOKUP(A36,CO!$A:$R,10,FALSE)</f>
        <v>165.09</v>
      </c>
      <c r="F36" s="17">
        <f t="shared" si="1"/>
        <v>1</v>
      </c>
      <c r="G36" s="16">
        <f>VLOOKUP(A36,CO!$A:$R,13,FALSE)</f>
        <v>0</v>
      </c>
      <c r="H36" s="17">
        <f t="shared" si="2"/>
        <v>0</v>
      </c>
      <c r="I36" s="16">
        <f>VLOOKUP(A36,CO!$A:$R,16,FALSE)</f>
        <v>0</v>
      </c>
      <c r="J36" s="17">
        <f t="shared" si="3"/>
        <v>0</v>
      </c>
      <c r="K36" s="16">
        <f t="shared" si="4"/>
        <v>165.09</v>
      </c>
      <c r="L36" s="17">
        <f t="shared" si="5"/>
        <v>1</v>
      </c>
      <c r="M36" s="17">
        <f t="shared" si="6"/>
        <v>2.2682831432350661E-4</v>
      </c>
    </row>
    <row r="37" spans="1:13" x14ac:dyDescent="0.3">
      <c r="A37" s="15" t="s">
        <v>49</v>
      </c>
      <c r="B37" s="22" t="str">
        <f>VLOOKUP(A37,ORCAMENTO!$A:$I,2,FALSE)</f>
        <v>INFRAESTRUTURA</v>
      </c>
      <c r="C37" s="16">
        <f>VLOOKUP(A37,ORCAMENTO!$A:$I,9,FALSE)</f>
        <v>1275.5</v>
      </c>
      <c r="D37" s="17">
        <f t="shared" si="0"/>
        <v>1.7524956988287158E-3</v>
      </c>
      <c r="E37" s="16">
        <f>VLOOKUP(A37,CO!$A:$R,10,FALSE)</f>
        <v>1275.5</v>
      </c>
      <c r="F37" s="17">
        <f t="shared" si="1"/>
        <v>1</v>
      </c>
      <c r="G37" s="16">
        <f>VLOOKUP(A37,CO!$A:$R,13,FALSE)</f>
        <v>0</v>
      </c>
      <c r="H37" s="17">
        <f t="shared" si="2"/>
        <v>0</v>
      </c>
      <c r="I37" s="16">
        <f>VLOOKUP(A37,CO!$A:$R,16,FALSE)</f>
        <v>0</v>
      </c>
      <c r="J37" s="17">
        <f t="shared" si="3"/>
        <v>0</v>
      </c>
      <c r="K37" s="16">
        <f t="shared" si="4"/>
        <v>1275.5</v>
      </c>
      <c r="L37" s="17">
        <f t="shared" si="5"/>
        <v>1</v>
      </c>
      <c r="M37" s="17">
        <f t="shared" si="6"/>
        <v>1.7524956988287158E-3</v>
      </c>
    </row>
    <row r="38" spans="1:13" x14ac:dyDescent="0.3">
      <c r="A38" s="15" t="s">
        <v>50</v>
      </c>
      <c r="B38" s="22" t="str">
        <f>VLOOKUP(A38,ORCAMENTO!$A:$I,2,FALSE)</f>
        <v>SUPERESTRUTURA</v>
      </c>
      <c r="C38" s="16">
        <f>VLOOKUP(A38,ORCAMENTO!$A:$I,9,FALSE)</f>
        <v>1347.9099999999999</v>
      </c>
      <c r="D38" s="17">
        <f t="shared" si="0"/>
        <v>1.8519846941655932E-3</v>
      </c>
      <c r="E38" s="16">
        <f>VLOOKUP(A38,CO!$A:$R,10,FALSE)</f>
        <v>1347.9099999999999</v>
      </c>
      <c r="F38" s="17">
        <f t="shared" si="1"/>
        <v>1</v>
      </c>
      <c r="G38" s="16">
        <f>VLOOKUP(A38,CO!$A:$R,13,FALSE)</f>
        <v>0</v>
      </c>
      <c r="H38" s="17">
        <f t="shared" si="2"/>
        <v>0</v>
      </c>
      <c r="I38" s="16">
        <f>VLOOKUP(A38,CO!$A:$R,16,FALSE)</f>
        <v>0</v>
      </c>
      <c r="J38" s="17">
        <f t="shared" si="3"/>
        <v>0</v>
      </c>
      <c r="K38" s="16">
        <f t="shared" si="4"/>
        <v>1347.9099999999999</v>
      </c>
      <c r="L38" s="17">
        <f t="shared" si="5"/>
        <v>1</v>
      </c>
      <c r="M38" s="17">
        <f t="shared" si="6"/>
        <v>1.8519846941655932E-3</v>
      </c>
    </row>
    <row r="39" spans="1:13" x14ac:dyDescent="0.3">
      <c r="A39" s="15" t="s">
        <v>51</v>
      </c>
      <c r="B39" s="22" t="str">
        <f>VLOOKUP(A39,ORCAMENTO!$A:$I,2,FALSE)</f>
        <v>VEDAÇÃO VERTICAL</v>
      </c>
      <c r="C39" s="16">
        <f>VLOOKUP(A39,ORCAMENTO!$A:$I,9,FALSE)</f>
        <v>2674.92</v>
      </c>
      <c r="D39" s="17">
        <f t="shared" si="0"/>
        <v>3.6752534650810729E-3</v>
      </c>
      <c r="E39" s="16">
        <f>VLOOKUP(A39,CO!$A:$R,10,FALSE)</f>
        <v>2674.92</v>
      </c>
      <c r="F39" s="17">
        <f t="shared" si="1"/>
        <v>1</v>
      </c>
      <c r="G39" s="16">
        <f>VLOOKUP(A39,CO!$A:$R,13,FALSE)</f>
        <v>0</v>
      </c>
      <c r="H39" s="17">
        <f t="shared" si="2"/>
        <v>0</v>
      </c>
      <c r="I39" s="16">
        <f>VLOOKUP(A39,CO!$A:$R,16,FALSE)</f>
        <v>0</v>
      </c>
      <c r="J39" s="17">
        <f t="shared" si="3"/>
        <v>0</v>
      </c>
      <c r="K39" s="16">
        <f t="shared" si="4"/>
        <v>2674.92</v>
      </c>
      <c r="L39" s="17">
        <f t="shared" si="5"/>
        <v>1</v>
      </c>
      <c r="M39" s="17">
        <f t="shared" si="6"/>
        <v>3.6752534650810729E-3</v>
      </c>
    </row>
    <row r="40" spans="1:13" x14ac:dyDescent="0.3">
      <c r="A40" s="15" t="s">
        <v>52</v>
      </c>
      <c r="B40" s="22" t="str">
        <f>VLOOKUP(A40,ORCAMENTO!$A:$I,2,FALSE)</f>
        <v>COBERTURA</v>
      </c>
      <c r="C40" s="16">
        <f>VLOOKUP(A40,ORCAMENTO!$A:$I,9,FALSE)</f>
        <v>1332.15</v>
      </c>
      <c r="D40" s="17">
        <f t="shared" ref="D40:D71" si="7">C40/$C$119</f>
        <v>1.8303309644803402E-3</v>
      </c>
      <c r="E40" s="16">
        <f>VLOOKUP(A40,CO!$A:$R,10,FALSE)</f>
        <v>1332.15</v>
      </c>
      <c r="F40" s="17">
        <f t="shared" ref="F40:F71" si="8">E40/C40</f>
        <v>1</v>
      </c>
      <c r="G40" s="16">
        <f>VLOOKUP(A40,CO!$A:$R,13,FALSE)</f>
        <v>0</v>
      </c>
      <c r="H40" s="17">
        <f t="shared" ref="H40:H71" si="9">G40/C40</f>
        <v>0</v>
      </c>
      <c r="I40" s="16">
        <f>VLOOKUP(A40,CO!$A:$R,16,FALSE)</f>
        <v>0</v>
      </c>
      <c r="J40" s="17">
        <f t="shared" ref="J40:J71" si="10">I40/C40</f>
        <v>0</v>
      </c>
      <c r="K40" s="16">
        <f t="shared" ref="K40:K71" si="11">SUM(E40,G40,I40,)</f>
        <v>1332.15</v>
      </c>
      <c r="L40" s="17">
        <f t="shared" ref="L40:L71" si="12">SUM(F40,H40,J40,)</f>
        <v>1</v>
      </c>
      <c r="M40" s="17">
        <f t="shared" ref="M40:M71" si="13">K40/$C$119</f>
        <v>1.8303309644803402E-3</v>
      </c>
    </row>
    <row r="41" spans="1:13" x14ac:dyDescent="0.3">
      <c r="A41" s="15" t="s">
        <v>53</v>
      </c>
      <c r="B41" s="22" t="str">
        <f>VLOOKUP(A41,ORCAMENTO!$A:$I,2,FALSE)</f>
        <v>PISO</v>
      </c>
      <c r="C41" s="16">
        <f>VLOOKUP(A41,ORCAMENTO!$A:$I,9,FALSE)</f>
        <v>1208.82</v>
      </c>
      <c r="D41" s="17">
        <f t="shared" si="7"/>
        <v>1.6608795379522761E-3</v>
      </c>
      <c r="E41" s="16">
        <f>VLOOKUP(A41,CO!$A:$R,10,FALSE)</f>
        <v>1208.82</v>
      </c>
      <c r="F41" s="17">
        <f t="shared" si="8"/>
        <v>1</v>
      </c>
      <c r="G41" s="16">
        <f>VLOOKUP(A41,CO!$A:$R,13,FALSE)</f>
        <v>0</v>
      </c>
      <c r="H41" s="17">
        <f t="shared" si="9"/>
        <v>0</v>
      </c>
      <c r="I41" s="16">
        <f>VLOOKUP(A41,CO!$A:$R,16,FALSE)</f>
        <v>0</v>
      </c>
      <c r="J41" s="17">
        <f t="shared" si="10"/>
        <v>0</v>
      </c>
      <c r="K41" s="16">
        <f t="shared" si="11"/>
        <v>1208.82</v>
      </c>
      <c r="L41" s="17">
        <f t="shared" si="12"/>
        <v>1</v>
      </c>
      <c r="M41" s="17">
        <f t="shared" si="13"/>
        <v>1.6608795379522761E-3</v>
      </c>
    </row>
    <row r="42" spans="1:13" x14ac:dyDescent="0.3">
      <c r="A42" s="15" t="s">
        <v>54</v>
      </c>
      <c r="B42" s="22" t="str">
        <f>VLOOKUP(A42,ORCAMENTO!$A:$I,2,FALSE)</f>
        <v>REVESTIMENTO</v>
      </c>
      <c r="C42" s="16">
        <f>VLOOKUP(A42,ORCAMENTO!$A:$I,9,FALSE)</f>
        <v>2396.75</v>
      </c>
      <c r="D42" s="17">
        <f t="shared" si="7"/>
        <v>3.2930568923306347E-3</v>
      </c>
      <c r="E42" s="16">
        <f>VLOOKUP(A42,CO!$A:$R,10,FALSE)</f>
        <v>2396.75</v>
      </c>
      <c r="F42" s="17">
        <f t="shared" si="8"/>
        <v>1</v>
      </c>
      <c r="G42" s="16">
        <f>VLOOKUP(A42,CO!$A:$R,13,FALSE)</f>
        <v>0</v>
      </c>
      <c r="H42" s="17">
        <f t="shared" si="9"/>
        <v>0</v>
      </c>
      <c r="I42" s="16">
        <f>VLOOKUP(A42,CO!$A:$R,16,FALSE)</f>
        <v>0</v>
      </c>
      <c r="J42" s="17">
        <f t="shared" si="10"/>
        <v>0</v>
      </c>
      <c r="K42" s="16">
        <f t="shared" si="11"/>
        <v>2396.75</v>
      </c>
      <c r="L42" s="17">
        <f t="shared" si="12"/>
        <v>1</v>
      </c>
      <c r="M42" s="17">
        <f t="shared" si="13"/>
        <v>3.2930568923306347E-3</v>
      </c>
    </row>
    <row r="43" spans="1:13" x14ac:dyDescent="0.3">
      <c r="A43" s="15" t="s">
        <v>55</v>
      </c>
      <c r="B43" s="22" t="str">
        <f>VLOOKUP(A43,ORCAMENTO!$A:$I,2,FALSE)</f>
        <v>ESQUADRIAS</v>
      </c>
      <c r="C43" s="16">
        <f>VLOOKUP(A43,ORCAMENTO!$A:$I,9,FALSE)</f>
        <v>4550.21</v>
      </c>
      <c r="D43" s="17">
        <f t="shared" si="7"/>
        <v>6.2518412024832699E-3</v>
      </c>
      <c r="E43" s="16">
        <f>VLOOKUP(A43,CO!$A:$R,10,FALSE)</f>
        <v>4550.21</v>
      </c>
      <c r="F43" s="17">
        <f t="shared" si="8"/>
        <v>1</v>
      </c>
      <c r="G43" s="16">
        <f>VLOOKUP(A43,CO!$A:$R,13,FALSE)</f>
        <v>0</v>
      </c>
      <c r="H43" s="17">
        <f t="shared" si="9"/>
        <v>0</v>
      </c>
      <c r="I43" s="16">
        <f>VLOOKUP(A43,CO!$A:$R,16,FALSE)</f>
        <v>0</v>
      </c>
      <c r="J43" s="17">
        <f t="shared" si="10"/>
        <v>0</v>
      </c>
      <c r="K43" s="16">
        <f t="shared" si="11"/>
        <v>4550.21</v>
      </c>
      <c r="L43" s="17">
        <f t="shared" si="12"/>
        <v>1</v>
      </c>
      <c r="M43" s="17">
        <f t="shared" si="13"/>
        <v>6.2518412024832699E-3</v>
      </c>
    </row>
    <row r="44" spans="1:13" x14ac:dyDescent="0.3">
      <c r="A44" s="15" t="s">
        <v>56</v>
      </c>
      <c r="B44" s="22" t="str">
        <f>VLOOKUP(A44,ORCAMENTO!$A:$I,2,FALSE)</f>
        <v>PINTURA</v>
      </c>
      <c r="C44" s="16">
        <f>VLOOKUP(A44,ORCAMENTO!$A:$I,9,FALSE)</f>
        <v>663.11</v>
      </c>
      <c r="D44" s="17">
        <f t="shared" si="7"/>
        <v>9.1109166824798889E-4</v>
      </c>
      <c r="E44" s="16">
        <f>VLOOKUP(A44,CO!$A:$R,10,FALSE)</f>
        <v>663.11</v>
      </c>
      <c r="F44" s="17">
        <f t="shared" si="8"/>
        <v>1</v>
      </c>
      <c r="G44" s="16">
        <f>VLOOKUP(A44,CO!$A:$R,13,FALSE)</f>
        <v>0</v>
      </c>
      <c r="H44" s="17">
        <f t="shared" si="9"/>
        <v>0</v>
      </c>
      <c r="I44" s="16">
        <f>VLOOKUP(A44,CO!$A:$R,16,FALSE)</f>
        <v>0</v>
      </c>
      <c r="J44" s="17">
        <f t="shared" si="10"/>
        <v>0</v>
      </c>
      <c r="K44" s="16">
        <f t="shared" si="11"/>
        <v>663.11</v>
      </c>
      <c r="L44" s="17">
        <f t="shared" si="12"/>
        <v>1</v>
      </c>
      <c r="M44" s="17">
        <f t="shared" si="13"/>
        <v>9.1109166824798889E-4</v>
      </c>
    </row>
    <row r="45" spans="1:13" x14ac:dyDescent="0.3">
      <c r="A45" s="15" t="s">
        <v>57</v>
      </c>
      <c r="B45" s="22" t="str">
        <f>VLOOKUP(A45,ORCAMENTO!$A:$I,2,FALSE)</f>
        <v>CERCAMENTO</v>
      </c>
      <c r="C45" s="16">
        <f>VLOOKUP(A45,ORCAMENTO!$A:$I,9,FALSE)</f>
        <v>6063.93</v>
      </c>
      <c r="D45" s="17">
        <f t="shared" si="7"/>
        <v>8.3316434676584984E-3</v>
      </c>
      <c r="E45" s="16">
        <f>VLOOKUP(A45,CO!$A:$R,10,FALSE)</f>
        <v>6063.93</v>
      </c>
      <c r="F45" s="17">
        <f t="shared" si="8"/>
        <v>1</v>
      </c>
      <c r="G45" s="16">
        <f>VLOOKUP(A45,CO!$A:$R,13,FALSE)</f>
        <v>0</v>
      </c>
      <c r="H45" s="17">
        <f t="shared" si="9"/>
        <v>0</v>
      </c>
      <c r="I45" s="16">
        <f>VLOOKUP(A45,CO!$A:$R,16,FALSE)</f>
        <v>0</v>
      </c>
      <c r="J45" s="17">
        <f t="shared" si="10"/>
        <v>0</v>
      </c>
      <c r="K45" s="16">
        <f t="shared" si="11"/>
        <v>6063.93</v>
      </c>
      <c r="L45" s="17">
        <f t="shared" si="12"/>
        <v>1</v>
      </c>
      <c r="M45" s="17">
        <f t="shared" si="13"/>
        <v>8.3316434676584984E-3</v>
      </c>
    </row>
    <row r="46" spans="1:13" x14ac:dyDescent="0.3">
      <c r="A46" s="12" t="s">
        <v>58</v>
      </c>
      <c r="B46" s="21" t="str">
        <f>VLOOKUP(A46,ORCAMENTO!$A:$I,2,FALSE)</f>
        <v>INSTALAÇÕES ELÉTRICAS</v>
      </c>
      <c r="C46" s="13">
        <f>VLOOKUP(A46,ORCAMENTO!$A:$I,9,FALSE)</f>
        <v>1853.2700000000002</v>
      </c>
      <c r="D46" s="14">
        <f t="shared" si="7"/>
        <v>2.5463329704181062E-3</v>
      </c>
      <c r="E46" s="13">
        <f>VLOOKUP(A46,CO!$A:$R,10,FALSE)</f>
        <v>1853.2700000000002</v>
      </c>
      <c r="F46" s="14">
        <f t="shared" si="8"/>
        <v>1</v>
      </c>
      <c r="G46" s="13">
        <f>VLOOKUP(A46,CO!$A:$R,13,FALSE)</f>
        <v>0</v>
      </c>
      <c r="H46" s="14">
        <f t="shared" si="9"/>
        <v>0</v>
      </c>
      <c r="I46" s="13">
        <f>VLOOKUP(A46,CO!$A:$R,16,FALSE)</f>
        <v>0</v>
      </c>
      <c r="J46" s="14">
        <f t="shared" si="10"/>
        <v>0</v>
      </c>
      <c r="K46" s="13">
        <f t="shared" si="11"/>
        <v>1853.2700000000002</v>
      </c>
      <c r="L46" s="14">
        <f t="shared" si="12"/>
        <v>1</v>
      </c>
      <c r="M46" s="14">
        <f t="shared" si="13"/>
        <v>2.5463329704181062E-3</v>
      </c>
    </row>
    <row r="47" spans="1:13" x14ac:dyDescent="0.3">
      <c r="A47" s="12" t="s">
        <v>59</v>
      </c>
      <c r="B47" s="21" t="str">
        <f>VLOOKUP(A47,ORCAMENTO!$A:$I,2,FALSE)</f>
        <v>ADUÇÃO</v>
      </c>
      <c r="C47" s="13">
        <f>VLOOKUP(A47,ORCAMENTO!$A:$I,9,FALSE)</f>
        <v>1351.72</v>
      </c>
      <c r="D47" s="14">
        <f t="shared" si="7"/>
        <v>1.8572195107963557E-3</v>
      </c>
      <c r="E47" s="13">
        <f>SUM(E$48,E$49,E$50,)</f>
        <v>1351.72</v>
      </c>
      <c r="F47" s="14">
        <f t="shared" si="8"/>
        <v>1</v>
      </c>
      <c r="G47" s="13">
        <f>SUM(G$48,G$49,G$50,)</f>
        <v>0</v>
      </c>
      <c r="H47" s="14">
        <f t="shared" si="9"/>
        <v>0</v>
      </c>
      <c r="I47" s="13">
        <f>SUM(I$48,I$49,I$50,)</f>
        <v>0</v>
      </c>
      <c r="J47" s="14">
        <f t="shared" si="10"/>
        <v>0</v>
      </c>
      <c r="K47" s="13">
        <f t="shared" si="11"/>
        <v>1351.72</v>
      </c>
      <c r="L47" s="14">
        <f t="shared" si="12"/>
        <v>1</v>
      </c>
      <c r="M47" s="14">
        <f t="shared" si="13"/>
        <v>1.8572195107963557E-3</v>
      </c>
    </row>
    <row r="48" spans="1:13" x14ac:dyDescent="0.3">
      <c r="A48" s="15" t="s">
        <v>60</v>
      </c>
      <c r="B48" s="22" t="str">
        <f>VLOOKUP(A48,ORCAMENTO!$A:$I,2,FALSE)</f>
        <v>MOVIMENTO DE TERRA</v>
      </c>
      <c r="C48" s="16">
        <f>VLOOKUP(A48,ORCAMENTO!$A:$I,9,FALSE)</f>
        <v>423.02</v>
      </c>
      <c r="D48" s="17">
        <f t="shared" si="7"/>
        <v>5.8121578245278187E-4</v>
      </c>
      <c r="E48" s="16">
        <f>VLOOKUP(A48,CO!$A:$R,10,FALSE)</f>
        <v>423.02</v>
      </c>
      <c r="F48" s="17">
        <f t="shared" si="8"/>
        <v>1</v>
      </c>
      <c r="G48" s="16">
        <f>VLOOKUP(A48,CO!$A:$R,13,FALSE)</f>
        <v>0</v>
      </c>
      <c r="H48" s="17">
        <f t="shared" si="9"/>
        <v>0</v>
      </c>
      <c r="I48" s="16">
        <f>VLOOKUP(A48,CO!$A:$R,16,FALSE)</f>
        <v>0</v>
      </c>
      <c r="J48" s="17">
        <f t="shared" si="10"/>
        <v>0</v>
      </c>
      <c r="K48" s="16">
        <f t="shared" si="11"/>
        <v>423.02</v>
      </c>
      <c r="L48" s="17">
        <f t="shared" si="12"/>
        <v>1</v>
      </c>
      <c r="M48" s="17">
        <f t="shared" si="13"/>
        <v>5.8121578245278187E-4</v>
      </c>
    </row>
    <row r="49" spans="1:13" x14ac:dyDescent="0.3">
      <c r="A49" s="15" t="s">
        <v>61</v>
      </c>
      <c r="B49" s="22" t="str">
        <f>VLOOKUP(A49,ORCAMENTO!$A:$I,2,FALSE)</f>
        <v>INFRAESTRUTURA</v>
      </c>
      <c r="C49" s="16">
        <f>VLOOKUP(A49,ORCAMENTO!$A:$I,9,FALSE)</f>
        <v>265.19</v>
      </c>
      <c r="D49" s="17">
        <f t="shared" si="7"/>
        <v>3.6436247304773588E-4</v>
      </c>
      <c r="E49" s="16">
        <f>VLOOKUP(A49,CO!$A:$R,10,FALSE)</f>
        <v>265.19</v>
      </c>
      <c r="F49" s="17">
        <f t="shared" si="8"/>
        <v>1</v>
      </c>
      <c r="G49" s="16">
        <f>VLOOKUP(A49,CO!$A:$R,13,FALSE)</f>
        <v>0</v>
      </c>
      <c r="H49" s="17">
        <f t="shared" si="9"/>
        <v>0</v>
      </c>
      <c r="I49" s="16">
        <f>VLOOKUP(A49,CO!$A:$R,16,FALSE)</f>
        <v>0</v>
      </c>
      <c r="J49" s="17">
        <f t="shared" si="10"/>
        <v>0</v>
      </c>
      <c r="K49" s="16">
        <f t="shared" si="11"/>
        <v>265.19</v>
      </c>
      <c r="L49" s="17">
        <f t="shared" si="12"/>
        <v>1</v>
      </c>
      <c r="M49" s="17">
        <f t="shared" si="13"/>
        <v>3.6436247304773588E-4</v>
      </c>
    </row>
    <row r="50" spans="1:13" x14ac:dyDescent="0.3">
      <c r="A50" s="15" t="s">
        <v>62</v>
      </c>
      <c r="B50" s="22" t="str">
        <f>VLOOKUP(A50,ORCAMENTO!$A:$I,2,FALSE)</f>
        <v>INSTALAÇÕES HIDRÁULICAS</v>
      </c>
      <c r="C50" s="16">
        <f>VLOOKUP(A50,ORCAMENTO!$A:$I,9,FALSE)</f>
        <v>663.51</v>
      </c>
      <c r="D50" s="17">
        <f t="shared" si="7"/>
        <v>9.1164125529583789E-4</v>
      </c>
      <c r="E50" s="16">
        <f>VLOOKUP(A50,CO!$A:$R,10,FALSE)</f>
        <v>663.51</v>
      </c>
      <c r="F50" s="17">
        <f t="shared" si="8"/>
        <v>1</v>
      </c>
      <c r="G50" s="16">
        <f>VLOOKUP(A50,CO!$A:$R,13,FALSE)</f>
        <v>0</v>
      </c>
      <c r="H50" s="17">
        <f t="shared" si="9"/>
        <v>0</v>
      </c>
      <c r="I50" s="16">
        <f>VLOOKUP(A50,CO!$A:$R,16,FALSE)</f>
        <v>0</v>
      </c>
      <c r="J50" s="17">
        <f t="shared" si="10"/>
        <v>0</v>
      </c>
      <c r="K50" s="16">
        <f t="shared" si="11"/>
        <v>663.51</v>
      </c>
      <c r="L50" s="17">
        <f t="shared" si="12"/>
        <v>1</v>
      </c>
      <c r="M50" s="17">
        <f t="shared" si="13"/>
        <v>9.1164125529583789E-4</v>
      </c>
    </row>
    <row r="51" spans="1:13" x14ac:dyDescent="0.3">
      <c r="A51" s="12" t="s">
        <v>63</v>
      </c>
      <c r="B51" s="21" t="str">
        <f>VLOOKUP(A51,ORCAMENTO!$A:$I,2,FALSE)</f>
        <v>RESERVAÇÃO</v>
      </c>
      <c r="C51" s="13">
        <f>VLOOKUP(A51,ORCAMENTO!$A:$I,9,FALSE)</f>
        <v>20347.62</v>
      </c>
      <c r="D51" s="14">
        <f t="shared" si="7"/>
        <v>2.7956971016386636E-2</v>
      </c>
      <c r="E51" s="13">
        <f>VLOOKUP(A51,CO!$A:$R,10,FALSE)</f>
        <v>20347.62</v>
      </c>
      <c r="F51" s="14">
        <f t="shared" si="8"/>
        <v>1</v>
      </c>
      <c r="G51" s="13">
        <f>VLOOKUP(A51,CO!$A:$R,13,FALSE)</f>
        <v>0</v>
      </c>
      <c r="H51" s="14">
        <f t="shared" si="9"/>
        <v>0</v>
      </c>
      <c r="I51" s="13">
        <f>VLOOKUP(A51,CO!$A:$R,16,FALSE)</f>
        <v>0</v>
      </c>
      <c r="J51" s="14">
        <f t="shared" si="10"/>
        <v>0</v>
      </c>
      <c r="K51" s="13">
        <f t="shared" si="11"/>
        <v>20347.62</v>
      </c>
      <c r="L51" s="14">
        <f t="shared" si="12"/>
        <v>1</v>
      </c>
      <c r="M51" s="14">
        <f t="shared" si="13"/>
        <v>2.7956971016386636E-2</v>
      </c>
    </row>
    <row r="52" spans="1:13" x14ac:dyDescent="0.3">
      <c r="A52" s="12" t="s">
        <v>64</v>
      </c>
      <c r="B52" s="21" t="str">
        <f>VLOOKUP(A52,ORCAMENTO!$A:$I,2,FALSE)</f>
        <v>DISTRIBUIÇÃO (CHAFARIZ)</v>
      </c>
      <c r="C52" s="13">
        <f>VLOOKUP(A52,ORCAMENTO!$A:$I,9,FALSE)</f>
        <v>2831.9999999999995</v>
      </c>
      <c r="D52" s="14">
        <f t="shared" si="7"/>
        <v>3.8910762987714015E-3</v>
      </c>
      <c r="E52" s="13">
        <f>VLOOKUP(A52,CO!$A:$R,10,FALSE)</f>
        <v>2831.9999999999995</v>
      </c>
      <c r="F52" s="14">
        <f t="shared" si="8"/>
        <v>1</v>
      </c>
      <c r="G52" s="13">
        <f>VLOOKUP(A52,CO!$A:$R,13,FALSE)</f>
        <v>0</v>
      </c>
      <c r="H52" s="14">
        <f t="shared" si="9"/>
        <v>0</v>
      </c>
      <c r="I52" s="13">
        <f>VLOOKUP(A52,CO!$A:$R,16,FALSE)</f>
        <v>0</v>
      </c>
      <c r="J52" s="14">
        <f t="shared" si="10"/>
        <v>0</v>
      </c>
      <c r="K52" s="13">
        <f t="shared" si="11"/>
        <v>2831.9999999999995</v>
      </c>
      <c r="L52" s="14">
        <f t="shared" si="12"/>
        <v>1</v>
      </c>
      <c r="M52" s="14">
        <f t="shared" si="13"/>
        <v>3.8910762987714015E-3</v>
      </c>
    </row>
    <row r="53" spans="1:13" x14ac:dyDescent="0.3">
      <c r="A53" s="9">
        <v>4</v>
      </c>
      <c r="B53" s="20" t="str">
        <f>VLOOKUP(A53,ORCAMENTO!$A:$I,2,FALSE)</f>
        <v>COMUNIDADE LAGOA DOURADA</v>
      </c>
      <c r="C53" s="10">
        <f>VLOOKUP(A53,ORCAMENTO!$A:$I,9,FALSE)</f>
        <v>136162.86000000002</v>
      </c>
      <c r="D53" s="11">
        <f t="shared" si="7"/>
        <v>0.18708336063521491</v>
      </c>
      <c r="E53" s="10">
        <f>SUM(E$54,E$55,E$56,E$68,E$69,E$73,E$74,)</f>
        <v>0</v>
      </c>
      <c r="F53" s="11">
        <f t="shared" si="8"/>
        <v>0</v>
      </c>
      <c r="G53" s="10">
        <f>SUM(G$54,G$55,G$56,G$68,G$69,G$73,G$74,)</f>
        <v>136162.86000000002</v>
      </c>
      <c r="H53" s="11">
        <f t="shared" si="9"/>
        <v>1</v>
      </c>
      <c r="I53" s="10">
        <f>SUM(I$54,I$55,I$56,I$68,I$69,I$73,I$74,)</f>
        <v>0</v>
      </c>
      <c r="J53" s="11">
        <f t="shared" si="10"/>
        <v>0</v>
      </c>
      <c r="K53" s="10">
        <f t="shared" si="11"/>
        <v>136162.86000000002</v>
      </c>
      <c r="L53" s="11">
        <f t="shared" si="12"/>
        <v>1</v>
      </c>
      <c r="M53" s="11">
        <f t="shared" si="13"/>
        <v>0.18708336063521491</v>
      </c>
    </row>
    <row r="54" spans="1:13" x14ac:dyDescent="0.3">
      <c r="A54" s="12" t="s">
        <v>65</v>
      </c>
      <c r="B54" s="21" t="str">
        <f>VLOOKUP(A54,ORCAMENTO!$A:$I,2,FALSE)</f>
        <v>PERFURAÇÃO DE POÇO TUBULAR</v>
      </c>
      <c r="C54" s="13">
        <f>VLOOKUP(A54,ORCAMENTO!$A:$I,9,FALSE)</f>
        <v>64587.16</v>
      </c>
      <c r="D54" s="14">
        <f t="shared" si="7"/>
        <v>8.8740666483388547E-2</v>
      </c>
      <c r="E54" s="13">
        <f>VLOOKUP(A54,CO!$A:$R,10,FALSE)</f>
        <v>0</v>
      </c>
      <c r="F54" s="14">
        <f t="shared" si="8"/>
        <v>0</v>
      </c>
      <c r="G54" s="13">
        <f>VLOOKUP(A54,CO!$A:$R,13,FALSE)</f>
        <v>64587.16</v>
      </c>
      <c r="H54" s="14">
        <f t="shared" si="9"/>
        <v>1</v>
      </c>
      <c r="I54" s="13">
        <f>VLOOKUP(A54,CO!$A:$R,16,FALSE)</f>
        <v>0</v>
      </c>
      <c r="J54" s="14">
        <f t="shared" si="10"/>
        <v>0</v>
      </c>
      <c r="K54" s="13">
        <f t="shared" si="11"/>
        <v>64587.16</v>
      </c>
      <c r="L54" s="14">
        <f t="shared" si="12"/>
        <v>1</v>
      </c>
      <c r="M54" s="14">
        <f t="shared" si="13"/>
        <v>8.8740666483388547E-2</v>
      </c>
    </row>
    <row r="55" spans="1:13" ht="43.2" x14ac:dyDescent="0.3">
      <c r="A55" s="12" t="s">
        <v>66</v>
      </c>
      <c r="B55" s="21" t="str">
        <f>VLOOKUP(A55,ORCAMENTO!$A:$I,2,FALSE)</f>
        <v>AQUISIÇÃO E INSTALAÇÃO DE EQUIPAMENTOS DE BOMBEAMENTO, RECALQUE/BARRILETE E CONEXÕES PARA INTERLIGAÇÃO COM RESERVATÓRIO</v>
      </c>
      <c r="C55" s="13">
        <f>VLOOKUP(A55,ORCAMENTO!$A:$I,9,FALSE)</f>
        <v>19625.579999999998</v>
      </c>
      <c r="D55" s="14">
        <f t="shared" si="7"/>
        <v>2.6964911436314281E-2</v>
      </c>
      <c r="E55" s="13">
        <f>VLOOKUP(A55,CO!$A:$R,10,FALSE)</f>
        <v>0</v>
      </c>
      <c r="F55" s="14">
        <f t="shared" si="8"/>
        <v>0</v>
      </c>
      <c r="G55" s="13">
        <f>VLOOKUP(A55,CO!$A:$R,13,FALSE)</f>
        <v>19625.579999999998</v>
      </c>
      <c r="H55" s="14">
        <f t="shared" si="9"/>
        <v>1</v>
      </c>
      <c r="I55" s="13">
        <f>VLOOKUP(A55,CO!$A:$R,16,FALSE)</f>
        <v>0</v>
      </c>
      <c r="J55" s="14">
        <f t="shared" si="10"/>
        <v>0</v>
      </c>
      <c r="K55" s="13">
        <f t="shared" si="11"/>
        <v>19625.579999999998</v>
      </c>
      <c r="L55" s="14">
        <f t="shared" si="12"/>
        <v>1</v>
      </c>
      <c r="M55" s="14">
        <f t="shared" si="13"/>
        <v>2.6964911436314281E-2</v>
      </c>
    </row>
    <row r="56" spans="1:13" x14ac:dyDescent="0.3">
      <c r="A56" s="12" t="s">
        <v>67</v>
      </c>
      <c r="B56" s="21" t="str">
        <f>VLOOKUP(A56,ORCAMENTO!$A:$I,2,FALSE)</f>
        <v>CONSTRUÇÃO DA CASA DE COMANDO</v>
      </c>
      <c r="C56" s="13">
        <f>VLOOKUP(A56,ORCAMENTO!$A:$I,9,FALSE)</f>
        <v>25565.510000000002</v>
      </c>
      <c r="D56" s="14">
        <f t="shared" si="7"/>
        <v>3.5126182919139576E-2</v>
      </c>
      <c r="E56" s="13">
        <f>SUM(E$57,E$58,E$59,E$60,E$61,E$62,E$63,E$64,E$65,E$66,E$67,)</f>
        <v>0</v>
      </c>
      <c r="F56" s="14">
        <f t="shared" si="8"/>
        <v>0</v>
      </c>
      <c r="G56" s="13">
        <f>SUM(G$57,G$58,G$59,G$60,G$61,G$62,G$63,G$64,G$65,G$66,G$67,)</f>
        <v>25565.510000000002</v>
      </c>
      <c r="H56" s="14">
        <f t="shared" si="9"/>
        <v>1</v>
      </c>
      <c r="I56" s="13">
        <f>SUM(I$57,I$58,I$59,I$60,I$61,I$62,I$63,I$64,I$65,I$66,I$67,)</f>
        <v>0</v>
      </c>
      <c r="J56" s="14">
        <f t="shared" si="10"/>
        <v>0</v>
      </c>
      <c r="K56" s="13">
        <f t="shared" si="11"/>
        <v>25565.510000000002</v>
      </c>
      <c r="L56" s="14">
        <f t="shared" si="12"/>
        <v>1</v>
      </c>
      <c r="M56" s="14">
        <f t="shared" si="13"/>
        <v>3.5126182919139576E-2</v>
      </c>
    </row>
    <row r="57" spans="1:13" x14ac:dyDescent="0.3">
      <c r="A57" s="15" t="s">
        <v>68</v>
      </c>
      <c r="B57" s="22" t="str">
        <f>VLOOKUP(A57,ORCAMENTO!$A:$I,2,FALSE)</f>
        <v>SERVIÇOS PRELIMINARES</v>
      </c>
      <c r="C57" s="16">
        <f>VLOOKUP(A57,ORCAMENTO!$A:$I,9,FALSE)</f>
        <v>3887.12</v>
      </c>
      <c r="D57" s="17">
        <f t="shared" si="7"/>
        <v>5.3407770135876732E-3</v>
      </c>
      <c r="E57" s="16">
        <f>VLOOKUP(A57,CO!$A:$R,10,FALSE)</f>
        <v>0</v>
      </c>
      <c r="F57" s="17">
        <f t="shared" si="8"/>
        <v>0</v>
      </c>
      <c r="G57" s="16">
        <f>VLOOKUP(A57,CO!$A:$R,13,FALSE)</f>
        <v>3887.12</v>
      </c>
      <c r="H57" s="17">
        <f t="shared" si="9"/>
        <v>1</v>
      </c>
      <c r="I57" s="16">
        <f>VLOOKUP(A57,CO!$A:$R,16,FALSE)</f>
        <v>0</v>
      </c>
      <c r="J57" s="17">
        <f t="shared" si="10"/>
        <v>0</v>
      </c>
      <c r="K57" s="16">
        <f t="shared" si="11"/>
        <v>3887.12</v>
      </c>
      <c r="L57" s="17">
        <f t="shared" si="12"/>
        <v>1</v>
      </c>
      <c r="M57" s="17">
        <f t="shared" si="13"/>
        <v>5.3407770135876732E-3</v>
      </c>
    </row>
    <row r="58" spans="1:13" x14ac:dyDescent="0.3">
      <c r="A58" s="15" t="s">
        <v>69</v>
      </c>
      <c r="B58" s="22" t="str">
        <f>VLOOKUP(A58,ORCAMENTO!$A:$I,2,FALSE)</f>
        <v>MOVIMENTO DE TERRA</v>
      </c>
      <c r="C58" s="16">
        <f>VLOOKUP(A58,ORCAMENTO!$A:$I,9,FALSE)</f>
        <v>165.09</v>
      </c>
      <c r="D58" s="17">
        <f t="shared" si="7"/>
        <v>2.2682831432350661E-4</v>
      </c>
      <c r="E58" s="16">
        <f>VLOOKUP(A58,CO!$A:$R,10,FALSE)</f>
        <v>0</v>
      </c>
      <c r="F58" s="17">
        <f t="shared" si="8"/>
        <v>0</v>
      </c>
      <c r="G58" s="16">
        <f>VLOOKUP(A58,CO!$A:$R,13,FALSE)</f>
        <v>165.09</v>
      </c>
      <c r="H58" s="17">
        <f t="shared" si="9"/>
        <v>1</v>
      </c>
      <c r="I58" s="16">
        <f>VLOOKUP(A58,CO!$A:$R,16,FALSE)</f>
        <v>0</v>
      </c>
      <c r="J58" s="17">
        <f t="shared" si="10"/>
        <v>0</v>
      </c>
      <c r="K58" s="16">
        <f t="shared" si="11"/>
        <v>165.09</v>
      </c>
      <c r="L58" s="17">
        <f t="shared" si="12"/>
        <v>1</v>
      </c>
      <c r="M58" s="17">
        <f t="shared" si="13"/>
        <v>2.2682831432350661E-4</v>
      </c>
    </row>
    <row r="59" spans="1:13" x14ac:dyDescent="0.3">
      <c r="A59" s="15" t="s">
        <v>70</v>
      </c>
      <c r="B59" s="22" t="str">
        <f>VLOOKUP(A59,ORCAMENTO!$A:$I,2,FALSE)</f>
        <v>INFRAESTRUTURA</v>
      </c>
      <c r="C59" s="16">
        <f>VLOOKUP(A59,ORCAMENTO!$A:$I,9,FALSE)</f>
        <v>1275.5</v>
      </c>
      <c r="D59" s="17">
        <f t="shared" si="7"/>
        <v>1.7524956988287158E-3</v>
      </c>
      <c r="E59" s="16">
        <f>VLOOKUP(A59,CO!$A:$R,10,FALSE)</f>
        <v>0</v>
      </c>
      <c r="F59" s="17">
        <f t="shared" si="8"/>
        <v>0</v>
      </c>
      <c r="G59" s="16">
        <f>VLOOKUP(A59,CO!$A:$R,13,FALSE)</f>
        <v>1275.5</v>
      </c>
      <c r="H59" s="17">
        <f t="shared" si="9"/>
        <v>1</v>
      </c>
      <c r="I59" s="16">
        <f>VLOOKUP(A59,CO!$A:$R,16,FALSE)</f>
        <v>0</v>
      </c>
      <c r="J59" s="17">
        <f t="shared" si="10"/>
        <v>0</v>
      </c>
      <c r="K59" s="16">
        <f t="shared" si="11"/>
        <v>1275.5</v>
      </c>
      <c r="L59" s="17">
        <f t="shared" si="12"/>
        <v>1</v>
      </c>
      <c r="M59" s="17">
        <f t="shared" si="13"/>
        <v>1.7524956988287158E-3</v>
      </c>
    </row>
    <row r="60" spans="1:13" x14ac:dyDescent="0.3">
      <c r="A60" s="15" t="s">
        <v>71</v>
      </c>
      <c r="B60" s="22" t="str">
        <f>VLOOKUP(A60,ORCAMENTO!$A:$I,2,FALSE)</f>
        <v>SUPERESTRUTURA</v>
      </c>
      <c r="C60" s="16">
        <f>VLOOKUP(A60,ORCAMENTO!$A:$I,9,FALSE)</f>
        <v>1347.9099999999999</v>
      </c>
      <c r="D60" s="17">
        <f t="shared" si="7"/>
        <v>1.8519846941655932E-3</v>
      </c>
      <c r="E60" s="16">
        <f>VLOOKUP(A60,CO!$A:$R,10,FALSE)</f>
        <v>0</v>
      </c>
      <c r="F60" s="17">
        <f t="shared" si="8"/>
        <v>0</v>
      </c>
      <c r="G60" s="16">
        <f>VLOOKUP(A60,CO!$A:$R,13,FALSE)</f>
        <v>1347.9099999999999</v>
      </c>
      <c r="H60" s="17">
        <f t="shared" si="9"/>
        <v>1</v>
      </c>
      <c r="I60" s="16">
        <f>VLOOKUP(A60,CO!$A:$R,16,FALSE)</f>
        <v>0</v>
      </c>
      <c r="J60" s="17">
        <f t="shared" si="10"/>
        <v>0</v>
      </c>
      <c r="K60" s="16">
        <f t="shared" si="11"/>
        <v>1347.9099999999999</v>
      </c>
      <c r="L60" s="17">
        <f t="shared" si="12"/>
        <v>1</v>
      </c>
      <c r="M60" s="17">
        <f t="shared" si="13"/>
        <v>1.8519846941655932E-3</v>
      </c>
    </row>
    <row r="61" spans="1:13" x14ac:dyDescent="0.3">
      <c r="A61" s="15" t="s">
        <v>72</v>
      </c>
      <c r="B61" s="22" t="str">
        <f>VLOOKUP(A61,ORCAMENTO!$A:$I,2,FALSE)</f>
        <v>VEDAÇÃO VERTICAL</v>
      </c>
      <c r="C61" s="16">
        <f>VLOOKUP(A61,ORCAMENTO!$A:$I,9,FALSE)</f>
        <v>2674.92</v>
      </c>
      <c r="D61" s="17">
        <f t="shared" si="7"/>
        <v>3.6752534650810729E-3</v>
      </c>
      <c r="E61" s="16">
        <f>VLOOKUP(A61,CO!$A:$R,10,FALSE)</f>
        <v>0</v>
      </c>
      <c r="F61" s="17">
        <f t="shared" si="8"/>
        <v>0</v>
      </c>
      <c r="G61" s="16">
        <f>VLOOKUP(A61,CO!$A:$R,13,FALSE)</f>
        <v>2674.92</v>
      </c>
      <c r="H61" s="17">
        <f t="shared" si="9"/>
        <v>1</v>
      </c>
      <c r="I61" s="16">
        <f>VLOOKUP(A61,CO!$A:$R,16,FALSE)</f>
        <v>0</v>
      </c>
      <c r="J61" s="17">
        <f t="shared" si="10"/>
        <v>0</v>
      </c>
      <c r="K61" s="16">
        <f t="shared" si="11"/>
        <v>2674.92</v>
      </c>
      <c r="L61" s="17">
        <f t="shared" si="12"/>
        <v>1</v>
      </c>
      <c r="M61" s="17">
        <f t="shared" si="13"/>
        <v>3.6752534650810729E-3</v>
      </c>
    </row>
    <row r="62" spans="1:13" x14ac:dyDescent="0.3">
      <c r="A62" s="15" t="s">
        <v>73</v>
      </c>
      <c r="B62" s="22" t="str">
        <f>VLOOKUP(A62,ORCAMENTO!$A:$I,2,FALSE)</f>
        <v>COBERTURA</v>
      </c>
      <c r="C62" s="16">
        <f>VLOOKUP(A62,ORCAMENTO!$A:$I,9,FALSE)</f>
        <v>1332.15</v>
      </c>
      <c r="D62" s="17">
        <f t="shared" si="7"/>
        <v>1.8303309644803402E-3</v>
      </c>
      <c r="E62" s="16">
        <f>VLOOKUP(A62,CO!$A:$R,10,FALSE)</f>
        <v>0</v>
      </c>
      <c r="F62" s="17">
        <f t="shared" si="8"/>
        <v>0</v>
      </c>
      <c r="G62" s="16">
        <f>VLOOKUP(A62,CO!$A:$R,13,FALSE)</f>
        <v>1332.15</v>
      </c>
      <c r="H62" s="17">
        <f t="shared" si="9"/>
        <v>1</v>
      </c>
      <c r="I62" s="16">
        <f>VLOOKUP(A62,CO!$A:$R,16,FALSE)</f>
        <v>0</v>
      </c>
      <c r="J62" s="17">
        <f t="shared" si="10"/>
        <v>0</v>
      </c>
      <c r="K62" s="16">
        <f t="shared" si="11"/>
        <v>1332.15</v>
      </c>
      <c r="L62" s="17">
        <f t="shared" si="12"/>
        <v>1</v>
      </c>
      <c r="M62" s="17">
        <f t="shared" si="13"/>
        <v>1.8303309644803402E-3</v>
      </c>
    </row>
    <row r="63" spans="1:13" x14ac:dyDescent="0.3">
      <c r="A63" s="15" t="s">
        <v>74</v>
      </c>
      <c r="B63" s="22" t="str">
        <f>VLOOKUP(A63,ORCAMENTO!$A:$I,2,FALSE)</f>
        <v>PISO</v>
      </c>
      <c r="C63" s="16">
        <f>VLOOKUP(A63,ORCAMENTO!$A:$I,9,FALSE)</f>
        <v>1208.82</v>
      </c>
      <c r="D63" s="17">
        <f t="shared" si="7"/>
        <v>1.6608795379522761E-3</v>
      </c>
      <c r="E63" s="16">
        <f>VLOOKUP(A63,CO!$A:$R,10,FALSE)</f>
        <v>0</v>
      </c>
      <c r="F63" s="17">
        <f t="shared" si="8"/>
        <v>0</v>
      </c>
      <c r="G63" s="16">
        <f>VLOOKUP(A63,CO!$A:$R,13,FALSE)</f>
        <v>1208.82</v>
      </c>
      <c r="H63" s="17">
        <f t="shared" si="9"/>
        <v>1</v>
      </c>
      <c r="I63" s="16">
        <f>VLOOKUP(A63,CO!$A:$R,16,FALSE)</f>
        <v>0</v>
      </c>
      <c r="J63" s="17">
        <f t="shared" si="10"/>
        <v>0</v>
      </c>
      <c r="K63" s="16">
        <f t="shared" si="11"/>
        <v>1208.82</v>
      </c>
      <c r="L63" s="17">
        <f t="shared" si="12"/>
        <v>1</v>
      </c>
      <c r="M63" s="17">
        <f t="shared" si="13"/>
        <v>1.6608795379522761E-3</v>
      </c>
    </row>
    <row r="64" spans="1:13" x14ac:dyDescent="0.3">
      <c r="A64" s="15" t="s">
        <v>75</v>
      </c>
      <c r="B64" s="22" t="str">
        <f>VLOOKUP(A64,ORCAMENTO!$A:$I,2,FALSE)</f>
        <v>REVESTIMENTO</v>
      </c>
      <c r="C64" s="16">
        <f>VLOOKUP(A64,ORCAMENTO!$A:$I,9,FALSE)</f>
        <v>2396.75</v>
      </c>
      <c r="D64" s="17">
        <f t="shared" si="7"/>
        <v>3.2930568923306347E-3</v>
      </c>
      <c r="E64" s="16">
        <f>VLOOKUP(A64,CO!$A:$R,10,FALSE)</f>
        <v>0</v>
      </c>
      <c r="F64" s="17">
        <f t="shared" si="8"/>
        <v>0</v>
      </c>
      <c r="G64" s="16">
        <f>VLOOKUP(A64,CO!$A:$R,13,FALSE)</f>
        <v>2396.75</v>
      </c>
      <c r="H64" s="17">
        <f t="shared" si="9"/>
        <v>1</v>
      </c>
      <c r="I64" s="16">
        <f>VLOOKUP(A64,CO!$A:$R,16,FALSE)</f>
        <v>0</v>
      </c>
      <c r="J64" s="17">
        <f t="shared" si="10"/>
        <v>0</v>
      </c>
      <c r="K64" s="16">
        <f t="shared" si="11"/>
        <v>2396.75</v>
      </c>
      <c r="L64" s="17">
        <f t="shared" si="12"/>
        <v>1</v>
      </c>
      <c r="M64" s="17">
        <f t="shared" si="13"/>
        <v>3.2930568923306347E-3</v>
      </c>
    </row>
    <row r="65" spans="1:13" x14ac:dyDescent="0.3">
      <c r="A65" s="15" t="s">
        <v>76</v>
      </c>
      <c r="B65" s="22" t="str">
        <f>VLOOKUP(A65,ORCAMENTO!$A:$I,2,FALSE)</f>
        <v>ESQUADRIAS</v>
      </c>
      <c r="C65" s="16">
        <f>VLOOKUP(A65,ORCAMENTO!$A:$I,9,FALSE)</f>
        <v>4550.21</v>
      </c>
      <c r="D65" s="17">
        <f t="shared" si="7"/>
        <v>6.2518412024832699E-3</v>
      </c>
      <c r="E65" s="16">
        <f>VLOOKUP(A65,CO!$A:$R,10,FALSE)</f>
        <v>0</v>
      </c>
      <c r="F65" s="17">
        <f t="shared" si="8"/>
        <v>0</v>
      </c>
      <c r="G65" s="16">
        <f>VLOOKUP(A65,CO!$A:$R,13,FALSE)</f>
        <v>4550.21</v>
      </c>
      <c r="H65" s="17">
        <f t="shared" si="9"/>
        <v>1</v>
      </c>
      <c r="I65" s="16">
        <f>VLOOKUP(A65,CO!$A:$R,16,FALSE)</f>
        <v>0</v>
      </c>
      <c r="J65" s="17">
        <f t="shared" si="10"/>
        <v>0</v>
      </c>
      <c r="K65" s="16">
        <f t="shared" si="11"/>
        <v>4550.21</v>
      </c>
      <c r="L65" s="17">
        <f t="shared" si="12"/>
        <v>1</v>
      </c>
      <c r="M65" s="17">
        <f t="shared" si="13"/>
        <v>6.2518412024832699E-3</v>
      </c>
    </row>
    <row r="66" spans="1:13" x14ac:dyDescent="0.3">
      <c r="A66" s="15" t="s">
        <v>77</v>
      </c>
      <c r="B66" s="22" t="str">
        <f>VLOOKUP(A66,ORCAMENTO!$A:$I,2,FALSE)</f>
        <v>PINTURA</v>
      </c>
      <c r="C66" s="16">
        <f>VLOOKUP(A66,ORCAMENTO!$A:$I,9,FALSE)</f>
        <v>663.11</v>
      </c>
      <c r="D66" s="17">
        <f t="shared" si="7"/>
        <v>9.1109166824798889E-4</v>
      </c>
      <c r="E66" s="16">
        <f>VLOOKUP(A66,CO!$A:$R,10,FALSE)</f>
        <v>0</v>
      </c>
      <c r="F66" s="17">
        <f t="shared" si="8"/>
        <v>0</v>
      </c>
      <c r="G66" s="16">
        <f>VLOOKUP(A66,CO!$A:$R,13,FALSE)</f>
        <v>663.11</v>
      </c>
      <c r="H66" s="17">
        <f t="shared" si="9"/>
        <v>1</v>
      </c>
      <c r="I66" s="16">
        <f>VLOOKUP(A66,CO!$A:$R,16,FALSE)</f>
        <v>0</v>
      </c>
      <c r="J66" s="17">
        <f t="shared" si="10"/>
        <v>0</v>
      </c>
      <c r="K66" s="16">
        <f t="shared" si="11"/>
        <v>663.11</v>
      </c>
      <c r="L66" s="17">
        <f t="shared" si="12"/>
        <v>1</v>
      </c>
      <c r="M66" s="17">
        <f t="shared" si="13"/>
        <v>9.1109166824798889E-4</v>
      </c>
    </row>
    <row r="67" spans="1:13" x14ac:dyDescent="0.3">
      <c r="A67" s="15" t="s">
        <v>78</v>
      </c>
      <c r="B67" s="22" t="str">
        <f>VLOOKUP(A67,ORCAMENTO!$A:$I,2,FALSE)</f>
        <v>CERCAMENTO</v>
      </c>
      <c r="C67" s="16">
        <f>VLOOKUP(A67,ORCAMENTO!$A:$I,9,FALSE)</f>
        <v>6063.93</v>
      </c>
      <c r="D67" s="17">
        <f t="shared" si="7"/>
        <v>8.3316434676584984E-3</v>
      </c>
      <c r="E67" s="16">
        <f>VLOOKUP(A67,CO!$A:$R,10,FALSE)</f>
        <v>0</v>
      </c>
      <c r="F67" s="17">
        <f t="shared" si="8"/>
        <v>0</v>
      </c>
      <c r="G67" s="16">
        <f>VLOOKUP(A67,CO!$A:$R,13,FALSE)</f>
        <v>6063.93</v>
      </c>
      <c r="H67" s="17">
        <f t="shared" si="9"/>
        <v>1</v>
      </c>
      <c r="I67" s="16">
        <f>VLOOKUP(A67,CO!$A:$R,16,FALSE)</f>
        <v>0</v>
      </c>
      <c r="J67" s="17">
        <f t="shared" si="10"/>
        <v>0</v>
      </c>
      <c r="K67" s="16">
        <f t="shared" si="11"/>
        <v>6063.93</v>
      </c>
      <c r="L67" s="17">
        <f t="shared" si="12"/>
        <v>1</v>
      </c>
      <c r="M67" s="17">
        <f t="shared" si="13"/>
        <v>8.3316434676584984E-3</v>
      </c>
    </row>
    <row r="68" spans="1:13" x14ac:dyDescent="0.3">
      <c r="A68" s="12" t="s">
        <v>79</v>
      </c>
      <c r="B68" s="21" t="str">
        <f>VLOOKUP(A68,ORCAMENTO!$A:$I,2,FALSE)</f>
        <v>INSTALAÇÕES ELÉTRICAS</v>
      </c>
      <c r="C68" s="13">
        <f>VLOOKUP(A68,ORCAMENTO!$A:$I,9,FALSE)</f>
        <v>1853.2700000000002</v>
      </c>
      <c r="D68" s="14">
        <f t="shared" si="7"/>
        <v>2.5463329704181062E-3</v>
      </c>
      <c r="E68" s="13">
        <f>VLOOKUP(A68,CO!$A:$R,10,FALSE)</f>
        <v>0</v>
      </c>
      <c r="F68" s="14">
        <f t="shared" si="8"/>
        <v>0</v>
      </c>
      <c r="G68" s="13">
        <f>VLOOKUP(A68,CO!$A:$R,13,FALSE)</f>
        <v>1853.2700000000002</v>
      </c>
      <c r="H68" s="14">
        <f t="shared" si="9"/>
        <v>1</v>
      </c>
      <c r="I68" s="13">
        <f>VLOOKUP(A68,CO!$A:$R,16,FALSE)</f>
        <v>0</v>
      </c>
      <c r="J68" s="14">
        <f t="shared" si="10"/>
        <v>0</v>
      </c>
      <c r="K68" s="13">
        <f t="shared" si="11"/>
        <v>1853.2700000000002</v>
      </c>
      <c r="L68" s="14">
        <f t="shared" si="12"/>
        <v>1</v>
      </c>
      <c r="M68" s="14">
        <f t="shared" si="13"/>
        <v>2.5463329704181062E-3</v>
      </c>
    </row>
    <row r="69" spans="1:13" x14ac:dyDescent="0.3">
      <c r="A69" s="12" t="s">
        <v>80</v>
      </c>
      <c r="B69" s="21" t="str">
        <f>VLOOKUP(A69,ORCAMENTO!$A:$I,2,FALSE)</f>
        <v>ADUÇÃO</v>
      </c>
      <c r="C69" s="13">
        <f>VLOOKUP(A69,ORCAMENTO!$A:$I,9,FALSE)</f>
        <v>1351.72</v>
      </c>
      <c r="D69" s="14">
        <f t="shared" si="7"/>
        <v>1.8572195107963557E-3</v>
      </c>
      <c r="E69" s="13">
        <f>SUM(E$70,E$71,E$72,)</f>
        <v>0</v>
      </c>
      <c r="F69" s="14">
        <f t="shared" si="8"/>
        <v>0</v>
      </c>
      <c r="G69" s="13">
        <f>SUM(G$70,G$71,G$72,)</f>
        <v>1351.72</v>
      </c>
      <c r="H69" s="14">
        <f t="shared" si="9"/>
        <v>1</v>
      </c>
      <c r="I69" s="13">
        <f>SUM(I$70,I$71,I$72,)</f>
        <v>0</v>
      </c>
      <c r="J69" s="14">
        <f t="shared" si="10"/>
        <v>0</v>
      </c>
      <c r="K69" s="13">
        <f t="shared" si="11"/>
        <v>1351.72</v>
      </c>
      <c r="L69" s="14">
        <f t="shared" si="12"/>
        <v>1</v>
      </c>
      <c r="M69" s="14">
        <f t="shared" si="13"/>
        <v>1.8572195107963557E-3</v>
      </c>
    </row>
    <row r="70" spans="1:13" x14ac:dyDescent="0.3">
      <c r="A70" s="15" t="s">
        <v>81</v>
      </c>
      <c r="B70" s="22" t="str">
        <f>VLOOKUP(A70,ORCAMENTO!$A:$I,2,FALSE)</f>
        <v>MOVIMENTO DE TERRA</v>
      </c>
      <c r="C70" s="16">
        <f>VLOOKUP(A70,ORCAMENTO!$A:$I,9,FALSE)</f>
        <v>423.02</v>
      </c>
      <c r="D70" s="17">
        <f t="shared" si="7"/>
        <v>5.8121578245278187E-4</v>
      </c>
      <c r="E70" s="16">
        <f>VLOOKUP(A70,CO!$A:$R,10,FALSE)</f>
        <v>0</v>
      </c>
      <c r="F70" s="17">
        <f t="shared" si="8"/>
        <v>0</v>
      </c>
      <c r="G70" s="16">
        <f>VLOOKUP(A70,CO!$A:$R,13,FALSE)</f>
        <v>423.02</v>
      </c>
      <c r="H70" s="17">
        <f t="shared" si="9"/>
        <v>1</v>
      </c>
      <c r="I70" s="16">
        <f>VLOOKUP(A70,CO!$A:$R,16,FALSE)</f>
        <v>0</v>
      </c>
      <c r="J70" s="17">
        <f t="shared" si="10"/>
        <v>0</v>
      </c>
      <c r="K70" s="16">
        <f t="shared" si="11"/>
        <v>423.02</v>
      </c>
      <c r="L70" s="17">
        <f t="shared" si="12"/>
        <v>1</v>
      </c>
      <c r="M70" s="17">
        <f t="shared" si="13"/>
        <v>5.8121578245278187E-4</v>
      </c>
    </row>
    <row r="71" spans="1:13" x14ac:dyDescent="0.3">
      <c r="A71" s="15" t="s">
        <v>82</v>
      </c>
      <c r="B71" s="22" t="str">
        <f>VLOOKUP(A71,ORCAMENTO!$A:$I,2,FALSE)</f>
        <v>INFRAESTRUTURA</v>
      </c>
      <c r="C71" s="16">
        <f>VLOOKUP(A71,ORCAMENTO!$A:$I,9,FALSE)</f>
        <v>265.19</v>
      </c>
      <c r="D71" s="17">
        <f t="shared" si="7"/>
        <v>3.6436247304773588E-4</v>
      </c>
      <c r="E71" s="16">
        <f>VLOOKUP(A71,CO!$A:$R,10,FALSE)</f>
        <v>0</v>
      </c>
      <c r="F71" s="17">
        <f t="shared" si="8"/>
        <v>0</v>
      </c>
      <c r="G71" s="16">
        <f>VLOOKUP(A71,CO!$A:$R,13,FALSE)</f>
        <v>265.19</v>
      </c>
      <c r="H71" s="17">
        <f t="shared" si="9"/>
        <v>1</v>
      </c>
      <c r="I71" s="16">
        <f>VLOOKUP(A71,CO!$A:$R,16,FALSE)</f>
        <v>0</v>
      </c>
      <c r="J71" s="17">
        <f t="shared" si="10"/>
        <v>0</v>
      </c>
      <c r="K71" s="16">
        <f t="shared" si="11"/>
        <v>265.19</v>
      </c>
      <c r="L71" s="17">
        <f t="shared" si="12"/>
        <v>1</v>
      </c>
      <c r="M71" s="17">
        <f t="shared" si="13"/>
        <v>3.6436247304773588E-4</v>
      </c>
    </row>
    <row r="72" spans="1:13" x14ac:dyDescent="0.3">
      <c r="A72" s="15" t="s">
        <v>83</v>
      </c>
      <c r="B72" s="22" t="str">
        <f>VLOOKUP(A72,ORCAMENTO!$A:$I,2,FALSE)</f>
        <v>INSTALAÇÕES HIDRÁULICAS</v>
      </c>
      <c r="C72" s="16">
        <f>VLOOKUP(A72,ORCAMENTO!$A:$I,9,FALSE)</f>
        <v>663.51</v>
      </c>
      <c r="D72" s="17">
        <f t="shared" ref="D72:D103" si="14">C72/$C$119</f>
        <v>9.1164125529583789E-4</v>
      </c>
      <c r="E72" s="16">
        <f>VLOOKUP(A72,CO!$A:$R,10,FALSE)</f>
        <v>0</v>
      </c>
      <c r="F72" s="17">
        <f t="shared" ref="F72:F103" si="15">E72/C72</f>
        <v>0</v>
      </c>
      <c r="G72" s="16">
        <f>VLOOKUP(A72,CO!$A:$R,13,FALSE)</f>
        <v>663.51</v>
      </c>
      <c r="H72" s="17">
        <f t="shared" ref="H72:H103" si="16">G72/C72</f>
        <v>1</v>
      </c>
      <c r="I72" s="16">
        <f>VLOOKUP(A72,CO!$A:$R,16,FALSE)</f>
        <v>0</v>
      </c>
      <c r="J72" s="17">
        <f t="shared" ref="J72:J103" si="17">I72/C72</f>
        <v>0</v>
      </c>
      <c r="K72" s="16">
        <f t="shared" ref="K72:K103" si="18">SUM(E72,G72,I72,)</f>
        <v>663.51</v>
      </c>
      <c r="L72" s="17">
        <f t="shared" ref="L72:L103" si="19">SUM(F72,H72,J72,)</f>
        <v>1</v>
      </c>
      <c r="M72" s="17">
        <f t="shared" ref="M72:M103" si="20">K72/$C$119</f>
        <v>9.1164125529583789E-4</v>
      </c>
    </row>
    <row r="73" spans="1:13" x14ac:dyDescent="0.3">
      <c r="A73" s="12" t="s">
        <v>84</v>
      </c>
      <c r="B73" s="21" t="str">
        <f>VLOOKUP(A73,ORCAMENTO!$A:$I,2,FALSE)</f>
        <v>RESERVAÇÃO</v>
      </c>
      <c r="C73" s="13">
        <f>VLOOKUP(A73,ORCAMENTO!$A:$I,9,FALSE)</f>
        <v>20347.62</v>
      </c>
      <c r="D73" s="14">
        <f t="shared" si="14"/>
        <v>2.7956971016386636E-2</v>
      </c>
      <c r="E73" s="13">
        <f>VLOOKUP(A73,CO!$A:$R,10,FALSE)</f>
        <v>0</v>
      </c>
      <c r="F73" s="14">
        <f t="shared" si="15"/>
        <v>0</v>
      </c>
      <c r="G73" s="13">
        <f>VLOOKUP(A73,CO!$A:$R,13,FALSE)</f>
        <v>20347.62</v>
      </c>
      <c r="H73" s="14">
        <f t="shared" si="16"/>
        <v>1</v>
      </c>
      <c r="I73" s="13">
        <f>VLOOKUP(A73,CO!$A:$R,16,FALSE)</f>
        <v>0</v>
      </c>
      <c r="J73" s="14">
        <f t="shared" si="17"/>
        <v>0</v>
      </c>
      <c r="K73" s="13">
        <f t="shared" si="18"/>
        <v>20347.62</v>
      </c>
      <c r="L73" s="14">
        <f t="shared" si="19"/>
        <v>1</v>
      </c>
      <c r="M73" s="14">
        <f t="shared" si="20"/>
        <v>2.7956971016386636E-2</v>
      </c>
    </row>
    <row r="74" spans="1:13" x14ac:dyDescent="0.3">
      <c r="A74" s="12" t="s">
        <v>85</v>
      </c>
      <c r="B74" s="21" t="str">
        <f>VLOOKUP(A74,ORCAMENTO!$A:$I,2,FALSE)</f>
        <v>DISTRIBUIÇÃO (CHAFARIZ)</v>
      </c>
      <c r="C74" s="13">
        <f>VLOOKUP(A74,ORCAMENTO!$A:$I,9,FALSE)</f>
        <v>2831.9999999999995</v>
      </c>
      <c r="D74" s="14">
        <f t="shared" si="14"/>
        <v>3.8910762987714015E-3</v>
      </c>
      <c r="E74" s="13">
        <f>VLOOKUP(A74,CO!$A:$R,10,FALSE)</f>
        <v>0</v>
      </c>
      <c r="F74" s="14">
        <f t="shared" si="15"/>
        <v>0</v>
      </c>
      <c r="G74" s="13">
        <f>VLOOKUP(A74,CO!$A:$R,13,FALSE)</f>
        <v>2831.9999999999995</v>
      </c>
      <c r="H74" s="14">
        <f t="shared" si="16"/>
        <v>1</v>
      </c>
      <c r="I74" s="13">
        <f>VLOOKUP(A74,CO!$A:$R,16,FALSE)</f>
        <v>0</v>
      </c>
      <c r="J74" s="14">
        <f t="shared" si="17"/>
        <v>0</v>
      </c>
      <c r="K74" s="13">
        <f t="shared" si="18"/>
        <v>2831.9999999999995</v>
      </c>
      <c r="L74" s="14">
        <f t="shared" si="19"/>
        <v>1</v>
      </c>
      <c r="M74" s="14">
        <f t="shared" si="20"/>
        <v>3.8910762987714015E-3</v>
      </c>
    </row>
    <row r="75" spans="1:13" x14ac:dyDescent="0.3">
      <c r="A75" s="9">
        <v>5</v>
      </c>
      <c r="B75" s="20" t="str">
        <f>VLOOKUP(A75,ORCAMENTO!$A:$I,2,FALSE)</f>
        <v>COMUNIDADE SERRA</v>
      </c>
      <c r="C75" s="10">
        <f>VLOOKUP(A75,ORCAMENTO!$A:$I,9,FALSE)</f>
        <v>136434.92000000001</v>
      </c>
      <c r="D75" s="11">
        <f t="shared" si="14"/>
        <v>0.18745716226580944</v>
      </c>
      <c r="E75" s="10">
        <f>SUM(E$76,E$77,E$78,E$90,E$91,E$95,E$96,)</f>
        <v>0</v>
      </c>
      <c r="F75" s="11">
        <f t="shared" si="15"/>
        <v>0</v>
      </c>
      <c r="G75" s="10">
        <f>SUM(G$76,G$77,G$78,G$90,G$91,G$95,G$96,)</f>
        <v>136434.92000000001</v>
      </c>
      <c r="H75" s="11">
        <f t="shared" si="16"/>
        <v>1</v>
      </c>
      <c r="I75" s="10">
        <f>SUM(I$76,I$77,I$78,I$90,I$91,I$95,I$96,)</f>
        <v>0</v>
      </c>
      <c r="J75" s="11">
        <f t="shared" si="17"/>
        <v>0</v>
      </c>
      <c r="K75" s="10">
        <f t="shared" si="18"/>
        <v>136434.92000000001</v>
      </c>
      <c r="L75" s="11">
        <f t="shared" si="19"/>
        <v>1</v>
      </c>
      <c r="M75" s="11">
        <f t="shared" si="20"/>
        <v>0.18745716226580944</v>
      </c>
    </row>
    <row r="76" spans="1:13" x14ac:dyDescent="0.3">
      <c r="A76" s="12" t="s">
        <v>86</v>
      </c>
      <c r="B76" s="21" t="str">
        <f>VLOOKUP(A76,ORCAMENTO!$A:$I,2,FALSE)</f>
        <v>PERFURAÇÃO DE POÇO TUBULAR</v>
      </c>
      <c r="C76" s="13">
        <f>VLOOKUP(A76,ORCAMENTO!$A:$I,9,FALSE)</f>
        <v>64859.22</v>
      </c>
      <c r="D76" s="14">
        <f t="shared" si="14"/>
        <v>8.9114468113983089E-2</v>
      </c>
      <c r="E76" s="13">
        <f>VLOOKUP(A76,CO!$A:$R,10,FALSE)</f>
        <v>0</v>
      </c>
      <c r="F76" s="14">
        <f t="shared" si="15"/>
        <v>0</v>
      </c>
      <c r="G76" s="13">
        <f>VLOOKUP(A76,CO!$A:$R,13,FALSE)</f>
        <v>64859.22</v>
      </c>
      <c r="H76" s="14">
        <f t="shared" si="16"/>
        <v>1</v>
      </c>
      <c r="I76" s="13">
        <f>VLOOKUP(A76,CO!$A:$R,16,FALSE)</f>
        <v>0</v>
      </c>
      <c r="J76" s="14">
        <f t="shared" si="17"/>
        <v>0</v>
      </c>
      <c r="K76" s="13">
        <f t="shared" si="18"/>
        <v>64859.22</v>
      </c>
      <c r="L76" s="14">
        <f t="shared" si="19"/>
        <v>1</v>
      </c>
      <c r="M76" s="14">
        <f t="shared" si="20"/>
        <v>8.9114468113983089E-2</v>
      </c>
    </row>
    <row r="77" spans="1:13" ht="43.2" x14ac:dyDescent="0.3">
      <c r="A77" s="12" t="s">
        <v>87</v>
      </c>
      <c r="B77" s="21" t="str">
        <f>VLOOKUP(A77,ORCAMENTO!$A:$I,2,FALSE)</f>
        <v>AQUISIÇÃO E INSTALAÇÃO DE EQUIPAMENTOS DE BOMBEAMENTO, RECALQUE/BARRILETE E CONEXÕES PARA INTERLIGAÇÃO COM RESERVATÓRIO</v>
      </c>
      <c r="C77" s="13">
        <f>VLOOKUP(A77,ORCAMENTO!$A:$I,9,FALSE)</f>
        <v>19625.579999999998</v>
      </c>
      <c r="D77" s="14">
        <f t="shared" si="14"/>
        <v>2.6964911436314281E-2</v>
      </c>
      <c r="E77" s="13">
        <f>VLOOKUP(A77,CO!$A:$R,10,FALSE)</f>
        <v>0</v>
      </c>
      <c r="F77" s="14">
        <f t="shared" si="15"/>
        <v>0</v>
      </c>
      <c r="G77" s="13">
        <f>VLOOKUP(A77,CO!$A:$R,13,FALSE)</f>
        <v>19625.579999999998</v>
      </c>
      <c r="H77" s="14">
        <f t="shared" si="16"/>
        <v>1</v>
      </c>
      <c r="I77" s="13">
        <f>VLOOKUP(A77,CO!$A:$R,16,FALSE)</f>
        <v>0</v>
      </c>
      <c r="J77" s="14">
        <f t="shared" si="17"/>
        <v>0</v>
      </c>
      <c r="K77" s="13">
        <f t="shared" si="18"/>
        <v>19625.579999999998</v>
      </c>
      <c r="L77" s="14">
        <f t="shared" si="19"/>
        <v>1</v>
      </c>
      <c r="M77" s="14">
        <f t="shared" si="20"/>
        <v>2.6964911436314281E-2</v>
      </c>
    </row>
    <row r="78" spans="1:13" x14ac:dyDescent="0.3">
      <c r="A78" s="12" t="s">
        <v>88</v>
      </c>
      <c r="B78" s="21" t="str">
        <f>VLOOKUP(A78,ORCAMENTO!$A:$I,2,FALSE)</f>
        <v>CONSTRUÇÃO DA CASA DE COMANDO</v>
      </c>
      <c r="C78" s="13">
        <f>VLOOKUP(A78,ORCAMENTO!$A:$I,9,FALSE)</f>
        <v>25565.510000000002</v>
      </c>
      <c r="D78" s="14">
        <f t="shared" si="14"/>
        <v>3.5126182919139576E-2</v>
      </c>
      <c r="E78" s="13">
        <f>SUM(E$79,E$80,E$81,E$82,E$83,E$84,E$85,E$86,E$87,E$88,E$89,)</f>
        <v>0</v>
      </c>
      <c r="F78" s="14">
        <f t="shared" si="15"/>
        <v>0</v>
      </c>
      <c r="G78" s="13">
        <f>SUM(G$79,G$80,G$81,G$82,G$83,G$84,G$85,G$86,G$87,G$88,G$89,)</f>
        <v>25565.510000000002</v>
      </c>
      <c r="H78" s="14">
        <f t="shared" si="16"/>
        <v>1</v>
      </c>
      <c r="I78" s="13">
        <f>SUM(I$79,I$80,I$81,I$82,I$83,I$84,I$85,I$86,I$87,I$88,I$89,)</f>
        <v>0</v>
      </c>
      <c r="J78" s="14">
        <f t="shared" si="17"/>
        <v>0</v>
      </c>
      <c r="K78" s="13">
        <f t="shared" si="18"/>
        <v>25565.510000000002</v>
      </c>
      <c r="L78" s="14">
        <f t="shared" si="19"/>
        <v>1</v>
      </c>
      <c r="M78" s="14">
        <f t="shared" si="20"/>
        <v>3.5126182919139576E-2</v>
      </c>
    </row>
    <row r="79" spans="1:13" x14ac:dyDescent="0.3">
      <c r="A79" s="15" t="s">
        <v>89</v>
      </c>
      <c r="B79" s="22" t="str">
        <f>VLOOKUP(A79,ORCAMENTO!$A:$I,2,FALSE)</f>
        <v>SERVIÇOS PRELIMINARES</v>
      </c>
      <c r="C79" s="16">
        <f>VLOOKUP(A79,ORCAMENTO!$A:$I,9,FALSE)</f>
        <v>3887.12</v>
      </c>
      <c r="D79" s="17">
        <f t="shared" si="14"/>
        <v>5.3407770135876732E-3</v>
      </c>
      <c r="E79" s="16">
        <f>VLOOKUP(A79,CO!$A:$R,10,FALSE)</f>
        <v>0</v>
      </c>
      <c r="F79" s="17">
        <f t="shared" si="15"/>
        <v>0</v>
      </c>
      <c r="G79" s="16">
        <f>VLOOKUP(A79,CO!$A:$R,13,FALSE)</f>
        <v>3887.12</v>
      </c>
      <c r="H79" s="17">
        <f t="shared" si="16"/>
        <v>1</v>
      </c>
      <c r="I79" s="16">
        <f>VLOOKUP(A79,CO!$A:$R,16,FALSE)</f>
        <v>0</v>
      </c>
      <c r="J79" s="17">
        <f t="shared" si="17"/>
        <v>0</v>
      </c>
      <c r="K79" s="16">
        <f t="shared" si="18"/>
        <v>3887.12</v>
      </c>
      <c r="L79" s="17">
        <f t="shared" si="19"/>
        <v>1</v>
      </c>
      <c r="M79" s="17">
        <f t="shared" si="20"/>
        <v>5.3407770135876732E-3</v>
      </c>
    </row>
    <row r="80" spans="1:13" x14ac:dyDescent="0.3">
      <c r="A80" s="15" t="s">
        <v>90</v>
      </c>
      <c r="B80" s="22" t="str">
        <f>VLOOKUP(A80,ORCAMENTO!$A:$I,2,FALSE)</f>
        <v>MOVIMENTO DE TERRA</v>
      </c>
      <c r="C80" s="16">
        <f>VLOOKUP(A80,ORCAMENTO!$A:$I,9,FALSE)</f>
        <v>165.09</v>
      </c>
      <c r="D80" s="17">
        <f t="shared" si="14"/>
        <v>2.2682831432350661E-4</v>
      </c>
      <c r="E80" s="16">
        <f>VLOOKUP(A80,CO!$A:$R,10,FALSE)</f>
        <v>0</v>
      </c>
      <c r="F80" s="17">
        <f t="shared" si="15"/>
        <v>0</v>
      </c>
      <c r="G80" s="16">
        <f>VLOOKUP(A80,CO!$A:$R,13,FALSE)</f>
        <v>165.09</v>
      </c>
      <c r="H80" s="17">
        <f t="shared" si="16"/>
        <v>1</v>
      </c>
      <c r="I80" s="16">
        <f>VLOOKUP(A80,CO!$A:$R,16,FALSE)</f>
        <v>0</v>
      </c>
      <c r="J80" s="17">
        <f t="shared" si="17"/>
        <v>0</v>
      </c>
      <c r="K80" s="16">
        <f t="shared" si="18"/>
        <v>165.09</v>
      </c>
      <c r="L80" s="17">
        <f t="shared" si="19"/>
        <v>1</v>
      </c>
      <c r="M80" s="17">
        <f t="shared" si="20"/>
        <v>2.2682831432350661E-4</v>
      </c>
    </row>
    <row r="81" spans="1:13" x14ac:dyDescent="0.3">
      <c r="A81" s="15" t="s">
        <v>91</v>
      </c>
      <c r="B81" s="22" t="str">
        <f>VLOOKUP(A81,ORCAMENTO!$A:$I,2,FALSE)</f>
        <v>INFRAESTRUTURA</v>
      </c>
      <c r="C81" s="16">
        <f>VLOOKUP(A81,ORCAMENTO!$A:$I,9,FALSE)</f>
        <v>1275.5</v>
      </c>
      <c r="D81" s="17">
        <f t="shared" si="14"/>
        <v>1.7524956988287158E-3</v>
      </c>
      <c r="E81" s="16">
        <f>VLOOKUP(A81,CO!$A:$R,10,FALSE)</f>
        <v>0</v>
      </c>
      <c r="F81" s="17">
        <f t="shared" si="15"/>
        <v>0</v>
      </c>
      <c r="G81" s="16">
        <f>VLOOKUP(A81,CO!$A:$R,13,FALSE)</f>
        <v>1275.5</v>
      </c>
      <c r="H81" s="17">
        <f t="shared" si="16"/>
        <v>1</v>
      </c>
      <c r="I81" s="16">
        <f>VLOOKUP(A81,CO!$A:$R,16,FALSE)</f>
        <v>0</v>
      </c>
      <c r="J81" s="17">
        <f t="shared" si="17"/>
        <v>0</v>
      </c>
      <c r="K81" s="16">
        <f t="shared" si="18"/>
        <v>1275.5</v>
      </c>
      <c r="L81" s="17">
        <f t="shared" si="19"/>
        <v>1</v>
      </c>
      <c r="M81" s="17">
        <f t="shared" si="20"/>
        <v>1.7524956988287158E-3</v>
      </c>
    </row>
    <row r="82" spans="1:13" x14ac:dyDescent="0.3">
      <c r="A82" s="15" t="s">
        <v>92</v>
      </c>
      <c r="B82" s="22" t="str">
        <f>VLOOKUP(A82,ORCAMENTO!$A:$I,2,FALSE)</f>
        <v>SUPERESTRUTURA</v>
      </c>
      <c r="C82" s="16">
        <f>VLOOKUP(A82,ORCAMENTO!$A:$I,9,FALSE)</f>
        <v>1347.9099999999999</v>
      </c>
      <c r="D82" s="17">
        <f t="shared" si="14"/>
        <v>1.8519846941655932E-3</v>
      </c>
      <c r="E82" s="16">
        <f>VLOOKUP(A82,CO!$A:$R,10,FALSE)</f>
        <v>0</v>
      </c>
      <c r="F82" s="17">
        <f t="shared" si="15"/>
        <v>0</v>
      </c>
      <c r="G82" s="16">
        <f>VLOOKUP(A82,CO!$A:$R,13,FALSE)</f>
        <v>1347.9099999999999</v>
      </c>
      <c r="H82" s="17">
        <f t="shared" si="16"/>
        <v>1</v>
      </c>
      <c r="I82" s="16">
        <f>VLOOKUP(A82,CO!$A:$R,16,FALSE)</f>
        <v>0</v>
      </c>
      <c r="J82" s="17">
        <f t="shared" si="17"/>
        <v>0</v>
      </c>
      <c r="K82" s="16">
        <f t="shared" si="18"/>
        <v>1347.9099999999999</v>
      </c>
      <c r="L82" s="17">
        <f t="shared" si="19"/>
        <v>1</v>
      </c>
      <c r="M82" s="17">
        <f t="shared" si="20"/>
        <v>1.8519846941655932E-3</v>
      </c>
    </row>
    <row r="83" spans="1:13" x14ac:dyDescent="0.3">
      <c r="A83" s="15" t="s">
        <v>93</v>
      </c>
      <c r="B83" s="22" t="str">
        <f>VLOOKUP(A83,ORCAMENTO!$A:$I,2,FALSE)</f>
        <v>VEDAÇÃO VERTICAL</v>
      </c>
      <c r="C83" s="16">
        <f>VLOOKUP(A83,ORCAMENTO!$A:$I,9,FALSE)</f>
        <v>2674.92</v>
      </c>
      <c r="D83" s="17">
        <f t="shared" si="14"/>
        <v>3.6752534650810729E-3</v>
      </c>
      <c r="E83" s="16">
        <f>VLOOKUP(A83,CO!$A:$R,10,FALSE)</f>
        <v>0</v>
      </c>
      <c r="F83" s="17">
        <f t="shared" si="15"/>
        <v>0</v>
      </c>
      <c r="G83" s="16">
        <f>VLOOKUP(A83,CO!$A:$R,13,FALSE)</f>
        <v>2674.92</v>
      </c>
      <c r="H83" s="17">
        <f t="shared" si="16"/>
        <v>1</v>
      </c>
      <c r="I83" s="16">
        <f>VLOOKUP(A83,CO!$A:$R,16,FALSE)</f>
        <v>0</v>
      </c>
      <c r="J83" s="17">
        <f t="shared" si="17"/>
        <v>0</v>
      </c>
      <c r="K83" s="16">
        <f t="shared" si="18"/>
        <v>2674.92</v>
      </c>
      <c r="L83" s="17">
        <f t="shared" si="19"/>
        <v>1</v>
      </c>
      <c r="M83" s="17">
        <f t="shared" si="20"/>
        <v>3.6752534650810729E-3</v>
      </c>
    </row>
    <row r="84" spans="1:13" x14ac:dyDescent="0.3">
      <c r="A84" s="15" t="s">
        <v>94</v>
      </c>
      <c r="B84" s="22" t="str">
        <f>VLOOKUP(A84,ORCAMENTO!$A:$I,2,FALSE)</f>
        <v>COBERTURA</v>
      </c>
      <c r="C84" s="16">
        <f>VLOOKUP(A84,ORCAMENTO!$A:$I,9,FALSE)</f>
        <v>1332.15</v>
      </c>
      <c r="D84" s="17">
        <f t="shared" si="14"/>
        <v>1.8303309644803402E-3</v>
      </c>
      <c r="E84" s="16">
        <f>VLOOKUP(A84,CO!$A:$R,10,FALSE)</f>
        <v>0</v>
      </c>
      <c r="F84" s="17">
        <f t="shared" si="15"/>
        <v>0</v>
      </c>
      <c r="G84" s="16">
        <f>VLOOKUP(A84,CO!$A:$R,13,FALSE)</f>
        <v>1332.15</v>
      </c>
      <c r="H84" s="17">
        <f t="shared" si="16"/>
        <v>1</v>
      </c>
      <c r="I84" s="16">
        <f>VLOOKUP(A84,CO!$A:$R,16,FALSE)</f>
        <v>0</v>
      </c>
      <c r="J84" s="17">
        <f t="shared" si="17"/>
        <v>0</v>
      </c>
      <c r="K84" s="16">
        <f t="shared" si="18"/>
        <v>1332.15</v>
      </c>
      <c r="L84" s="17">
        <f t="shared" si="19"/>
        <v>1</v>
      </c>
      <c r="M84" s="17">
        <f t="shared" si="20"/>
        <v>1.8303309644803402E-3</v>
      </c>
    </row>
    <row r="85" spans="1:13" x14ac:dyDescent="0.3">
      <c r="A85" s="15" t="s">
        <v>95</v>
      </c>
      <c r="B85" s="22" t="str">
        <f>VLOOKUP(A85,ORCAMENTO!$A:$I,2,FALSE)</f>
        <v>PISO</v>
      </c>
      <c r="C85" s="16">
        <f>VLOOKUP(A85,ORCAMENTO!$A:$I,9,FALSE)</f>
        <v>1208.82</v>
      </c>
      <c r="D85" s="17">
        <f t="shared" si="14"/>
        <v>1.6608795379522761E-3</v>
      </c>
      <c r="E85" s="16">
        <f>VLOOKUP(A85,CO!$A:$R,10,FALSE)</f>
        <v>0</v>
      </c>
      <c r="F85" s="17">
        <f t="shared" si="15"/>
        <v>0</v>
      </c>
      <c r="G85" s="16">
        <f>VLOOKUP(A85,CO!$A:$R,13,FALSE)</f>
        <v>1208.82</v>
      </c>
      <c r="H85" s="17">
        <f t="shared" si="16"/>
        <v>1</v>
      </c>
      <c r="I85" s="16">
        <f>VLOOKUP(A85,CO!$A:$R,16,FALSE)</f>
        <v>0</v>
      </c>
      <c r="J85" s="17">
        <f t="shared" si="17"/>
        <v>0</v>
      </c>
      <c r="K85" s="16">
        <f t="shared" si="18"/>
        <v>1208.82</v>
      </c>
      <c r="L85" s="17">
        <f t="shared" si="19"/>
        <v>1</v>
      </c>
      <c r="M85" s="17">
        <f t="shared" si="20"/>
        <v>1.6608795379522761E-3</v>
      </c>
    </row>
    <row r="86" spans="1:13" x14ac:dyDescent="0.3">
      <c r="A86" s="15" t="s">
        <v>96</v>
      </c>
      <c r="B86" s="22" t="str">
        <f>VLOOKUP(A86,ORCAMENTO!$A:$I,2,FALSE)</f>
        <v>REVESTIMENTO</v>
      </c>
      <c r="C86" s="16">
        <f>VLOOKUP(A86,ORCAMENTO!$A:$I,9,FALSE)</f>
        <v>2396.75</v>
      </c>
      <c r="D86" s="17">
        <f t="shared" si="14"/>
        <v>3.2930568923306347E-3</v>
      </c>
      <c r="E86" s="16">
        <f>VLOOKUP(A86,CO!$A:$R,10,FALSE)</f>
        <v>0</v>
      </c>
      <c r="F86" s="17">
        <f t="shared" si="15"/>
        <v>0</v>
      </c>
      <c r="G86" s="16">
        <f>VLOOKUP(A86,CO!$A:$R,13,FALSE)</f>
        <v>2396.75</v>
      </c>
      <c r="H86" s="17">
        <f t="shared" si="16"/>
        <v>1</v>
      </c>
      <c r="I86" s="16">
        <f>VLOOKUP(A86,CO!$A:$R,16,FALSE)</f>
        <v>0</v>
      </c>
      <c r="J86" s="17">
        <f t="shared" si="17"/>
        <v>0</v>
      </c>
      <c r="K86" s="16">
        <f t="shared" si="18"/>
        <v>2396.75</v>
      </c>
      <c r="L86" s="17">
        <f t="shared" si="19"/>
        <v>1</v>
      </c>
      <c r="M86" s="17">
        <f t="shared" si="20"/>
        <v>3.2930568923306347E-3</v>
      </c>
    </row>
    <row r="87" spans="1:13" x14ac:dyDescent="0.3">
      <c r="A87" s="15" t="s">
        <v>97</v>
      </c>
      <c r="B87" s="22" t="str">
        <f>VLOOKUP(A87,ORCAMENTO!$A:$I,2,FALSE)</f>
        <v>ESQUADRIAS</v>
      </c>
      <c r="C87" s="16">
        <f>VLOOKUP(A87,ORCAMENTO!$A:$I,9,FALSE)</f>
        <v>4550.21</v>
      </c>
      <c r="D87" s="17">
        <f t="shared" si="14"/>
        <v>6.2518412024832699E-3</v>
      </c>
      <c r="E87" s="16">
        <f>VLOOKUP(A87,CO!$A:$R,10,FALSE)</f>
        <v>0</v>
      </c>
      <c r="F87" s="17">
        <f t="shared" si="15"/>
        <v>0</v>
      </c>
      <c r="G87" s="16">
        <f>VLOOKUP(A87,CO!$A:$R,13,FALSE)</f>
        <v>4550.21</v>
      </c>
      <c r="H87" s="17">
        <f t="shared" si="16"/>
        <v>1</v>
      </c>
      <c r="I87" s="16">
        <f>VLOOKUP(A87,CO!$A:$R,16,FALSE)</f>
        <v>0</v>
      </c>
      <c r="J87" s="17">
        <f t="shared" si="17"/>
        <v>0</v>
      </c>
      <c r="K87" s="16">
        <f t="shared" si="18"/>
        <v>4550.21</v>
      </c>
      <c r="L87" s="17">
        <f t="shared" si="19"/>
        <v>1</v>
      </c>
      <c r="M87" s="17">
        <f t="shared" si="20"/>
        <v>6.2518412024832699E-3</v>
      </c>
    </row>
    <row r="88" spans="1:13" x14ac:dyDescent="0.3">
      <c r="A88" s="15" t="s">
        <v>98</v>
      </c>
      <c r="B88" s="22" t="str">
        <f>VLOOKUP(A88,ORCAMENTO!$A:$I,2,FALSE)</f>
        <v>PINTURA</v>
      </c>
      <c r="C88" s="16">
        <f>VLOOKUP(A88,ORCAMENTO!$A:$I,9,FALSE)</f>
        <v>663.11</v>
      </c>
      <c r="D88" s="17">
        <f t="shared" si="14"/>
        <v>9.1109166824798889E-4</v>
      </c>
      <c r="E88" s="16">
        <f>VLOOKUP(A88,CO!$A:$R,10,FALSE)</f>
        <v>0</v>
      </c>
      <c r="F88" s="17">
        <f t="shared" si="15"/>
        <v>0</v>
      </c>
      <c r="G88" s="16">
        <f>VLOOKUP(A88,CO!$A:$R,13,FALSE)</f>
        <v>663.11</v>
      </c>
      <c r="H88" s="17">
        <f t="shared" si="16"/>
        <v>1</v>
      </c>
      <c r="I88" s="16">
        <f>VLOOKUP(A88,CO!$A:$R,16,FALSE)</f>
        <v>0</v>
      </c>
      <c r="J88" s="17">
        <f t="shared" si="17"/>
        <v>0</v>
      </c>
      <c r="K88" s="16">
        <f t="shared" si="18"/>
        <v>663.11</v>
      </c>
      <c r="L88" s="17">
        <f t="shared" si="19"/>
        <v>1</v>
      </c>
      <c r="M88" s="17">
        <f t="shared" si="20"/>
        <v>9.1109166824798889E-4</v>
      </c>
    </row>
    <row r="89" spans="1:13" x14ac:dyDescent="0.3">
      <c r="A89" s="15" t="s">
        <v>99</v>
      </c>
      <c r="B89" s="22" t="str">
        <f>VLOOKUP(A89,ORCAMENTO!$A:$I,2,FALSE)</f>
        <v>CERCAMENTO</v>
      </c>
      <c r="C89" s="16">
        <f>VLOOKUP(A89,ORCAMENTO!$A:$I,9,FALSE)</f>
        <v>6063.93</v>
      </c>
      <c r="D89" s="17">
        <f t="shared" si="14"/>
        <v>8.3316434676584984E-3</v>
      </c>
      <c r="E89" s="16">
        <f>VLOOKUP(A89,CO!$A:$R,10,FALSE)</f>
        <v>0</v>
      </c>
      <c r="F89" s="17">
        <f t="shared" si="15"/>
        <v>0</v>
      </c>
      <c r="G89" s="16">
        <f>VLOOKUP(A89,CO!$A:$R,13,FALSE)</f>
        <v>6063.93</v>
      </c>
      <c r="H89" s="17">
        <f t="shared" si="16"/>
        <v>1</v>
      </c>
      <c r="I89" s="16">
        <f>VLOOKUP(A89,CO!$A:$R,16,FALSE)</f>
        <v>0</v>
      </c>
      <c r="J89" s="17">
        <f t="shared" si="17"/>
        <v>0</v>
      </c>
      <c r="K89" s="16">
        <f t="shared" si="18"/>
        <v>6063.93</v>
      </c>
      <c r="L89" s="17">
        <f t="shared" si="19"/>
        <v>1</v>
      </c>
      <c r="M89" s="17">
        <f t="shared" si="20"/>
        <v>8.3316434676584984E-3</v>
      </c>
    </row>
    <row r="90" spans="1:13" x14ac:dyDescent="0.3">
      <c r="A90" s="12" t="s">
        <v>100</v>
      </c>
      <c r="B90" s="21" t="str">
        <f>VLOOKUP(A90,ORCAMENTO!$A:$I,2,FALSE)</f>
        <v>INSTALAÇÕES ELÉTRICAS</v>
      </c>
      <c r="C90" s="13">
        <f>VLOOKUP(A90,ORCAMENTO!$A:$I,9,FALSE)</f>
        <v>1853.2700000000002</v>
      </c>
      <c r="D90" s="14">
        <f t="shared" si="14"/>
        <v>2.5463329704181062E-3</v>
      </c>
      <c r="E90" s="13">
        <f>VLOOKUP(A90,CO!$A:$R,10,FALSE)</f>
        <v>0</v>
      </c>
      <c r="F90" s="14">
        <f t="shared" si="15"/>
        <v>0</v>
      </c>
      <c r="G90" s="13">
        <f>VLOOKUP(A90,CO!$A:$R,13,FALSE)</f>
        <v>1853.2700000000002</v>
      </c>
      <c r="H90" s="14">
        <f t="shared" si="16"/>
        <v>1</v>
      </c>
      <c r="I90" s="13">
        <f>VLOOKUP(A90,CO!$A:$R,16,FALSE)</f>
        <v>0</v>
      </c>
      <c r="J90" s="14">
        <f t="shared" si="17"/>
        <v>0</v>
      </c>
      <c r="K90" s="13">
        <f t="shared" si="18"/>
        <v>1853.2700000000002</v>
      </c>
      <c r="L90" s="14">
        <f t="shared" si="19"/>
        <v>1</v>
      </c>
      <c r="M90" s="14">
        <f t="shared" si="20"/>
        <v>2.5463329704181062E-3</v>
      </c>
    </row>
    <row r="91" spans="1:13" x14ac:dyDescent="0.3">
      <c r="A91" s="12" t="s">
        <v>101</v>
      </c>
      <c r="B91" s="21" t="str">
        <f>VLOOKUP(A91,ORCAMENTO!$A:$I,2,FALSE)</f>
        <v>ADUÇÃO</v>
      </c>
      <c r="C91" s="13">
        <f>VLOOKUP(A91,ORCAMENTO!$A:$I,9,FALSE)</f>
        <v>1351.72</v>
      </c>
      <c r="D91" s="14">
        <f t="shared" si="14"/>
        <v>1.8572195107963557E-3</v>
      </c>
      <c r="E91" s="13">
        <f>SUM(E$92,E$93,E$94,)</f>
        <v>0</v>
      </c>
      <c r="F91" s="14">
        <f t="shared" si="15"/>
        <v>0</v>
      </c>
      <c r="G91" s="13">
        <f>SUM(G$92,G$93,G$94,)</f>
        <v>1351.72</v>
      </c>
      <c r="H91" s="14">
        <f t="shared" si="16"/>
        <v>1</v>
      </c>
      <c r="I91" s="13">
        <f>SUM(I$92,I$93,I$94,)</f>
        <v>0</v>
      </c>
      <c r="J91" s="14">
        <f t="shared" si="17"/>
        <v>0</v>
      </c>
      <c r="K91" s="13">
        <f t="shared" si="18"/>
        <v>1351.72</v>
      </c>
      <c r="L91" s="14">
        <f t="shared" si="19"/>
        <v>1</v>
      </c>
      <c r="M91" s="14">
        <f t="shared" si="20"/>
        <v>1.8572195107963557E-3</v>
      </c>
    </row>
    <row r="92" spans="1:13" x14ac:dyDescent="0.3">
      <c r="A92" s="15" t="s">
        <v>102</v>
      </c>
      <c r="B92" s="22" t="str">
        <f>VLOOKUP(A92,ORCAMENTO!$A:$I,2,FALSE)</f>
        <v>MOVIMENTO DE TERRA</v>
      </c>
      <c r="C92" s="16">
        <f>VLOOKUP(A92,ORCAMENTO!$A:$I,9,FALSE)</f>
        <v>423.02</v>
      </c>
      <c r="D92" s="17">
        <f t="shared" si="14"/>
        <v>5.8121578245278187E-4</v>
      </c>
      <c r="E92" s="16">
        <f>VLOOKUP(A92,CO!$A:$R,10,FALSE)</f>
        <v>0</v>
      </c>
      <c r="F92" s="17">
        <f t="shared" si="15"/>
        <v>0</v>
      </c>
      <c r="G92" s="16">
        <f>VLOOKUP(A92,CO!$A:$R,13,FALSE)</f>
        <v>423.02</v>
      </c>
      <c r="H92" s="17">
        <f t="shared" si="16"/>
        <v>1</v>
      </c>
      <c r="I92" s="16">
        <f>VLOOKUP(A92,CO!$A:$R,16,FALSE)</f>
        <v>0</v>
      </c>
      <c r="J92" s="17">
        <f t="shared" si="17"/>
        <v>0</v>
      </c>
      <c r="K92" s="16">
        <f t="shared" si="18"/>
        <v>423.02</v>
      </c>
      <c r="L92" s="17">
        <f t="shared" si="19"/>
        <v>1</v>
      </c>
      <c r="M92" s="17">
        <f t="shared" si="20"/>
        <v>5.8121578245278187E-4</v>
      </c>
    </row>
    <row r="93" spans="1:13" x14ac:dyDescent="0.3">
      <c r="A93" s="15" t="s">
        <v>103</v>
      </c>
      <c r="B93" s="22" t="str">
        <f>VLOOKUP(A93,ORCAMENTO!$A:$I,2,FALSE)</f>
        <v>INFRAESTRUTURA</v>
      </c>
      <c r="C93" s="16">
        <f>VLOOKUP(A93,ORCAMENTO!$A:$I,9,FALSE)</f>
        <v>265.19</v>
      </c>
      <c r="D93" s="17">
        <f t="shared" si="14"/>
        <v>3.6436247304773588E-4</v>
      </c>
      <c r="E93" s="16">
        <f>VLOOKUP(A93,CO!$A:$R,10,FALSE)</f>
        <v>0</v>
      </c>
      <c r="F93" s="17">
        <f t="shared" si="15"/>
        <v>0</v>
      </c>
      <c r="G93" s="16">
        <f>VLOOKUP(A93,CO!$A:$R,13,FALSE)</f>
        <v>265.19</v>
      </c>
      <c r="H93" s="17">
        <f t="shared" si="16"/>
        <v>1</v>
      </c>
      <c r="I93" s="16">
        <f>VLOOKUP(A93,CO!$A:$R,16,FALSE)</f>
        <v>0</v>
      </c>
      <c r="J93" s="17">
        <f t="shared" si="17"/>
        <v>0</v>
      </c>
      <c r="K93" s="16">
        <f t="shared" si="18"/>
        <v>265.19</v>
      </c>
      <c r="L93" s="17">
        <f t="shared" si="19"/>
        <v>1</v>
      </c>
      <c r="M93" s="17">
        <f t="shared" si="20"/>
        <v>3.6436247304773588E-4</v>
      </c>
    </row>
    <row r="94" spans="1:13" x14ac:dyDescent="0.3">
      <c r="A94" s="15" t="s">
        <v>104</v>
      </c>
      <c r="B94" s="22" t="str">
        <f>VLOOKUP(A94,ORCAMENTO!$A:$I,2,FALSE)</f>
        <v>INSTALAÇÕES HIDRÁULICAS</v>
      </c>
      <c r="C94" s="16">
        <f>VLOOKUP(A94,ORCAMENTO!$A:$I,9,FALSE)</f>
        <v>663.51</v>
      </c>
      <c r="D94" s="17">
        <f t="shared" si="14"/>
        <v>9.1164125529583789E-4</v>
      </c>
      <c r="E94" s="16">
        <f>VLOOKUP(A94,CO!$A:$R,10,FALSE)</f>
        <v>0</v>
      </c>
      <c r="F94" s="17">
        <f t="shared" si="15"/>
        <v>0</v>
      </c>
      <c r="G94" s="16">
        <f>VLOOKUP(A94,CO!$A:$R,13,FALSE)</f>
        <v>663.51</v>
      </c>
      <c r="H94" s="17">
        <f t="shared" si="16"/>
        <v>1</v>
      </c>
      <c r="I94" s="16">
        <f>VLOOKUP(A94,CO!$A:$R,16,FALSE)</f>
        <v>0</v>
      </c>
      <c r="J94" s="17">
        <f t="shared" si="17"/>
        <v>0</v>
      </c>
      <c r="K94" s="16">
        <f t="shared" si="18"/>
        <v>663.51</v>
      </c>
      <c r="L94" s="17">
        <f t="shared" si="19"/>
        <v>1</v>
      </c>
      <c r="M94" s="17">
        <f t="shared" si="20"/>
        <v>9.1164125529583789E-4</v>
      </c>
    </row>
    <row r="95" spans="1:13" x14ac:dyDescent="0.3">
      <c r="A95" s="12" t="s">
        <v>105</v>
      </c>
      <c r="B95" s="21" t="str">
        <f>VLOOKUP(A95,ORCAMENTO!$A:$I,2,FALSE)</f>
        <v>RESERVAÇÃO</v>
      </c>
      <c r="C95" s="13">
        <f>VLOOKUP(A95,ORCAMENTO!$A:$I,9,FALSE)</f>
        <v>20347.62</v>
      </c>
      <c r="D95" s="14">
        <f t="shared" si="14"/>
        <v>2.7956971016386636E-2</v>
      </c>
      <c r="E95" s="13">
        <f>VLOOKUP(A95,CO!$A:$R,10,FALSE)</f>
        <v>0</v>
      </c>
      <c r="F95" s="14">
        <f t="shared" si="15"/>
        <v>0</v>
      </c>
      <c r="G95" s="13">
        <f>VLOOKUP(A95,CO!$A:$R,13,FALSE)</f>
        <v>20347.62</v>
      </c>
      <c r="H95" s="14">
        <f t="shared" si="16"/>
        <v>1</v>
      </c>
      <c r="I95" s="13">
        <f>VLOOKUP(A95,CO!$A:$R,16,FALSE)</f>
        <v>0</v>
      </c>
      <c r="J95" s="14">
        <f t="shared" si="17"/>
        <v>0</v>
      </c>
      <c r="K95" s="13">
        <f t="shared" si="18"/>
        <v>20347.62</v>
      </c>
      <c r="L95" s="14">
        <f t="shared" si="19"/>
        <v>1</v>
      </c>
      <c r="M95" s="14">
        <f t="shared" si="20"/>
        <v>2.7956971016386636E-2</v>
      </c>
    </row>
    <row r="96" spans="1:13" x14ac:dyDescent="0.3">
      <c r="A96" s="12" t="s">
        <v>106</v>
      </c>
      <c r="B96" s="21" t="str">
        <f>VLOOKUP(A96,ORCAMENTO!$A:$I,2,FALSE)</f>
        <v>DISTRIBUIÇÃO (CHAFARIZ)</v>
      </c>
      <c r="C96" s="13">
        <f>VLOOKUP(A96,ORCAMENTO!$A:$I,9,FALSE)</f>
        <v>2831.9999999999995</v>
      </c>
      <c r="D96" s="14">
        <f t="shared" si="14"/>
        <v>3.8910762987714015E-3</v>
      </c>
      <c r="E96" s="13">
        <f>VLOOKUP(A96,CO!$A:$R,10,FALSE)</f>
        <v>0</v>
      </c>
      <c r="F96" s="14">
        <f t="shared" si="15"/>
        <v>0</v>
      </c>
      <c r="G96" s="13">
        <f>VLOOKUP(A96,CO!$A:$R,13,FALSE)</f>
        <v>2831.9999999999995</v>
      </c>
      <c r="H96" s="14">
        <f t="shared" si="16"/>
        <v>1</v>
      </c>
      <c r="I96" s="13">
        <f>VLOOKUP(A96,CO!$A:$R,16,FALSE)</f>
        <v>0</v>
      </c>
      <c r="J96" s="14">
        <f t="shared" si="17"/>
        <v>0</v>
      </c>
      <c r="K96" s="13">
        <f t="shared" si="18"/>
        <v>2831.9999999999995</v>
      </c>
      <c r="L96" s="14">
        <f t="shared" si="19"/>
        <v>1</v>
      </c>
      <c r="M96" s="14">
        <f t="shared" si="20"/>
        <v>3.8910762987714015E-3</v>
      </c>
    </row>
    <row r="97" spans="1:13" x14ac:dyDescent="0.3">
      <c r="A97" s="9">
        <v>6</v>
      </c>
      <c r="B97" s="20" t="str">
        <f>VLOOKUP(A97,ORCAMENTO!$A:$I,2,FALSE)</f>
        <v>COMUNIDADE VÁRZEA</v>
      </c>
      <c r="C97" s="10">
        <f>VLOOKUP(A97,ORCAMENTO!$A:$I,9,FALSE)</f>
        <v>136808.64000000001</v>
      </c>
      <c r="D97" s="11">
        <f t="shared" si="14"/>
        <v>0.18797064144461484</v>
      </c>
      <c r="E97" s="10">
        <f>SUM(E$98,E$99,E$100,E$112,E$113,E$117,E$118,)</f>
        <v>0</v>
      </c>
      <c r="F97" s="11">
        <f t="shared" si="15"/>
        <v>0</v>
      </c>
      <c r="G97" s="10">
        <f>SUM(G$98,G$99,G$100,G$112,G$113,G$117,G$118,)</f>
        <v>0</v>
      </c>
      <c r="H97" s="11">
        <f t="shared" si="16"/>
        <v>0</v>
      </c>
      <c r="I97" s="10">
        <f>SUM(I$98,I$99,I$100,I$112,I$113,I$117,I$118,)</f>
        <v>136808.64000000001</v>
      </c>
      <c r="J97" s="11">
        <f t="shared" si="17"/>
        <v>1</v>
      </c>
      <c r="K97" s="10">
        <f t="shared" si="18"/>
        <v>136808.64000000001</v>
      </c>
      <c r="L97" s="11">
        <f t="shared" si="19"/>
        <v>1</v>
      </c>
      <c r="M97" s="11">
        <f t="shared" si="20"/>
        <v>0.18797064144461484</v>
      </c>
    </row>
    <row r="98" spans="1:13" x14ac:dyDescent="0.3">
      <c r="A98" s="12" t="s">
        <v>107</v>
      </c>
      <c r="B98" s="21" t="str">
        <f>VLOOKUP(A98,ORCAMENTO!$A:$I,2,FALSE)</f>
        <v>PERFURAÇÃO DE POÇO TUBULAR</v>
      </c>
      <c r="C98" s="13">
        <f>VLOOKUP(A98,ORCAMENTO!$A:$I,9,FALSE)</f>
        <v>65232.94</v>
      </c>
      <c r="D98" s="14">
        <f t="shared" si="14"/>
        <v>8.9627947292788473E-2</v>
      </c>
      <c r="E98" s="13">
        <f>VLOOKUP(A98,CO!$A:$R,10,FALSE)</f>
        <v>0</v>
      </c>
      <c r="F98" s="14">
        <f t="shared" si="15"/>
        <v>0</v>
      </c>
      <c r="G98" s="13">
        <f>VLOOKUP(A98,CO!$A:$R,13,FALSE)</f>
        <v>0</v>
      </c>
      <c r="H98" s="14">
        <f t="shared" si="16"/>
        <v>0</v>
      </c>
      <c r="I98" s="13">
        <f>VLOOKUP(A98,CO!$A:$R,16,FALSE)</f>
        <v>65232.94</v>
      </c>
      <c r="J98" s="14">
        <f t="shared" si="17"/>
        <v>1</v>
      </c>
      <c r="K98" s="13">
        <f t="shared" si="18"/>
        <v>65232.94</v>
      </c>
      <c r="L98" s="14">
        <f t="shared" si="19"/>
        <v>1</v>
      </c>
      <c r="M98" s="14">
        <f t="shared" si="20"/>
        <v>8.9627947292788473E-2</v>
      </c>
    </row>
    <row r="99" spans="1:13" ht="43.2" x14ac:dyDescent="0.3">
      <c r="A99" s="12" t="s">
        <v>108</v>
      </c>
      <c r="B99" s="21" t="str">
        <f>VLOOKUP(A99,ORCAMENTO!$A:$I,2,FALSE)</f>
        <v>AQUISIÇÃO E INSTALAÇÃO DE EQUIPAMENTOS DE BOMBEAMENTO, RECALQUE/BARRILETE E CONEXÕES PARA INTERLIGAÇÃO COM RESERVATÓRIO</v>
      </c>
      <c r="C99" s="13">
        <f>VLOOKUP(A99,ORCAMENTO!$A:$I,9,FALSE)</f>
        <v>19625.579999999998</v>
      </c>
      <c r="D99" s="14">
        <f t="shared" si="14"/>
        <v>2.6964911436314281E-2</v>
      </c>
      <c r="E99" s="13">
        <f>VLOOKUP(A99,CO!$A:$R,10,FALSE)</f>
        <v>0</v>
      </c>
      <c r="F99" s="14">
        <f t="shared" si="15"/>
        <v>0</v>
      </c>
      <c r="G99" s="13">
        <f>VLOOKUP(A99,CO!$A:$R,13,FALSE)</f>
        <v>0</v>
      </c>
      <c r="H99" s="14">
        <f t="shared" si="16"/>
        <v>0</v>
      </c>
      <c r="I99" s="13">
        <f>VLOOKUP(A99,CO!$A:$R,16,FALSE)</f>
        <v>19625.579999999998</v>
      </c>
      <c r="J99" s="14">
        <f t="shared" si="17"/>
        <v>1</v>
      </c>
      <c r="K99" s="13">
        <f t="shared" si="18"/>
        <v>19625.579999999998</v>
      </c>
      <c r="L99" s="14">
        <f t="shared" si="19"/>
        <v>1</v>
      </c>
      <c r="M99" s="14">
        <f t="shared" si="20"/>
        <v>2.6964911436314281E-2</v>
      </c>
    </row>
    <row r="100" spans="1:13" x14ac:dyDescent="0.3">
      <c r="A100" s="12" t="s">
        <v>109</v>
      </c>
      <c r="B100" s="21" t="str">
        <f>VLOOKUP(A100,ORCAMENTO!$A:$I,2,FALSE)</f>
        <v>CONSTRUÇÃO DA CASA DE COMANDO</v>
      </c>
      <c r="C100" s="13">
        <f>VLOOKUP(A100,ORCAMENTO!$A:$I,9,FALSE)</f>
        <v>25565.510000000002</v>
      </c>
      <c r="D100" s="14">
        <f t="shared" si="14"/>
        <v>3.5126182919139576E-2</v>
      </c>
      <c r="E100" s="13">
        <f>SUM(E$101,E$102,E$103,E$104,E$105,E$106,E$107,E$108,E$109,E$110,E$111,)</f>
        <v>0</v>
      </c>
      <c r="F100" s="14">
        <f t="shared" si="15"/>
        <v>0</v>
      </c>
      <c r="G100" s="13">
        <f>SUM(G$101,G$102,G$103,G$104,G$105,G$106,G$107,G$108,G$109,G$110,G$111,)</f>
        <v>0</v>
      </c>
      <c r="H100" s="14">
        <f t="shared" si="16"/>
        <v>0</v>
      </c>
      <c r="I100" s="13">
        <f>SUM(I$101,I$102,I$103,I$104,I$105,I$106,I$107,I$108,I$109,I$110,I$111,)</f>
        <v>25565.510000000002</v>
      </c>
      <c r="J100" s="14">
        <f t="shared" si="17"/>
        <v>1</v>
      </c>
      <c r="K100" s="13">
        <f t="shared" si="18"/>
        <v>25565.510000000002</v>
      </c>
      <c r="L100" s="14">
        <f t="shared" si="19"/>
        <v>1</v>
      </c>
      <c r="M100" s="14">
        <f t="shared" si="20"/>
        <v>3.5126182919139576E-2</v>
      </c>
    </row>
    <row r="101" spans="1:13" x14ac:dyDescent="0.3">
      <c r="A101" s="15" t="s">
        <v>110</v>
      </c>
      <c r="B101" s="22" t="str">
        <f>VLOOKUP(A101,ORCAMENTO!$A:$I,2,FALSE)</f>
        <v>SERVIÇOS PRELIMINARES</v>
      </c>
      <c r="C101" s="16">
        <f>VLOOKUP(A101,ORCAMENTO!$A:$I,9,FALSE)</f>
        <v>3887.12</v>
      </c>
      <c r="D101" s="17">
        <f t="shared" si="14"/>
        <v>5.3407770135876732E-3</v>
      </c>
      <c r="E101" s="16">
        <f>VLOOKUP(A101,CO!$A:$R,10,FALSE)</f>
        <v>0</v>
      </c>
      <c r="F101" s="17">
        <f t="shared" si="15"/>
        <v>0</v>
      </c>
      <c r="G101" s="16">
        <f>VLOOKUP(A101,CO!$A:$R,13,FALSE)</f>
        <v>0</v>
      </c>
      <c r="H101" s="17">
        <f t="shared" si="16"/>
        <v>0</v>
      </c>
      <c r="I101" s="16">
        <f>VLOOKUP(A101,CO!$A:$R,16,FALSE)</f>
        <v>3887.12</v>
      </c>
      <c r="J101" s="17">
        <f t="shared" si="17"/>
        <v>1</v>
      </c>
      <c r="K101" s="16">
        <f t="shared" si="18"/>
        <v>3887.12</v>
      </c>
      <c r="L101" s="17">
        <f t="shared" si="19"/>
        <v>1</v>
      </c>
      <c r="M101" s="17">
        <f t="shared" si="20"/>
        <v>5.3407770135876732E-3</v>
      </c>
    </row>
    <row r="102" spans="1:13" x14ac:dyDescent="0.3">
      <c r="A102" s="15" t="s">
        <v>111</v>
      </c>
      <c r="B102" s="22" t="str">
        <f>VLOOKUP(A102,ORCAMENTO!$A:$I,2,FALSE)</f>
        <v>MOVIMENTO DE TERRA</v>
      </c>
      <c r="C102" s="16">
        <f>VLOOKUP(A102,ORCAMENTO!$A:$I,9,FALSE)</f>
        <v>165.09</v>
      </c>
      <c r="D102" s="17">
        <f t="shared" si="14"/>
        <v>2.2682831432350661E-4</v>
      </c>
      <c r="E102" s="16">
        <f>VLOOKUP(A102,CO!$A:$R,10,FALSE)</f>
        <v>0</v>
      </c>
      <c r="F102" s="17">
        <f t="shared" si="15"/>
        <v>0</v>
      </c>
      <c r="G102" s="16">
        <f>VLOOKUP(A102,CO!$A:$R,13,FALSE)</f>
        <v>0</v>
      </c>
      <c r="H102" s="17">
        <f t="shared" si="16"/>
        <v>0</v>
      </c>
      <c r="I102" s="16">
        <f>VLOOKUP(A102,CO!$A:$R,16,FALSE)</f>
        <v>165.09</v>
      </c>
      <c r="J102" s="17">
        <f t="shared" si="17"/>
        <v>1</v>
      </c>
      <c r="K102" s="16">
        <f t="shared" si="18"/>
        <v>165.09</v>
      </c>
      <c r="L102" s="17">
        <f t="shared" si="19"/>
        <v>1</v>
      </c>
      <c r="M102" s="17">
        <f t="shared" si="20"/>
        <v>2.2682831432350661E-4</v>
      </c>
    </row>
    <row r="103" spans="1:13" x14ac:dyDescent="0.3">
      <c r="A103" s="15" t="s">
        <v>112</v>
      </c>
      <c r="B103" s="22" t="str">
        <f>VLOOKUP(A103,ORCAMENTO!$A:$I,2,FALSE)</f>
        <v>INFRAESTRUTURA</v>
      </c>
      <c r="C103" s="16">
        <f>VLOOKUP(A103,ORCAMENTO!$A:$I,9,FALSE)</f>
        <v>1275.5</v>
      </c>
      <c r="D103" s="17">
        <f t="shared" si="14"/>
        <v>1.7524956988287158E-3</v>
      </c>
      <c r="E103" s="16">
        <f>VLOOKUP(A103,CO!$A:$R,10,FALSE)</f>
        <v>0</v>
      </c>
      <c r="F103" s="17">
        <f t="shared" si="15"/>
        <v>0</v>
      </c>
      <c r="G103" s="16">
        <f>VLOOKUP(A103,CO!$A:$R,13,FALSE)</f>
        <v>0</v>
      </c>
      <c r="H103" s="17">
        <f t="shared" si="16"/>
        <v>0</v>
      </c>
      <c r="I103" s="16">
        <f>VLOOKUP(A103,CO!$A:$R,16,FALSE)</f>
        <v>1275.5</v>
      </c>
      <c r="J103" s="17">
        <f t="shared" si="17"/>
        <v>1</v>
      </c>
      <c r="K103" s="16">
        <f t="shared" si="18"/>
        <v>1275.5</v>
      </c>
      <c r="L103" s="17">
        <f t="shared" si="19"/>
        <v>1</v>
      </c>
      <c r="M103" s="17">
        <f t="shared" si="20"/>
        <v>1.7524956988287158E-3</v>
      </c>
    </row>
    <row r="104" spans="1:13" x14ac:dyDescent="0.3">
      <c r="A104" s="15" t="s">
        <v>113</v>
      </c>
      <c r="B104" s="22" t="str">
        <f>VLOOKUP(A104,ORCAMENTO!$A:$I,2,FALSE)</f>
        <v>SUPERESTRUTURA</v>
      </c>
      <c r="C104" s="16">
        <f>VLOOKUP(A104,ORCAMENTO!$A:$I,9,FALSE)</f>
        <v>1347.9099999999999</v>
      </c>
      <c r="D104" s="17">
        <f t="shared" ref="D104:D118" si="21">C104/$C$119</f>
        <v>1.8519846941655932E-3</v>
      </c>
      <c r="E104" s="16">
        <f>VLOOKUP(A104,CO!$A:$R,10,FALSE)</f>
        <v>0</v>
      </c>
      <c r="F104" s="17">
        <f t="shared" ref="F104:F118" si="22">E104/C104</f>
        <v>0</v>
      </c>
      <c r="G104" s="16">
        <f>VLOOKUP(A104,CO!$A:$R,13,FALSE)</f>
        <v>0</v>
      </c>
      <c r="H104" s="17">
        <f t="shared" ref="H104:H118" si="23">G104/C104</f>
        <v>0</v>
      </c>
      <c r="I104" s="16">
        <f>VLOOKUP(A104,CO!$A:$R,16,FALSE)</f>
        <v>1347.9099999999999</v>
      </c>
      <c r="J104" s="17">
        <f t="shared" ref="J104:J118" si="24">I104/C104</f>
        <v>1</v>
      </c>
      <c r="K104" s="16">
        <f t="shared" ref="K104:K118" si="25">SUM(E104,G104,I104,)</f>
        <v>1347.9099999999999</v>
      </c>
      <c r="L104" s="17">
        <f t="shared" ref="L104:L118" si="26">SUM(F104,H104,J104,)</f>
        <v>1</v>
      </c>
      <c r="M104" s="17">
        <f t="shared" ref="M104:M118" si="27">K104/$C$119</f>
        <v>1.8519846941655932E-3</v>
      </c>
    </row>
    <row r="105" spans="1:13" x14ac:dyDescent="0.3">
      <c r="A105" s="15" t="s">
        <v>114</v>
      </c>
      <c r="B105" s="22" t="str">
        <f>VLOOKUP(A105,ORCAMENTO!$A:$I,2,FALSE)</f>
        <v>VEDAÇÃO VERTICAL</v>
      </c>
      <c r="C105" s="16">
        <f>VLOOKUP(A105,ORCAMENTO!$A:$I,9,FALSE)</f>
        <v>2674.92</v>
      </c>
      <c r="D105" s="17">
        <f t="shared" si="21"/>
        <v>3.6752534650810729E-3</v>
      </c>
      <c r="E105" s="16">
        <f>VLOOKUP(A105,CO!$A:$R,10,FALSE)</f>
        <v>0</v>
      </c>
      <c r="F105" s="17">
        <f t="shared" si="22"/>
        <v>0</v>
      </c>
      <c r="G105" s="16">
        <f>VLOOKUP(A105,CO!$A:$R,13,FALSE)</f>
        <v>0</v>
      </c>
      <c r="H105" s="17">
        <f t="shared" si="23"/>
        <v>0</v>
      </c>
      <c r="I105" s="16">
        <f>VLOOKUP(A105,CO!$A:$R,16,FALSE)</f>
        <v>2674.92</v>
      </c>
      <c r="J105" s="17">
        <f t="shared" si="24"/>
        <v>1</v>
      </c>
      <c r="K105" s="16">
        <f t="shared" si="25"/>
        <v>2674.92</v>
      </c>
      <c r="L105" s="17">
        <f t="shared" si="26"/>
        <v>1</v>
      </c>
      <c r="M105" s="17">
        <f t="shared" si="27"/>
        <v>3.6752534650810729E-3</v>
      </c>
    </row>
    <row r="106" spans="1:13" x14ac:dyDescent="0.3">
      <c r="A106" s="15" t="s">
        <v>115</v>
      </c>
      <c r="B106" s="22" t="str">
        <f>VLOOKUP(A106,ORCAMENTO!$A:$I,2,FALSE)</f>
        <v>COBERTURA</v>
      </c>
      <c r="C106" s="16">
        <f>VLOOKUP(A106,ORCAMENTO!$A:$I,9,FALSE)</f>
        <v>1332.15</v>
      </c>
      <c r="D106" s="17">
        <f t="shared" si="21"/>
        <v>1.8303309644803402E-3</v>
      </c>
      <c r="E106" s="16">
        <f>VLOOKUP(A106,CO!$A:$R,10,FALSE)</f>
        <v>0</v>
      </c>
      <c r="F106" s="17">
        <f t="shared" si="22"/>
        <v>0</v>
      </c>
      <c r="G106" s="16">
        <f>VLOOKUP(A106,CO!$A:$R,13,FALSE)</f>
        <v>0</v>
      </c>
      <c r="H106" s="17">
        <f t="shared" si="23"/>
        <v>0</v>
      </c>
      <c r="I106" s="16">
        <f>VLOOKUP(A106,CO!$A:$R,16,FALSE)</f>
        <v>1332.15</v>
      </c>
      <c r="J106" s="17">
        <f t="shared" si="24"/>
        <v>1</v>
      </c>
      <c r="K106" s="16">
        <f t="shared" si="25"/>
        <v>1332.15</v>
      </c>
      <c r="L106" s="17">
        <f t="shared" si="26"/>
        <v>1</v>
      </c>
      <c r="M106" s="17">
        <f t="shared" si="27"/>
        <v>1.8303309644803402E-3</v>
      </c>
    </row>
    <row r="107" spans="1:13" x14ac:dyDescent="0.3">
      <c r="A107" s="15" t="s">
        <v>116</v>
      </c>
      <c r="B107" s="22" t="str">
        <f>VLOOKUP(A107,ORCAMENTO!$A:$I,2,FALSE)</f>
        <v>PISO</v>
      </c>
      <c r="C107" s="16">
        <f>VLOOKUP(A107,ORCAMENTO!$A:$I,9,FALSE)</f>
        <v>1208.82</v>
      </c>
      <c r="D107" s="17">
        <f t="shared" si="21"/>
        <v>1.6608795379522761E-3</v>
      </c>
      <c r="E107" s="16">
        <f>VLOOKUP(A107,CO!$A:$R,10,FALSE)</f>
        <v>0</v>
      </c>
      <c r="F107" s="17">
        <f t="shared" si="22"/>
        <v>0</v>
      </c>
      <c r="G107" s="16">
        <f>VLOOKUP(A107,CO!$A:$R,13,FALSE)</f>
        <v>0</v>
      </c>
      <c r="H107" s="17">
        <f t="shared" si="23"/>
        <v>0</v>
      </c>
      <c r="I107" s="16">
        <f>VLOOKUP(A107,CO!$A:$R,16,FALSE)</f>
        <v>1208.82</v>
      </c>
      <c r="J107" s="17">
        <f t="shared" si="24"/>
        <v>1</v>
      </c>
      <c r="K107" s="16">
        <f t="shared" si="25"/>
        <v>1208.82</v>
      </c>
      <c r="L107" s="17">
        <f t="shared" si="26"/>
        <v>1</v>
      </c>
      <c r="M107" s="17">
        <f t="shared" si="27"/>
        <v>1.6608795379522761E-3</v>
      </c>
    </row>
    <row r="108" spans="1:13" x14ac:dyDescent="0.3">
      <c r="A108" s="15" t="s">
        <v>117</v>
      </c>
      <c r="B108" s="22" t="str">
        <f>VLOOKUP(A108,ORCAMENTO!$A:$I,2,FALSE)</f>
        <v>REVESTIMENTO</v>
      </c>
      <c r="C108" s="16">
        <f>VLOOKUP(A108,ORCAMENTO!$A:$I,9,FALSE)</f>
        <v>2396.75</v>
      </c>
      <c r="D108" s="17">
        <f t="shared" si="21"/>
        <v>3.2930568923306347E-3</v>
      </c>
      <c r="E108" s="16">
        <f>VLOOKUP(A108,CO!$A:$R,10,FALSE)</f>
        <v>0</v>
      </c>
      <c r="F108" s="17">
        <f t="shared" si="22"/>
        <v>0</v>
      </c>
      <c r="G108" s="16">
        <f>VLOOKUP(A108,CO!$A:$R,13,FALSE)</f>
        <v>0</v>
      </c>
      <c r="H108" s="17">
        <f t="shared" si="23"/>
        <v>0</v>
      </c>
      <c r="I108" s="16">
        <f>VLOOKUP(A108,CO!$A:$R,16,FALSE)</f>
        <v>2396.75</v>
      </c>
      <c r="J108" s="17">
        <f t="shared" si="24"/>
        <v>1</v>
      </c>
      <c r="K108" s="16">
        <f t="shared" si="25"/>
        <v>2396.75</v>
      </c>
      <c r="L108" s="17">
        <f t="shared" si="26"/>
        <v>1</v>
      </c>
      <c r="M108" s="17">
        <f t="shared" si="27"/>
        <v>3.2930568923306347E-3</v>
      </c>
    </row>
    <row r="109" spans="1:13" x14ac:dyDescent="0.3">
      <c r="A109" s="15" t="s">
        <v>118</v>
      </c>
      <c r="B109" s="22" t="str">
        <f>VLOOKUP(A109,ORCAMENTO!$A:$I,2,FALSE)</f>
        <v>ESQUADRIAS</v>
      </c>
      <c r="C109" s="16">
        <f>VLOOKUP(A109,ORCAMENTO!$A:$I,9,FALSE)</f>
        <v>4550.21</v>
      </c>
      <c r="D109" s="17">
        <f t="shared" si="21"/>
        <v>6.2518412024832699E-3</v>
      </c>
      <c r="E109" s="16">
        <f>VLOOKUP(A109,CO!$A:$R,10,FALSE)</f>
        <v>0</v>
      </c>
      <c r="F109" s="17">
        <f t="shared" si="22"/>
        <v>0</v>
      </c>
      <c r="G109" s="16">
        <f>VLOOKUP(A109,CO!$A:$R,13,FALSE)</f>
        <v>0</v>
      </c>
      <c r="H109" s="17">
        <f t="shared" si="23"/>
        <v>0</v>
      </c>
      <c r="I109" s="16">
        <f>VLOOKUP(A109,CO!$A:$R,16,FALSE)</f>
        <v>4550.21</v>
      </c>
      <c r="J109" s="17">
        <f t="shared" si="24"/>
        <v>1</v>
      </c>
      <c r="K109" s="16">
        <f t="shared" si="25"/>
        <v>4550.21</v>
      </c>
      <c r="L109" s="17">
        <f t="shared" si="26"/>
        <v>1</v>
      </c>
      <c r="M109" s="17">
        <f t="shared" si="27"/>
        <v>6.2518412024832699E-3</v>
      </c>
    </row>
    <row r="110" spans="1:13" x14ac:dyDescent="0.3">
      <c r="A110" s="15" t="s">
        <v>119</v>
      </c>
      <c r="B110" s="22" t="str">
        <f>VLOOKUP(A110,ORCAMENTO!$A:$I,2,FALSE)</f>
        <v>PINTURA</v>
      </c>
      <c r="C110" s="16">
        <f>VLOOKUP(A110,ORCAMENTO!$A:$I,9,FALSE)</f>
        <v>663.11</v>
      </c>
      <c r="D110" s="17">
        <f t="shared" si="21"/>
        <v>9.1109166824798889E-4</v>
      </c>
      <c r="E110" s="16">
        <f>VLOOKUP(A110,CO!$A:$R,10,FALSE)</f>
        <v>0</v>
      </c>
      <c r="F110" s="17">
        <f t="shared" si="22"/>
        <v>0</v>
      </c>
      <c r="G110" s="16">
        <f>VLOOKUP(A110,CO!$A:$R,13,FALSE)</f>
        <v>0</v>
      </c>
      <c r="H110" s="17">
        <f t="shared" si="23"/>
        <v>0</v>
      </c>
      <c r="I110" s="16">
        <f>VLOOKUP(A110,CO!$A:$R,16,FALSE)</f>
        <v>663.11</v>
      </c>
      <c r="J110" s="17">
        <f t="shared" si="24"/>
        <v>1</v>
      </c>
      <c r="K110" s="16">
        <f t="shared" si="25"/>
        <v>663.11</v>
      </c>
      <c r="L110" s="17">
        <f t="shared" si="26"/>
        <v>1</v>
      </c>
      <c r="M110" s="17">
        <f t="shared" si="27"/>
        <v>9.1109166824798889E-4</v>
      </c>
    </row>
    <row r="111" spans="1:13" x14ac:dyDescent="0.3">
      <c r="A111" s="15" t="s">
        <v>120</v>
      </c>
      <c r="B111" s="22" t="str">
        <f>VLOOKUP(A111,ORCAMENTO!$A:$I,2,FALSE)</f>
        <v>CERCAMENTO</v>
      </c>
      <c r="C111" s="16">
        <f>VLOOKUP(A111,ORCAMENTO!$A:$I,9,FALSE)</f>
        <v>6063.93</v>
      </c>
      <c r="D111" s="17">
        <f t="shared" si="21"/>
        <v>8.3316434676584984E-3</v>
      </c>
      <c r="E111" s="16">
        <f>VLOOKUP(A111,CO!$A:$R,10,FALSE)</f>
        <v>0</v>
      </c>
      <c r="F111" s="17">
        <f t="shared" si="22"/>
        <v>0</v>
      </c>
      <c r="G111" s="16">
        <f>VLOOKUP(A111,CO!$A:$R,13,FALSE)</f>
        <v>0</v>
      </c>
      <c r="H111" s="17">
        <f t="shared" si="23"/>
        <v>0</v>
      </c>
      <c r="I111" s="16">
        <f>VLOOKUP(A111,CO!$A:$R,16,FALSE)</f>
        <v>6063.93</v>
      </c>
      <c r="J111" s="17">
        <f t="shared" si="24"/>
        <v>1</v>
      </c>
      <c r="K111" s="16">
        <f t="shared" si="25"/>
        <v>6063.93</v>
      </c>
      <c r="L111" s="17">
        <f t="shared" si="26"/>
        <v>1</v>
      </c>
      <c r="M111" s="17">
        <f t="shared" si="27"/>
        <v>8.3316434676584984E-3</v>
      </c>
    </row>
    <row r="112" spans="1:13" x14ac:dyDescent="0.3">
      <c r="A112" s="12" t="s">
        <v>121</v>
      </c>
      <c r="B112" s="21" t="str">
        <f>VLOOKUP(A112,ORCAMENTO!$A:$I,2,FALSE)</f>
        <v>INSTALAÇÕES ELÉTRICAS</v>
      </c>
      <c r="C112" s="13">
        <f>VLOOKUP(A112,ORCAMENTO!$A:$I,9,FALSE)</f>
        <v>1853.2700000000002</v>
      </c>
      <c r="D112" s="14">
        <f t="shared" si="21"/>
        <v>2.5463329704181062E-3</v>
      </c>
      <c r="E112" s="13">
        <f>VLOOKUP(A112,CO!$A:$R,10,FALSE)</f>
        <v>0</v>
      </c>
      <c r="F112" s="14">
        <f t="shared" si="22"/>
        <v>0</v>
      </c>
      <c r="G112" s="13">
        <f>VLOOKUP(A112,CO!$A:$R,13,FALSE)</f>
        <v>0</v>
      </c>
      <c r="H112" s="14">
        <f t="shared" si="23"/>
        <v>0</v>
      </c>
      <c r="I112" s="13">
        <f>VLOOKUP(A112,CO!$A:$R,16,FALSE)</f>
        <v>1853.2700000000002</v>
      </c>
      <c r="J112" s="14">
        <f t="shared" si="24"/>
        <v>1</v>
      </c>
      <c r="K112" s="13">
        <f t="shared" si="25"/>
        <v>1853.2700000000002</v>
      </c>
      <c r="L112" s="14">
        <f t="shared" si="26"/>
        <v>1</v>
      </c>
      <c r="M112" s="14">
        <f t="shared" si="27"/>
        <v>2.5463329704181062E-3</v>
      </c>
    </row>
    <row r="113" spans="1:13" x14ac:dyDescent="0.3">
      <c r="A113" s="12" t="s">
        <v>122</v>
      </c>
      <c r="B113" s="21" t="str">
        <f>VLOOKUP(A113,ORCAMENTO!$A:$I,2,FALSE)</f>
        <v>ADUÇÃO</v>
      </c>
      <c r="C113" s="13">
        <f>VLOOKUP(A113,ORCAMENTO!$A:$I,9,FALSE)</f>
        <v>1351.72</v>
      </c>
      <c r="D113" s="14">
        <f t="shared" si="21"/>
        <v>1.8572195107963557E-3</v>
      </c>
      <c r="E113" s="13">
        <f>SUM(E$114,E$115,E$116,)</f>
        <v>0</v>
      </c>
      <c r="F113" s="14">
        <f t="shared" si="22"/>
        <v>0</v>
      </c>
      <c r="G113" s="13">
        <f>SUM(G$114,G$115,G$116,)</f>
        <v>0</v>
      </c>
      <c r="H113" s="14">
        <f t="shared" si="23"/>
        <v>0</v>
      </c>
      <c r="I113" s="13">
        <f>SUM(I$114,I$115,I$116,)</f>
        <v>1351.72</v>
      </c>
      <c r="J113" s="14">
        <f t="shared" si="24"/>
        <v>1</v>
      </c>
      <c r="K113" s="13">
        <f t="shared" si="25"/>
        <v>1351.72</v>
      </c>
      <c r="L113" s="14">
        <f t="shared" si="26"/>
        <v>1</v>
      </c>
      <c r="M113" s="14">
        <f t="shared" si="27"/>
        <v>1.8572195107963557E-3</v>
      </c>
    </row>
    <row r="114" spans="1:13" x14ac:dyDescent="0.3">
      <c r="A114" s="15" t="s">
        <v>123</v>
      </c>
      <c r="B114" s="22" t="str">
        <f>VLOOKUP(A114,ORCAMENTO!$A:$I,2,FALSE)</f>
        <v>MOVIMENTO DE TERRA</v>
      </c>
      <c r="C114" s="16">
        <f>VLOOKUP(A114,ORCAMENTO!$A:$I,9,FALSE)</f>
        <v>423.02</v>
      </c>
      <c r="D114" s="17">
        <f t="shared" si="21"/>
        <v>5.8121578245278187E-4</v>
      </c>
      <c r="E114" s="16">
        <f>VLOOKUP(A114,CO!$A:$R,10,FALSE)</f>
        <v>0</v>
      </c>
      <c r="F114" s="17">
        <f t="shared" si="22"/>
        <v>0</v>
      </c>
      <c r="G114" s="16">
        <f>VLOOKUP(A114,CO!$A:$R,13,FALSE)</f>
        <v>0</v>
      </c>
      <c r="H114" s="17">
        <f t="shared" si="23"/>
        <v>0</v>
      </c>
      <c r="I114" s="16">
        <f>VLOOKUP(A114,CO!$A:$R,16,FALSE)</f>
        <v>423.02</v>
      </c>
      <c r="J114" s="17">
        <f t="shared" si="24"/>
        <v>1</v>
      </c>
      <c r="K114" s="16">
        <f t="shared" si="25"/>
        <v>423.02</v>
      </c>
      <c r="L114" s="17">
        <f t="shared" si="26"/>
        <v>1</v>
      </c>
      <c r="M114" s="17">
        <f t="shared" si="27"/>
        <v>5.8121578245278187E-4</v>
      </c>
    </row>
    <row r="115" spans="1:13" x14ac:dyDescent="0.3">
      <c r="A115" s="15" t="s">
        <v>124</v>
      </c>
      <c r="B115" s="22" t="str">
        <f>VLOOKUP(A115,ORCAMENTO!$A:$I,2,FALSE)</f>
        <v>INFRAESTRUTURA</v>
      </c>
      <c r="C115" s="16">
        <f>VLOOKUP(A115,ORCAMENTO!$A:$I,9,FALSE)</f>
        <v>265.19</v>
      </c>
      <c r="D115" s="17">
        <f t="shared" si="21"/>
        <v>3.6436247304773588E-4</v>
      </c>
      <c r="E115" s="16">
        <f>VLOOKUP(A115,CO!$A:$R,10,FALSE)</f>
        <v>0</v>
      </c>
      <c r="F115" s="17">
        <f t="shared" si="22"/>
        <v>0</v>
      </c>
      <c r="G115" s="16">
        <f>VLOOKUP(A115,CO!$A:$R,13,FALSE)</f>
        <v>0</v>
      </c>
      <c r="H115" s="17">
        <f t="shared" si="23"/>
        <v>0</v>
      </c>
      <c r="I115" s="16">
        <f>VLOOKUP(A115,CO!$A:$R,16,FALSE)</f>
        <v>265.19</v>
      </c>
      <c r="J115" s="17">
        <f t="shared" si="24"/>
        <v>1</v>
      </c>
      <c r="K115" s="16">
        <f t="shared" si="25"/>
        <v>265.19</v>
      </c>
      <c r="L115" s="17">
        <f t="shared" si="26"/>
        <v>1</v>
      </c>
      <c r="M115" s="17">
        <f t="shared" si="27"/>
        <v>3.6436247304773588E-4</v>
      </c>
    </row>
    <row r="116" spans="1:13" x14ac:dyDescent="0.3">
      <c r="A116" s="15" t="s">
        <v>125</v>
      </c>
      <c r="B116" s="22" t="str">
        <f>VLOOKUP(A116,ORCAMENTO!$A:$I,2,FALSE)</f>
        <v>INSTALAÇÕES HIDRÁULICAS</v>
      </c>
      <c r="C116" s="16">
        <f>VLOOKUP(A116,ORCAMENTO!$A:$I,9,FALSE)</f>
        <v>663.51</v>
      </c>
      <c r="D116" s="17">
        <f t="shared" si="21"/>
        <v>9.1164125529583789E-4</v>
      </c>
      <c r="E116" s="16">
        <f>VLOOKUP(A116,CO!$A:$R,10,FALSE)</f>
        <v>0</v>
      </c>
      <c r="F116" s="17">
        <f t="shared" si="22"/>
        <v>0</v>
      </c>
      <c r="G116" s="16">
        <f>VLOOKUP(A116,CO!$A:$R,13,FALSE)</f>
        <v>0</v>
      </c>
      <c r="H116" s="17">
        <f t="shared" si="23"/>
        <v>0</v>
      </c>
      <c r="I116" s="16">
        <f>VLOOKUP(A116,CO!$A:$R,16,FALSE)</f>
        <v>663.51</v>
      </c>
      <c r="J116" s="17">
        <f t="shared" si="24"/>
        <v>1</v>
      </c>
      <c r="K116" s="16">
        <f t="shared" si="25"/>
        <v>663.51</v>
      </c>
      <c r="L116" s="17">
        <f t="shared" si="26"/>
        <v>1</v>
      </c>
      <c r="M116" s="17">
        <f t="shared" si="27"/>
        <v>9.1164125529583789E-4</v>
      </c>
    </row>
    <row r="117" spans="1:13" x14ac:dyDescent="0.3">
      <c r="A117" s="12" t="s">
        <v>126</v>
      </c>
      <c r="B117" s="21" t="str">
        <f>VLOOKUP(A117,ORCAMENTO!$A:$I,2,FALSE)</f>
        <v>RESERVAÇÃO</v>
      </c>
      <c r="C117" s="13">
        <f>VLOOKUP(A117,ORCAMENTO!$A:$I,9,FALSE)</f>
        <v>20347.62</v>
      </c>
      <c r="D117" s="14">
        <f t="shared" si="21"/>
        <v>2.7956971016386636E-2</v>
      </c>
      <c r="E117" s="13">
        <f>VLOOKUP(A117,CO!$A:$R,10,FALSE)</f>
        <v>0</v>
      </c>
      <c r="F117" s="14">
        <f t="shared" si="22"/>
        <v>0</v>
      </c>
      <c r="G117" s="13">
        <f>VLOOKUP(A117,CO!$A:$R,13,FALSE)</f>
        <v>0</v>
      </c>
      <c r="H117" s="14">
        <f t="shared" si="23"/>
        <v>0</v>
      </c>
      <c r="I117" s="13">
        <f>VLOOKUP(A117,CO!$A:$R,16,FALSE)</f>
        <v>20347.62</v>
      </c>
      <c r="J117" s="14">
        <f t="shared" si="24"/>
        <v>1</v>
      </c>
      <c r="K117" s="13">
        <f t="shared" si="25"/>
        <v>20347.62</v>
      </c>
      <c r="L117" s="14">
        <f t="shared" si="26"/>
        <v>1</v>
      </c>
      <c r="M117" s="14">
        <f t="shared" si="27"/>
        <v>2.7956971016386636E-2</v>
      </c>
    </row>
    <row r="118" spans="1:13" x14ac:dyDescent="0.3">
      <c r="A118" s="12" t="s">
        <v>127</v>
      </c>
      <c r="B118" s="21" t="str">
        <f>VLOOKUP(A118,ORCAMENTO!$A:$I,2,FALSE)</f>
        <v>DISTRIBUIÇÃO (CHAFARIZ)</v>
      </c>
      <c r="C118" s="13">
        <f>VLOOKUP(A118,ORCAMENTO!$A:$I,9,FALSE)</f>
        <v>2831.9999999999995</v>
      </c>
      <c r="D118" s="14">
        <f t="shared" si="21"/>
        <v>3.8910762987714015E-3</v>
      </c>
      <c r="E118" s="13">
        <f>VLOOKUP(A118,CO!$A:$R,10,FALSE)</f>
        <v>0</v>
      </c>
      <c r="F118" s="14">
        <f t="shared" si="22"/>
        <v>0</v>
      </c>
      <c r="G118" s="13">
        <f>VLOOKUP(A118,CO!$A:$R,13,FALSE)</f>
        <v>0</v>
      </c>
      <c r="H118" s="14">
        <f t="shared" si="23"/>
        <v>0</v>
      </c>
      <c r="I118" s="13">
        <f>VLOOKUP(A118,CO!$A:$R,16,FALSE)</f>
        <v>2831.9999999999995</v>
      </c>
      <c r="J118" s="14">
        <f t="shared" si="24"/>
        <v>1</v>
      </c>
      <c r="K118" s="13">
        <f t="shared" si="25"/>
        <v>2831.9999999999995</v>
      </c>
      <c r="L118" s="14">
        <f t="shared" si="26"/>
        <v>1</v>
      </c>
      <c r="M118" s="14">
        <f t="shared" si="27"/>
        <v>3.8910762987714015E-3</v>
      </c>
    </row>
    <row r="119" spans="1:13" x14ac:dyDescent="0.3">
      <c r="B119" s="4" t="s">
        <v>135</v>
      </c>
      <c r="C119" s="57">
        <f>SUM(C8,C9,C31,C53,C75,C97,)</f>
        <v>727819.19000000006</v>
      </c>
      <c r="D119" s="59">
        <f>SUM(D8,D9,D31,D53,D75,D97,)</f>
        <v>1</v>
      </c>
      <c r="E119" s="18">
        <f>SUM(E8,E9,E31,E53,E75,E97,)</f>
        <v>291807.58000000007</v>
      </c>
      <c r="F119" s="19">
        <f>E119/$C$119</f>
        <v>0.40093416608045201</v>
      </c>
      <c r="G119" s="18">
        <f>SUM(G8,G9,G31,G53,G75,G97,)</f>
        <v>290334.57000000007</v>
      </c>
      <c r="H119" s="19">
        <f>G119/$C$119</f>
        <v>0.39891029803707162</v>
      </c>
      <c r="I119" s="18">
        <f>SUM(I8,I9,I31,I53,I75,I97,)</f>
        <v>145677.04</v>
      </c>
      <c r="J119" s="19">
        <f>I119/$C$119</f>
        <v>0.20015553588247653</v>
      </c>
      <c r="K119" s="57">
        <f>SUM(K8,K9,K31,K53,K75,K97,)</f>
        <v>727819.19000000006</v>
      </c>
      <c r="L119" s="59">
        <f>SUM(F119,H119,J119,)</f>
        <v>1.0000000000000002</v>
      </c>
      <c r="M119" s="59">
        <f>SUM(M8,M9,M31,M53,M75,M97,)</f>
        <v>1</v>
      </c>
    </row>
    <row r="120" spans="1:13" x14ac:dyDescent="0.3">
      <c r="B120" s="4" t="s">
        <v>136</v>
      </c>
      <c r="C120" s="58"/>
      <c r="D120" s="60"/>
      <c r="E120" s="18">
        <f>SUM(E119)</f>
        <v>291807.58000000007</v>
      </c>
      <c r="F120" s="19">
        <f>E120/$C$119</f>
        <v>0.40093416608045201</v>
      </c>
      <c r="G120" s="18">
        <f>SUM(G119,E120)</f>
        <v>582142.15000000014</v>
      </c>
      <c r="H120" s="19">
        <f>G120/$C$119</f>
        <v>0.79984446411752363</v>
      </c>
      <c r="I120" s="18">
        <f>SUM(I119,G120)</f>
        <v>727819.19000000018</v>
      </c>
      <c r="J120" s="19">
        <f>I120/$C$119</f>
        <v>1.0000000000000002</v>
      </c>
      <c r="K120" s="58"/>
      <c r="L120" s="60"/>
      <c r="M120" s="60"/>
    </row>
  </sheetData>
  <mergeCells count="17">
    <mergeCell ref="A1:M1"/>
    <mergeCell ref="A2:M2"/>
    <mergeCell ref="A3:M3"/>
    <mergeCell ref="A6:A7"/>
    <mergeCell ref="B6:B7"/>
    <mergeCell ref="C6:C7"/>
    <mergeCell ref="D6:D7"/>
    <mergeCell ref="E6:F7"/>
    <mergeCell ref="G6:H7"/>
    <mergeCell ref="I6:J7"/>
    <mergeCell ref="K6:K7"/>
    <mergeCell ref="L6:M6"/>
    <mergeCell ref="C119:C120"/>
    <mergeCell ref="D119:D120"/>
    <mergeCell ref="K119:K120"/>
    <mergeCell ref="L119:L120"/>
    <mergeCell ref="M119:M120"/>
  </mergeCells>
  <pageMargins left="0.78740157480314965" right="0.39370078740157483" top="1.1811023622047245" bottom="0.78740157480314965" header="0.31496062992125984" footer="0.31496062992125984"/>
  <pageSetup paperSize="9" scale="54" fitToHeight="0" orientation="landscape" r:id="rId1"/>
  <headerFooter>
    <oddHeader>&amp;C&amp;G</oddHead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3CD18F-7384-4E06-A17B-297B21FFED05}">
  <sheetPr>
    <pageSetUpPr fitToPage="1"/>
  </sheetPr>
  <dimension ref="A1:I475"/>
  <sheetViews>
    <sheetView showGridLines="0" topLeftCell="A79" workbookViewId="0">
      <selection activeCell="E92" sqref="E92"/>
    </sheetView>
  </sheetViews>
  <sheetFormatPr defaultRowHeight="14.4" x14ac:dyDescent="0.3"/>
  <cols>
    <col min="1" max="3" width="12" bestFit="1" customWidth="1"/>
    <col min="4" max="4" width="74.109375" bestFit="1" customWidth="1"/>
    <col min="5" max="5" width="9.21875" bestFit="1" customWidth="1"/>
    <col min="6" max="10" width="14.77734375" bestFit="1" customWidth="1"/>
  </cols>
  <sheetData>
    <row r="1" spans="1:9" x14ac:dyDescent="0.3">
      <c r="A1" s="33" t="str">
        <f>CIDADE</f>
        <v>MUNICÍPIO DE LAGOA DO PIAUI - PI</v>
      </c>
      <c r="B1" s="33"/>
      <c r="C1" s="33"/>
      <c r="D1" s="33"/>
      <c r="E1" s="33"/>
      <c r="F1" s="33"/>
      <c r="G1" s="33"/>
      <c r="H1" s="33"/>
      <c r="I1" s="33"/>
    </row>
    <row r="2" spans="1:9" x14ac:dyDescent="0.3">
      <c r="A2" s="33" t="str">
        <f>OBRA</f>
        <v>IMPLANTAÇÃO DE 5 (CINCO) SISTEMAS SIMPLIFICADOS DE ABASTECIMENTO DE ÁGUA ZONA RURAL DO MUNICÍPIO DE LAGOA DO PIAUÍ-PI</v>
      </c>
      <c r="B2" s="33"/>
      <c r="C2" s="33"/>
      <c r="D2" s="33"/>
      <c r="E2" s="33"/>
      <c r="F2" s="33"/>
      <c r="G2" s="33"/>
      <c r="H2" s="33"/>
      <c r="I2" s="33"/>
    </row>
    <row r="3" spans="1:9" x14ac:dyDescent="0.3">
      <c r="A3" s="33" t="s">
        <v>137</v>
      </c>
      <c r="B3" s="33"/>
      <c r="C3" s="33"/>
      <c r="D3" s="33"/>
      <c r="E3" s="33"/>
      <c r="F3" s="33"/>
      <c r="G3" s="33"/>
      <c r="H3" s="33"/>
      <c r="I3" s="33"/>
    </row>
    <row r="5" spans="1:9" x14ac:dyDescent="0.3">
      <c r="A5" s="1" t="s">
        <v>3</v>
      </c>
      <c r="B5" s="7" t="str">
        <f>FONTE&amp;FOLHA</f>
        <v>SINAPI PI 06/2025, SEINFRA CE 28, ORSE SE 05/2025, SEM DESONERAÇÃO</v>
      </c>
      <c r="C5" s="1"/>
      <c r="D5" s="1"/>
      <c r="E5" s="1"/>
      <c r="F5" s="1" t="s">
        <v>10</v>
      </c>
      <c r="G5" s="8">
        <f>LEI</f>
        <v>113.33</v>
      </c>
      <c r="H5" s="1" t="s">
        <v>19</v>
      </c>
      <c r="I5" s="8">
        <f>BDI</f>
        <v>24.84</v>
      </c>
    </row>
    <row r="6" spans="1:9" x14ac:dyDescent="0.3">
      <c r="A6" s="4" t="s">
        <v>20</v>
      </c>
      <c r="B6" s="4" t="s">
        <v>138</v>
      </c>
      <c r="C6" s="4" t="s">
        <v>139</v>
      </c>
      <c r="D6" s="4" t="s">
        <v>21</v>
      </c>
      <c r="E6" s="4" t="s">
        <v>140</v>
      </c>
      <c r="F6" s="4" t="s">
        <v>141</v>
      </c>
      <c r="G6" s="4" t="s">
        <v>142</v>
      </c>
      <c r="H6" s="4" t="s">
        <v>143</v>
      </c>
      <c r="I6" s="4" t="s">
        <v>15</v>
      </c>
    </row>
    <row r="7" spans="1:9" x14ac:dyDescent="0.3">
      <c r="A7" s="9">
        <v>1</v>
      </c>
      <c r="B7" s="52" t="str">
        <f>VLOOKUP(A7,MEMORIA!$A:$N,2,FALSE)</f>
        <v>SERVIÇOS PRELIMINARES</v>
      </c>
      <c r="C7" s="53"/>
      <c r="D7" s="53"/>
      <c r="E7" s="53"/>
      <c r="F7" s="53"/>
      <c r="G7" s="53"/>
      <c r="H7" s="54"/>
      <c r="I7" s="10">
        <f>SUM($I$8:$I$9)</f>
        <v>45878.19</v>
      </c>
    </row>
    <row r="8" spans="1:9" x14ac:dyDescent="0.3">
      <c r="A8" s="23" t="s">
        <v>144</v>
      </c>
      <c r="B8" s="23" t="str">
        <f>VLOOKUP(A8,MEMORIA!$A:$N,2,FALSE)</f>
        <v>COMPOS25</v>
      </c>
      <c r="C8" s="23" t="str">
        <f>VLOOKUP(A8,MEMORIA!$A:$N,3,FALSE)</f>
        <v>PRÓPRIA</v>
      </c>
      <c r="D8" s="24" t="str">
        <f>VLOOKUP(A8,MEMORIA!$A:$N,4,FALSE)</f>
        <v>ADMINISTRAÇÃO LOCAL DA OBRA</v>
      </c>
      <c r="E8" s="23" t="str">
        <f>VLOOKUP(A8,MEMORIA!$A:$N,5,FALSE)</f>
        <v>MÊS</v>
      </c>
      <c r="F8" s="5">
        <f>VLOOKUP(A8,MEMORIA!$A:$N,14,FALSE)</f>
        <v>3</v>
      </c>
      <c r="G8" s="5">
        <f>VLOOKUP("TOTAL SEM BDI - "&amp;B8,CPU!$A:$J,9,FALSE)</f>
        <v>11839.68</v>
      </c>
      <c r="H8" s="5">
        <f>VLOOKUP("TOTAL COM BDI - "&amp;B8,CPU!$A:$J,9,FALSE)</f>
        <v>14780.66</v>
      </c>
      <c r="I8" s="5">
        <f>ROUND(F8*H8,2)</f>
        <v>44341.98</v>
      </c>
    </row>
    <row r="9" spans="1:9" x14ac:dyDescent="0.3">
      <c r="A9" s="23" t="s">
        <v>145</v>
      </c>
      <c r="B9" s="23" t="str">
        <f>VLOOKUP(A9,MEMORIA!$A:$N,2,FALSE)</f>
        <v>COMP14</v>
      </c>
      <c r="C9" s="23" t="str">
        <f>VLOOKUP(A9,MEMORIA!$A:$N,3,FALSE)</f>
        <v>PRÓPRIA</v>
      </c>
      <c r="D9" s="24" t="str">
        <f>VLOOKUP(A9,MEMORIA!$A:$N,4,FALSE)</f>
        <v>PLACAS PADRÃO DE OBRA</v>
      </c>
      <c r="E9" s="23" t="str">
        <f>VLOOKUP(A9,MEMORIA!$A:$N,5,FALSE)</f>
        <v>M2</v>
      </c>
      <c r="F9" s="5">
        <f>VLOOKUP(A9,MEMORIA!$A:$N,14,FALSE)</f>
        <v>6.48</v>
      </c>
      <c r="G9" s="5">
        <f>VLOOKUP("TOTAL SEM BDI - "&amp;B9,CPU!$A:$J,9,FALSE)</f>
        <v>189.89999999999998</v>
      </c>
      <c r="H9" s="5">
        <f>VLOOKUP("TOTAL COM BDI - "&amp;B9,CPU!$A:$J,9,FALSE)</f>
        <v>237.07</v>
      </c>
      <c r="I9" s="5">
        <f>ROUND(F9*H9,2)</f>
        <v>1536.21</v>
      </c>
    </row>
    <row r="10" spans="1:9" x14ac:dyDescent="0.3">
      <c r="A10" s="9">
        <v>2</v>
      </c>
      <c r="B10" s="52" t="str">
        <f>VLOOKUP(A10,MEMORIA!$A:$N,2,FALSE)</f>
        <v>COMUNIDADE SANTA MARIA</v>
      </c>
      <c r="C10" s="53"/>
      <c r="D10" s="53"/>
      <c r="E10" s="53"/>
      <c r="F10" s="53"/>
      <c r="G10" s="53"/>
      <c r="H10" s="54"/>
      <c r="I10" s="10">
        <f>SUM($I$11,$I$29,$I$36,$I$70,$I$79,$I$88,$I$90,)</f>
        <v>136489.88000000003</v>
      </c>
    </row>
    <row r="11" spans="1:9" x14ac:dyDescent="0.3">
      <c r="A11" s="12" t="s">
        <v>23</v>
      </c>
      <c r="B11" s="46" t="str">
        <f>VLOOKUP(A11,MEMORIA!$A:$N,2,FALSE)</f>
        <v>PERFURAÇÃO DE POÇO TUBULAR</v>
      </c>
      <c r="C11" s="47"/>
      <c r="D11" s="47"/>
      <c r="E11" s="47"/>
      <c r="F11" s="47"/>
      <c r="G11" s="47"/>
      <c r="H11" s="48"/>
      <c r="I11" s="13">
        <f>SUM($I$12:$I$28)</f>
        <v>64914.180000000008</v>
      </c>
    </row>
    <row r="12" spans="1:9" x14ac:dyDescent="0.3">
      <c r="A12" s="23" t="s">
        <v>146</v>
      </c>
      <c r="B12" s="23" t="str">
        <f>VLOOKUP(A12,MEMORIA!$A:$N,2,FALSE)</f>
        <v>COMPOS3</v>
      </c>
      <c r="C12" s="23" t="str">
        <f>VLOOKUP(A12,MEMORIA!$A:$N,3,FALSE)</f>
        <v>PRÓPRIA</v>
      </c>
      <c r="D12" s="24" t="str">
        <f>VLOOKUP(A12,MEMORIA!$A:$N,4,FALSE)</f>
        <v>LOCAÇÃO DO POÇO COM ESTUDO GEOLÓGICO/HIDROGEOLÓGICO/GEOFÍSICO</v>
      </c>
      <c r="E12" s="23" t="str">
        <f>VLOOKUP(A12,MEMORIA!$A:$N,5,FALSE)</f>
        <v>UN</v>
      </c>
      <c r="F12" s="5">
        <f>VLOOKUP(A12,MEMORIA!$A:$N,14,FALSE)</f>
        <v>1</v>
      </c>
      <c r="G12" s="5">
        <f>VLOOKUP("TOTAL SEM BDI - "&amp;B12,CPU!$A:$J,9,FALSE)</f>
        <v>1692.3999999999999</v>
      </c>
      <c r="H12" s="5">
        <f>VLOOKUP("TOTAL COM BDI - "&amp;B12,CPU!$A:$J,9,FALSE)</f>
        <v>2112.79</v>
      </c>
      <c r="I12" s="5">
        <f t="shared" ref="I12:I28" si="0">ROUND(F12*H12,2)</f>
        <v>2112.79</v>
      </c>
    </row>
    <row r="13" spans="1:9" x14ac:dyDescent="0.3">
      <c r="A13" s="23" t="s">
        <v>147</v>
      </c>
      <c r="B13" s="23" t="str">
        <f>VLOOKUP(A13,MEMORIA!$A:$N,2,FALSE)</f>
        <v>COMPOS4</v>
      </c>
      <c r="C13" s="23" t="str">
        <f>VLOOKUP(A13,MEMORIA!$A:$N,3,FALSE)</f>
        <v>PRÓPRIA</v>
      </c>
      <c r="D13" s="24" t="str">
        <f>VLOOKUP(A13,MEMORIA!$A:$N,4,FALSE)</f>
        <v>TRANSPORTE DE MÁQUINAS E EQUIPAMENTOS</v>
      </c>
      <c r="E13" s="23" t="str">
        <f>VLOOKUP(A13,MEMORIA!$A:$N,5,FALSE)</f>
        <v>KM</v>
      </c>
      <c r="F13" s="5">
        <f>VLOOKUP(A13,MEMORIA!$A:$N,14,FALSE)</f>
        <v>43.5</v>
      </c>
      <c r="G13" s="5">
        <f>VLOOKUP("TOTAL SEM BDI - "&amp;B13,CPU!$A:$J,9,FALSE)</f>
        <v>5.5</v>
      </c>
      <c r="H13" s="5">
        <f>VLOOKUP("TOTAL COM BDI - "&amp;B13,CPU!$A:$J,9,FALSE)</f>
        <v>6.87</v>
      </c>
      <c r="I13" s="5">
        <f t="shared" si="0"/>
        <v>298.85000000000002</v>
      </c>
    </row>
    <row r="14" spans="1:9" x14ac:dyDescent="0.3">
      <c r="A14" s="23" t="s">
        <v>148</v>
      </c>
      <c r="B14" s="23" t="str">
        <f>VLOOKUP(A14,MEMORIA!$A:$N,2,FALSE)</f>
        <v>COMPOS4</v>
      </c>
      <c r="C14" s="23" t="str">
        <f>VLOOKUP(A14,MEMORIA!$A:$N,3,FALSE)</f>
        <v>PRÓPRIA</v>
      </c>
      <c r="D14" s="24" t="str">
        <f>VLOOKUP(A14,MEMORIA!$A:$N,4,FALSE)</f>
        <v>TRANSPORTE DE MÁQUINAS E EQUIPAMENTOS</v>
      </c>
      <c r="E14" s="23" t="str">
        <f>VLOOKUP(A14,MEMORIA!$A:$N,5,FALSE)</f>
        <v>KM</v>
      </c>
      <c r="F14" s="5">
        <f>VLOOKUP(A14,MEMORIA!$A:$N,14,FALSE)</f>
        <v>43.5</v>
      </c>
      <c r="G14" s="5">
        <f>VLOOKUP("TOTAL SEM BDI - "&amp;B14,CPU!$A:$J,9,FALSE)</f>
        <v>5.5</v>
      </c>
      <c r="H14" s="5">
        <f>VLOOKUP("TOTAL COM BDI - "&amp;B14,CPU!$A:$J,9,FALSE)</f>
        <v>6.87</v>
      </c>
      <c r="I14" s="5">
        <f t="shared" si="0"/>
        <v>298.85000000000002</v>
      </c>
    </row>
    <row r="15" spans="1:9" x14ac:dyDescent="0.3">
      <c r="A15" s="23" t="s">
        <v>149</v>
      </c>
      <c r="B15" s="23" t="str">
        <f>VLOOKUP(A15,MEMORIA!$A:$N,2,FALSE)</f>
        <v>COMPOS5</v>
      </c>
      <c r="C15" s="23" t="str">
        <f>VLOOKUP(A15,MEMORIA!$A:$N,3,FALSE)</f>
        <v>PRÓPRIA</v>
      </c>
      <c r="D15" s="24" t="str">
        <f>VLOOKUP(A15,MEMORIA!$A:$N,4,FALSE)</f>
        <v>PERFILAGEM ÓTICA</v>
      </c>
      <c r="E15" s="23" t="str">
        <f>VLOOKUP(A15,MEMORIA!$A:$N,5,FALSE)</f>
        <v>UN</v>
      </c>
      <c r="F15" s="5">
        <f>VLOOKUP(A15,MEMORIA!$A:$N,14,FALSE)</f>
        <v>1</v>
      </c>
      <c r="G15" s="5">
        <f>VLOOKUP("TOTAL SEM BDI - "&amp;B15,CPU!$A:$J,9,FALSE)</f>
        <v>2908.88</v>
      </c>
      <c r="H15" s="5">
        <f>VLOOKUP("TOTAL COM BDI - "&amp;B15,CPU!$A:$J,9,FALSE)</f>
        <v>3631.4500000000003</v>
      </c>
      <c r="I15" s="5">
        <f t="shared" si="0"/>
        <v>3631.45</v>
      </c>
    </row>
    <row r="16" spans="1:9" x14ac:dyDescent="0.3">
      <c r="A16" s="23" t="s">
        <v>150</v>
      </c>
      <c r="B16" s="23" t="str">
        <f>VLOOKUP(A16,MEMORIA!$A:$N,2,FALSE)</f>
        <v>COMPOS6</v>
      </c>
      <c r="C16" s="23" t="str">
        <f>VLOOKUP(A16,MEMORIA!$A:$N,3,FALSE)</f>
        <v>PRÓPRIA</v>
      </c>
      <c r="D16" s="24" t="str">
        <f>VLOOKUP(A16,MEMORIA!$A:$N,4,FALSE)</f>
        <v>PERFURAÇÃO EM 10'' (SEDIMENTO)</v>
      </c>
      <c r="E16" s="23" t="str">
        <f>VLOOKUP(A16,MEMORIA!$A:$N,5,FALSE)</f>
        <v>M</v>
      </c>
      <c r="F16" s="5">
        <f>VLOOKUP(A16,MEMORIA!$A:$N,14,FALSE)</f>
        <v>35</v>
      </c>
      <c r="G16" s="5">
        <f>VLOOKUP("TOTAL SEM BDI - "&amp;B16,CPU!$A:$J,9,FALSE)</f>
        <v>288.94</v>
      </c>
      <c r="H16" s="5">
        <f>VLOOKUP("TOTAL COM BDI - "&amp;B16,CPU!$A:$J,9,FALSE)</f>
        <v>360.71</v>
      </c>
      <c r="I16" s="5">
        <f t="shared" si="0"/>
        <v>12624.85</v>
      </c>
    </row>
    <row r="17" spans="1:9" x14ac:dyDescent="0.3">
      <c r="A17" s="23" t="s">
        <v>151</v>
      </c>
      <c r="B17" s="23" t="str">
        <f>VLOOKUP(A17,MEMORIA!$A:$N,2,FALSE)</f>
        <v>COMPOS7</v>
      </c>
      <c r="C17" s="23" t="str">
        <f>VLOOKUP(A17,MEMORIA!$A:$N,3,FALSE)</f>
        <v>PRÓPRIA</v>
      </c>
      <c r="D17" s="24" t="str">
        <f>VLOOKUP(A17,MEMORIA!$A:$N,4,FALSE)</f>
        <v>PERFURAÇÃO EM 8'' (ROCHA CRISTALINA)</v>
      </c>
      <c r="E17" s="23" t="str">
        <f>VLOOKUP(A17,MEMORIA!$A:$N,5,FALSE)</f>
        <v>M</v>
      </c>
      <c r="F17" s="5">
        <f>VLOOKUP(A17,MEMORIA!$A:$N,14,FALSE)</f>
        <v>0</v>
      </c>
      <c r="G17" s="5">
        <f>VLOOKUP("TOTAL SEM BDI - "&amp;B17,CPU!$A:$J,9,FALSE)</f>
        <v>368.84000000000003</v>
      </c>
      <c r="H17" s="5">
        <f>VLOOKUP("TOTAL COM BDI - "&amp;B17,CPU!$A:$J,9,FALSE)</f>
        <v>460.46000000000004</v>
      </c>
      <c r="I17" s="5">
        <f t="shared" si="0"/>
        <v>0</v>
      </c>
    </row>
    <row r="18" spans="1:9" x14ac:dyDescent="0.3">
      <c r="A18" s="23" t="s">
        <v>152</v>
      </c>
      <c r="B18" s="23" t="str">
        <f>VLOOKUP(A18,MEMORIA!$A:$N,2,FALSE)</f>
        <v>COMPOS8</v>
      </c>
      <c r="C18" s="23" t="str">
        <f>VLOOKUP(A18,MEMORIA!$A:$N,3,FALSE)</f>
        <v>PRÓPRIA</v>
      </c>
      <c r="D18" s="24" t="str">
        <f>VLOOKUP(A18,MEMORIA!$A:$N,4,FALSE)</f>
        <v>PERFURAÇÃO EM 6'' (SEDIMENTO)</v>
      </c>
      <c r="E18" s="23" t="str">
        <f>VLOOKUP(A18,MEMORIA!$A:$N,5,FALSE)</f>
        <v>M</v>
      </c>
      <c r="F18" s="5">
        <f>VLOOKUP(A18,MEMORIA!$A:$N,14,FALSE)</f>
        <v>95</v>
      </c>
      <c r="G18" s="5">
        <f>VLOOKUP("TOTAL SEM BDI - "&amp;B18,CPU!$A:$J,9,FALSE)</f>
        <v>231.16</v>
      </c>
      <c r="H18" s="5">
        <f>VLOOKUP("TOTAL COM BDI - "&amp;B18,CPU!$A:$J,9,FALSE)</f>
        <v>288.58</v>
      </c>
      <c r="I18" s="5">
        <f t="shared" si="0"/>
        <v>27415.1</v>
      </c>
    </row>
    <row r="19" spans="1:9" x14ac:dyDescent="0.3">
      <c r="A19" s="23" t="s">
        <v>153</v>
      </c>
      <c r="B19" s="23" t="str">
        <f>VLOOKUP(A19,MEMORIA!$A:$N,2,FALSE)</f>
        <v>COMPOS9</v>
      </c>
      <c r="C19" s="23" t="str">
        <f>VLOOKUP(A19,MEMORIA!$A:$N,3,FALSE)</f>
        <v>PRÓPRIA</v>
      </c>
      <c r="D19" s="24" t="str">
        <f>VLOOKUP(A19,MEMORIA!$A:$N,4,FALSE)</f>
        <v>PERFURAÇÃO EM 6'' (ROCHA CRISTALINA)</v>
      </c>
      <c r="E19" s="23" t="str">
        <f>VLOOKUP(A19,MEMORIA!$A:$N,5,FALSE)</f>
        <v>M</v>
      </c>
      <c r="F19" s="5">
        <f>VLOOKUP(A19,MEMORIA!$A:$N,14,FALSE)</f>
        <v>0</v>
      </c>
      <c r="G19" s="5">
        <f>VLOOKUP("TOTAL SEM BDI - "&amp;B19,CPU!$A:$J,9,FALSE)</f>
        <v>330.20000000000005</v>
      </c>
      <c r="H19" s="5">
        <f>VLOOKUP("TOTAL COM BDI - "&amp;B19,CPU!$A:$J,9,FALSE)</f>
        <v>412.22</v>
      </c>
      <c r="I19" s="5">
        <f t="shared" si="0"/>
        <v>0</v>
      </c>
    </row>
    <row r="20" spans="1:9" x14ac:dyDescent="0.3">
      <c r="A20" s="23" t="s">
        <v>154</v>
      </c>
      <c r="B20" s="23" t="str">
        <f>VLOOKUP(A20,MEMORIA!$A:$N,2,FALSE)</f>
        <v>COMPOS10</v>
      </c>
      <c r="C20" s="23" t="str">
        <f>VLOOKUP(A20,MEMORIA!$A:$N,3,FALSE)</f>
        <v>PRÓPRIA</v>
      </c>
      <c r="D20" s="24" t="str">
        <f>VLOOKUP(A20,MEMORIA!$A:$N,4,FALSE)</f>
        <v>CIMENTAÇÃO SANITÁRIA</v>
      </c>
      <c r="E20" s="23" t="str">
        <f>VLOOKUP(A20,MEMORIA!$A:$N,5,FALSE)</f>
        <v>M³</v>
      </c>
      <c r="F20" s="5">
        <f>VLOOKUP(A20,MEMORIA!$A:$N,14,FALSE)</f>
        <v>4.55</v>
      </c>
      <c r="G20" s="5">
        <f>VLOOKUP("TOTAL SEM BDI - "&amp;B20,CPU!$A:$J,9,FALSE)</f>
        <v>164.58999999999997</v>
      </c>
      <c r="H20" s="5">
        <f>VLOOKUP("TOTAL COM BDI - "&amp;B20,CPU!$A:$J,9,FALSE)</f>
        <v>205.46999999999997</v>
      </c>
      <c r="I20" s="5">
        <f t="shared" si="0"/>
        <v>934.89</v>
      </c>
    </row>
    <row r="21" spans="1:9" x14ac:dyDescent="0.3">
      <c r="A21" s="23" t="s">
        <v>155</v>
      </c>
      <c r="B21" s="23" t="str">
        <f>VLOOKUP(A21,MEMORIA!$A:$N,2,FALSE)</f>
        <v>COMPOS11</v>
      </c>
      <c r="C21" s="23" t="str">
        <f>VLOOKUP(A21,MEMORIA!$A:$N,3,FALSE)</f>
        <v>PRÓPRIA</v>
      </c>
      <c r="D21" s="24" t="str">
        <f>VLOOKUP(A21,MEMORIA!$A:$N,4,FALSE)</f>
        <v>LAJE DE PROTEÇÃO EM CONCRETO (1,0 M X 1,0 M X 0,15 M)</v>
      </c>
      <c r="E21" s="23" t="str">
        <f>VLOOKUP(A21,MEMORIA!$A:$N,5,FALSE)</f>
        <v>M³</v>
      </c>
      <c r="F21" s="5">
        <f>VLOOKUP(A21,MEMORIA!$A:$N,14,FALSE)</f>
        <v>0.15</v>
      </c>
      <c r="G21" s="5">
        <f>VLOOKUP("TOTAL SEM BDI - "&amp;B21,CPU!$A:$J,9,FALSE)</f>
        <v>1259.1399999999999</v>
      </c>
      <c r="H21" s="5">
        <f>VLOOKUP("TOTAL COM BDI - "&amp;B21,CPU!$A:$J,9,FALSE)</f>
        <v>1571.9099999999999</v>
      </c>
      <c r="I21" s="5">
        <f t="shared" si="0"/>
        <v>235.79</v>
      </c>
    </row>
    <row r="22" spans="1:9" x14ac:dyDescent="0.3">
      <c r="A22" s="23" t="s">
        <v>156</v>
      </c>
      <c r="B22" s="23" t="str">
        <f>VLOOKUP(A22,MEMORIA!$A:$N,2,FALSE)</f>
        <v>COMPOS12</v>
      </c>
      <c r="C22" s="23" t="str">
        <f>VLOOKUP(A22,MEMORIA!$A:$N,3,FALSE)</f>
        <v>PRÓPRIA</v>
      </c>
      <c r="D22" s="24" t="str">
        <f>VLOOKUP(A22,MEMORIA!$A:$N,4,FALSE)</f>
        <v>DESENVOLVIMENTO COM BOMBA SUBMERSA</v>
      </c>
      <c r="E22" s="23" t="str">
        <f>VLOOKUP(A22,MEMORIA!$A:$N,5,FALSE)</f>
        <v>H</v>
      </c>
      <c r="F22" s="5">
        <f>VLOOKUP(A22,MEMORIA!$A:$N,14,FALSE)</f>
        <v>6</v>
      </c>
      <c r="G22" s="5">
        <f>VLOOKUP("TOTAL SEM BDI - "&amp;B22,CPU!$A:$J,9,FALSE)</f>
        <v>513.45000000000005</v>
      </c>
      <c r="H22" s="5">
        <f>VLOOKUP("TOTAL COM BDI - "&amp;B22,CPU!$A:$J,9,FALSE)</f>
        <v>640.99</v>
      </c>
      <c r="I22" s="5">
        <f t="shared" si="0"/>
        <v>3845.94</v>
      </c>
    </row>
    <row r="23" spans="1:9" x14ac:dyDescent="0.3">
      <c r="A23" s="23" t="s">
        <v>157</v>
      </c>
      <c r="B23" s="23" t="str">
        <f>VLOOKUP(A23,MEMORIA!$A:$N,2,FALSE)</f>
        <v>COMPOS13</v>
      </c>
      <c r="C23" s="23" t="str">
        <f>VLOOKUP(A23,MEMORIA!$A:$N,3,FALSE)</f>
        <v>PRÓPRIA</v>
      </c>
      <c r="D23" s="24" t="str">
        <f>VLOOKUP(A23,MEMORIA!$A:$N,4,FALSE)</f>
        <v>TESTE VAZÃO COM BOMBA SUBMERSA</v>
      </c>
      <c r="E23" s="23" t="str">
        <f>VLOOKUP(A23,MEMORIA!$A:$N,5,FALSE)</f>
        <v>H</v>
      </c>
      <c r="F23" s="5">
        <f>VLOOKUP(A23,MEMORIA!$A:$N,14,FALSE)</f>
        <v>24</v>
      </c>
      <c r="G23" s="5">
        <f>VLOOKUP("TOTAL SEM BDI - "&amp;B23,CPU!$A:$J,9,FALSE)</f>
        <v>95.539999999999992</v>
      </c>
      <c r="H23" s="5">
        <f>VLOOKUP("TOTAL COM BDI - "&amp;B23,CPU!$A:$J,9,FALSE)</f>
        <v>119.27</v>
      </c>
      <c r="I23" s="5">
        <f t="shared" si="0"/>
        <v>2862.48</v>
      </c>
    </row>
    <row r="24" spans="1:9" x14ac:dyDescent="0.3">
      <c r="A24" s="23" t="s">
        <v>158</v>
      </c>
      <c r="B24" s="23" t="str">
        <f>VLOOKUP(A24,MEMORIA!$A:$N,2,FALSE)</f>
        <v>COMPOS14</v>
      </c>
      <c r="C24" s="23" t="str">
        <f>VLOOKUP(A24,MEMORIA!$A:$N,3,FALSE)</f>
        <v>PRÓPRIA</v>
      </c>
      <c r="D24" s="24" t="str">
        <f>VLOOKUP(A24,MEMORIA!$A:$N,4,FALSE)</f>
        <v>DESINFECÇÃO</v>
      </c>
      <c r="E24" s="23" t="str">
        <f>VLOOKUP(A24,MEMORIA!$A:$N,5,FALSE)</f>
        <v>H</v>
      </c>
      <c r="F24" s="5">
        <f>VLOOKUP(A24,MEMORIA!$A:$N,14,FALSE)</f>
        <v>6</v>
      </c>
      <c r="G24" s="5">
        <f>VLOOKUP("TOTAL SEM BDI - "&amp;B24,CPU!$A:$J,9,FALSE)</f>
        <v>100.11000000000003</v>
      </c>
      <c r="H24" s="5">
        <f>VLOOKUP("TOTAL COM BDI - "&amp;B24,CPU!$A:$J,9,FALSE)</f>
        <v>124.98000000000003</v>
      </c>
      <c r="I24" s="5">
        <f t="shared" si="0"/>
        <v>749.88</v>
      </c>
    </row>
    <row r="25" spans="1:9" x14ac:dyDescent="0.3">
      <c r="A25" s="23" t="s">
        <v>159</v>
      </c>
      <c r="B25" s="23" t="str">
        <f>VLOOKUP(A25,MEMORIA!$A:$N,2,FALSE)</f>
        <v>COMPOS15</v>
      </c>
      <c r="C25" s="23" t="str">
        <f>VLOOKUP(A25,MEMORIA!$A:$N,3,FALSE)</f>
        <v>PRÓPRIA</v>
      </c>
      <c r="D25" s="24" t="str">
        <f>VLOOKUP(A25,MEMORIA!$A:$N,4,FALSE)</f>
        <v>RELATÓRIO TÉCNICO</v>
      </c>
      <c r="E25" s="23" t="str">
        <f>VLOOKUP(A25,MEMORIA!$A:$N,5,FALSE)</f>
        <v>UN</v>
      </c>
      <c r="F25" s="5">
        <f>VLOOKUP(A25,MEMORIA!$A:$N,14,FALSE)</f>
        <v>1</v>
      </c>
      <c r="G25" s="5">
        <f>VLOOKUP("TOTAL SEM BDI - "&amp;B25,CPU!$A:$J,9,FALSE)</f>
        <v>1110.2</v>
      </c>
      <c r="H25" s="5">
        <f>VLOOKUP("TOTAL COM BDI - "&amp;B25,CPU!$A:$J,9,FALSE)</f>
        <v>1385.97</v>
      </c>
      <c r="I25" s="5">
        <f t="shared" si="0"/>
        <v>1385.97</v>
      </c>
    </row>
    <row r="26" spans="1:9" x14ac:dyDescent="0.3">
      <c r="A26" s="23" t="s">
        <v>160</v>
      </c>
      <c r="B26" s="23" t="str">
        <f>VLOOKUP(A26,MEMORIA!$A:$N,2,FALSE)</f>
        <v>COMPOS16</v>
      </c>
      <c r="C26" s="23" t="str">
        <f>VLOOKUP(A26,MEMORIA!$A:$N,3,FALSE)</f>
        <v>PRÓPRIA</v>
      </c>
      <c r="D26" s="24" t="str">
        <f>VLOOKUP(A26,MEMORIA!$A:$N,4,FALSE)</f>
        <v>ANÁLISE FÍSICO-QUÍMICA DA ÁGUA</v>
      </c>
      <c r="E26" s="23" t="str">
        <f>VLOOKUP(A26,MEMORIA!$A:$N,5,FALSE)</f>
        <v>UN</v>
      </c>
      <c r="F26" s="5">
        <f>VLOOKUP(A26,MEMORIA!$A:$N,14,FALSE)</f>
        <v>1</v>
      </c>
      <c r="G26" s="5">
        <f>VLOOKUP("TOTAL SEM BDI - "&amp;B26,CPU!$A:$J,9,FALSE)</f>
        <v>565.21</v>
      </c>
      <c r="H26" s="5">
        <f>VLOOKUP("TOTAL COM BDI - "&amp;B26,CPU!$A:$J,9,FALSE)</f>
        <v>705.61</v>
      </c>
      <c r="I26" s="5">
        <f t="shared" si="0"/>
        <v>705.61</v>
      </c>
    </row>
    <row r="27" spans="1:9" x14ac:dyDescent="0.3">
      <c r="A27" s="23" t="s">
        <v>161</v>
      </c>
      <c r="B27" s="23" t="str">
        <f>VLOOKUP(A27,MEMORIA!$A:$N,2,FALSE)</f>
        <v>COMPOS1</v>
      </c>
      <c r="C27" s="23" t="str">
        <f>VLOOKUP(A27,MEMORIA!$A:$N,3,FALSE)</f>
        <v>PRÓPRIA</v>
      </c>
      <c r="D27" s="24" t="str">
        <f>VLOOKUP(A27,MEMORIA!$A:$N,4,FALSE)</f>
        <v>FORNECIMENTO E INSTALAÇÃO DE REVESTIMENTO GEOMECÂNICO STANDART DN-154-S</v>
      </c>
      <c r="E27" s="23" t="str">
        <f>VLOOKUP(A27,MEMORIA!$A:$N,5,FALSE)</f>
        <v>M</v>
      </c>
      <c r="F27" s="5">
        <f>VLOOKUP(A27,MEMORIA!$A:$N,14,FALSE)</f>
        <v>36</v>
      </c>
      <c r="G27" s="5">
        <f>VLOOKUP("TOTAL SEM BDI - "&amp;B27,CPU!$A:$J,9,FALSE)</f>
        <v>170.76</v>
      </c>
      <c r="H27" s="5">
        <f>VLOOKUP("TOTAL COM BDI - "&amp;B27,CPU!$A:$J,9,FALSE)</f>
        <v>213.18</v>
      </c>
      <c r="I27" s="5">
        <f t="shared" si="0"/>
        <v>7674.48</v>
      </c>
    </row>
    <row r="28" spans="1:9" x14ac:dyDescent="0.3">
      <c r="A28" s="23" t="s">
        <v>162</v>
      </c>
      <c r="B28" s="23" t="str">
        <f>VLOOKUP(A28,MEMORIA!$A:$N,2,FALSE)</f>
        <v>COMPOS2</v>
      </c>
      <c r="C28" s="23" t="str">
        <f>VLOOKUP(A28,MEMORIA!$A:$N,3,FALSE)</f>
        <v>PRÓPRIA</v>
      </c>
      <c r="D28" s="24" t="str">
        <f>VLOOKUP(A28,MEMORIA!$A:$N,4,FALSE)</f>
        <v>FORNECIMENTO E INSTALAÇÃO DE TAMPA PARA POÇO</v>
      </c>
      <c r="E28" s="23" t="str">
        <f>VLOOKUP(A28,MEMORIA!$A:$N,5,FALSE)</f>
        <v>UN</v>
      </c>
      <c r="F28" s="5">
        <f>VLOOKUP(A28,MEMORIA!$A:$N,14,FALSE)</f>
        <v>1</v>
      </c>
      <c r="G28" s="5">
        <f>VLOOKUP("TOTAL SEM BDI - "&amp;B28,CPU!$A:$J,9,FALSE)</f>
        <v>109.94</v>
      </c>
      <c r="H28" s="5">
        <f>VLOOKUP("TOTAL COM BDI - "&amp;B28,CPU!$A:$J,9,FALSE)</f>
        <v>137.25</v>
      </c>
      <c r="I28" s="5">
        <f t="shared" si="0"/>
        <v>137.25</v>
      </c>
    </row>
    <row r="29" spans="1:9" x14ac:dyDescent="0.3">
      <c r="A29" s="12" t="s">
        <v>24</v>
      </c>
      <c r="B29" s="46" t="str">
        <f>VLOOKUP(A29,MEMORIA!$A:$N,2,FALSE)</f>
        <v>AQUISIÇÃO E INSTALAÇÃO DE EQUIPAMENTOS DE BOMBEAMENTO, RECALQUE/BARRILETE E CONEXÕES PARA INTERLIGAÇÃO COM RESERVATÓRIO</v>
      </c>
      <c r="C29" s="47"/>
      <c r="D29" s="47"/>
      <c r="E29" s="47"/>
      <c r="F29" s="47"/>
      <c r="G29" s="47"/>
      <c r="H29" s="48"/>
      <c r="I29" s="13">
        <f>SUM($I$30:$I$35)</f>
        <v>19625.579999999998</v>
      </c>
    </row>
    <row r="30" spans="1:9" ht="28.8" x14ac:dyDescent="0.3">
      <c r="A30" s="23" t="s">
        <v>163</v>
      </c>
      <c r="B30" s="23" t="str">
        <f>VLOOKUP(A30,MEMORIA!$A:$N,2,FALSE)</f>
        <v>COMPOS17</v>
      </c>
      <c r="C30" s="23" t="str">
        <f>VLOOKUP(A30,MEMORIA!$A:$N,3,FALSE)</f>
        <v>PRÓPRIA</v>
      </c>
      <c r="D30" s="24" t="str">
        <f>VLOOKUP(A30,MEMORIA!$A:$N,4,FALSE)</f>
        <v>FORNECIMENTO E INSTALAÇÃO DE BOMBA SUBMERSA DE 3CV, MONOFÁSICA, 220 V, LEÃO OU SIMILAR</v>
      </c>
      <c r="E30" s="23" t="str">
        <f>VLOOKUP(A30,MEMORIA!$A:$N,5,FALSE)</f>
        <v>UN</v>
      </c>
      <c r="F30" s="5">
        <f>VLOOKUP(A30,MEMORIA!$A:$N,14,FALSE)</f>
        <v>1</v>
      </c>
      <c r="G30" s="5">
        <f>VLOOKUP("TOTAL SEM BDI - "&amp;B30,CPU!$A:$J,9,FALSE)</f>
        <v>3515.68</v>
      </c>
      <c r="H30" s="5">
        <f>VLOOKUP("TOTAL COM BDI - "&amp;B30,CPU!$A:$J,9,FALSE)</f>
        <v>4388.9699999999993</v>
      </c>
      <c r="I30" s="5">
        <f t="shared" ref="I30:I35" si="1">ROUND(F30*H30,2)</f>
        <v>4388.97</v>
      </c>
    </row>
    <row r="31" spans="1:9" ht="28.8" x14ac:dyDescent="0.3">
      <c r="A31" s="23" t="s">
        <v>164</v>
      </c>
      <c r="B31" s="23" t="str">
        <f>VLOOKUP(A31,MEMORIA!$A:$N,2,FALSE)</f>
        <v>COMPOS29</v>
      </c>
      <c r="C31" s="23" t="str">
        <f>VLOOKUP(A31,MEMORIA!$A:$N,3,FALSE)</f>
        <v>PRÓPRIA</v>
      </c>
      <c r="D31" s="24" t="str">
        <f>VLOOKUP(A31,MEMORIA!$A:$N,4,FALSE)</f>
        <v>FORNECIMENTO E INSTALAÇÃO DE PAINEL DE COMANDO ELÉTRICO PARA BOMBA 3CV, MONOFÁSICO</v>
      </c>
      <c r="E31" s="23" t="str">
        <f>VLOOKUP(A31,MEMORIA!$A:$N,5,FALSE)</f>
        <v>UN</v>
      </c>
      <c r="F31" s="5">
        <f>VLOOKUP(A31,MEMORIA!$A:$N,14,FALSE)</f>
        <v>1</v>
      </c>
      <c r="G31" s="5">
        <f>VLOOKUP("TOTAL SEM BDI - "&amp;B31,CPU!$A:$J,9,FALSE)</f>
        <v>773.3</v>
      </c>
      <c r="H31" s="5">
        <f>VLOOKUP("TOTAL COM BDI - "&amp;B31,CPU!$A:$J,9,FALSE)</f>
        <v>965.39</v>
      </c>
      <c r="I31" s="5">
        <f t="shared" si="1"/>
        <v>965.39</v>
      </c>
    </row>
    <row r="32" spans="1:9" x14ac:dyDescent="0.3">
      <c r="A32" s="23" t="s">
        <v>165</v>
      </c>
      <c r="B32" s="23" t="str">
        <f>VLOOKUP(A32,MEMORIA!$A:$N,2,FALSE)</f>
        <v>COMPOS19</v>
      </c>
      <c r="C32" s="23" t="str">
        <f>VLOOKUP(A32,MEMORIA!$A:$N,3,FALSE)</f>
        <v>PRÓPRIA</v>
      </c>
      <c r="D32" s="24" t="str">
        <f>VLOOKUP(A32,MEMORIA!$A:$N,4,FALSE)</f>
        <v>FORNECIMENTO E INSTALAÇÃO DE TUBO EDUTOR DE PVC DE 1.1/2'' COM LUVA</v>
      </c>
      <c r="E32" s="23" t="str">
        <f>VLOOKUP(A32,MEMORIA!$A:$N,5,FALSE)</f>
        <v>M</v>
      </c>
      <c r="F32" s="5">
        <f>VLOOKUP(A32,MEMORIA!$A:$N,14,FALSE)</f>
        <v>110</v>
      </c>
      <c r="G32" s="5">
        <f>VLOOKUP("TOTAL SEM BDI - "&amp;B32,CPU!$A:$J,9,FALSE)</f>
        <v>46.25</v>
      </c>
      <c r="H32" s="5">
        <f>VLOOKUP("TOTAL COM BDI - "&amp;B32,CPU!$A:$J,9,FALSE)</f>
        <v>57.74</v>
      </c>
      <c r="I32" s="5">
        <f t="shared" si="1"/>
        <v>6351.4</v>
      </c>
    </row>
    <row r="33" spans="1:9" x14ac:dyDescent="0.3">
      <c r="A33" s="23" t="s">
        <v>166</v>
      </c>
      <c r="B33" s="23" t="str">
        <f>VLOOKUP(A33,MEMORIA!$A:$N,2,FALSE)</f>
        <v>COMPOS24</v>
      </c>
      <c r="C33" s="23" t="str">
        <f>VLOOKUP(A33,MEMORIA!$A:$N,3,FALSE)</f>
        <v>PRÓPRIA</v>
      </c>
      <c r="D33" s="24" t="str">
        <f>VLOOKUP(A33,MEMORIA!$A:$N,4,FALSE)</f>
        <v>FORNECIMENTO E INSTALAÇÃO DE CABO CHATO SUBMERSO DE 3 X 6 MM²</v>
      </c>
      <c r="E33" s="23" t="str">
        <f>VLOOKUP(A33,MEMORIA!$A:$N,5,FALSE)</f>
        <v>M</v>
      </c>
      <c r="F33" s="5">
        <f>VLOOKUP(A33,MEMORIA!$A:$N,14,FALSE)</f>
        <v>120</v>
      </c>
      <c r="G33" s="5">
        <f>VLOOKUP("TOTAL SEM BDI - "&amp;B33,CPU!$A:$J,9,FALSE)</f>
        <v>25.98</v>
      </c>
      <c r="H33" s="5">
        <f>VLOOKUP("TOTAL COM BDI - "&amp;B33,CPU!$A:$J,9,FALSE)</f>
        <v>32.43</v>
      </c>
      <c r="I33" s="5">
        <f t="shared" si="1"/>
        <v>3891.6</v>
      </c>
    </row>
    <row r="34" spans="1:9" x14ac:dyDescent="0.3">
      <c r="A34" s="23" t="s">
        <v>167</v>
      </c>
      <c r="B34" s="23" t="str">
        <f>VLOOKUP(A34,MEMORIA!$A:$N,2,FALSE)</f>
        <v>COMPOS21</v>
      </c>
      <c r="C34" s="23" t="str">
        <f>VLOOKUP(A34,MEMORIA!$A:$N,3,FALSE)</f>
        <v>PRÓPRIA</v>
      </c>
      <c r="D34" s="24" t="str">
        <f>VLOOKUP(A34,MEMORIA!$A:$N,4,FALSE)</f>
        <v>BARRILETE (CURVAS E CONEXÕES)</v>
      </c>
      <c r="E34" s="23" t="str">
        <f>VLOOKUP(A34,MEMORIA!$A:$N,5,FALSE)</f>
        <v>UN</v>
      </c>
      <c r="F34" s="5">
        <f>VLOOKUP(A34,MEMORIA!$A:$N,14,FALSE)</f>
        <v>1</v>
      </c>
      <c r="G34" s="5">
        <f>VLOOKUP("TOTAL SEM BDI - "&amp;B34,CPU!$A:$J,9,FALSE)</f>
        <v>2135.96</v>
      </c>
      <c r="H34" s="5">
        <f>VLOOKUP("TOTAL COM BDI - "&amp;B34,CPU!$A:$J,9,FALSE)</f>
        <v>2666.53</v>
      </c>
      <c r="I34" s="5">
        <f t="shared" si="1"/>
        <v>2666.53</v>
      </c>
    </row>
    <row r="35" spans="1:9" x14ac:dyDescent="0.3">
      <c r="A35" s="23" t="s">
        <v>168</v>
      </c>
      <c r="B35" s="23" t="str">
        <f>VLOOKUP(A35,MEMORIA!$A:$N,2,FALSE)</f>
        <v>COMPOS26</v>
      </c>
      <c r="C35" s="23" t="str">
        <f>VLOOKUP(A35,MEMORIA!$A:$N,3,FALSE)</f>
        <v>PRÓPRIA</v>
      </c>
      <c r="D35" s="24" t="str">
        <f>VLOOKUP(A35,MEMORIA!$A:$N,4,FALSE)</f>
        <v>AQUISIÇÃO E INSTALAÇÃO DE DOSADOR DE CLORO</v>
      </c>
      <c r="E35" s="23" t="str">
        <f>VLOOKUP(A35,MEMORIA!$A:$N,5,FALSE)</f>
        <v>UND</v>
      </c>
      <c r="F35" s="5">
        <f>VLOOKUP(A35,MEMORIA!$A:$N,14,FALSE)</f>
        <v>1</v>
      </c>
      <c r="G35" s="5">
        <f>VLOOKUP("TOTAL SEM BDI - "&amp;B35,CPU!$A:$J,9,FALSE)</f>
        <v>1090.75</v>
      </c>
      <c r="H35" s="5">
        <f>VLOOKUP("TOTAL COM BDI - "&amp;B35,CPU!$A:$J,9,FALSE)</f>
        <v>1361.69</v>
      </c>
      <c r="I35" s="5">
        <f t="shared" si="1"/>
        <v>1361.69</v>
      </c>
    </row>
    <row r="36" spans="1:9" x14ac:dyDescent="0.3">
      <c r="A36" s="12" t="s">
        <v>25</v>
      </c>
      <c r="B36" s="46" t="str">
        <f>VLOOKUP(A36,MEMORIA!$A:$N,2,FALSE)</f>
        <v>CONSTRUÇÃO DA CASA DE COMANDO</v>
      </c>
      <c r="C36" s="47"/>
      <c r="D36" s="47"/>
      <c r="E36" s="47"/>
      <c r="F36" s="47"/>
      <c r="G36" s="47"/>
      <c r="H36" s="48"/>
      <c r="I36" s="13">
        <f>SUM($I$37,$I$40,$I$42,$I$46,$I$49,$I$52,$I$55,$I$59,$I$62,$I$65,$I$68,)</f>
        <v>25565.510000000002</v>
      </c>
    </row>
    <row r="37" spans="1:9" x14ac:dyDescent="0.3">
      <c r="A37" s="15" t="s">
        <v>26</v>
      </c>
      <c r="B37" s="49" t="str">
        <f>VLOOKUP(A37,MEMORIA!$A:$N,2,FALSE)</f>
        <v>SERVIÇOS PRELIMINARES</v>
      </c>
      <c r="C37" s="50"/>
      <c r="D37" s="50"/>
      <c r="E37" s="50"/>
      <c r="F37" s="50"/>
      <c r="G37" s="50"/>
      <c r="H37" s="51"/>
      <c r="I37" s="16">
        <f>SUM($I$38:$I$39)</f>
        <v>3887.12</v>
      </c>
    </row>
    <row r="38" spans="1:9" x14ac:dyDescent="0.3">
      <c r="A38" s="23" t="s">
        <v>169</v>
      </c>
      <c r="B38" s="23">
        <f>VLOOKUP(A38,MEMORIA!$A:$N,2,FALSE)</f>
        <v>98524</v>
      </c>
      <c r="C38" s="23" t="str">
        <f>VLOOKUP(A38,MEMORIA!$A:$N,3,FALSE)</f>
        <v>SINAPI</v>
      </c>
      <c r="D38" s="24" t="str">
        <f>VLOOKUP(A38,MEMORIA!$A:$N,4,FALSE)</f>
        <v>LIMPEZA MANUAL DE VEGETAÇÃO EM TERRENO COM ENXADA. AF_03/2024</v>
      </c>
      <c r="E38" s="23" t="str">
        <f>VLOOKUP(A38,MEMORIA!$A:$N,5,FALSE)</f>
        <v>M2</v>
      </c>
      <c r="F38" s="5">
        <f>VLOOKUP(A38,MEMORIA!$A:$N,14,FALSE)</f>
        <v>100</v>
      </c>
      <c r="G38" s="5">
        <f>VLOOKUP("TOTAL SEM BDI - "&amp;B38,CPU!$A:$J,9,FALSE)</f>
        <v>4.62</v>
      </c>
      <c r="H38" s="5">
        <f>VLOOKUP("TOTAL COM BDI - "&amp;B38,CPU!$A:$J,9,FALSE)</f>
        <v>5.77</v>
      </c>
      <c r="I38" s="5">
        <f>ROUND(F38*H38,2)</f>
        <v>577</v>
      </c>
    </row>
    <row r="39" spans="1:9" ht="28.8" x14ac:dyDescent="0.3">
      <c r="A39" s="23" t="s">
        <v>170</v>
      </c>
      <c r="B39" s="23">
        <f>VLOOKUP(A39,MEMORIA!$A:$N,2,FALSE)</f>
        <v>99059</v>
      </c>
      <c r="C39" s="23" t="str">
        <f>VLOOKUP(A39,MEMORIA!$A:$N,3,FALSE)</f>
        <v>SINAPI</v>
      </c>
      <c r="D39" s="24" t="str">
        <f>VLOOKUP(A39,MEMORIA!$A:$N,4,FALSE)</f>
        <v>LOCAÇÃO CONVENCIONAL DE OBRA, UTILIZANDO GABARITO DE TÁBUAS CORRIDAS PONTALETADAS A CADA 2,00M - 2 UTILIZAÇÕES. AF_03/2024</v>
      </c>
      <c r="E39" s="23" t="str">
        <f>VLOOKUP(A39,MEMORIA!$A:$N,5,FALSE)</f>
        <v>M</v>
      </c>
      <c r="F39" s="5">
        <f>VLOOKUP(A39,MEMORIA!$A:$N,14,FALSE)</f>
        <v>44</v>
      </c>
      <c r="G39" s="5">
        <f>VLOOKUP("TOTAL SEM BDI - "&amp;B39,CPU!$A:$J,9,FALSE)</f>
        <v>60.260000000000005</v>
      </c>
      <c r="H39" s="5">
        <f>VLOOKUP("TOTAL COM BDI - "&amp;B39,CPU!$A:$J,9,FALSE)</f>
        <v>75.23</v>
      </c>
      <c r="I39" s="5">
        <f>ROUND(F39*H39,2)</f>
        <v>3310.12</v>
      </c>
    </row>
    <row r="40" spans="1:9" x14ac:dyDescent="0.3">
      <c r="A40" s="15" t="s">
        <v>27</v>
      </c>
      <c r="B40" s="49" t="str">
        <f>VLOOKUP(A40,MEMORIA!$A:$N,2,FALSE)</f>
        <v>MOVIMENTO DE TERRA</v>
      </c>
      <c r="C40" s="50"/>
      <c r="D40" s="50"/>
      <c r="E40" s="50"/>
      <c r="F40" s="50"/>
      <c r="G40" s="50"/>
      <c r="H40" s="51"/>
      <c r="I40" s="16">
        <f>SUM($I$41:$I$41)</f>
        <v>165.09</v>
      </c>
    </row>
    <row r="41" spans="1:9" x14ac:dyDescent="0.3">
      <c r="A41" s="23" t="s">
        <v>171</v>
      </c>
      <c r="B41" s="23">
        <f>VLOOKUP(A41,MEMORIA!$A:$N,2,FALSE)</f>
        <v>93358</v>
      </c>
      <c r="C41" s="23" t="str">
        <f>VLOOKUP(A41,MEMORIA!$A:$N,3,FALSE)</f>
        <v>SINAPI</v>
      </c>
      <c r="D41" s="24" t="str">
        <f>VLOOKUP(A41,MEMORIA!$A:$N,4,FALSE)</f>
        <v>ESCAVAÇÃO MANUAL DE VALA. AF_09/2024</v>
      </c>
      <c r="E41" s="23" t="str">
        <f>VLOOKUP(A41,MEMORIA!$A:$N,5,FALSE)</f>
        <v>M3</v>
      </c>
      <c r="F41" s="5">
        <f>VLOOKUP(A41,MEMORIA!$A:$N,14,FALSE)</f>
        <v>1.54</v>
      </c>
      <c r="G41" s="5">
        <f>VLOOKUP("TOTAL SEM BDI - "&amp;B41,CPU!$A:$J,9,FALSE)</f>
        <v>85.87</v>
      </c>
      <c r="H41" s="5">
        <f>VLOOKUP("TOTAL COM BDI - "&amp;B41,CPU!$A:$J,9,FALSE)</f>
        <v>107.2</v>
      </c>
      <c r="I41" s="5">
        <f>ROUND(F41*H41,2)</f>
        <v>165.09</v>
      </c>
    </row>
    <row r="42" spans="1:9" x14ac:dyDescent="0.3">
      <c r="A42" s="15" t="s">
        <v>28</v>
      </c>
      <c r="B42" s="49" t="str">
        <f>VLOOKUP(A42,MEMORIA!$A:$N,2,FALSE)</f>
        <v>INFRAESTRUTURA</v>
      </c>
      <c r="C42" s="50"/>
      <c r="D42" s="50"/>
      <c r="E42" s="50"/>
      <c r="F42" s="50"/>
      <c r="G42" s="50"/>
      <c r="H42" s="51"/>
      <c r="I42" s="16">
        <f>SUM($I$43:$I$45)</f>
        <v>1275.5</v>
      </c>
    </row>
    <row r="43" spans="1:9" ht="28.8" x14ac:dyDescent="0.3">
      <c r="A43" s="23" t="s">
        <v>172</v>
      </c>
      <c r="B43" s="23">
        <f>VLOOKUP(A43,MEMORIA!$A:$N,2,FALSE)</f>
        <v>96617</v>
      </c>
      <c r="C43" s="23" t="str">
        <f>VLOOKUP(A43,MEMORIA!$A:$N,3,FALSE)</f>
        <v>SINAPI</v>
      </c>
      <c r="D43" s="24" t="str">
        <f>VLOOKUP(A43,MEMORIA!$A:$N,4,FALSE)</f>
        <v>LASTRO DE CONCRETO MAGRO, APLICADO EM BLOCOS DE COROAMENTO OU SAPATAS, ESPESSURA DE 3 CM. AF_01/2024</v>
      </c>
      <c r="E43" s="23" t="str">
        <f>VLOOKUP(A43,MEMORIA!$A:$N,5,FALSE)</f>
        <v>M2</v>
      </c>
      <c r="F43" s="5">
        <f>VLOOKUP(A43,MEMORIA!$A:$N,14,FALSE)</f>
        <v>2.58</v>
      </c>
      <c r="G43" s="5">
        <f>VLOOKUP("TOTAL SEM BDI - "&amp;B43,CPU!$A:$J,9,FALSE)</f>
        <v>23.990000000000002</v>
      </c>
      <c r="H43" s="5">
        <f>VLOOKUP("TOTAL COM BDI - "&amp;B43,CPU!$A:$J,9,FALSE)</f>
        <v>29.950000000000003</v>
      </c>
      <c r="I43" s="5">
        <f>ROUND(F43*H43,2)</f>
        <v>77.27</v>
      </c>
    </row>
    <row r="44" spans="1:9" ht="28.8" x14ac:dyDescent="0.3">
      <c r="A44" s="23" t="s">
        <v>173</v>
      </c>
      <c r="B44" s="23">
        <f>VLOOKUP(A44,MEMORIA!$A:$N,2,FALSE)</f>
        <v>103800</v>
      </c>
      <c r="C44" s="23" t="str">
        <f>VLOOKUP(A44,MEMORIA!$A:$N,3,FALSE)</f>
        <v>SINAPI</v>
      </c>
      <c r="D44" s="24" t="str">
        <f>VLOOKUP(A44,MEMORIA!$A:$N,4,FALSE)</f>
        <v>PEDRA ARGAMASSADA COM CIMENTO E AREIA 1:3, 40% DE ARGAMASSA EM VOLUME - AREIA E PEDRA DE MÃO COMERCIAIS - FORNECIMENTO E ASSENTAMENTO. AF_08/2022</v>
      </c>
      <c r="E44" s="23" t="str">
        <f>VLOOKUP(A44,MEMORIA!$A:$N,5,FALSE)</f>
        <v>M3</v>
      </c>
      <c r="F44" s="5">
        <f>VLOOKUP(A44,MEMORIA!$A:$N,14,FALSE)</f>
        <v>1.04</v>
      </c>
      <c r="G44" s="5">
        <f>VLOOKUP("TOTAL SEM BDI - "&amp;B44,CPU!$A:$J,9,FALSE)</f>
        <v>680.59</v>
      </c>
      <c r="H44" s="5">
        <f>VLOOKUP("TOTAL COM BDI - "&amp;B44,CPU!$A:$J,9,FALSE)</f>
        <v>849.65000000000009</v>
      </c>
      <c r="I44" s="5">
        <f>ROUND(F44*H44,2)</f>
        <v>883.64</v>
      </c>
    </row>
    <row r="45" spans="1:9" ht="43.2" x14ac:dyDescent="0.3">
      <c r="A45" s="23" t="s">
        <v>174</v>
      </c>
      <c r="B45" s="23">
        <f>VLOOKUP(A45,MEMORIA!$A:$N,2,FALSE)</f>
        <v>103335</v>
      </c>
      <c r="C45" s="23" t="str">
        <f>VLOOKUP(A45,MEMORIA!$A:$N,3,FALSE)</f>
        <v>SINAPI</v>
      </c>
      <c r="D45" s="24" t="str">
        <f>VLOOKUP(A45,MEMORIA!$A:$N,4,FALSE)</f>
        <v>ALVENARIA DE VEDAÇÃO DE BLOCOS CERÂMICOS FURADOS NA HORIZONTAL DE 14X9X19 CM (ESPESSURA 14 CM, BLOCO DEITADO) E ARGAMASSA DE ASSENTAMENTO COM PREPARO MANUAL. AF_12/2021</v>
      </c>
      <c r="E45" s="23" t="str">
        <f>VLOOKUP(A45,MEMORIA!$A:$N,5,FALSE)</f>
        <v>M2</v>
      </c>
      <c r="F45" s="5">
        <f>VLOOKUP(A45,MEMORIA!$A:$N,14,FALSE)</f>
        <v>1.7200000000000002</v>
      </c>
      <c r="G45" s="5">
        <f>VLOOKUP("TOTAL SEM BDI - "&amp;B45,CPU!$A:$J,9,FALSE)</f>
        <v>146.51</v>
      </c>
      <c r="H45" s="5">
        <f>VLOOKUP("TOTAL COM BDI - "&amp;B45,CPU!$A:$J,9,FALSE)</f>
        <v>182.89999999999998</v>
      </c>
      <c r="I45" s="5">
        <f>ROUND(F45*H45,2)</f>
        <v>314.58999999999997</v>
      </c>
    </row>
    <row r="46" spans="1:9" x14ac:dyDescent="0.3">
      <c r="A46" s="15" t="s">
        <v>29</v>
      </c>
      <c r="B46" s="49" t="str">
        <f>VLOOKUP(A46,MEMORIA!$A:$N,2,FALSE)</f>
        <v>SUPERESTRUTURA</v>
      </c>
      <c r="C46" s="50"/>
      <c r="D46" s="50"/>
      <c r="E46" s="50"/>
      <c r="F46" s="50"/>
      <c r="G46" s="50"/>
      <c r="H46" s="51"/>
      <c r="I46" s="16">
        <f>SUM($I$47:$I$48)</f>
        <v>1347.9099999999999</v>
      </c>
    </row>
    <row r="47" spans="1:9" x14ac:dyDescent="0.3">
      <c r="A47" s="23" t="s">
        <v>175</v>
      </c>
      <c r="B47" s="23" t="str">
        <f>VLOOKUP(A47,MEMORIA!$A:$N,2,FALSE)</f>
        <v>COMPCOM01</v>
      </c>
      <c r="C47" s="23" t="str">
        <f>VLOOKUP(A47,MEMORIA!$A:$N,3,FALSE)</f>
        <v>PRÓPRIA</v>
      </c>
      <c r="D47" s="24" t="str">
        <f>VLOOKUP(A47,MEMORIA!$A:$N,4,FALSE)</f>
        <v>CINTA DE AMARRAÇÃO DE ALVENARIA MOLDADA IN LOCO EM CONCRETO</v>
      </c>
      <c r="E47" s="23" t="str">
        <f>VLOOKUP(A47,MEMORIA!$A:$N,5,FALSE)</f>
        <v>M</v>
      </c>
      <c r="F47" s="5">
        <f>VLOOKUP(A47,MEMORIA!$A:$N,14,FALSE)</f>
        <v>8.6</v>
      </c>
      <c r="G47" s="5">
        <f>VLOOKUP("TOTAL SEM BDI - "&amp;B47,CPU!$A:$J,9,FALSE)</f>
        <v>81.56</v>
      </c>
      <c r="H47" s="5">
        <f>VLOOKUP("TOTAL COM BDI - "&amp;B47,CPU!$A:$J,9,FALSE)</f>
        <v>101.82000000000001</v>
      </c>
      <c r="I47" s="5">
        <f>ROUND(F47*H47,2)</f>
        <v>875.65</v>
      </c>
    </row>
    <row r="48" spans="1:9" ht="28.8" x14ac:dyDescent="0.3">
      <c r="A48" s="23" t="s">
        <v>176</v>
      </c>
      <c r="B48" s="23" t="str">
        <f>VLOOKUP(A48,MEMORIA!$A:$N,2,FALSE)</f>
        <v>COMPCOM02</v>
      </c>
      <c r="C48" s="23" t="str">
        <f>VLOOKUP(A48,MEMORIA!$A:$N,3,FALSE)</f>
        <v>PRÓPRIA</v>
      </c>
      <c r="D48" s="24" t="str">
        <f>VLOOKUP(A48,MEMORIA!$A:$N,4,FALSE)</f>
        <v>(COMPOSIÇÃO REPRESENTATIVA) EXECUÇÃO DE ESTRUTURAS DE CONCRETO ARMADO, PARA EDIFICAÇÃO INSTITUCIONAL TÉRREA, FCK = 25 MPA</v>
      </c>
      <c r="E48" s="23" t="str">
        <f>VLOOKUP(A48,MEMORIA!$A:$N,5,FALSE)</f>
        <v>M³</v>
      </c>
      <c r="F48" s="5">
        <f>VLOOKUP(A48,MEMORIA!$A:$N,14,FALSE)</f>
        <v>0.30000000000000004</v>
      </c>
      <c r="G48" s="5">
        <f>VLOOKUP("TOTAL SEM BDI - "&amp;B48,CPU!$A:$J,9,FALSE)</f>
        <v>1260.97</v>
      </c>
      <c r="H48" s="5">
        <f>VLOOKUP("TOTAL COM BDI - "&amp;B48,CPU!$A:$J,9,FALSE)</f>
        <v>1574.19</v>
      </c>
      <c r="I48" s="5">
        <f>ROUND(F48*H48,2)</f>
        <v>472.26</v>
      </c>
    </row>
    <row r="49" spans="1:9" x14ac:dyDescent="0.3">
      <c r="A49" s="15" t="s">
        <v>30</v>
      </c>
      <c r="B49" s="49" t="str">
        <f>VLOOKUP(A49,MEMORIA!$A:$N,2,FALSE)</f>
        <v>VEDAÇÃO VERTICAL</v>
      </c>
      <c r="C49" s="50"/>
      <c r="D49" s="50"/>
      <c r="E49" s="50"/>
      <c r="F49" s="50"/>
      <c r="G49" s="50"/>
      <c r="H49" s="51"/>
      <c r="I49" s="16">
        <f>SUM($I$50:$I$51)</f>
        <v>2674.92</v>
      </c>
    </row>
    <row r="50" spans="1:9" ht="43.2" x14ac:dyDescent="0.3">
      <c r="A50" s="23" t="s">
        <v>177</v>
      </c>
      <c r="B50" s="23">
        <f>VLOOKUP(A50,MEMORIA!$A:$N,2,FALSE)</f>
        <v>103329</v>
      </c>
      <c r="C50" s="23" t="str">
        <f>VLOOKUP(A50,MEMORIA!$A:$N,3,FALSE)</f>
        <v>SINAPI</v>
      </c>
      <c r="D50" s="24" t="str">
        <f>VLOOKUP(A50,MEMORIA!$A:$N,4,FALSE)</f>
        <v>ALVENARIA DE VEDAÇÃO DE BLOCOS CERÂMICOS FURADOS NA HORIZONTAL DE 9X19X19 CM (ESPESSURA 9 CM) E ARGAMASSA DE ASSENTAMENTO COM PREPARO MANUAL. AF_12/2021</v>
      </c>
      <c r="E50" s="23" t="str">
        <f>VLOOKUP(A50,MEMORIA!$A:$N,5,FALSE)</f>
        <v>M2</v>
      </c>
      <c r="F50" s="5">
        <f>VLOOKUP(A50,MEMORIA!$A:$N,14,FALSE)</f>
        <v>19.310000000000002</v>
      </c>
      <c r="G50" s="5">
        <f>VLOOKUP("TOTAL SEM BDI - "&amp;B50,CPU!$A:$J,9,FALSE)</f>
        <v>95.08</v>
      </c>
      <c r="H50" s="5">
        <f>VLOOKUP("TOTAL COM BDI - "&amp;B50,CPU!$A:$J,9,FALSE)</f>
        <v>118.7</v>
      </c>
      <c r="I50" s="5">
        <f>ROUND(F50*H50,2)</f>
        <v>2292.1</v>
      </c>
    </row>
    <row r="51" spans="1:9" ht="43.2" x14ac:dyDescent="0.3">
      <c r="A51" s="23" t="s">
        <v>178</v>
      </c>
      <c r="B51" s="23">
        <f>VLOOKUP(A51,MEMORIA!$A:$N,2,FALSE)</f>
        <v>101161</v>
      </c>
      <c r="C51" s="23" t="str">
        <f>VLOOKUP(A51,MEMORIA!$A:$N,3,FALSE)</f>
        <v>SINAPI</v>
      </c>
      <c r="D51" s="24" t="str">
        <f>VLOOKUP(A51,MEMORIA!$A:$N,4,FALSE)</f>
        <v>ALVENARIA DE VEDAÇÃO COM ELEMENTO VAZADO DE CONCRETO (COBOGÓ) DE 7X50X50CM E ARGAMASSA DE ASSENTAMENTO COM PREPARO EM BETONEIRA. AF_05/2020</v>
      </c>
      <c r="E51" s="23" t="str">
        <f>VLOOKUP(A51,MEMORIA!$A:$N,5,FALSE)</f>
        <v>M2</v>
      </c>
      <c r="F51" s="5">
        <f>VLOOKUP(A51,MEMORIA!$A:$N,14,FALSE)</f>
        <v>1.5</v>
      </c>
      <c r="G51" s="5">
        <f>VLOOKUP("TOTAL SEM BDI - "&amp;B51,CPU!$A:$J,9,FALSE)</f>
        <v>204.43</v>
      </c>
      <c r="H51" s="5">
        <f>VLOOKUP("TOTAL COM BDI - "&amp;B51,CPU!$A:$J,9,FALSE)</f>
        <v>255.21</v>
      </c>
      <c r="I51" s="5">
        <f>ROUND(F51*H51,2)</f>
        <v>382.82</v>
      </c>
    </row>
    <row r="52" spans="1:9" x14ac:dyDescent="0.3">
      <c r="A52" s="15" t="s">
        <v>31</v>
      </c>
      <c r="B52" s="49" t="str">
        <f>VLOOKUP(A52,MEMORIA!$A:$N,2,FALSE)</f>
        <v>COBERTURA</v>
      </c>
      <c r="C52" s="50"/>
      <c r="D52" s="50"/>
      <c r="E52" s="50"/>
      <c r="F52" s="50"/>
      <c r="G52" s="50"/>
      <c r="H52" s="51"/>
      <c r="I52" s="16">
        <f>SUM($I$53:$I$54)</f>
        <v>1332.15</v>
      </c>
    </row>
    <row r="53" spans="1:9" ht="28.8" x14ac:dyDescent="0.3">
      <c r="A53" s="23" t="s">
        <v>179</v>
      </c>
      <c r="B53" s="23" t="str">
        <f>VLOOKUP(A53,MEMORIA!$A:$N,2,FALSE)</f>
        <v>COMPCOM03</v>
      </c>
      <c r="C53" s="23" t="str">
        <f>VLOOKUP(A53,MEMORIA!$A:$N,3,FALSE)</f>
        <v>PRÓPRIA</v>
      </c>
      <c r="D53" s="24" t="str">
        <f>VLOOKUP(A53,MEMORIA!$A:$N,4,FALSE)</f>
        <v>TELHAMENTO COM TELHA CERÂMICA CAPA-CANAL, TIPO COLONIAL, COM ATÉ 2 ÁGUAS, INCLUSO TRANSPORTE VERTICAL</v>
      </c>
      <c r="E53" s="23" t="str">
        <f>VLOOKUP(A53,MEMORIA!$A:$N,5,FALSE)</f>
        <v>M²</v>
      </c>
      <c r="F53" s="5">
        <f>VLOOKUP(A53,MEMORIA!$A:$N,14,FALSE)</f>
        <v>10.23</v>
      </c>
      <c r="G53" s="5">
        <f>VLOOKUP("TOTAL SEM BDI - "&amp;B53,CPU!$A:$J,9,FALSE)</f>
        <v>37.64</v>
      </c>
      <c r="H53" s="5">
        <f>VLOOKUP("TOTAL COM BDI - "&amp;B53,CPU!$A:$J,9,FALSE)</f>
        <v>46.99</v>
      </c>
      <c r="I53" s="5">
        <f>ROUND(F53*H53,2)</f>
        <v>480.71</v>
      </c>
    </row>
    <row r="54" spans="1:9" ht="28.8" x14ac:dyDescent="0.3">
      <c r="A54" s="23" t="s">
        <v>180</v>
      </c>
      <c r="B54" s="23" t="str">
        <f>VLOOKUP(A54,MEMORIA!$A:$N,2,FALSE)</f>
        <v>COMPCOM04</v>
      </c>
      <c r="C54" s="23" t="str">
        <f>VLOOKUP(A54,MEMORIA!$A:$N,3,FALSE)</f>
        <v>PRÓPRIA</v>
      </c>
      <c r="D54" s="24" t="str">
        <f>VLOOKUP(A54,MEMORIA!$A:$N,4,FALSE)</f>
        <v>TRAMA DE MADEIRA COMPOSTA POR RIPAS, CAIBROS E TERÇAS PARA TELHADOS DE ATÉ 2 ÁGUAS PARA TELHA CERÂMICA CAPA-CANAL, INCLUSO TRANSPORTE VERTICAL</v>
      </c>
      <c r="E54" s="23" t="str">
        <f>VLOOKUP(A54,MEMORIA!$A:$N,5,FALSE)</f>
        <v>M²</v>
      </c>
      <c r="F54" s="5">
        <f>VLOOKUP(A54,MEMORIA!$A:$N,14,FALSE)</f>
        <v>10.23</v>
      </c>
      <c r="G54" s="5">
        <f>VLOOKUP("TOTAL SEM BDI - "&amp;B54,CPU!$A:$J,9,FALSE)</f>
        <v>66.67</v>
      </c>
      <c r="H54" s="5">
        <f>VLOOKUP("TOTAL COM BDI - "&amp;B54,CPU!$A:$J,9,FALSE)</f>
        <v>83.23</v>
      </c>
      <c r="I54" s="5">
        <f>ROUND(F54*H54,2)</f>
        <v>851.44</v>
      </c>
    </row>
    <row r="55" spans="1:9" x14ac:dyDescent="0.3">
      <c r="A55" s="15" t="s">
        <v>32</v>
      </c>
      <c r="B55" s="49" t="str">
        <f>VLOOKUP(A55,MEMORIA!$A:$N,2,FALSE)</f>
        <v>PISO</v>
      </c>
      <c r="C55" s="50"/>
      <c r="D55" s="50"/>
      <c r="E55" s="50"/>
      <c r="F55" s="50"/>
      <c r="G55" s="50"/>
      <c r="H55" s="51"/>
      <c r="I55" s="16">
        <f>SUM($I$56:$I$58)</f>
        <v>1208.82</v>
      </c>
    </row>
    <row r="56" spans="1:9" ht="28.8" x14ac:dyDescent="0.3">
      <c r="A56" s="23" t="s">
        <v>181</v>
      </c>
      <c r="B56" s="23">
        <f>VLOOKUP(A56,MEMORIA!$A:$N,2,FALSE)</f>
        <v>96617</v>
      </c>
      <c r="C56" s="23" t="str">
        <f>VLOOKUP(A56,MEMORIA!$A:$N,3,FALSE)</f>
        <v>SINAPI</v>
      </c>
      <c r="D56" s="24" t="str">
        <f>VLOOKUP(A56,MEMORIA!$A:$N,4,FALSE)</f>
        <v>LASTRO DE CONCRETO MAGRO, APLICADO EM BLOCOS DE COROAMENTO OU SAPATAS, ESPESSURA DE 3 CM. AF_01/2024</v>
      </c>
      <c r="E56" s="23" t="str">
        <f>VLOOKUP(A56,MEMORIA!$A:$N,5,FALSE)</f>
        <v>M2</v>
      </c>
      <c r="F56" s="5">
        <f>VLOOKUP(A56,MEMORIA!$A:$N,14,FALSE)</f>
        <v>4</v>
      </c>
      <c r="G56" s="5">
        <f>VLOOKUP("TOTAL SEM BDI - "&amp;B56,CPU!$A:$J,9,FALSE)</f>
        <v>23.990000000000002</v>
      </c>
      <c r="H56" s="5">
        <f>VLOOKUP("TOTAL COM BDI - "&amp;B56,CPU!$A:$J,9,FALSE)</f>
        <v>29.950000000000003</v>
      </c>
      <c r="I56" s="5">
        <f>ROUND(F56*H56,2)</f>
        <v>119.8</v>
      </c>
    </row>
    <row r="57" spans="1:9" ht="28.8" x14ac:dyDescent="0.3">
      <c r="A57" s="23" t="s">
        <v>182</v>
      </c>
      <c r="B57" s="23">
        <f>VLOOKUP(A57,MEMORIA!$A:$N,2,FALSE)</f>
        <v>101749</v>
      </c>
      <c r="C57" s="23" t="str">
        <f>VLOOKUP(A57,MEMORIA!$A:$N,3,FALSE)</f>
        <v>SINAPI</v>
      </c>
      <c r="D57" s="24" t="str">
        <f>VLOOKUP(A57,MEMORIA!$A:$N,4,FALSE)</f>
        <v>PISO CIMENTADO, TRAÇO 1:3 (CIMENTO E AREIA), ACABAMENTO LISO, ESPESSURA 4,0 CM, PREPARO MECÂNICO DA ARGAMASSA. AF_09/2020</v>
      </c>
      <c r="E57" s="23" t="str">
        <f>VLOOKUP(A57,MEMORIA!$A:$N,5,FALSE)</f>
        <v>M2</v>
      </c>
      <c r="F57" s="5">
        <f>VLOOKUP(A57,MEMORIA!$A:$N,14,FALSE)</f>
        <v>4</v>
      </c>
      <c r="G57" s="5">
        <f>VLOOKUP("TOTAL SEM BDI - "&amp;B57,CPU!$A:$J,9,FALSE)</f>
        <v>64.739999999999995</v>
      </c>
      <c r="H57" s="5">
        <f>VLOOKUP("TOTAL COM BDI - "&amp;B57,CPU!$A:$J,9,FALSE)</f>
        <v>80.819999999999993</v>
      </c>
      <c r="I57" s="5">
        <f>ROUND(F57*H57,2)</f>
        <v>323.27999999999997</v>
      </c>
    </row>
    <row r="58" spans="1:9" ht="43.2" x14ac:dyDescent="0.3">
      <c r="A58" s="23" t="s">
        <v>183</v>
      </c>
      <c r="B58" s="23">
        <f>VLOOKUP(A58,MEMORIA!$A:$N,2,FALSE)</f>
        <v>94994</v>
      </c>
      <c r="C58" s="23" t="str">
        <f>VLOOKUP(A58,MEMORIA!$A:$N,3,FALSE)</f>
        <v>SINAPI</v>
      </c>
      <c r="D58" s="24" t="str">
        <f>VLOOKUP(A58,MEMORIA!$A:$N,4,FALSE)</f>
        <v>EXECUÇÃO DE PASSEIO (CALÇADA) OU PISO DE CONCRETO COM CONCRETO MOLDADO IN LOCO, FEITO EM OBRA, ACABAMENTO CONVENCIONAL, ESPESSURA 8 CM, ARMADO. AF_08/2022</v>
      </c>
      <c r="E58" s="23" t="str">
        <f>VLOOKUP(A58,MEMORIA!$A:$N,5,FALSE)</f>
        <v>M2</v>
      </c>
      <c r="F58" s="5">
        <f>VLOOKUP(A58,MEMORIA!$A:$N,14,FALSE)</f>
        <v>5.6</v>
      </c>
      <c r="G58" s="5">
        <f>VLOOKUP("TOTAL SEM BDI - "&amp;B58,CPU!$A:$J,9,FALSE)</f>
        <v>109.53000000000002</v>
      </c>
      <c r="H58" s="5">
        <f>VLOOKUP("TOTAL COM BDI - "&amp;B58,CPU!$A:$J,9,FALSE)</f>
        <v>136.74</v>
      </c>
      <c r="I58" s="5">
        <f>ROUND(F58*H58,2)</f>
        <v>765.74</v>
      </c>
    </row>
    <row r="59" spans="1:9" x14ac:dyDescent="0.3">
      <c r="A59" s="15" t="s">
        <v>33</v>
      </c>
      <c r="B59" s="49" t="str">
        <f>VLOOKUP(A59,MEMORIA!$A:$N,2,FALSE)</f>
        <v>REVESTIMENTO</v>
      </c>
      <c r="C59" s="50"/>
      <c r="D59" s="50"/>
      <c r="E59" s="50"/>
      <c r="F59" s="50"/>
      <c r="G59" s="50"/>
      <c r="H59" s="51"/>
      <c r="I59" s="16">
        <f>SUM($I$60:$I$61)</f>
        <v>2396.75</v>
      </c>
    </row>
    <row r="60" spans="1:9" ht="43.2" x14ac:dyDescent="0.3">
      <c r="A60" s="23" t="s">
        <v>184</v>
      </c>
      <c r="B60" s="23">
        <f>VLOOKUP(A60,MEMORIA!$A:$N,2,FALSE)</f>
        <v>87904</v>
      </c>
      <c r="C60" s="23" t="str">
        <f>VLOOKUP(A60,MEMORIA!$A:$N,3,FALSE)</f>
        <v>SINAPI</v>
      </c>
      <c r="D60" s="24" t="str">
        <f>VLOOKUP(A60,MEMORIA!$A:$N,4,FALSE)</f>
        <v>CHAPISCO APLICADO EM ALVENARIA (COM PRESENÇA DE VÃOS) E ESTRUTURAS DE CONCRETO DE FACHADA, COM COLHER DE PEDREIRO. ARGAMASSA TRAÇO 1:3 COM PREPARO MANUAL. AF_10/2022</v>
      </c>
      <c r="E60" s="23" t="str">
        <f>VLOOKUP(A60,MEMORIA!$A:$N,5,FALSE)</f>
        <v>M2</v>
      </c>
      <c r="F60" s="5">
        <f>VLOOKUP(A60,MEMORIA!$A:$N,14,FALSE)</f>
        <v>38.619999999999997</v>
      </c>
      <c r="G60" s="5">
        <f>VLOOKUP("TOTAL SEM BDI - "&amp;B60,CPU!$A:$J,9,FALSE)</f>
        <v>8.74</v>
      </c>
      <c r="H60" s="5">
        <f>VLOOKUP("TOTAL COM BDI - "&amp;B60,CPU!$A:$J,9,FALSE)</f>
        <v>10.91</v>
      </c>
      <c r="I60" s="5">
        <f>ROUND(F60*H60,2)</f>
        <v>421.34</v>
      </c>
    </row>
    <row r="61" spans="1:9" ht="43.2" x14ac:dyDescent="0.3">
      <c r="A61" s="23" t="s">
        <v>185</v>
      </c>
      <c r="B61" s="23">
        <f>VLOOKUP(A61,MEMORIA!$A:$N,2,FALSE)</f>
        <v>87530</v>
      </c>
      <c r="C61" s="23" t="str">
        <f>VLOOKUP(A61,MEMORIA!$A:$N,3,FALSE)</f>
        <v>SINAPI</v>
      </c>
      <c r="D61" s="24" t="str">
        <f>VLOOKUP(A61,MEMORIA!$A:$N,4,FALSE)</f>
        <v>MASSA ÚNICA, EM ARGAMASSA TRAÇO 1:2:8, PREPARO MANUAL, APLICADA MANUALMENTE EM PAREDES INTERNAS DE AMBIENTES COM ÁREA ENTRE 5M² E 10M², E = 17,5MM, COM TALISCAS. AF_03/2024</v>
      </c>
      <c r="E61" s="23" t="str">
        <f>VLOOKUP(A61,MEMORIA!$A:$N,5,FALSE)</f>
        <v>M2</v>
      </c>
      <c r="F61" s="5">
        <f>VLOOKUP(A61,MEMORIA!$A:$N,14,FALSE)</f>
        <v>38.619999999999997</v>
      </c>
      <c r="G61" s="5">
        <f>VLOOKUP("TOTAL SEM BDI - "&amp;B61,CPU!$A:$J,9,FALSE)</f>
        <v>40.97</v>
      </c>
      <c r="H61" s="5">
        <f>VLOOKUP("TOTAL COM BDI - "&amp;B61,CPU!$A:$J,9,FALSE)</f>
        <v>51.15</v>
      </c>
      <c r="I61" s="5">
        <f>ROUND(F61*H61,2)</f>
        <v>1975.41</v>
      </c>
    </row>
    <row r="62" spans="1:9" x14ac:dyDescent="0.3">
      <c r="A62" s="15" t="s">
        <v>34</v>
      </c>
      <c r="B62" s="49" t="str">
        <f>VLOOKUP(A62,MEMORIA!$A:$N,2,FALSE)</f>
        <v>ESQUADRIAS</v>
      </c>
      <c r="C62" s="50"/>
      <c r="D62" s="50"/>
      <c r="E62" s="50"/>
      <c r="F62" s="50"/>
      <c r="G62" s="50"/>
      <c r="H62" s="51"/>
      <c r="I62" s="16">
        <f>SUM($I$63:$I$64)</f>
        <v>4550.21</v>
      </c>
    </row>
    <row r="63" spans="1:9" x14ac:dyDescent="0.3">
      <c r="A63" s="23" t="s">
        <v>186</v>
      </c>
      <c r="B63" s="23">
        <f>VLOOKUP(A63,MEMORIA!$A:$N,2,FALSE)</f>
        <v>100701</v>
      </c>
      <c r="C63" s="23" t="str">
        <f>VLOOKUP(A63,MEMORIA!$A:$N,3,FALSE)</f>
        <v>SINAPI</v>
      </c>
      <c r="D63" s="24" t="str">
        <f>VLOOKUP(A63,MEMORIA!$A:$N,4,FALSE)</f>
        <v>PORTA DE FERRO, DE ABRIR, TIPO GRADE COM CHAPA, COM GUARNIÇÕES. AF_12/2019</v>
      </c>
      <c r="E63" s="23" t="str">
        <f>VLOOKUP(A63,MEMORIA!$A:$N,5,FALSE)</f>
        <v>M2</v>
      </c>
      <c r="F63" s="5">
        <f>VLOOKUP(A63,MEMORIA!$A:$N,14,FALSE)</f>
        <v>1.68</v>
      </c>
      <c r="G63" s="5">
        <f>VLOOKUP("TOTAL SEM BDI - "&amp;B63,CPU!$A:$J,9,FALSE)</f>
        <v>415.3</v>
      </c>
      <c r="H63" s="5">
        <f>VLOOKUP("TOTAL COM BDI - "&amp;B63,CPU!$A:$J,9,FALSE)</f>
        <v>518.46</v>
      </c>
      <c r="I63" s="5">
        <f>ROUND(F63*H63,2)</f>
        <v>871.01</v>
      </c>
    </row>
    <row r="64" spans="1:9" ht="28.8" x14ac:dyDescent="0.3">
      <c r="A64" s="23" t="s">
        <v>187</v>
      </c>
      <c r="B64" s="23" t="str">
        <f>VLOOKUP(A64,MEMORIA!$A:$N,2,FALSE)</f>
        <v>C3659</v>
      </c>
      <c r="C64" s="23" t="str">
        <f>VLOOKUP(A64,MEMORIA!$A:$N,3,FALSE)</f>
        <v>SEINFRA</v>
      </c>
      <c r="D64" s="24" t="str">
        <f>VLOOKUP(A64,MEMORIA!$A:$N,4,FALSE)</f>
        <v>PORTÃO DE METALON E BARRA CHATA DE FERRO C/FECHADURA E DOBRADIÇA, INCLUS. PINTURA ESMALTE SINTÉTICO</v>
      </c>
      <c r="E64" s="23" t="str">
        <f>VLOOKUP(A64,MEMORIA!$A:$N,5,FALSE)</f>
        <v>M2</v>
      </c>
      <c r="F64" s="5">
        <f>VLOOKUP(A64,MEMORIA!$A:$N,14,FALSE)</f>
        <v>6</v>
      </c>
      <c r="G64" s="5">
        <f>VLOOKUP("TOTAL SEM BDI - "&amp;B64,CPU!$A:$J,9,FALSE)</f>
        <v>491.19000000000005</v>
      </c>
      <c r="H64" s="5">
        <f>VLOOKUP("TOTAL COM BDI - "&amp;B64,CPU!$A:$J,9,FALSE)</f>
        <v>613.20000000000005</v>
      </c>
      <c r="I64" s="5">
        <f>ROUND(F64*H64,2)</f>
        <v>3679.2</v>
      </c>
    </row>
    <row r="65" spans="1:9" x14ac:dyDescent="0.3">
      <c r="A65" s="15" t="s">
        <v>35</v>
      </c>
      <c r="B65" s="49" t="str">
        <f>VLOOKUP(A65,MEMORIA!$A:$N,2,FALSE)</f>
        <v>PINTURA</v>
      </c>
      <c r="C65" s="50"/>
      <c r="D65" s="50"/>
      <c r="E65" s="50"/>
      <c r="F65" s="50"/>
      <c r="G65" s="50"/>
      <c r="H65" s="51"/>
      <c r="I65" s="16">
        <f>SUM($I$66:$I$67)</f>
        <v>663.11</v>
      </c>
    </row>
    <row r="66" spans="1:9" x14ac:dyDescent="0.3">
      <c r="A66" s="23" t="s">
        <v>188</v>
      </c>
      <c r="B66" s="23" t="str">
        <f>VLOOKUP(A66,MEMORIA!$A:$N,2,FALSE)</f>
        <v>COMP205</v>
      </c>
      <c r="C66" s="23" t="str">
        <f>VLOOKUP(A66,MEMORIA!$A:$N,3,FALSE)</f>
        <v>PRÓPRIA</v>
      </c>
      <c r="D66" s="24" t="str">
        <f>VLOOKUP(A66,MEMORIA!$A:$N,4,FALSE)</f>
        <v>CAIAÇÃO EM TRES DEMÃOS EM PAREDES (REF: C0589-SEINFRA 28)</v>
      </c>
      <c r="E66" s="23" t="str">
        <f>VLOOKUP(A66,MEMORIA!$A:$N,5,FALSE)</f>
        <v>M2</v>
      </c>
      <c r="F66" s="5">
        <f>VLOOKUP(A66,MEMORIA!$A:$N,14,FALSE)</f>
        <v>38.619999999999997</v>
      </c>
      <c r="G66" s="5">
        <f>VLOOKUP("TOTAL SEM BDI - "&amp;B66,CPU!$A:$J,9,FALSE)</f>
        <v>9.3800000000000008</v>
      </c>
      <c r="H66" s="5">
        <f>VLOOKUP("TOTAL COM BDI - "&amp;B66,CPU!$A:$J,9,FALSE)</f>
        <v>11.71</v>
      </c>
      <c r="I66" s="5">
        <f>ROUND(F66*H66,2)</f>
        <v>452.24</v>
      </c>
    </row>
    <row r="67" spans="1:9" ht="43.2" x14ac:dyDescent="0.3">
      <c r="A67" s="23" t="s">
        <v>189</v>
      </c>
      <c r="B67" s="23">
        <f>VLOOKUP(A67,MEMORIA!$A:$N,2,FALSE)</f>
        <v>100758</v>
      </c>
      <c r="C67" s="23" t="str">
        <f>VLOOKUP(A67,MEMORIA!$A:$N,3,FALSE)</f>
        <v>SINAPI</v>
      </c>
      <c r="D67" s="24" t="str">
        <f>VLOOKUP(A67,MEMORIA!$A:$N,4,FALSE)</f>
        <v>PINTURA COM TINTA ALQUÍDICA DE ACABAMENTO (ESMALTE SINTÉTICO ACETINADO) APLICADA A ROLO OU PINCEL SOBRE SUPERFÍCIES METÁLICAS (EXCETO PERFIL) EXECUTADO EM OBRA (02 DEMÃOS). AF_01/2020</v>
      </c>
      <c r="E67" s="23" t="str">
        <f>VLOOKUP(A67,MEMORIA!$A:$N,5,FALSE)</f>
        <v>M2</v>
      </c>
      <c r="F67" s="5">
        <f>VLOOKUP(A67,MEMORIA!$A:$N,14,FALSE)</f>
        <v>3.36</v>
      </c>
      <c r="G67" s="5">
        <f>VLOOKUP("TOTAL SEM BDI - "&amp;B67,CPU!$A:$J,9,FALSE)</f>
        <v>50.269999999999996</v>
      </c>
      <c r="H67" s="5">
        <f>VLOOKUP("TOTAL COM BDI - "&amp;B67,CPU!$A:$J,9,FALSE)</f>
        <v>62.76</v>
      </c>
      <c r="I67" s="5">
        <f>ROUND(F67*H67,2)</f>
        <v>210.87</v>
      </c>
    </row>
    <row r="68" spans="1:9" x14ac:dyDescent="0.3">
      <c r="A68" s="15" t="s">
        <v>36</v>
      </c>
      <c r="B68" s="49" t="str">
        <f>VLOOKUP(A68,MEMORIA!$A:$N,2,FALSE)</f>
        <v>CERCAMENTO</v>
      </c>
      <c r="C68" s="50"/>
      <c r="D68" s="50"/>
      <c r="E68" s="50"/>
      <c r="F68" s="50"/>
      <c r="G68" s="50"/>
      <c r="H68" s="51"/>
      <c r="I68" s="16">
        <f>SUM($I$69:$I$69)</f>
        <v>6063.93</v>
      </c>
    </row>
    <row r="69" spans="1:9" ht="43.2" x14ac:dyDescent="0.3">
      <c r="A69" s="23" t="s">
        <v>190</v>
      </c>
      <c r="B69" s="23">
        <f>VLOOKUP(A69,MEMORIA!$A:$N,2,FALSE)</f>
        <v>101197</v>
      </c>
      <c r="C69" s="23" t="str">
        <f>VLOOKUP(A69,MEMORIA!$A:$N,3,FALSE)</f>
        <v>SINAPI</v>
      </c>
      <c r="D69" s="24" t="str">
        <f>VLOOKUP(A69,MEMORIA!$A:$N,4,FALSE)</f>
        <v>CERCA COM MOURÕES DE CONCRETO, SEÇÃO "T" PONTA INCLINADA, 10X10 CM, ESPAÇAMENTO DE 2,5 M, CRAVADOS 0,5 M, COM 11 FIOS DE ARAME FARPADO Nº 14 - FORNECIMENTO E INSTALAÇÃO. AF_05/2020</v>
      </c>
      <c r="E69" s="23" t="str">
        <f>VLOOKUP(A69,MEMORIA!$A:$N,5,FALSE)</f>
        <v>M</v>
      </c>
      <c r="F69" s="5">
        <f>VLOOKUP(A69,MEMORIA!$A:$N,14,FALSE)</f>
        <v>37</v>
      </c>
      <c r="G69" s="5">
        <f>VLOOKUP("TOTAL SEM BDI - "&amp;B69,CPU!$A:$J,9,FALSE)</f>
        <v>131.28</v>
      </c>
      <c r="H69" s="5">
        <f>VLOOKUP("TOTAL COM BDI - "&amp;B69,CPU!$A:$J,9,FALSE)</f>
        <v>163.89</v>
      </c>
      <c r="I69" s="5">
        <f>ROUND(F69*H69,2)</f>
        <v>6063.93</v>
      </c>
    </row>
    <row r="70" spans="1:9" x14ac:dyDescent="0.3">
      <c r="A70" s="12" t="s">
        <v>37</v>
      </c>
      <c r="B70" s="46" t="str">
        <f>VLOOKUP(A70,MEMORIA!$A:$N,2,FALSE)</f>
        <v>INSTALAÇÕES ELÉTRICAS</v>
      </c>
      <c r="C70" s="47"/>
      <c r="D70" s="47"/>
      <c r="E70" s="47"/>
      <c r="F70" s="47"/>
      <c r="G70" s="47"/>
      <c r="H70" s="48"/>
      <c r="I70" s="13">
        <f>SUM($I$71:$I$78)</f>
        <v>1853.2700000000002</v>
      </c>
    </row>
    <row r="71" spans="1:9" ht="43.2" x14ac:dyDescent="0.3">
      <c r="A71" s="23" t="s">
        <v>191</v>
      </c>
      <c r="B71" s="23" t="str">
        <f>VLOOKUP(A71,MEMORIA!$A:$N,2,FALSE)</f>
        <v>COMPINST05</v>
      </c>
      <c r="C71" s="23" t="str">
        <f>VLOOKUP(A71,MEMORIA!$A:$N,3,FALSE)</f>
        <v>PRÓPRIA</v>
      </c>
      <c r="D71" s="24" t="str">
        <f>VLOOKUP(A71,MEMORIA!$A:$N,4,FALSE)</f>
        <v>ENTRADA DE ENERGIA ELÉTRICA, AÉREA, MONOFÁSICA, COM CAIXA DE EMBUTIR, CABO DE 10 MM2 E DISJUNTOR DIN 50A (NÃO INCLUSO O POSTE DE CONCRETO). AF_07/2020_PS (REF: 101493-SINAPI-06/2025)</v>
      </c>
      <c r="E71" s="23" t="str">
        <f>VLOOKUP(A71,MEMORIA!$A:$N,5,FALSE)</f>
        <v>UN</v>
      </c>
      <c r="F71" s="5">
        <f>VLOOKUP(A71,MEMORIA!$A:$N,14,FALSE)</f>
        <v>1</v>
      </c>
      <c r="G71" s="5">
        <f>VLOOKUP("TOTAL SEM BDI - "&amp;B71,CPU!$A:$J,9,FALSE)</f>
        <v>967.24</v>
      </c>
      <c r="H71" s="5">
        <f>VLOOKUP("TOTAL COM BDI - "&amp;B71,CPU!$A:$J,9,FALSE)</f>
        <v>1207.5</v>
      </c>
      <c r="I71" s="5">
        <f t="shared" ref="I71:I78" si="2">ROUND(F71*H71,2)</f>
        <v>1207.5</v>
      </c>
    </row>
    <row r="72" spans="1:9" ht="28.8" x14ac:dyDescent="0.3">
      <c r="A72" s="23" t="s">
        <v>192</v>
      </c>
      <c r="B72" s="23">
        <f>VLOOKUP(A72,MEMORIA!$A:$N,2,FALSE)</f>
        <v>93656</v>
      </c>
      <c r="C72" s="23" t="str">
        <f>VLOOKUP(A72,MEMORIA!$A:$N,3,FALSE)</f>
        <v>SINAPI</v>
      </c>
      <c r="D72" s="24" t="str">
        <f>VLOOKUP(A72,MEMORIA!$A:$N,4,FALSE)</f>
        <v>DISJUNTOR MONOPOLAR TIPO DIN, CORRENTE NOMINAL DE 25A - FORNECIMENTO E INSTALAÇÃO. AF_10/2020</v>
      </c>
      <c r="E72" s="23" t="str">
        <f>VLOOKUP(A72,MEMORIA!$A:$N,5,FALSE)</f>
        <v>UN</v>
      </c>
      <c r="F72" s="5">
        <f>VLOOKUP(A72,MEMORIA!$A:$N,14,FALSE)</f>
        <v>1</v>
      </c>
      <c r="G72" s="5">
        <f>VLOOKUP("TOTAL SEM BDI - "&amp;B72,CPU!$A:$J,9,FALSE)</f>
        <v>13.33</v>
      </c>
      <c r="H72" s="5">
        <f>VLOOKUP("TOTAL COM BDI - "&amp;B72,CPU!$A:$J,9,FALSE)</f>
        <v>16.64</v>
      </c>
      <c r="I72" s="5">
        <f t="shared" si="2"/>
        <v>16.64</v>
      </c>
    </row>
    <row r="73" spans="1:9" ht="28.8" x14ac:dyDescent="0.3">
      <c r="A73" s="23" t="s">
        <v>193</v>
      </c>
      <c r="B73" s="23">
        <f>VLOOKUP(A73,MEMORIA!$A:$N,2,FALSE)</f>
        <v>93653</v>
      </c>
      <c r="C73" s="23" t="str">
        <f>VLOOKUP(A73,MEMORIA!$A:$N,3,FALSE)</f>
        <v>SINAPI</v>
      </c>
      <c r="D73" s="24" t="str">
        <f>VLOOKUP(A73,MEMORIA!$A:$N,4,FALSE)</f>
        <v>DISJUNTOR MONOPOLAR TIPO DIN, CORRENTE NOMINAL DE 10A - FORNECIMENTO E INSTALAÇÃO. AF_10/2020</v>
      </c>
      <c r="E73" s="23" t="str">
        <f>VLOOKUP(A73,MEMORIA!$A:$N,5,FALSE)</f>
        <v>UN</v>
      </c>
      <c r="F73" s="5">
        <f>VLOOKUP(A73,MEMORIA!$A:$N,14,FALSE)</f>
        <v>1</v>
      </c>
      <c r="G73" s="5">
        <f>VLOOKUP("TOTAL SEM BDI - "&amp;B73,CPU!$A:$J,9,FALSE)</f>
        <v>11.379999999999999</v>
      </c>
      <c r="H73" s="5">
        <f>VLOOKUP("TOTAL COM BDI - "&amp;B73,CPU!$A:$J,9,FALSE)</f>
        <v>14.209999999999999</v>
      </c>
      <c r="I73" s="5">
        <f t="shared" si="2"/>
        <v>14.21</v>
      </c>
    </row>
    <row r="74" spans="1:9" x14ac:dyDescent="0.3">
      <c r="A74" s="23" t="s">
        <v>194</v>
      </c>
      <c r="B74" s="23" t="str">
        <f>VLOOKUP(A74,MEMORIA!$A:$N,2,FALSE)</f>
        <v>09041/ORSE</v>
      </c>
      <c r="C74" s="23" t="str">
        <f>VLOOKUP(A74,MEMORIA!$A:$N,3,FALSE)</f>
        <v>ORSE</v>
      </c>
      <c r="D74" s="24" t="str">
        <f>VLOOKUP(A74,MEMORIA!$A:$N,4,FALSE)</f>
        <v>DISPOSITIVO DE PROTEÇÃO CONTRA SURTO DE TENSÃO DPS 60KA - 275V</v>
      </c>
      <c r="E74" s="23" t="str">
        <f>VLOOKUP(A74,MEMORIA!$A:$N,5,FALSE)</f>
        <v>UN</v>
      </c>
      <c r="F74" s="5">
        <f>VLOOKUP(A74,MEMORIA!$A:$N,14,FALSE)</f>
        <v>1</v>
      </c>
      <c r="G74" s="5">
        <f>VLOOKUP("TOTAL SEM BDI - "&amp;B74,CPU!$A:$J,9,FALSE)</f>
        <v>88.050000000000011</v>
      </c>
      <c r="H74" s="5">
        <f>VLOOKUP("TOTAL COM BDI - "&amp;B74,CPU!$A:$J,9,FALSE)</f>
        <v>109.92000000000002</v>
      </c>
      <c r="I74" s="5">
        <f t="shared" si="2"/>
        <v>109.92</v>
      </c>
    </row>
    <row r="75" spans="1:9" ht="28.8" x14ac:dyDescent="0.3">
      <c r="A75" s="23" t="s">
        <v>195</v>
      </c>
      <c r="B75" s="23">
        <f>VLOOKUP(A75,MEMORIA!$A:$N,2,FALSE)</f>
        <v>101877</v>
      </c>
      <c r="C75" s="23" t="str">
        <f>VLOOKUP(A75,MEMORIA!$A:$N,3,FALSE)</f>
        <v>SINAPI</v>
      </c>
      <c r="D75" s="24" t="str">
        <f>VLOOKUP(A75,MEMORIA!$A:$N,4,FALSE)</f>
        <v>QUADRO DE DISTRIBUIÇÃO DE ENERGIA EM PVC, DE EMBUTIR, SEM BARRAMENTO, PARA 3 DISJUNTORES - FORNECIMENTO E INSTALAÇÃO. AF_10/2020</v>
      </c>
      <c r="E75" s="23" t="str">
        <f>VLOOKUP(A75,MEMORIA!$A:$N,5,FALSE)</f>
        <v>UN</v>
      </c>
      <c r="F75" s="5">
        <f>VLOOKUP(A75,MEMORIA!$A:$N,14,FALSE)</f>
        <v>1</v>
      </c>
      <c r="G75" s="5">
        <f>VLOOKUP("TOTAL SEM BDI - "&amp;B75,CPU!$A:$J,9,FALSE)</f>
        <v>63.51</v>
      </c>
      <c r="H75" s="5">
        <f>VLOOKUP("TOTAL COM BDI - "&amp;B75,CPU!$A:$J,9,FALSE)</f>
        <v>79.289999999999992</v>
      </c>
      <c r="I75" s="5">
        <f t="shared" si="2"/>
        <v>79.290000000000006</v>
      </c>
    </row>
    <row r="76" spans="1:9" ht="43.2" x14ac:dyDescent="0.3">
      <c r="A76" s="23" t="s">
        <v>196</v>
      </c>
      <c r="B76" s="23" t="str">
        <f>VLOOKUP(A76,MEMORIA!$A:$N,2,FALSE)</f>
        <v>COMPINST02</v>
      </c>
      <c r="C76" s="23" t="str">
        <f>VLOOKUP(A76,MEMORIA!$A:$N,3,FALSE)</f>
        <v>PRÓPRIA</v>
      </c>
      <c r="D76" s="24" t="str">
        <f>VLOOKUP(A76,MEMORIA!$A:$N,4,FALSE)</f>
        <v>PONTO DE ILUMINAÇÃO E TOMADA, RESIDENCIAL, INCLUINDO INTERRUPTOR SIMPLES E TOMADA 10A/250V, CAIXA ELÉTRICA, ELETRODUTO, CABO, RASGO, QUEBRA E CHUMBAMENTO (EXCLUINDO LUMINÁRIA E LÂMPADA)</v>
      </c>
      <c r="E76" s="23" t="str">
        <f>VLOOKUP(A76,MEMORIA!$A:$N,5,FALSE)</f>
        <v>UN</v>
      </c>
      <c r="F76" s="5">
        <f>VLOOKUP(A76,MEMORIA!$A:$N,14,FALSE)</f>
        <v>1</v>
      </c>
      <c r="G76" s="5">
        <f>VLOOKUP("TOTAL SEM BDI - "&amp;B76,CPU!$A:$J,9,FALSE)</f>
        <v>244.91000000000003</v>
      </c>
      <c r="H76" s="5">
        <f>VLOOKUP("TOTAL COM BDI - "&amp;B76,CPU!$A:$J,9,FALSE)</f>
        <v>305.75</v>
      </c>
      <c r="I76" s="5">
        <f t="shared" si="2"/>
        <v>305.75</v>
      </c>
    </row>
    <row r="77" spans="1:9" ht="28.8" x14ac:dyDescent="0.3">
      <c r="A77" s="23" t="s">
        <v>197</v>
      </c>
      <c r="B77" s="23">
        <f>VLOOKUP(A77,MEMORIA!$A:$N,2,FALSE)</f>
        <v>97610</v>
      </c>
      <c r="C77" s="23" t="str">
        <f>VLOOKUP(A77,MEMORIA!$A:$N,3,FALSE)</f>
        <v>SINAPI</v>
      </c>
      <c r="D77" s="24" t="str">
        <f>VLOOKUP(A77,MEMORIA!$A:$N,4,FALSE)</f>
        <v>LÂMPADA COMPACTA DE LED 10 W, BASE E27 - FORNECIMENTO E INSTALAÇÃO. AF_09/2024</v>
      </c>
      <c r="E77" s="23" t="str">
        <f>VLOOKUP(A77,MEMORIA!$A:$N,5,FALSE)</f>
        <v>UN</v>
      </c>
      <c r="F77" s="5">
        <f>VLOOKUP(A77,MEMORIA!$A:$N,14,FALSE)</f>
        <v>1</v>
      </c>
      <c r="G77" s="5">
        <f>VLOOKUP("TOTAL SEM BDI - "&amp;B77,CPU!$A:$J,9,FALSE)</f>
        <v>13.05</v>
      </c>
      <c r="H77" s="5">
        <f>VLOOKUP("TOTAL COM BDI - "&amp;B77,CPU!$A:$J,9,FALSE)</f>
        <v>16.29</v>
      </c>
      <c r="I77" s="5">
        <f t="shared" si="2"/>
        <v>16.29</v>
      </c>
    </row>
    <row r="78" spans="1:9" ht="28.8" x14ac:dyDescent="0.3">
      <c r="A78" s="23" t="s">
        <v>198</v>
      </c>
      <c r="B78" s="23" t="str">
        <f>VLOOKUP(A78,MEMORIA!$A:$N,2,FALSE)</f>
        <v>COMPINST04</v>
      </c>
      <c r="C78" s="23" t="str">
        <f>VLOOKUP(A78,MEMORIA!$A:$N,3,FALSE)</f>
        <v>PRÓPRIA</v>
      </c>
      <c r="D78" s="24" t="str">
        <f>VLOOKUP(A78,MEMORIA!$A:$N,4,FALSE)</f>
        <v>LUMINÁRIA ARANDELA TIPO MEIA-LUA COM VIDRO FOSCO *30 X 15* CM, PARA 1 LÂMPADA (SINAPI ADAPTADO 97605)</v>
      </c>
      <c r="E78" s="23" t="str">
        <f>VLOOKUP(A78,MEMORIA!$A:$N,5,FALSE)</f>
        <v>UN</v>
      </c>
      <c r="F78" s="5">
        <f>VLOOKUP(A78,MEMORIA!$A:$N,14,FALSE)</f>
        <v>1</v>
      </c>
      <c r="G78" s="5">
        <f>VLOOKUP("TOTAL SEM BDI - "&amp;B78,CPU!$A:$J,9,FALSE)</f>
        <v>83.039999999999992</v>
      </c>
      <c r="H78" s="5">
        <f>VLOOKUP("TOTAL COM BDI - "&amp;B78,CPU!$A:$J,9,FALSE)</f>
        <v>103.66999999999999</v>
      </c>
      <c r="I78" s="5">
        <f t="shared" si="2"/>
        <v>103.67</v>
      </c>
    </row>
    <row r="79" spans="1:9" x14ac:dyDescent="0.3">
      <c r="A79" s="12" t="s">
        <v>38</v>
      </c>
      <c r="B79" s="46" t="str">
        <f>VLOOKUP(A79,MEMORIA!$A:$N,2,FALSE)</f>
        <v>ADUÇÃO</v>
      </c>
      <c r="C79" s="47"/>
      <c r="D79" s="47"/>
      <c r="E79" s="47"/>
      <c r="F79" s="47"/>
      <c r="G79" s="47"/>
      <c r="H79" s="48"/>
      <c r="I79" s="13">
        <f>SUM($I$80,$I$83,$I$85,)</f>
        <v>1351.72</v>
      </c>
    </row>
    <row r="80" spans="1:9" x14ac:dyDescent="0.3">
      <c r="A80" s="15" t="s">
        <v>39</v>
      </c>
      <c r="B80" s="49" t="str">
        <f>VLOOKUP(A80,MEMORIA!$A:$N,2,FALSE)</f>
        <v>MOVIMENTO DE TERRA</v>
      </c>
      <c r="C80" s="50"/>
      <c r="D80" s="50"/>
      <c r="E80" s="50"/>
      <c r="F80" s="50"/>
      <c r="G80" s="50"/>
      <c r="H80" s="51"/>
      <c r="I80" s="16">
        <f>SUM($I$81:$I$82)</f>
        <v>423.02</v>
      </c>
    </row>
    <row r="81" spans="1:9" x14ac:dyDescent="0.3">
      <c r="A81" s="23" t="s">
        <v>199</v>
      </c>
      <c r="B81" s="23">
        <f>VLOOKUP(A81,MEMORIA!$A:$N,2,FALSE)</f>
        <v>93358</v>
      </c>
      <c r="C81" s="23" t="str">
        <f>VLOOKUP(A81,MEMORIA!$A:$N,3,FALSE)</f>
        <v>SINAPI</v>
      </c>
      <c r="D81" s="24" t="str">
        <f>VLOOKUP(A81,MEMORIA!$A:$N,4,FALSE)</f>
        <v>ESCAVAÇÃO MANUAL DE VALA. AF_09/2024</v>
      </c>
      <c r="E81" s="23" t="str">
        <f>VLOOKUP(A81,MEMORIA!$A:$N,5,FALSE)</f>
        <v>M3</v>
      </c>
      <c r="F81" s="5">
        <f>VLOOKUP(A81,MEMORIA!$A:$N,14,FALSE)</f>
        <v>2.76</v>
      </c>
      <c r="G81" s="5">
        <f>VLOOKUP("TOTAL SEM BDI - "&amp;B81,CPU!$A:$J,9,FALSE)</f>
        <v>85.87</v>
      </c>
      <c r="H81" s="5">
        <f>VLOOKUP("TOTAL COM BDI - "&amp;B81,CPU!$A:$J,9,FALSE)</f>
        <v>107.2</v>
      </c>
      <c r="I81" s="5">
        <f>ROUND(F81*H81,2)</f>
        <v>295.87</v>
      </c>
    </row>
    <row r="82" spans="1:9" x14ac:dyDescent="0.3">
      <c r="A82" s="23" t="s">
        <v>200</v>
      </c>
      <c r="B82" s="23" t="str">
        <f>VLOOKUP(A82,MEMORIA!$A:$N,2,FALSE)</f>
        <v>COMPOS28</v>
      </c>
      <c r="C82" s="23" t="str">
        <f>VLOOKUP(A82,MEMORIA!$A:$N,3,FALSE)</f>
        <v>PRÓPRIA</v>
      </c>
      <c r="D82" s="24" t="str">
        <f>VLOOKUP(A82,MEMORIA!$A:$N,4,FALSE)</f>
        <v>REATERRO DE VALA COM COMPACTAÇÃO MANUAL</v>
      </c>
      <c r="E82" s="23" t="str">
        <f>VLOOKUP(A82,MEMORIA!$A:$N,5,FALSE)</f>
        <v>M³</v>
      </c>
      <c r="F82" s="5">
        <f>VLOOKUP(A82,MEMORIA!$A:$N,14,FALSE)</f>
        <v>2.76</v>
      </c>
      <c r="G82" s="5">
        <f>VLOOKUP("TOTAL SEM BDI - "&amp;B82,CPU!$A:$J,9,FALSE)</f>
        <v>36.9</v>
      </c>
      <c r="H82" s="5">
        <f>VLOOKUP("TOTAL COM BDI - "&amp;B82,CPU!$A:$J,9,FALSE)</f>
        <v>46.07</v>
      </c>
      <c r="I82" s="5">
        <f>ROUND(F82*H82,2)</f>
        <v>127.15</v>
      </c>
    </row>
    <row r="83" spans="1:9" x14ac:dyDescent="0.3">
      <c r="A83" s="15" t="s">
        <v>40</v>
      </c>
      <c r="B83" s="49" t="str">
        <f>VLOOKUP(A83,MEMORIA!$A:$N,2,FALSE)</f>
        <v>INFRAESTRUTURA</v>
      </c>
      <c r="C83" s="50"/>
      <c r="D83" s="50"/>
      <c r="E83" s="50"/>
      <c r="F83" s="50"/>
      <c r="G83" s="50"/>
      <c r="H83" s="51"/>
      <c r="I83" s="16">
        <f>SUM($I$84:$I$84)</f>
        <v>265.19</v>
      </c>
    </row>
    <row r="84" spans="1:9" x14ac:dyDescent="0.3">
      <c r="A84" s="23" t="s">
        <v>201</v>
      </c>
      <c r="B84" s="23" t="str">
        <f>VLOOKUP(A84,MEMORIA!$A:$N,2,FALSE)</f>
        <v>C3403</v>
      </c>
      <c r="C84" s="23" t="str">
        <f>VLOOKUP(A84,MEMORIA!$A:$N,3,FALSE)</f>
        <v>SEINFRA</v>
      </c>
      <c r="D84" s="24" t="str">
        <f>VLOOKUP(A84,MEMORIA!$A:$N,4,FALSE)</f>
        <v>BLOCO DE ANCORAGEM EM CONCRETO SIMPLES FCK=10MPa</v>
      </c>
      <c r="E84" s="23" t="str">
        <f>VLOOKUP(A84,MEMORIA!$A:$N,5,FALSE)</f>
        <v>M3</v>
      </c>
      <c r="F84" s="5">
        <f>VLOOKUP(A84,MEMORIA!$A:$N,14,FALSE)</f>
        <v>0.26</v>
      </c>
      <c r="G84" s="5">
        <f>VLOOKUP("TOTAL SEM BDI - "&amp;B84,CPU!$A:$J,9,FALSE)</f>
        <v>817.03</v>
      </c>
      <c r="H84" s="5">
        <f>VLOOKUP("TOTAL COM BDI - "&amp;B84,CPU!$A:$J,9,FALSE)</f>
        <v>1019.98</v>
      </c>
      <c r="I84" s="5">
        <f>ROUND(F84*H84,2)</f>
        <v>265.19</v>
      </c>
    </row>
    <row r="85" spans="1:9" x14ac:dyDescent="0.3">
      <c r="A85" s="15" t="s">
        <v>41</v>
      </c>
      <c r="B85" s="49" t="str">
        <f>VLOOKUP(A85,MEMORIA!$A:$N,2,FALSE)</f>
        <v>INSTALAÇÕES HIDRÁULICAS</v>
      </c>
      <c r="C85" s="50"/>
      <c r="D85" s="50"/>
      <c r="E85" s="50"/>
      <c r="F85" s="50"/>
      <c r="G85" s="50"/>
      <c r="H85" s="51"/>
      <c r="I85" s="16">
        <f>SUM($I$86:$I$87)</f>
        <v>663.51</v>
      </c>
    </row>
    <row r="86" spans="1:9" ht="28.8" x14ac:dyDescent="0.3">
      <c r="A86" s="23" t="s">
        <v>202</v>
      </c>
      <c r="B86" s="23" t="str">
        <f>VLOOKUP(A86,MEMORIA!$A:$N,2,FALSE)</f>
        <v>COMPOS27</v>
      </c>
      <c r="C86" s="23" t="str">
        <f>VLOOKUP(A86,MEMORIA!$A:$N,3,FALSE)</f>
        <v>PRÓPRIA</v>
      </c>
      <c r="D86" s="24" t="str">
        <f>VLOOKUP(A86,MEMORIA!$A:$N,4,FALSE)</f>
        <v>AQUISIÇÃO E ASSENTAMENTO DE TUBO RÍGIDO PVC, CLASSE 12, DN 50 MM, INCLUSO CONEXÕES</v>
      </c>
      <c r="E86" s="23" t="str">
        <f>VLOOKUP(A86,MEMORIA!$A:$N,5,FALSE)</f>
        <v>M</v>
      </c>
      <c r="F86" s="5">
        <f>VLOOKUP(A86,MEMORIA!$A:$N,14,FALSE)</f>
        <v>16</v>
      </c>
      <c r="G86" s="5">
        <f>VLOOKUP("TOTAL SEM BDI - "&amp;B86,CPU!$A:$J,9,FALSE)</f>
        <v>25.79</v>
      </c>
      <c r="H86" s="5">
        <f>VLOOKUP("TOTAL COM BDI - "&amp;B86,CPU!$A:$J,9,FALSE)</f>
        <v>32.200000000000003</v>
      </c>
      <c r="I86" s="5">
        <f>ROUND(F86*H86,2)</f>
        <v>515.20000000000005</v>
      </c>
    </row>
    <row r="87" spans="1:9" ht="28.8" x14ac:dyDescent="0.3">
      <c r="A87" s="23" t="s">
        <v>203</v>
      </c>
      <c r="B87" s="23">
        <f>VLOOKUP(A87,MEMORIA!$A:$N,2,FALSE)</f>
        <v>94497</v>
      </c>
      <c r="C87" s="23" t="str">
        <f>VLOOKUP(A87,MEMORIA!$A:$N,3,FALSE)</f>
        <v>SINAPI</v>
      </c>
      <c r="D87" s="24" t="str">
        <f>VLOOKUP(A87,MEMORIA!$A:$N,4,FALSE)</f>
        <v>REGISTRO DE GAVETA BRUTO, LATÃO, ROSCÁVEL, 1 1/2" - FORNECIMENTO E INSTALAÇÃO. AF_08/2021</v>
      </c>
      <c r="E87" s="23" t="str">
        <f>VLOOKUP(A87,MEMORIA!$A:$N,5,FALSE)</f>
        <v>UN</v>
      </c>
      <c r="F87" s="5">
        <f>VLOOKUP(A87,MEMORIA!$A:$N,14,FALSE)</f>
        <v>1</v>
      </c>
      <c r="G87" s="5">
        <f>VLOOKUP("TOTAL SEM BDI - "&amp;B87,CPU!$A:$J,9,FALSE)</f>
        <v>118.80000000000001</v>
      </c>
      <c r="H87" s="5">
        <f>VLOOKUP("TOTAL COM BDI - "&amp;B87,CPU!$A:$J,9,FALSE)</f>
        <v>148.31</v>
      </c>
      <c r="I87" s="5">
        <f>ROUND(F87*H87,2)</f>
        <v>148.31</v>
      </c>
    </row>
    <row r="88" spans="1:9" x14ac:dyDescent="0.3">
      <c r="A88" s="12" t="s">
        <v>42</v>
      </c>
      <c r="B88" s="46" t="str">
        <f>VLOOKUP(A88,MEMORIA!$A:$N,2,FALSE)</f>
        <v>RESERVAÇÃO</v>
      </c>
      <c r="C88" s="47"/>
      <c r="D88" s="47"/>
      <c r="E88" s="47"/>
      <c r="F88" s="47"/>
      <c r="G88" s="47"/>
      <c r="H88" s="48"/>
      <c r="I88" s="13">
        <f>SUM($I$89:$I$89)</f>
        <v>20347.62</v>
      </c>
    </row>
    <row r="89" spans="1:9" ht="57.6" x14ac:dyDescent="0.3">
      <c r="A89" s="23" t="s">
        <v>204</v>
      </c>
      <c r="B89" s="23" t="str">
        <f>VLOOKUP(A89,MEMORIA!$A:$N,2,FALSE)</f>
        <v>COMPOS32</v>
      </c>
      <c r="C89" s="23" t="str">
        <f>VLOOKUP(A89,MEMORIA!$A:$N,3,FALSE)</f>
        <v>PRÓPRIA</v>
      </c>
      <c r="D89" s="24" t="str">
        <f>VLOOKUP(A89,MEMORIA!$A:$N,4,FALSE)</f>
        <v>RESERVATÓRIO ELEVADO C/ CAIXA D'AGUA EM FIBRA DE VIDRO DE 10.000 LITROS APOIADO EM ESTRUTURA PRÉ-MOLDADA EM CONCRETO, COMPOSTA DE CAPITEL P/APOIO DA CAIXA E PILAR C/ALTURA ÚTIL = 7,00M, INCLUSO FRETE E MONTAGEM NO LOCAL, EXCETO INST. HIDRÁULICA</v>
      </c>
      <c r="E89" s="23" t="str">
        <f>VLOOKUP(A89,MEMORIA!$A:$N,5,FALSE)</f>
        <v>UND</v>
      </c>
      <c r="F89" s="5">
        <f>VLOOKUP(A89,MEMORIA!$A:$N,14,FALSE)</f>
        <v>1</v>
      </c>
      <c r="G89" s="5">
        <f>VLOOKUP("TOTAL SEM BDI - "&amp;B89,CPU!$A:$J,9,FALSE)</f>
        <v>16298.96</v>
      </c>
      <c r="H89" s="5">
        <f>VLOOKUP("TOTAL COM BDI - "&amp;B89,CPU!$A:$J,9,FALSE)</f>
        <v>20347.62</v>
      </c>
      <c r="I89" s="5">
        <f>ROUND(F89*H89,2)</f>
        <v>20347.62</v>
      </c>
    </row>
    <row r="90" spans="1:9" x14ac:dyDescent="0.3">
      <c r="A90" s="12" t="s">
        <v>43</v>
      </c>
      <c r="B90" s="46" t="str">
        <f>VLOOKUP(A90,MEMORIA!$A:$N,2,FALSE)</f>
        <v>DISTRIBUIÇÃO (CHAFARIZ)</v>
      </c>
      <c r="C90" s="47"/>
      <c r="D90" s="47"/>
      <c r="E90" s="47"/>
      <c r="F90" s="47"/>
      <c r="G90" s="47"/>
      <c r="H90" s="48"/>
      <c r="I90" s="13">
        <f>SUM($I$91:$I$102)</f>
        <v>2831.9999999999995</v>
      </c>
    </row>
    <row r="91" spans="1:9" ht="28.8" x14ac:dyDescent="0.3">
      <c r="A91" s="23" t="s">
        <v>205</v>
      </c>
      <c r="B91" s="23" t="str">
        <f>VLOOKUP(A91,MEMORIA!$A:$N,2,FALSE)</f>
        <v>COMPOS27</v>
      </c>
      <c r="C91" s="23" t="str">
        <f>VLOOKUP(A91,MEMORIA!$A:$N,3,FALSE)</f>
        <v>PRÓPRIA</v>
      </c>
      <c r="D91" s="24" t="str">
        <f>VLOOKUP(A91,MEMORIA!$A:$N,4,FALSE)</f>
        <v>AQUISIÇÃO E ASSENTAMENTO DE TUBO RÍGIDO PVC, CLASSE 12, DN 50 MM, INCLUSO CONEXÕES</v>
      </c>
      <c r="E91" s="23" t="str">
        <f>VLOOKUP(A91,MEMORIA!$A:$N,5,FALSE)</f>
        <v>M</v>
      </c>
      <c r="F91" s="5">
        <f>VLOOKUP(A91,MEMORIA!$A:$N,14,FALSE)</f>
        <v>18</v>
      </c>
      <c r="G91" s="5">
        <f>VLOOKUP("TOTAL SEM BDI - "&amp;B91,CPU!$A:$J,9,FALSE)</f>
        <v>25.79</v>
      </c>
      <c r="H91" s="5">
        <f>VLOOKUP("TOTAL COM BDI - "&amp;B91,CPU!$A:$J,9,FALSE)</f>
        <v>32.200000000000003</v>
      </c>
      <c r="I91" s="5">
        <f t="shared" ref="I91:I102" si="3">ROUND(F91*H91,2)</f>
        <v>579.6</v>
      </c>
    </row>
    <row r="92" spans="1:9" ht="28.8" x14ac:dyDescent="0.3">
      <c r="A92" s="23" t="s">
        <v>206</v>
      </c>
      <c r="B92" s="23" t="str">
        <f>VLOOKUP(A92,MEMORIA!$A:$N,2,FALSE)</f>
        <v>06457/ORSE</v>
      </c>
      <c r="C92" s="23" t="str">
        <f>VLOOKUP(A92,MEMORIA!$A:$N,3,FALSE)</f>
        <v>ORSE</v>
      </c>
      <c r="D92" s="24" t="str">
        <f>VLOOKUP(A92,MEMORIA!$A:$N,4,FALSE)</f>
        <v>CONCRETO ARMADO FCK=15MPA FABRICADO NA OBRA, ADENSADO E LANÇADO, PARA USO GERAL, COM FORMAS PLANAS EM COMPENSADO RESINADO 12MM (05 USOS)</v>
      </c>
      <c r="E92" s="23" t="str">
        <f>VLOOKUP(A92,MEMORIA!$A:$N,5,FALSE)</f>
        <v>M3</v>
      </c>
      <c r="F92" s="5">
        <f>VLOOKUP(A92,MEMORIA!$A:$N,14,FALSE)</f>
        <v>0.26</v>
      </c>
      <c r="G92" s="5">
        <f>VLOOKUP("TOTAL SEM BDI - "&amp;B92,CPU!$A:$J,9,FALSE)</f>
        <v>2617.91</v>
      </c>
      <c r="H92" s="5">
        <f>VLOOKUP("TOTAL COM BDI - "&amp;B92,CPU!$A:$J,9,FALSE)</f>
        <v>3268.2</v>
      </c>
      <c r="I92" s="5">
        <f t="shared" si="3"/>
        <v>849.73</v>
      </c>
    </row>
    <row r="93" spans="1:9" ht="28.8" x14ac:dyDescent="0.3">
      <c r="A93" s="23" t="s">
        <v>207</v>
      </c>
      <c r="B93" s="23">
        <f>VLOOKUP(A93,MEMORIA!$A:$N,2,FALSE)</f>
        <v>86906</v>
      </c>
      <c r="C93" s="23" t="str">
        <f>VLOOKUP(A93,MEMORIA!$A:$N,3,FALSE)</f>
        <v>SINAPI</v>
      </c>
      <c r="D93" s="24" t="str">
        <f>VLOOKUP(A93,MEMORIA!$A:$N,4,FALSE)</f>
        <v>TORNEIRA CROMADA DE MESA, 1/2" OU 3/4", PARA LAVATÓRIO, PADRÃO POPULAR - FORNECIMENTO E INSTALAÇÃO. AF_01/2020</v>
      </c>
      <c r="E93" s="23" t="str">
        <f>VLOOKUP(A93,MEMORIA!$A:$N,5,FALSE)</f>
        <v>UN</v>
      </c>
      <c r="F93" s="5">
        <f>VLOOKUP(A93,MEMORIA!$A:$N,14,FALSE)</f>
        <v>4</v>
      </c>
      <c r="G93" s="5">
        <f>VLOOKUP("TOTAL SEM BDI - "&amp;B93,CPU!$A:$J,9,FALSE)</f>
        <v>81.239999999999995</v>
      </c>
      <c r="H93" s="5">
        <f>VLOOKUP("TOTAL COM BDI - "&amp;B93,CPU!$A:$J,9,FALSE)</f>
        <v>101.41999999999999</v>
      </c>
      <c r="I93" s="5">
        <f t="shared" si="3"/>
        <v>405.68</v>
      </c>
    </row>
    <row r="94" spans="1:9" ht="43.2" x14ac:dyDescent="0.3">
      <c r="A94" s="23" t="s">
        <v>208</v>
      </c>
      <c r="B94" s="23">
        <f>VLOOKUP(A94,MEMORIA!$A:$N,2,FALSE)</f>
        <v>92920</v>
      </c>
      <c r="C94" s="23" t="str">
        <f>VLOOKUP(A94,MEMORIA!$A:$N,3,FALSE)</f>
        <v>SINAPI</v>
      </c>
      <c r="D94" s="24" t="str">
        <f>VLOOKUP(A94,MEMORIA!$A:$N,4,FALSE)</f>
        <v>LUVA DE REDUÇÃO, EM FERRO GALVANIZADO, 1" X 3/4", CONEXÃO ROSQUEADA, INSTALADO EM REDE DE ALIMENTAÇÃO PARA HIDRANTE - FORNECIMENTO E INSTALAÇÃO. AF_10/2020</v>
      </c>
      <c r="E94" s="23" t="str">
        <f>VLOOKUP(A94,MEMORIA!$A:$N,5,FALSE)</f>
        <v>UN</v>
      </c>
      <c r="F94" s="5">
        <f>VLOOKUP(A94,MEMORIA!$A:$N,14,FALSE)</f>
        <v>4</v>
      </c>
      <c r="G94" s="5">
        <f>VLOOKUP("TOTAL SEM BDI - "&amp;B94,CPU!$A:$J,9,FALSE)</f>
        <v>35.64</v>
      </c>
      <c r="H94" s="5">
        <f>VLOOKUP("TOTAL COM BDI - "&amp;B94,CPU!$A:$J,9,FALSE)</f>
        <v>44.49</v>
      </c>
      <c r="I94" s="5">
        <f t="shared" si="3"/>
        <v>177.96</v>
      </c>
    </row>
    <row r="95" spans="1:9" x14ac:dyDescent="0.3">
      <c r="A95" s="23" t="s">
        <v>209</v>
      </c>
      <c r="B95" s="23" t="str">
        <f>VLOOKUP(A95,MEMORIA!$A:$N,2,FALSE)</f>
        <v>COMPCH08</v>
      </c>
      <c r="C95" s="23" t="str">
        <f>VLOOKUP(A95,MEMORIA!$A:$N,3,FALSE)</f>
        <v>PRÓPRIA</v>
      </c>
      <c r="D95" s="24" t="str">
        <f>VLOOKUP(A95,MEMORIA!$A:$N,4,FALSE)</f>
        <v>CRUZETA DE FERRO GALVANIZADO, COM ROSCA BSP, DE 1"</v>
      </c>
      <c r="E95" s="23" t="str">
        <f>VLOOKUP(A95,MEMORIA!$A:$N,5,FALSE)</f>
        <v>UN</v>
      </c>
      <c r="F95" s="5">
        <f>VLOOKUP(A95,MEMORIA!$A:$N,14,FALSE)</f>
        <v>1</v>
      </c>
      <c r="G95" s="5">
        <f>VLOOKUP("TOTAL SEM BDI - "&amp;B95,CPU!$A:$J,9,FALSE)</f>
        <v>85.84</v>
      </c>
      <c r="H95" s="5">
        <f>VLOOKUP("TOTAL COM BDI - "&amp;B95,CPU!$A:$J,9,FALSE)</f>
        <v>107.16</v>
      </c>
      <c r="I95" s="5">
        <f t="shared" si="3"/>
        <v>107.16</v>
      </c>
    </row>
    <row r="96" spans="1:9" ht="28.8" x14ac:dyDescent="0.3">
      <c r="A96" s="23" t="s">
        <v>210</v>
      </c>
      <c r="B96" s="23" t="str">
        <f>VLOOKUP(A96,MEMORIA!$A:$N,2,FALSE)</f>
        <v>COMPCH01</v>
      </c>
      <c r="C96" s="23" t="str">
        <f>VLOOKUP(A96,MEMORIA!$A:$N,3,FALSE)</f>
        <v>PRÓPRIA</v>
      </c>
      <c r="D96" s="24" t="str">
        <f>VLOOKUP(A96,MEMORIA!$A:$N,4,FALSE)</f>
        <v>TÊ, EM FERRO GALVANIZADO, 1", CONEXÃO ROSQUEADA, INSTALADO EM PRUMADAS - FORNECIMENTO E INSTALAÇÃO.</v>
      </c>
      <c r="E96" s="23" t="str">
        <f>VLOOKUP(A96,MEMORIA!$A:$N,5,FALSE)</f>
        <v>UN</v>
      </c>
      <c r="F96" s="5">
        <f>VLOOKUP(A96,MEMORIA!$A:$N,14,FALSE)</f>
        <v>1</v>
      </c>
      <c r="G96" s="5">
        <f>VLOOKUP("TOTAL SEM BDI - "&amp;B96,CPU!$A:$J,9,FALSE)</f>
        <v>69.28</v>
      </c>
      <c r="H96" s="5">
        <f>VLOOKUP("TOTAL COM BDI - "&amp;B96,CPU!$A:$J,9,FALSE)</f>
        <v>86.490000000000009</v>
      </c>
      <c r="I96" s="5">
        <f t="shared" si="3"/>
        <v>86.49</v>
      </c>
    </row>
    <row r="97" spans="1:9" x14ac:dyDescent="0.3">
      <c r="A97" s="23" t="s">
        <v>211</v>
      </c>
      <c r="B97" s="23" t="str">
        <f>VLOOKUP(A97,MEMORIA!$A:$N,2,FALSE)</f>
        <v>COMPCH02</v>
      </c>
      <c r="C97" s="23" t="str">
        <f>VLOOKUP(A97,MEMORIA!$A:$N,3,FALSE)</f>
        <v>PRÓPRIA</v>
      </c>
      <c r="D97" s="24" t="str">
        <f>VLOOKUP(A97,MEMORIA!$A:$N,4,FALSE)</f>
        <v>LUVA DE FERRO GALVANIZADO, COM ROSCA BSP, DE 1"- FORNECIMENTO E INSTALAÇÃO</v>
      </c>
      <c r="E97" s="23" t="str">
        <f>VLOOKUP(A97,MEMORIA!$A:$N,5,FALSE)</f>
        <v>UN</v>
      </c>
      <c r="F97" s="5">
        <f>VLOOKUP(A97,MEMORIA!$A:$N,14,FALSE)</f>
        <v>1</v>
      </c>
      <c r="G97" s="5">
        <f>VLOOKUP("TOTAL SEM BDI - "&amp;B97,CPU!$A:$J,9,FALSE)</f>
        <v>21.18</v>
      </c>
      <c r="H97" s="5">
        <f>VLOOKUP("TOTAL COM BDI - "&amp;B97,CPU!$A:$J,9,FALSE)</f>
        <v>26.439999999999998</v>
      </c>
      <c r="I97" s="5">
        <f t="shared" si="3"/>
        <v>26.44</v>
      </c>
    </row>
    <row r="98" spans="1:9" ht="28.8" x14ac:dyDescent="0.3">
      <c r="A98" s="23" t="s">
        <v>212</v>
      </c>
      <c r="B98" s="23" t="str">
        <f>VLOOKUP(A98,MEMORIA!$A:$N,2,FALSE)</f>
        <v>COMPCH03</v>
      </c>
      <c r="C98" s="23" t="str">
        <f>VLOOKUP(A98,MEMORIA!$A:$N,3,FALSE)</f>
        <v>PRÓPRIA</v>
      </c>
      <c r="D98" s="24" t="str">
        <f>VLOOKUP(A98,MEMORIA!$A:$N,4,FALSE)</f>
        <v>CURVA 90 GRAUS DE FERRO GALVANIZADO, COM ROSCA BSP FEMEA, DE 1"- FORNECIMENTO E INSTALAÇÃO</v>
      </c>
      <c r="E98" s="23" t="str">
        <f>VLOOKUP(A98,MEMORIA!$A:$N,5,FALSE)</f>
        <v>UN</v>
      </c>
      <c r="F98" s="5">
        <f>VLOOKUP(A98,MEMORIA!$A:$N,14,FALSE)</f>
        <v>1</v>
      </c>
      <c r="G98" s="5">
        <f>VLOOKUP("TOTAL SEM BDI - "&amp;B98,CPU!$A:$J,9,FALSE)</f>
        <v>55.2</v>
      </c>
      <c r="H98" s="5">
        <f>VLOOKUP("TOTAL COM BDI - "&amp;B98,CPU!$A:$J,9,FALSE)</f>
        <v>68.91</v>
      </c>
      <c r="I98" s="5">
        <f t="shared" si="3"/>
        <v>68.91</v>
      </c>
    </row>
    <row r="99" spans="1:9" ht="28.8" x14ac:dyDescent="0.3">
      <c r="A99" s="23" t="s">
        <v>213</v>
      </c>
      <c r="B99" s="23" t="str">
        <f>VLOOKUP(A99,MEMORIA!$A:$N,2,FALSE)</f>
        <v>COMPCH04</v>
      </c>
      <c r="C99" s="23" t="str">
        <f>VLOOKUP(A99,MEMORIA!$A:$N,3,FALSE)</f>
        <v>PRÓPRIA</v>
      </c>
      <c r="D99" s="24" t="str">
        <f>VLOOKUP(A99,MEMORIA!$A:$N,4,FALSE)</f>
        <v>TUBO DE AÇO GALVANIZADO COM COSTURA 1" (25MM), INCLUSIVE CONEXOES - FORNECIMENTO E INSTALAÇÃO</v>
      </c>
      <c r="E99" s="23" t="str">
        <f>VLOOKUP(A99,MEMORIA!$A:$N,5,FALSE)</f>
        <v>M</v>
      </c>
      <c r="F99" s="5">
        <f>VLOOKUP(A99,MEMORIA!$A:$N,14,FALSE)</f>
        <v>3</v>
      </c>
      <c r="G99" s="5">
        <f>VLOOKUP("TOTAL SEM BDI - "&amp;B99,CPU!$A:$J,9,FALSE)</f>
        <v>46.050000000000004</v>
      </c>
      <c r="H99" s="5">
        <f>VLOOKUP("TOTAL COM BDI - "&amp;B99,CPU!$A:$J,9,FALSE)</f>
        <v>57.49</v>
      </c>
      <c r="I99" s="5">
        <f t="shared" si="3"/>
        <v>172.47</v>
      </c>
    </row>
    <row r="100" spans="1:9" ht="28.8" x14ac:dyDescent="0.3">
      <c r="A100" s="23" t="s">
        <v>214</v>
      </c>
      <c r="B100" s="23" t="str">
        <f>VLOOKUP(A100,MEMORIA!$A:$N,2,FALSE)</f>
        <v>COMPCH05</v>
      </c>
      <c r="C100" s="23" t="str">
        <f>VLOOKUP(A100,MEMORIA!$A:$N,3,FALSE)</f>
        <v>PRÓPRIA</v>
      </c>
      <c r="D100" s="24" t="str">
        <f>VLOOKUP(A100,MEMORIA!$A:$N,4,FALSE)</f>
        <v>BUCHA DE REDUCAO DE FERRO GALVANIZADO, COM ROSCA BSP, DE 1 1/2" X 1"- FORNECIMENTO E INSTALAÇÃO</v>
      </c>
      <c r="E100" s="23" t="str">
        <f>VLOOKUP(A100,MEMORIA!$A:$N,5,FALSE)</f>
        <v>UN</v>
      </c>
      <c r="F100" s="5">
        <f>VLOOKUP(A100,MEMORIA!$A:$N,14,FALSE)</f>
        <v>1</v>
      </c>
      <c r="G100" s="5">
        <f>VLOOKUP("TOTAL SEM BDI - "&amp;B100,CPU!$A:$J,9,FALSE)</f>
        <v>37.659999999999997</v>
      </c>
      <c r="H100" s="5">
        <f>VLOOKUP("TOTAL COM BDI - "&amp;B100,CPU!$A:$J,9,FALSE)</f>
        <v>47.01</v>
      </c>
      <c r="I100" s="5">
        <f t="shared" si="3"/>
        <v>47.01</v>
      </c>
    </row>
    <row r="101" spans="1:9" ht="28.8" x14ac:dyDescent="0.3">
      <c r="A101" s="23" t="s">
        <v>215</v>
      </c>
      <c r="B101" s="23">
        <f>VLOOKUP(A101,MEMORIA!$A:$N,2,FALSE)</f>
        <v>94497</v>
      </c>
      <c r="C101" s="23" t="str">
        <f>VLOOKUP(A101,MEMORIA!$A:$N,3,FALSE)</f>
        <v>SINAPI</v>
      </c>
      <c r="D101" s="24" t="str">
        <f>VLOOKUP(A101,MEMORIA!$A:$N,4,FALSE)</f>
        <v>REGISTRO DE GAVETA BRUTO, LATÃO, ROSCÁVEL, 1 1/2" - FORNECIMENTO E INSTALAÇÃO. AF_08/2021</v>
      </c>
      <c r="E101" s="23" t="str">
        <f>VLOOKUP(A101,MEMORIA!$A:$N,5,FALSE)</f>
        <v>UN</v>
      </c>
      <c r="F101" s="5">
        <f>VLOOKUP(A101,MEMORIA!$A:$N,14,FALSE)</f>
        <v>2</v>
      </c>
      <c r="G101" s="5">
        <f>VLOOKUP("TOTAL SEM BDI - "&amp;B101,CPU!$A:$J,9,FALSE)</f>
        <v>118.80000000000001</v>
      </c>
      <c r="H101" s="5">
        <f>VLOOKUP("TOTAL COM BDI - "&amp;B101,CPU!$A:$J,9,FALSE)</f>
        <v>148.31</v>
      </c>
      <c r="I101" s="5">
        <f t="shared" si="3"/>
        <v>296.62</v>
      </c>
    </row>
    <row r="102" spans="1:9" ht="28.8" x14ac:dyDescent="0.3">
      <c r="A102" s="23" t="s">
        <v>216</v>
      </c>
      <c r="B102" s="23" t="str">
        <f>VLOOKUP(A102,MEMORIA!$A:$N,2,FALSE)</f>
        <v>COMPCH07</v>
      </c>
      <c r="C102" s="23" t="str">
        <f>VLOOKUP(A102,MEMORIA!$A:$N,3,FALSE)</f>
        <v>PRÓPRIA</v>
      </c>
      <c r="D102" s="24" t="str">
        <f>VLOOKUP(A102,MEMORIA!$A:$N,4,FALSE)</f>
        <v>ADAPTADOR CURTO COM BOLSA E ROSCA PARA REGISTRO, PVC, SOLDÁVEL, DN 40MM X 1.1/2, INSTALADO EM PRUMADA DE ÁGUA - FORNECIMENTO E INSTALAÇÃO</v>
      </c>
      <c r="E102" s="23" t="str">
        <f>VLOOKUP(A102,MEMORIA!$A:$N,5,FALSE)</f>
        <v>UN</v>
      </c>
      <c r="F102" s="5">
        <f>VLOOKUP(A102,MEMORIA!$A:$N,14,FALSE)</f>
        <v>1</v>
      </c>
      <c r="G102" s="5">
        <f>VLOOKUP("TOTAL SEM BDI - "&amp;B102,CPU!$A:$J,9,FALSE)</f>
        <v>11.16</v>
      </c>
      <c r="H102" s="5">
        <f>VLOOKUP("TOTAL COM BDI - "&amp;B102,CPU!$A:$J,9,FALSE)</f>
        <v>13.93</v>
      </c>
      <c r="I102" s="5">
        <f t="shared" si="3"/>
        <v>13.93</v>
      </c>
    </row>
    <row r="103" spans="1:9" x14ac:dyDescent="0.3">
      <c r="A103" s="9">
        <v>3</v>
      </c>
      <c r="B103" s="52" t="str">
        <f>VLOOKUP(A103,MEMORIA!$A:$N,2,FALSE)</f>
        <v>COMUNIDADE JACAÚNA</v>
      </c>
      <c r="C103" s="53"/>
      <c r="D103" s="53"/>
      <c r="E103" s="53"/>
      <c r="F103" s="53"/>
      <c r="G103" s="53"/>
      <c r="H103" s="54"/>
      <c r="I103" s="10">
        <f>SUM($I$104,$I$122,$I$129,$I$163,$I$172,$I$181,$I$183,)</f>
        <v>136044.70000000001</v>
      </c>
    </row>
    <row r="104" spans="1:9" x14ac:dyDescent="0.3">
      <c r="A104" s="12" t="s">
        <v>44</v>
      </c>
      <c r="B104" s="46" t="str">
        <f>VLOOKUP(A104,MEMORIA!$A:$N,2,FALSE)</f>
        <v>PERFURAÇÃO DE POÇO TUBULAR</v>
      </c>
      <c r="C104" s="47"/>
      <c r="D104" s="47"/>
      <c r="E104" s="47"/>
      <c r="F104" s="47"/>
      <c r="G104" s="47"/>
      <c r="H104" s="48"/>
      <c r="I104" s="13">
        <f>SUM($I$105:$I$121)</f>
        <v>64469</v>
      </c>
    </row>
    <row r="105" spans="1:9" x14ac:dyDescent="0.3">
      <c r="A105" s="23" t="s">
        <v>217</v>
      </c>
      <c r="B105" s="23" t="str">
        <f>VLOOKUP(A105,MEMORIA!$A:$N,2,FALSE)</f>
        <v>COMPOS3</v>
      </c>
      <c r="C105" s="23" t="str">
        <f>VLOOKUP(A105,MEMORIA!$A:$N,3,FALSE)</f>
        <v>PRÓPRIA</v>
      </c>
      <c r="D105" s="24" t="str">
        <f>VLOOKUP(A105,MEMORIA!$A:$N,4,FALSE)</f>
        <v>LOCAÇÃO DO POÇO COM ESTUDO GEOLÓGICO/HIDROGEOLÓGICO/GEOFÍSICO</v>
      </c>
      <c r="E105" s="23" t="str">
        <f>VLOOKUP(A105,MEMORIA!$A:$N,5,FALSE)</f>
        <v>UN</v>
      </c>
      <c r="F105" s="5">
        <f>VLOOKUP(A105,MEMORIA!$A:$N,14,FALSE)</f>
        <v>1</v>
      </c>
      <c r="G105" s="5">
        <f>VLOOKUP("TOTAL SEM BDI - "&amp;B105,CPU!$A:$J,9,FALSE)</f>
        <v>1692.3999999999999</v>
      </c>
      <c r="H105" s="5">
        <f>VLOOKUP("TOTAL COM BDI - "&amp;B105,CPU!$A:$J,9,FALSE)</f>
        <v>2112.79</v>
      </c>
      <c r="I105" s="5">
        <f t="shared" ref="I105:I121" si="4">ROUND(F105*H105,2)</f>
        <v>2112.79</v>
      </c>
    </row>
    <row r="106" spans="1:9" x14ac:dyDescent="0.3">
      <c r="A106" s="23" t="s">
        <v>218</v>
      </c>
      <c r="B106" s="23" t="str">
        <f>VLOOKUP(A106,MEMORIA!$A:$N,2,FALSE)</f>
        <v>COMPOS4</v>
      </c>
      <c r="C106" s="23" t="str">
        <f>VLOOKUP(A106,MEMORIA!$A:$N,3,FALSE)</f>
        <v>PRÓPRIA</v>
      </c>
      <c r="D106" s="24" t="str">
        <f>VLOOKUP(A106,MEMORIA!$A:$N,4,FALSE)</f>
        <v>TRANSPORTE DE MÁQUINAS E EQUIPAMENTOS</v>
      </c>
      <c r="E106" s="23" t="str">
        <f>VLOOKUP(A106,MEMORIA!$A:$N,5,FALSE)</f>
        <v>KM</v>
      </c>
      <c r="F106" s="5">
        <f>VLOOKUP(A106,MEMORIA!$A:$N,14,FALSE)</f>
        <v>11.1</v>
      </c>
      <c r="G106" s="5">
        <f>VLOOKUP("TOTAL SEM BDI - "&amp;B106,CPU!$A:$J,9,FALSE)</f>
        <v>5.5</v>
      </c>
      <c r="H106" s="5">
        <f>VLOOKUP("TOTAL COM BDI - "&amp;B106,CPU!$A:$J,9,FALSE)</f>
        <v>6.87</v>
      </c>
      <c r="I106" s="5">
        <f t="shared" si="4"/>
        <v>76.260000000000005</v>
      </c>
    </row>
    <row r="107" spans="1:9" x14ac:dyDescent="0.3">
      <c r="A107" s="23" t="s">
        <v>219</v>
      </c>
      <c r="B107" s="23" t="str">
        <f>VLOOKUP(A107,MEMORIA!$A:$N,2,FALSE)</f>
        <v>COMPOS4</v>
      </c>
      <c r="C107" s="23" t="str">
        <f>VLOOKUP(A107,MEMORIA!$A:$N,3,FALSE)</f>
        <v>PRÓPRIA</v>
      </c>
      <c r="D107" s="24" t="str">
        <f>VLOOKUP(A107,MEMORIA!$A:$N,4,FALSE)</f>
        <v>TRANSPORTE DE MÁQUINAS E EQUIPAMENTOS</v>
      </c>
      <c r="E107" s="23" t="str">
        <f>VLOOKUP(A107,MEMORIA!$A:$N,5,FALSE)</f>
        <v>KM</v>
      </c>
      <c r="F107" s="5">
        <f>VLOOKUP(A107,MEMORIA!$A:$N,14,FALSE)</f>
        <v>11.1</v>
      </c>
      <c r="G107" s="5">
        <f>VLOOKUP("TOTAL SEM BDI - "&amp;B107,CPU!$A:$J,9,FALSE)</f>
        <v>5.5</v>
      </c>
      <c r="H107" s="5">
        <f>VLOOKUP("TOTAL COM BDI - "&amp;B107,CPU!$A:$J,9,FALSE)</f>
        <v>6.87</v>
      </c>
      <c r="I107" s="5">
        <f t="shared" si="4"/>
        <v>76.260000000000005</v>
      </c>
    </row>
    <row r="108" spans="1:9" x14ac:dyDescent="0.3">
      <c r="A108" s="23" t="s">
        <v>220</v>
      </c>
      <c r="B108" s="23" t="str">
        <f>VLOOKUP(A108,MEMORIA!$A:$N,2,FALSE)</f>
        <v>COMPOS5</v>
      </c>
      <c r="C108" s="23" t="str">
        <f>VLOOKUP(A108,MEMORIA!$A:$N,3,FALSE)</f>
        <v>PRÓPRIA</v>
      </c>
      <c r="D108" s="24" t="str">
        <f>VLOOKUP(A108,MEMORIA!$A:$N,4,FALSE)</f>
        <v>PERFILAGEM ÓTICA</v>
      </c>
      <c r="E108" s="23" t="str">
        <f>VLOOKUP(A108,MEMORIA!$A:$N,5,FALSE)</f>
        <v>UN</v>
      </c>
      <c r="F108" s="5">
        <f>VLOOKUP(A108,MEMORIA!$A:$N,14,FALSE)</f>
        <v>1</v>
      </c>
      <c r="G108" s="5">
        <f>VLOOKUP("TOTAL SEM BDI - "&amp;B108,CPU!$A:$J,9,FALSE)</f>
        <v>2908.88</v>
      </c>
      <c r="H108" s="5">
        <f>VLOOKUP("TOTAL COM BDI - "&amp;B108,CPU!$A:$J,9,FALSE)</f>
        <v>3631.4500000000003</v>
      </c>
      <c r="I108" s="5">
        <f t="shared" si="4"/>
        <v>3631.45</v>
      </c>
    </row>
    <row r="109" spans="1:9" x14ac:dyDescent="0.3">
      <c r="A109" s="23" t="s">
        <v>221</v>
      </c>
      <c r="B109" s="23" t="str">
        <f>VLOOKUP(A109,MEMORIA!$A:$N,2,FALSE)</f>
        <v>COMPOS6</v>
      </c>
      <c r="C109" s="23" t="str">
        <f>VLOOKUP(A109,MEMORIA!$A:$N,3,FALSE)</f>
        <v>PRÓPRIA</v>
      </c>
      <c r="D109" s="24" t="str">
        <f>VLOOKUP(A109,MEMORIA!$A:$N,4,FALSE)</f>
        <v>PERFURAÇÃO EM 10'' (SEDIMENTO)</v>
      </c>
      <c r="E109" s="23" t="str">
        <f>VLOOKUP(A109,MEMORIA!$A:$N,5,FALSE)</f>
        <v>M</v>
      </c>
      <c r="F109" s="5">
        <f>VLOOKUP(A109,MEMORIA!$A:$N,14,FALSE)</f>
        <v>35</v>
      </c>
      <c r="G109" s="5">
        <f>VLOOKUP("TOTAL SEM BDI - "&amp;B109,CPU!$A:$J,9,FALSE)</f>
        <v>288.94</v>
      </c>
      <c r="H109" s="5">
        <f>VLOOKUP("TOTAL COM BDI - "&amp;B109,CPU!$A:$J,9,FALSE)</f>
        <v>360.71</v>
      </c>
      <c r="I109" s="5">
        <f t="shared" si="4"/>
        <v>12624.85</v>
      </c>
    </row>
    <row r="110" spans="1:9" x14ac:dyDescent="0.3">
      <c r="A110" s="23" t="s">
        <v>222</v>
      </c>
      <c r="B110" s="23" t="str">
        <f>VLOOKUP(A110,MEMORIA!$A:$N,2,FALSE)</f>
        <v>COMPOS7</v>
      </c>
      <c r="C110" s="23" t="str">
        <f>VLOOKUP(A110,MEMORIA!$A:$N,3,FALSE)</f>
        <v>PRÓPRIA</v>
      </c>
      <c r="D110" s="24" t="str">
        <f>VLOOKUP(A110,MEMORIA!$A:$N,4,FALSE)</f>
        <v>PERFURAÇÃO EM 8'' (ROCHA CRISTALINA)</v>
      </c>
      <c r="E110" s="23" t="str">
        <f>VLOOKUP(A110,MEMORIA!$A:$N,5,FALSE)</f>
        <v>M</v>
      </c>
      <c r="F110" s="5">
        <f>VLOOKUP(A110,MEMORIA!$A:$N,14,FALSE)</f>
        <v>0</v>
      </c>
      <c r="G110" s="5">
        <f>VLOOKUP("TOTAL SEM BDI - "&amp;B110,CPU!$A:$J,9,FALSE)</f>
        <v>368.84000000000003</v>
      </c>
      <c r="H110" s="5">
        <f>VLOOKUP("TOTAL COM BDI - "&amp;B110,CPU!$A:$J,9,FALSE)</f>
        <v>460.46000000000004</v>
      </c>
      <c r="I110" s="5">
        <f t="shared" si="4"/>
        <v>0</v>
      </c>
    </row>
    <row r="111" spans="1:9" x14ac:dyDescent="0.3">
      <c r="A111" s="23" t="s">
        <v>223</v>
      </c>
      <c r="B111" s="23" t="str">
        <f>VLOOKUP(A111,MEMORIA!$A:$N,2,FALSE)</f>
        <v>COMPOS8</v>
      </c>
      <c r="C111" s="23" t="str">
        <f>VLOOKUP(A111,MEMORIA!$A:$N,3,FALSE)</f>
        <v>PRÓPRIA</v>
      </c>
      <c r="D111" s="24" t="str">
        <f>VLOOKUP(A111,MEMORIA!$A:$N,4,FALSE)</f>
        <v>PERFURAÇÃO EM 6'' (SEDIMENTO)</v>
      </c>
      <c r="E111" s="23" t="str">
        <f>VLOOKUP(A111,MEMORIA!$A:$N,5,FALSE)</f>
        <v>M</v>
      </c>
      <c r="F111" s="5">
        <f>VLOOKUP(A111,MEMORIA!$A:$N,14,FALSE)</f>
        <v>95</v>
      </c>
      <c r="G111" s="5">
        <f>VLOOKUP("TOTAL SEM BDI - "&amp;B111,CPU!$A:$J,9,FALSE)</f>
        <v>231.16</v>
      </c>
      <c r="H111" s="5">
        <f>VLOOKUP("TOTAL COM BDI - "&amp;B111,CPU!$A:$J,9,FALSE)</f>
        <v>288.58</v>
      </c>
      <c r="I111" s="5">
        <f t="shared" si="4"/>
        <v>27415.1</v>
      </c>
    </row>
    <row r="112" spans="1:9" x14ac:dyDescent="0.3">
      <c r="A112" s="23" t="s">
        <v>224</v>
      </c>
      <c r="B112" s="23" t="str">
        <f>VLOOKUP(A112,MEMORIA!$A:$N,2,FALSE)</f>
        <v>COMPOS9</v>
      </c>
      <c r="C112" s="23" t="str">
        <f>VLOOKUP(A112,MEMORIA!$A:$N,3,FALSE)</f>
        <v>PRÓPRIA</v>
      </c>
      <c r="D112" s="24" t="str">
        <f>VLOOKUP(A112,MEMORIA!$A:$N,4,FALSE)</f>
        <v>PERFURAÇÃO EM 6'' (ROCHA CRISTALINA)</v>
      </c>
      <c r="E112" s="23" t="str">
        <f>VLOOKUP(A112,MEMORIA!$A:$N,5,FALSE)</f>
        <v>M</v>
      </c>
      <c r="F112" s="5">
        <f>VLOOKUP(A112,MEMORIA!$A:$N,14,FALSE)</f>
        <v>0</v>
      </c>
      <c r="G112" s="5">
        <f>VLOOKUP("TOTAL SEM BDI - "&amp;B112,CPU!$A:$J,9,FALSE)</f>
        <v>330.20000000000005</v>
      </c>
      <c r="H112" s="5">
        <f>VLOOKUP("TOTAL COM BDI - "&amp;B112,CPU!$A:$J,9,FALSE)</f>
        <v>412.22</v>
      </c>
      <c r="I112" s="5">
        <f t="shared" si="4"/>
        <v>0</v>
      </c>
    </row>
    <row r="113" spans="1:9" x14ac:dyDescent="0.3">
      <c r="A113" s="23" t="s">
        <v>225</v>
      </c>
      <c r="B113" s="23" t="str">
        <f>VLOOKUP(A113,MEMORIA!$A:$N,2,FALSE)</f>
        <v>COMPOS10</v>
      </c>
      <c r="C113" s="23" t="str">
        <f>VLOOKUP(A113,MEMORIA!$A:$N,3,FALSE)</f>
        <v>PRÓPRIA</v>
      </c>
      <c r="D113" s="24" t="str">
        <f>VLOOKUP(A113,MEMORIA!$A:$N,4,FALSE)</f>
        <v>CIMENTAÇÃO SANITÁRIA</v>
      </c>
      <c r="E113" s="23" t="str">
        <f>VLOOKUP(A113,MEMORIA!$A:$N,5,FALSE)</f>
        <v>M³</v>
      </c>
      <c r="F113" s="5">
        <f>VLOOKUP(A113,MEMORIA!$A:$N,14,FALSE)</f>
        <v>4.55</v>
      </c>
      <c r="G113" s="5">
        <f>VLOOKUP("TOTAL SEM BDI - "&amp;B113,CPU!$A:$J,9,FALSE)</f>
        <v>164.58999999999997</v>
      </c>
      <c r="H113" s="5">
        <f>VLOOKUP("TOTAL COM BDI - "&amp;B113,CPU!$A:$J,9,FALSE)</f>
        <v>205.46999999999997</v>
      </c>
      <c r="I113" s="5">
        <f t="shared" si="4"/>
        <v>934.89</v>
      </c>
    </row>
    <row r="114" spans="1:9" x14ac:dyDescent="0.3">
      <c r="A114" s="23" t="s">
        <v>226</v>
      </c>
      <c r="B114" s="23" t="str">
        <f>VLOOKUP(A114,MEMORIA!$A:$N,2,FALSE)</f>
        <v>COMPOS11</v>
      </c>
      <c r="C114" s="23" t="str">
        <f>VLOOKUP(A114,MEMORIA!$A:$N,3,FALSE)</f>
        <v>PRÓPRIA</v>
      </c>
      <c r="D114" s="24" t="str">
        <f>VLOOKUP(A114,MEMORIA!$A:$N,4,FALSE)</f>
        <v>LAJE DE PROTEÇÃO EM CONCRETO (1,0 M X 1,0 M X 0,15 M)</v>
      </c>
      <c r="E114" s="23" t="str">
        <f>VLOOKUP(A114,MEMORIA!$A:$N,5,FALSE)</f>
        <v>M³</v>
      </c>
      <c r="F114" s="5">
        <f>VLOOKUP(A114,MEMORIA!$A:$N,14,FALSE)</f>
        <v>0.15</v>
      </c>
      <c r="G114" s="5">
        <f>VLOOKUP("TOTAL SEM BDI - "&amp;B114,CPU!$A:$J,9,FALSE)</f>
        <v>1259.1399999999999</v>
      </c>
      <c r="H114" s="5">
        <f>VLOOKUP("TOTAL COM BDI - "&amp;B114,CPU!$A:$J,9,FALSE)</f>
        <v>1571.9099999999999</v>
      </c>
      <c r="I114" s="5">
        <f t="shared" si="4"/>
        <v>235.79</v>
      </c>
    </row>
    <row r="115" spans="1:9" x14ac:dyDescent="0.3">
      <c r="A115" s="23" t="s">
        <v>227</v>
      </c>
      <c r="B115" s="23" t="str">
        <f>VLOOKUP(A115,MEMORIA!$A:$N,2,FALSE)</f>
        <v>COMPOS12</v>
      </c>
      <c r="C115" s="23" t="str">
        <f>VLOOKUP(A115,MEMORIA!$A:$N,3,FALSE)</f>
        <v>PRÓPRIA</v>
      </c>
      <c r="D115" s="24" t="str">
        <f>VLOOKUP(A115,MEMORIA!$A:$N,4,FALSE)</f>
        <v>DESENVOLVIMENTO COM BOMBA SUBMERSA</v>
      </c>
      <c r="E115" s="23" t="str">
        <f>VLOOKUP(A115,MEMORIA!$A:$N,5,FALSE)</f>
        <v>H</v>
      </c>
      <c r="F115" s="5">
        <f>VLOOKUP(A115,MEMORIA!$A:$N,14,FALSE)</f>
        <v>6</v>
      </c>
      <c r="G115" s="5">
        <f>VLOOKUP("TOTAL SEM BDI - "&amp;B115,CPU!$A:$J,9,FALSE)</f>
        <v>513.45000000000005</v>
      </c>
      <c r="H115" s="5">
        <f>VLOOKUP("TOTAL COM BDI - "&amp;B115,CPU!$A:$J,9,FALSE)</f>
        <v>640.99</v>
      </c>
      <c r="I115" s="5">
        <f t="shared" si="4"/>
        <v>3845.94</v>
      </c>
    </row>
    <row r="116" spans="1:9" x14ac:dyDescent="0.3">
      <c r="A116" s="23" t="s">
        <v>228</v>
      </c>
      <c r="B116" s="23" t="str">
        <f>VLOOKUP(A116,MEMORIA!$A:$N,2,FALSE)</f>
        <v>COMPOS13</v>
      </c>
      <c r="C116" s="23" t="str">
        <f>VLOOKUP(A116,MEMORIA!$A:$N,3,FALSE)</f>
        <v>PRÓPRIA</v>
      </c>
      <c r="D116" s="24" t="str">
        <f>VLOOKUP(A116,MEMORIA!$A:$N,4,FALSE)</f>
        <v>TESTE VAZÃO COM BOMBA SUBMERSA</v>
      </c>
      <c r="E116" s="23" t="str">
        <f>VLOOKUP(A116,MEMORIA!$A:$N,5,FALSE)</f>
        <v>H</v>
      </c>
      <c r="F116" s="5">
        <f>VLOOKUP(A116,MEMORIA!$A:$N,14,FALSE)</f>
        <v>24</v>
      </c>
      <c r="G116" s="5">
        <f>VLOOKUP("TOTAL SEM BDI - "&amp;B116,CPU!$A:$J,9,FALSE)</f>
        <v>95.539999999999992</v>
      </c>
      <c r="H116" s="5">
        <f>VLOOKUP("TOTAL COM BDI - "&amp;B116,CPU!$A:$J,9,FALSE)</f>
        <v>119.27</v>
      </c>
      <c r="I116" s="5">
        <f t="shared" si="4"/>
        <v>2862.48</v>
      </c>
    </row>
    <row r="117" spans="1:9" x14ac:dyDescent="0.3">
      <c r="A117" s="23" t="s">
        <v>229</v>
      </c>
      <c r="B117" s="23" t="str">
        <f>VLOOKUP(A117,MEMORIA!$A:$N,2,FALSE)</f>
        <v>COMPOS14</v>
      </c>
      <c r="C117" s="23" t="str">
        <f>VLOOKUP(A117,MEMORIA!$A:$N,3,FALSE)</f>
        <v>PRÓPRIA</v>
      </c>
      <c r="D117" s="24" t="str">
        <f>VLOOKUP(A117,MEMORIA!$A:$N,4,FALSE)</f>
        <v>DESINFECÇÃO</v>
      </c>
      <c r="E117" s="23" t="str">
        <f>VLOOKUP(A117,MEMORIA!$A:$N,5,FALSE)</f>
        <v>H</v>
      </c>
      <c r="F117" s="5">
        <f>VLOOKUP(A117,MEMORIA!$A:$N,14,FALSE)</f>
        <v>6</v>
      </c>
      <c r="G117" s="5">
        <f>VLOOKUP("TOTAL SEM BDI - "&amp;B117,CPU!$A:$J,9,FALSE)</f>
        <v>100.11000000000003</v>
      </c>
      <c r="H117" s="5">
        <f>VLOOKUP("TOTAL COM BDI - "&amp;B117,CPU!$A:$J,9,FALSE)</f>
        <v>124.98000000000003</v>
      </c>
      <c r="I117" s="5">
        <f t="shared" si="4"/>
        <v>749.88</v>
      </c>
    </row>
    <row r="118" spans="1:9" x14ac:dyDescent="0.3">
      <c r="A118" s="23" t="s">
        <v>230</v>
      </c>
      <c r="B118" s="23" t="str">
        <f>VLOOKUP(A118,MEMORIA!$A:$N,2,FALSE)</f>
        <v>COMPOS15</v>
      </c>
      <c r="C118" s="23" t="str">
        <f>VLOOKUP(A118,MEMORIA!$A:$N,3,FALSE)</f>
        <v>PRÓPRIA</v>
      </c>
      <c r="D118" s="24" t="str">
        <f>VLOOKUP(A118,MEMORIA!$A:$N,4,FALSE)</f>
        <v>RELATÓRIO TÉCNICO</v>
      </c>
      <c r="E118" s="23" t="str">
        <f>VLOOKUP(A118,MEMORIA!$A:$N,5,FALSE)</f>
        <v>UN</v>
      </c>
      <c r="F118" s="5">
        <f>VLOOKUP(A118,MEMORIA!$A:$N,14,FALSE)</f>
        <v>1</v>
      </c>
      <c r="G118" s="5">
        <f>VLOOKUP("TOTAL SEM BDI - "&amp;B118,CPU!$A:$J,9,FALSE)</f>
        <v>1110.2</v>
      </c>
      <c r="H118" s="5">
        <f>VLOOKUP("TOTAL COM BDI - "&amp;B118,CPU!$A:$J,9,FALSE)</f>
        <v>1385.97</v>
      </c>
      <c r="I118" s="5">
        <f t="shared" si="4"/>
        <v>1385.97</v>
      </c>
    </row>
    <row r="119" spans="1:9" x14ac:dyDescent="0.3">
      <c r="A119" s="23" t="s">
        <v>231</v>
      </c>
      <c r="B119" s="23" t="str">
        <f>VLOOKUP(A119,MEMORIA!$A:$N,2,FALSE)</f>
        <v>COMPOS16</v>
      </c>
      <c r="C119" s="23" t="str">
        <f>VLOOKUP(A119,MEMORIA!$A:$N,3,FALSE)</f>
        <v>PRÓPRIA</v>
      </c>
      <c r="D119" s="24" t="str">
        <f>VLOOKUP(A119,MEMORIA!$A:$N,4,FALSE)</f>
        <v>ANÁLISE FÍSICO-QUÍMICA DA ÁGUA</v>
      </c>
      <c r="E119" s="23" t="str">
        <f>VLOOKUP(A119,MEMORIA!$A:$N,5,FALSE)</f>
        <v>UN</v>
      </c>
      <c r="F119" s="5">
        <f>VLOOKUP(A119,MEMORIA!$A:$N,14,FALSE)</f>
        <v>1</v>
      </c>
      <c r="G119" s="5">
        <f>VLOOKUP("TOTAL SEM BDI - "&amp;B119,CPU!$A:$J,9,FALSE)</f>
        <v>565.21</v>
      </c>
      <c r="H119" s="5">
        <f>VLOOKUP("TOTAL COM BDI - "&amp;B119,CPU!$A:$J,9,FALSE)</f>
        <v>705.61</v>
      </c>
      <c r="I119" s="5">
        <f t="shared" si="4"/>
        <v>705.61</v>
      </c>
    </row>
    <row r="120" spans="1:9" x14ac:dyDescent="0.3">
      <c r="A120" s="23" t="s">
        <v>232</v>
      </c>
      <c r="B120" s="23" t="str">
        <f>VLOOKUP(A120,MEMORIA!$A:$N,2,FALSE)</f>
        <v>COMPOS1</v>
      </c>
      <c r="C120" s="23" t="str">
        <f>VLOOKUP(A120,MEMORIA!$A:$N,3,FALSE)</f>
        <v>PRÓPRIA</v>
      </c>
      <c r="D120" s="24" t="str">
        <f>VLOOKUP(A120,MEMORIA!$A:$N,4,FALSE)</f>
        <v>FORNECIMENTO E INSTALAÇÃO DE REVESTIMENTO GEOMECÂNICO STANDART DN-154-S</v>
      </c>
      <c r="E120" s="23" t="str">
        <f>VLOOKUP(A120,MEMORIA!$A:$N,5,FALSE)</f>
        <v>M</v>
      </c>
      <c r="F120" s="5">
        <f>VLOOKUP(A120,MEMORIA!$A:$N,14,FALSE)</f>
        <v>36</v>
      </c>
      <c r="G120" s="5">
        <f>VLOOKUP("TOTAL SEM BDI - "&amp;B120,CPU!$A:$J,9,FALSE)</f>
        <v>170.76</v>
      </c>
      <c r="H120" s="5">
        <f>VLOOKUP("TOTAL COM BDI - "&amp;B120,CPU!$A:$J,9,FALSE)</f>
        <v>213.18</v>
      </c>
      <c r="I120" s="5">
        <f t="shared" si="4"/>
        <v>7674.48</v>
      </c>
    </row>
    <row r="121" spans="1:9" x14ac:dyDescent="0.3">
      <c r="A121" s="23" t="s">
        <v>233</v>
      </c>
      <c r="B121" s="23" t="str">
        <f>VLOOKUP(A121,MEMORIA!$A:$N,2,FALSE)</f>
        <v>COMPOS2</v>
      </c>
      <c r="C121" s="23" t="str">
        <f>VLOOKUP(A121,MEMORIA!$A:$N,3,FALSE)</f>
        <v>PRÓPRIA</v>
      </c>
      <c r="D121" s="24" t="str">
        <f>VLOOKUP(A121,MEMORIA!$A:$N,4,FALSE)</f>
        <v>FORNECIMENTO E INSTALAÇÃO DE TAMPA PARA POÇO</v>
      </c>
      <c r="E121" s="23" t="str">
        <f>VLOOKUP(A121,MEMORIA!$A:$N,5,FALSE)</f>
        <v>UN</v>
      </c>
      <c r="F121" s="5">
        <f>VLOOKUP(A121,MEMORIA!$A:$N,14,FALSE)</f>
        <v>1</v>
      </c>
      <c r="G121" s="5">
        <f>VLOOKUP("TOTAL SEM BDI - "&amp;B121,CPU!$A:$J,9,FALSE)</f>
        <v>109.94</v>
      </c>
      <c r="H121" s="5">
        <f>VLOOKUP("TOTAL COM BDI - "&amp;B121,CPU!$A:$J,9,FALSE)</f>
        <v>137.25</v>
      </c>
      <c r="I121" s="5">
        <f t="shared" si="4"/>
        <v>137.25</v>
      </c>
    </row>
    <row r="122" spans="1:9" x14ac:dyDescent="0.3">
      <c r="A122" s="12" t="s">
        <v>45</v>
      </c>
      <c r="B122" s="46" t="str">
        <f>VLOOKUP(A122,MEMORIA!$A:$N,2,FALSE)</f>
        <v>AQUISIÇÃO E INSTALAÇÃO DE EQUIPAMENTOS DE BOMBEAMENTO, RECALQUE/BARRILETE E CONEXÕES PARA INTERLIGAÇÃO COM RESERVATÓRIO</v>
      </c>
      <c r="C122" s="47"/>
      <c r="D122" s="47"/>
      <c r="E122" s="47"/>
      <c r="F122" s="47"/>
      <c r="G122" s="47"/>
      <c r="H122" s="48"/>
      <c r="I122" s="13">
        <f>SUM($I$123:$I$128)</f>
        <v>19625.579999999998</v>
      </c>
    </row>
    <row r="123" spans="1:9" ht="28.8" x14ac:dyDescent="0.3">
      <c r="A123" s="23" t="s">
        <v>234</v>
      </c>
      <c r="B123" s="23" t="str">
        <f>VLOOKUP(A123,MEMORIA!$A:$N,2,FALSE)</f>
        <v>COMPOS17</v>
      </c>
      <c r="C123" s="23" t="str">
        <f>VLOOKUP(A123,MEMORIA!$A:$N,3,FALSE)</f>
        <v>PRÓPRIA</v>
      </c>
      <c r="D123" s="24" t="str">
        <f>VLOOKUP(A123,MEMORIA!$A:$N,4,FALSE)</f>
        <v>FORNECIMENTO E INSTALAÇÃO DE BOMBA SUBMERSA DE 3CV, MONOFÁSICA, 220 V, LEÃO OU SIMILAR</v>
      </c>
      <c r="E123" s="23" t="str">
        <f>VLOOKUP(A123,MEMORIA!$A:$N,5,FALSE)</f>
        <v>UN</v>
      </c>
      <c r="F123" s="5">
        <f>VLOOKUP(A123,MEMORIA!$A:$N,14,FALSE)</f>
        <v>1</v>
      </c>
      <c r="G123" s="5">
        <f>VLOOKUP("TOTAL SEM BDI - "&amp;B123,CPU!$A:$J,9,FALSE)</f>
        <v>3515.68</v>
      </c>
      <c r="H123" s="5">
        <f>VLOOKUP("TOTAL COM BDI - "&amp;B123,CPU!$A:$J,9,FALSE)</f>
        <v>4388.9699999999993</v>
      </c>
      <c r="I123" s="5">
        <f t="shared" ref="I123:I128" si="5">ROUND(F123*H123,2)</f>
        <v>4388.97</v>
      </c>
    </row>
    <row r="124" spans="1:9" ht="28.8" x14ac:dyDescent="0.3">
      <c r="A124" s="23" t="s">
        <v>235</v>
      </c>
      <c r="B124" s="23" t="str">
        <f>VLOOKUP(A124,MEMORIA!$A:$N,2,FALSE)</f>
        <v>COMPOS29</v>
      </c>
      <c r="C124" s="23" t="str">
        <f>VLOOKUP(A124,MEMORIA!$A:$N,3,FALSE)</f>
        <v>PRÓPRIA</v>
      </c>
      <c r="D124" s="24" t="str">
        <f>VLOOKUP(A124,MEMORIA!$A:$N,4,FALSE)</f>
        <v>FORNECIMENTO E INSTALAÇÃO DE PAINEL DE COMANDO ELÉTRICO PARA BOMBA 3CV, MONOFÁSICO</v>
      </c>
      <c r="E124" s="23" t="str">
        <f>VLOOKUP(A124,MEMORIA!$A:$N,5,FALSE)</f>
        <v>UN</v>
      </c>
      <c r="F124" s="5">
        <f>VLOOKUP(A124,MEMORIA!$A:$N,14,FALSE)</f>
        <v>1</v>
      </c>
      <c r="G124" s="5">
        <f>VLOOKUP("TOTAL SEM BDI - "&amp;B124,CPU!$A:$J,9,FALSE)</f>
        <v>773.3</v>
      </c>
      <c r="H124" s="5">
        <f>VLOOKUP("TOTAL COM BDI - "&amp;B124,CPU!$A:$J,9,FALSE)</f>
        <v>965.39</v>
      </c>
      <c r="I124" s="5">
        <f t="shared" si="5"/>
        <v>965.39</v>
      </c>
    </row>
    <row r="125" spans="1:9" x14ac:dyDescent="0.3">
      <c r="A125" s="23" t="s">
        <v>236</v>
      </c>
      <c r="B125" s="23" t="str">
        <f>VLOOKUP(A125,MEMORIA!$A:$N,2,FALSE)</f>
        <v>COMPOS19</v>
      </c>
      <c r="C125" s="23" t="str">
        <f>VLOOKUP(A125,MEMORIA!$A:$N,3,FALSE)</f>
        <v>PRÓPRIA</v>
      </c>
      <c r="D125" s="24" t="str">
        <f>VLOOKUP(A125,MEMORIA!$A:$N,4,FALSE)</f>
        <v>FORNECIMENTO E INSTALAÇÃO DE TUBO EDUTOR DE PVC DE 1.1/2'' COM LUVA</v>
      </c>
      <c r="E125" s="23" t="str">
        <f>VLOOKUP(A125,MEMORIA!$A:$N,5,FALSE)</f>
        <v>M</v>
      </c>
      <c r="F125" s="5">
        <f>VLOOKUP(A125,MEMORIA!$A:$N,14,FALSE)</f>
        <v>110</v>
      </c>
      <c r="G125" s="5">
        <f>VLOOKUP("TOTAL SEM BDI - "&amp;B125,CPU!$A:$J,9,FALSE)</f>
        <v>46.25</v>
      </c>
      <c r="H125" s="5">
        <f>VLOOKUP("TOTAL COM BDI - "&amp;B125,CPU!$A:$J,9,FALSE)</f>
        <v>57.74</v>
      </c>
      <c r="I125" s="5">
        <f t="shared" si="5"/>
        <v>6351.4</v>
      </c>
    </row>
    <row r="126" spans="1:9" x14ac:dyDescent="0.3">
      <c r="A126" s="23" t="s">
        <v>237</v>
      </c>
      <c r="B126" s="23" t="str">
        <f>VLOOKUP(A126,MEMORIA!$A:$N,2,FALSE)</f>
        <v>COMPOS24</v>
      </c>
      <c r="C126" s="23" t="str">
        <f>VLOOKUP(A126,MEMORIA!$A:$N,3,FALSE)</f>
        <v>PRÓPRIA</v>
      </c>
      <c r="D126" s="24" t="str">
        <f>VLOOKUP(A126,MEMORIA!$A:$N,4,FALSE)</f>
        <v>FORNECIMENTO E INSTALAÇÃO DE CABO CHATO SUBMERSO DE 3 X 6 MM²</v>
      </c>
      <c r="E126" s="23" t="str">
        <f>VLOOKUP(A126,MEMORIA!$A:$N,5,FALSE)</f>
        <v>M</v>
      </c>
      <c r="F126" s="5">
        <f>VLOOKUP(A126,MEMORIA!$A:$N,14,FALSE)</f>
        <v>120</v>
      </c>
      <c r="G126" s="5">
        <f>VLOOKUP("TOTAL SEM BDI - "&amp;B126,CPU!$A:$J,9,FALSE)</f>
        <v>25.98</v>
      </c>
      <c r="H126" s="5">
        <f>VLOOKUP("TOTAL COM BDI - "&amp;B126,CPU!$A:$J,9,FALSE)</f>
        <v>32.43</v>
      </c>
      <c r="I126" s="5">
        <f t="shared" si="5"/>
        <v>3891.6</v>
      </c>
    </row>
    <row r="127" spans="1:9" x14ac:dyDescent="0.3">
      <c r="A127" s="23" t="s">
        <v>238</v>
      </c>
      <c r="B127" s="23" t="str">
        <f>VLOOKUP(A127,MEMORIA!$A:$N,2,FALSE)</f>
        <v>COMPOS21</v>
      </c>
      <c r="C127" s="23" t="str">
        <f>VLOOKUP(A127,MEMORIA!$A:$N,3,FALSE)</f>
        <v>PRÓPRIA</v>
      </c>
      <c r="D127" s="24" t="str">
        <f>VLOOKUP(A127,MEMORIA!$A:$N,4,FALSE)</f>
        <v>BARRILETE (CURVAS E CONEXÕES)</v>
      </c>
      <c r="E127" s="23" t="str">
        <f>VLOOKUP(A127,MEMORIA!$A:$N,5,FALSE)</f>
        <v>UN</v>
      </c>
      <c r="F127" s="5">
        <f>VLOOKUP(A127,MEMORIA!$A:$N,14,FALSE)</f>
        <v>1</v>
      </c>
      <c r="G127" s="5">
        <f>VLOOKUP("TOTAL SEM BDI - "&amp;B127,CPU!$A:$J,9,FALSE)</f>
        <v>2135.96</v>
      </c>
      <c r="H127" s="5">
        <f>VLOOKUP("TOTAL COM BDI - "&amp;B127,CPU!$A:$J,9,FALSE)</f>
        <v>2666.53</v>
      </c>
      <c r="I127" s="5">
        <f t="shared" si="5"/>
        <v>2666.53</v>
      </c>
    </row>
    <row r="128" spans="1:9" x14ac:dyDescent="0.3">
      <c r="A128" s="23" t="s">
        <v>239</v>
      </c>
      <c r="B128" s="23" t="str">
        <f>VLOOKUP(A128,MEMORIA!$A:$N,2,FALSE)</f>
        <v>COMPOS26</v>
      </c>
      <c r="C128" s="23" t="str">
        <f>VLOOKUP(A128,MEMORIA!$A:$N,3,FALSE)</f>
        <v>PRÓPRIA</v>
      </c>
      <c r="D128" s="24" t="str">
        <f>VLOOKUP(A128,MEMORIA!$A:$N,4,FALSE)</f>
        <v>AQUISIÇÃO E INSTALAÇÃO DE DOSADOR DE CLORO</v>
      </c>
      <c r="E128" s="23" t="str">
        <f>VLOOKUP(A128,MEMORIA!$A:$N,5,FALSE)</f>
        <v>UND</v>
      </c>
      <c r="F128" s="5">
        <f>VLOOKUP(A128,MEMORIA!$A:$N,14,FALSE)</f>
        <v>1</v>
      </c>
      <c r="G128" s="5">
        <f>VLOOKUP("TOTAL SEM BDI - "&amp;B128,CPU!$A:$J,9,FALSE)</f>
        <v>1090.75</v>
      </c>
      <c r="H128" s="5">
        <f>VLOOKUP("TOTAL COM BDI - "&amp;B128,CPU!$A:$J,9,FALSE)</f>
        <v>1361.69</v>
      </c>
      <c r="I128" s="5">
        <f t="shared" si="5"/>
        <v>1361.69</v>
      </c>
    </row>
    <row r="129" spans="1:9" x14ac:dyDescent="0.3">
      <c r="A129" s="12" t="s">
        <v>46</v>
      </c>
      <c r="B129" s="46" t="str">
        <f>VLOOKUP(A129,MEMORIA!$A:$N,2,FALSE)</f>
        <v>CONSTRUÇÃO DA CASA DE COMANDO</v>
      </c>
      <c r="C129" s="47"/>
      <c r="D129" s="47"/>
      <c r="E129" s="47"/>
      <c r="F129" s="47"/>
      <c r="G129" s="47"/>
      <c r="H129" s="48"/>
      <c r="I129" s="13">
        <f>SUM($I$130,$I$133,$I$135,$I$139,$I$142,$I$145,$I$148,$I$152,$I$155,$I$158,$I$161,)</f>
        <v>25565.510000000002</v>
      </c>
    </row>
    <row r="130" spans="1:9" x14ac:dyDescent="0.3">
      <c r="A130" s="15" t="s">
        <v>47</v>
      </c>
      <c r="B130" s="49" t="str">
        <f>VLOOKUP(A130,MEMORIA!$A:$N,2,FALSE)</f>
        <v>SERVIÇOS PRELIMINARES</v>
      </c>
      <c r="C130" s="50"/>
      <c r="D130" s="50"/>
      <c r="E130" s="50"/>
      <c r="F130" s="50"/>
      <c r="G130" s="50"/>
      <c r="H130" s="51"/>
      <c r="I130" s="16">
        <f>SUM($I$131:$I$132)</f>
        <v>3887.12</v>
      </c>
    </row>
    <row r="131" spans="1:9" x14ac:dyDescent="0.3">
      <c r="A131" s="23" t="s">
        <v>240</v>
      </c>
      <c r="B131" s="23">
        <f>VLOOKUP(A131,MEMORIA!$A:$N,2,FALSE)</f>
        <v>98524</v>
      </c>
      <c r="C131" s="23" t="str">
        <f>VLOOKUP(A131,MEMORIA!$A:$N,3,FALSE)</f>
        <v>SINAPI</v>
      </c>
      <c r="D131" s="24" t="str">
        <f>VLOOKUP(A131,MEMORIA!$A:$N,4,FALSE)</f>
        <v>LIMPEZA MANUAL DE VEGETAÇÃO EM TERRENO COM ENXADA. AF_03/2024</v>
      </c>
      <c r="E131" s="23" t="str">
        <f>VLOOKUP(A131,MEMORIA!$A:$N,5,FALSE)</f>
        <v>M2</v>
      </c>
      <c r="F131" s="5">
        <f>VLOOKUP(A131,MEMORIA!$A:$N,14,FALSE)</f>
        <v>100</v>
      </c>
      <c r="G131" s="5">
        <f>VLOOKUP("TOTAL SEM BDI - "&amp;B131,CPU!$A:$J,9,FALSE)</f>
        <v>4.62</v>
      </c>
      <c r="H131" s="5">
        <f>VLOOKUP("TOTAL COM BDI - "&amp;B131,CPU!$A:$J,9,FALSE)</f>
        <v>5.77</v>
      </c>
      <c r="I131" s="5">
        <f>ROUND(F131*H131,2)</f>
        <v>577</v>
      </c>
    </row>
    <row r="132" spans="1:9" ht="28.8" x14ac:dyDescent="0.3">
      <c r="A132" s="23" t="s">
        <v>241</v>
      </c>
      <c r="B132" s="23">
        <f>VLOOKUP(A132,MEMORIA!$A:$N,2,FALSE)</f>
        <v>99059</v>
      </c>
      <c r="C132" s="23" t="str">
        <f>VLOOKUP(A132,MEMORIA!$A:$N,3,FALSE)</f>
        <v>SINAPI</v>
      </c>
      <c r="D132" s="24" t="str">
        <f>VLOOKUP(A132,MEMORIA!$A:$N,4,FALSE)</f>
        <v>LOCAÇÃO CONVENCIONAL DE OBRA, UTILIZANDO GABARITO DE TÁBUAS CORRIDAS PONTALETADAS A CADA 2,00M - 2 UTILIZAÇÕES. AF_03/2024</v>
      </c>
      <c r="E132" s="23" t="str">
        <f>VLOOKUP(A132,MEMORIA!$A:$N,5,FALSE)</f>
        <v>M</v>
      </c>
      <c r="F132" s="5">
        <f>VLOOKUP(A132,MEMORIA!$A:$N,14,FALSE)</f>
        <v>44</v>
      </c>
      <c r="G132" s="5">
        <f>VLOOKUP("TOTAL SEM BDI - "&amp;B132,CPU!$A:$J,9,FALSE)</f>
        <v>60.260000000000005</v>
      </c>
      <c r="H132" s="5">
        <f>VLOOKUP("TOTAL COM BDI - "&amp;B132,CPU!$A:$J,9,FALSE)</f>
        <v>75.23</v>
      </c>
      <c r="I132" s="5">
        <f>ROUND(F132*H132,2)</f>
        <v>3310.12</v>
      </c>
    </row>
    <row r="133" spans="1:9" x14ac:dyDescent="0.3">
      <c r="A133" s="15" t="s">
        <v>48</v>
      </c>
      <c r="B133" s="49" t="str">
        <f>VLOOKUP(A133,MEMORIA!$A:$N,2,FALSE)</f>
        <v>MOVIMENTO DE TERRA</v>
      </c>
      <c r="C133" s="50"/>
      <c r="D133" s="50"/>
      <c r="E133" s="50"/>
      <c r="F133" s="50"/>
      <c r="G133" s="50"/>
      <c r="H133" s="51"/>
      <c r="I133" s="16">
        <f>SUM($I$134:$I$134)</f>
        <v>165.09</v>
      </c>
    </row>
    <row r="134" spans="1:9" x14ac:dyDescent="0.3">
      <c r="A134" s="23" t="s">
        <v>242</v>
      </c>
      <c r="B134" s="23">
        <f>VLOOKUP(A134,MEMORIA!$A:$N,2,FALSE)</f>
        <v>93358</v>
      </c>
      <c r="C134" s="23" t="str">
        <f>VLOOKUP(A134,MEMORIA!$A:$N,3,FALSE)</f>
        <v>SINAPI</v>
      </c>
      <c r="D134" s="24" t="str">
        <f>VLOOKUP(A134,MEMORIA!$A:$N,4,FALSE)</f>
        <v>ESCAVAÇÃO MANUAL DE VALA. AF_09/2024</v>
      </c>
      <c r="E134" s="23" t="str">
        <f>VLOOKUP(A134,MEMORIA!$A:$N,5,FALSE)</f>
        <v>M3</v>
      </c>
      <c r="F134" s="5">
        <f>VLOOKUP(A134,MEMORIA!$A:$N,14,FALSE)</f>
        <v>1.54</v>
      </c>
      <c r="G134" s="5">
        <f>VLOOKUP("TOTAL SEM BDI - "&amp;B134,CPU!$A:$J,9,FALSE)</f>
        <v>85.87</v>
      </c>
      <c r="H134" s="5">
        <f>VLOOKUP("TOTAL COM BDI - "&amp;B134,CPU!$A:$J,9,FALSE)</f>
        <v>107.2</v>
      </c>
      <c r="I134" s="5">
        <f>ROUND(F134*H134,2)</f>
        <v>165.09</v>
      </c>
    </row>
    <row r="135" spans="1:9" x14ac:dyDescent="0.3">
      <c r="A135" s="15" t="s">
        <v>49</v>
      </c>
      <c r="B135" s="49" t="str">
        <f>VLOOKUP(A135,MEMORIA!$A:$N,2,FALSE)</f>
        <v>INFRAESTRUTURA</v>
      </c>
      <c r="C135" s="50"/>
      <c r="D135" s="50"/>
      <c r="E135" s="50"/>
      <c r="F135" s="50"/>
      <c r="G135" s="50"/>
      <c r="H135" s="51"/>
      <c r="I135" s="16">
        <f>SUM($I$136:$I$138)</f>
        <v>1275.5</v>
      </c>
    </row>
    <row r="136" spans="1:9" ht="28.8" x14ac:dyDescent="0.3">
      <c r="A136" s="23" t="s">
        <v>243</v>
      </c>
      <c r="B136" s="23">
        <f>VLOOKUP(A136,MEMORIA!$A:$N,2,FALSE)</f>
        <v>96617</v>
      </c>
      <c r="C136" s="23" t="str">
        <f>VLOOKUP(A136,MEMORIA!$A:$N,3,FALSE)</f>
        <v>SINAPI</v>
      </c>
      <c r="D136" s="24" t="str">
        <f>VLOOKUP(A136,MEMORIA!$A:$N,4,FALSE)</f>
        <v>LASTRO DE CONCRETO MAGRO, APLICADO EM BLOCOS DE COROAMENTO OU SAPATAS, ESPESSURA DE 3 CM. AF_01/2024</v>
      </c>
      <c r="E136" s="23" t="str">
        <f>VLOOKUP(A136,MEMORIA!$A:$N,5,FALSE)</f>
        <v>M2</v>
      </c>
      <c r="F136" s="5">
        <f>VLOOKUP(A136,MEMORIA!$A:$N,14,FALSE)</f>
        <v>2.58</v>
      </c>
      <c r="G136" s="5">
        <f>VLOOKUP("TOTAL SEM BDI - "&amp;B136,CPU!$A:$J,9,FALSE)</f>
        <v>23.990000000000002</v>
      </c>
      <c r="H136" s="5">
        <f>VLOOKUP("TOTAL COM BDI - "&amp;B136,CPU!$A:$J,9,FALSE)</f>
        <v>29.950000000000003</v>
      </c>
      <c r="I136" s="5">
        <f>ROUND(F136*H136,2)</f>
        <v>77.27</v>
      </c>
    </row>
    <row r="137" spans="1:9" ht="28.8" x14ac:dyDescent="0.3">
      <c r="A137" s="23" t="s">
        <v>244</v>
      </c>
      <c r="B137" s="23">
        <f>VLOOKUP(A137,MEMORIA!$A:$N,2,FALSE)</f>
        <v>103800</v>
      </c>
      <c r="C137" s="23" t="str">
        <f>VLOOKUP(A137,MEMORIA!$A:$N,3,FALSE)</f>
        <v>SINAPI</v>
      </c>
      <c r="D137" s="24" t="str">
        <f>VLOOKUP(A137,MEMORIA!$A:$N,4,FALSE)</f>
        <v>PEDRA ARGAMASSADA COM CIMENTO E AREIA 1:3, 40% DE ARGAMASSA EM VOLUME - AREIA E PEDRA DE MÃO COMERCIAIS - FORNECIMENTO E ASSENTAMENTO. AF_08/2022</v>
      </c>
      <c r="E137" s="23" t="str">
        <f>VLOOKUP(A137,MEMORIA!$A:$N,5,FALSE)</f>
        <v>M3</v>
      </c>
      <c r="F137" s="5">
        <f>VLOOKUP(A137,MEMORIA!$A:$N,14,FALSE)</f>
        <v>1.04</v>
      </c>
      <c r="G137" s="5">
        <f>VLOOKUP("TOTAL SEM BDI - "&amp;B137,CPU!$A:$J,9,FALSE)</f>
        <v>680.59</v>
      </c>
      <c r="H137" s="5">
        <f>VLOOKUP("TOTAL COM BDI - "&amp;B137,CPU!$A:$J,9,FALSE)</f>
        <v>849.65000000000009</v>
      </c>
      <c r="I137" s="5">
        <f>ROUND(F137*H137,2)</f>
        <v>883.64</v>
      </c>
    </row>
    <row r="138" spans="1:9" ht="43.2" x14ac:dyDescent="0.3">
      <c r="A138" s="23" t="s">
        <v>245</v>
      </c>
      <c r="B138" s="23">
        <f>VLOOKUP(A138,MEMORIA!$A:$N,2,FALSE)</f>
        <v>103335</v>
      </c>
      <c r="C138" s="23" t="str">
        <f>VLOOKUP(A138,MEMORIA!$A:$N,3,FALSE)</f>
        <v>SINAPI</v>
      </c>
      <c r="D138" s="24" t="str">
        <f>VLOOKUP(A138,MEMORIA!$A:$N,4,FALSE)</f>
        <v>ALVENARIA DE VEDAÇÃO DE BLOCOS CERÂMICOS FURADOS NA HORIZONTAL DE 14X9X19 CM (ESPESSURA 14 CM, BLOCO DEITADO) E ARGAMASSA DE ASSENTAMENTO COM PREPARO MANUAL. AF_12/2021</v>
      </c>
      <c r="E138" s="23" t="str">
        <f>VLOOKUP(A138,MEMORIA!$A:$N,5,FALSE)</f>
        <v>M2</v>
      </c>
      <c r="F138" s="5">
        <f>VLOOKUP(A138,MEMORIA!$A:$N,14,FALSE)</f>
        <v>1.7200000000000002</v>
      </c>
      <c r="G138" s="5">
        <f>VLOOKUP("TOTAL SEM BDI - "&amp;B138,CPU!$A:$J,9,FALSE)</f>
        <v>146.51</v>
      </c>
      <c r="H138" s="5">
        <f>VLOOKUP("TOTAL COM BDI - "&amp;B138,CPU!$A:$J,9,FALSE)</f>
        <v>182.89999999999998</v>
      </c>
      <c r="I138" s="5">
        <f>ROUND(F138*H138,2)</f>
        <v>314.58999999999997</v>
      </c>
    </row>
    <row r="139" spans="1:9" x14ac:dyDescent="0.3">
      <c r="A139" s="15" t="s">
        <v>50</v>
      </c>
      <c r="B139" s="49" t="str">
        <f>VLOOKUP(A139,MEMORIA!$A:$N,2,FALSE)</f>
        <v>SUPERESTRUTURA</v>
      </c>
      <c r="C139" s="50"/>
      <c r="D139" s="50"/>
      <c r="E139" s="50"/>
      <c r="F139" s="50"/>
      <c r="G139" s="50"/>
      <c r="H139" s="51"/>
      <c r="I139" s="16">
        <f>SUM($I$140:$I$141)</f>
        <v>1347.9099999999999</v>
      </c>
    </row>
    <row r="140" spans="1:9" x14ac:dyDescent="0.3">
      <c r="A140" s="23" t="s">
        <v>246</v>
      </c>
      <c r="B140" s="23" t="str">
        <f>VLOOKUP(A140,MEMORIA!$A:$N,2,FALSE)</f>
        <v>COMPCOM01</v>
      </c>
      <c r="C140" s="23" t="str">
        <f>VLOOKUP(A140,MEMORIA!$A:$N,3,FALSE)</f>
        <v>PRÓPRIA</v>
      </c>
      <c r="D140" s="24" t="str">
        <f>VLOOKUP(A140,MEMORIA!$A:$N,4,FALSE)</f>
        <v>CINTA DE AMARRAÇÃO DE ALVENARIA MOLDADA IN LOCO EM CONCRETO</v>
      </c>
      <c r="E140" s="23" t="str">
        <f>VLOOKUP(A140,MEMORIA!$A:$N,5,FALSE)</f>
        <v>M</v>
      </c>
      <c r="F140" s="5">
        <f>VLOOKUP(A140,MEMORIA!$A:$N,14,FALSE)</f>
        <v>8.6</v>
      </c>
      <c r="G140" s="5">
        <f>VLOOKUP("TOTAL SEM BDI - "&amp;B140,CPU!$A:$J,9,FALSE)</f>
        <v>81.56</v>
      </c>
      <c r="H140" s="5">
        <f>VLOOKUP("TOTAL COM BDI - "&amp;B140,CPU!$A:$J,9,FALSE)</f>
        <v>101.82000000000001</v>
      </c>
      <c r="I140" s="5">
        <f>ROUND(F140*H140,2)</f>
        <v>875.65</v>
      </c>
    </row>
    <row r="141" spans="1:9" ht="28.8" x14ac:dyDescent="0.3">
      <c r="A141" s="23" t="s">
        <v>247</v>
      </c>
      <c r="B141" s="23" t="str">
        <f>VLOOKUP(A141,MEMORIA!$A:$N,2,FALSE)</f>
        <v>COMPCOM02</v>
      </c>
      <c r="C141" s="23" t="str">
        <f>VLOOKUP(A141,MEMORIA!$A:$N,3,FALSE)</f>
        <v>PRÓPRIA</v>
      </c>
      <c r="D141" s="24" t="str">
        <f>VLOOKUP(A141,MEMORIA!$A:$N,4,FALSE)</f>
        <v>(COMPOSIÇÃO REPRESENTATIVA) EXECUÇÃO DE ESTRUTURAS DE CONCRETO ARMADO, PARA EDIFICAÇÃO INSTITUCIONAL TÉRREA, FCK = 25 MPA</v>
      </c>
      <c r="E141" s="23" t="str">
        <f>VLOOKUP(A141,MEMORIA!$A:$N,5,FALSE)</f>
        <v>M³</v>
      </c>
      <c r="F141" s="5">
        <f>VLOOKUP(A141,MEMORIA!$A:$N,14,FALSE)</f>
        <v>0.30000000000000004</v>
      </c>
      <c r="G141" s="5">
        <f>VLOOKUP("TOTAL SEM BDI - "&amp;B141,CPU!$A:$J,9,FALSE)</f>
        <v>1260.97</v>
      </c>
      <c r="H141" s="5">
        <f>VLOOKUP("TOTAL COM BDI - "&amp;B141,CPU!$A:$J,9,FALSE)</f>
        <v>1574.19</v>
      </c>
      <c r="I141" s="5">
        <f>ROUND(F141*H141,2)</f>
        <v>472.26</v>
      </c>
    </row>
    <row r="142" spans="1:9" x14ac:dyDescent="0.3">
      <c r="A142" s="15" t="s">
        <v>51</v>
      </c>
      <c r="B142" s="49" t="str">
        <f>VLOOKUP(A142,MEMORIA!$A:$N,2,FALSE)</f>
        <v>VEDAÇÃO VERTICAL</v>
      </c>
      <c r="C142" s="50"/>
      <c r="D142" s="50"/>
      <c r="E142" s="50"/>
      <c r="F142" s="50"/>
      <c r="G142" s="50"/>
      <c r="H142" s="51"/>
      <c r="I142" s="16">
        <f>SUM($I$143:$I$144)</f>
        <v>2674.92</v>
      </c>
    </row>
    <row r="143" spans="1:9" ht="43.2" x14ac:dyDescent="0.3">
      <c r="A143" s="23" t="s">
        <v>248</v>
      </c>
      <c r="B143" s="23">
        <f>VLOOKUP(A143,MEMORIA!$A:$N,2,FALSE)</f>
        <v>103329</v>
      </c>
      <c r="C143" s="23" t="str">
        <f>VLOOKUP(A143,MEMORIA!$A:$N,3,FALSE)</f>
        <v>SINAPI</v>
      </c>
      <c r="D143" s="24" t="str">
        <f>VLOOKUP(A143,MEMORIA!$A:$N,4,FALSE)</f>
        <v>ALVENARIA DE VEDAÇÃO DE BLOCOS CERÂMICOS FURADOS NA HORIZONTAL DE 9X19X19 CM (ESPESSURA 9 CM) E ARGAMASSA DE ASSENTAMENTO COM PREPARO MANUAL. AF_12/2021</v>
      </c>
      <c r="E143" s="23" t="str">
        <f>VLOOKUP(A143,MEMORIA!$A:$N,5,FALSE)</f>
        <v>M2</v>
      </c>
      <c r="F143" s="5">
        <f>VLOOKUP(A143,MEMORIA!$A:$N,14,FALSE)</f>
        <v>19.310000000000002</v>
      </c>
      <c r="G143" s="5">
        <f>VLOOKUP("TOTAL SEM BDI - "&amp;B143,CPU!$A:$J,9,FALSE)</f>
        <v>95.08</v>
      </c>
      <c r="H143" s="5">
        <f>VLOOKUP("TOTAL COM BDI - "&amp;B143,CPU!$A:$J,9,FALSE)</f>
        <v>118.7</v>
      </c>
      <c r="I143" s="5">
        <f>ROUND(F143*H143,2)</f>
        <v>2292.1</v>
      </c>
    </row>
    <row r="144" spans="1:9" ht="43.2" x14ac:dyDescent="0.3">
      <c r="A144" s="23" t="s">
        <v>249</v>
      </c>
      <c r="B144" s="23">
        <f>VLOOKUP(A144,MEMORIA!$A:$N,2,FALSE)</f>
        <v>101161</v>
      </c>
      <c r="C144" s="23" t="str">
        <f>VLOOKUP(A144,MEMORIA!$A:$N,3,FALSE)</f>
        <v>SINAPI</v>
      </c>
      <c r="D144" s="24" t="str">
        <f>VLOOKUP(A144,MEMORIA!$A:$N,4,FALSE)</f>
        <v>ALVENARIA DE VEDAÇÃO COM ELEMENTO VAZADO DE CONCRETO (COBOGÓ) DE 7X50X50CM E ARGAMASSA DE ASSENTAMENTO COM PREPARO EM BETONEIRA. AF_05/2020</v>
      </c>
      <c r="E144" s="23" t="str">
        <f>VLOOKUP(A144,MEMORIA!$A:$N,5,FALSE)</f>
        <v>M2</v>
      </c>
      <c r="F144" s="5">
        <f>VLOOKUP(A144,MEMORIA!$A:$N,14,FALSE)</f>
        <v>1.5</v>
      </c>
      <c r="G144" s="5">
        <f>VLOOKUP("TOTAL SEM BDI - "&amp;B144,CPU!$A:$J,9,FALSE)</f>
        <v>204.43</v>
      </c>
      <c r="H144" s="5">
        <f>VLOOKUP("TOTAL COM BDI - "&amp;B144,CPU!$A:$J,9,FALSE)</f>
        <v>255.21</v>
      </c>
      <c r="I144" s="5">
        <f>ROUND(F144*H144,2)</f>
        <v>382.82</v>
      </c>
    </row>
    <row r="145" spans="1:9" x14ac:dyDescent="0.3">
      <c r="A145" s="15" t="s">
        <v>52</v>
      </c>
      <c r="B145" s="49" t="str">
        <f>VLOOKUP(A145,MEMORIA!$A:$N,2,FALSE)</f>
        <v>COBERTURA</v>
      </c>
      <c r="C145" s="50"/>
      <c r="D145" s="50"/>
      <c r="E145" s="50"/>
      <c r="F145" s="50"/>
      <c r="G145" s="50"/>
      <c r="H145" s="51"/>
      <c r="I145" s="16">
        <f>SUM($I$146:$I$147)</f>
        <v>1332.15</v>
      </c>
    </row>
    <row r="146" spans="1:9" ht="28.8" x14ac:dyDescent="0.3">
      <c r="A146" s="23" t="s">
        <v>250</v>
      </c>
      <c r="B146" s="23" t="str">
        <f>VLOOKUP(A146,MEMORIA!$A:$N,2,FALSE)</f>
        <v>COMPCOM03</v>
      </c>
      <c r="C146" s="23" t="str">
        <f>VLOOKUP(A146,MEMORIA!$A:$N,3,FALSE)</f>
        <v>PRÓPRIA</v>
      </c>
      <c r="D146" s="24" t="str">
        <f>VLOOKUP(A146,MEMORIA!$A:$N,4,FALSE)</f>
        <v>TELHAMENTO COM TELHA CERÂMICA CAPA-CANAL, TIPO COLONIAL, COM ATÉ 2 ÁGUAS, INCLUSO TRANSPORTE VERTICAL</v>
      </c>
      <c r="E146" s="23" t="str">
        <f>VLOOKUP(A146,MEMORIA!$A:$N,5,FALSE)</f>
        <v>M²</v>
      </c>
      <c r="F146" s="5">
        <f>VLOOKUP(A146,MEMORIA!$A:$N,14,FALSE)</f>
        <v>10.23</v>
      </c>
      <c r="G146" s="5">
        <f>VLOOKUP("TOTAL SEM BDI - "&amp;B146,CPU!$A:$J,9,FALSE)</f>
        <v>37.64</v>
      </c>
      <c r="H146" s="5">
        <f>VLOOKUP("TOTAL COM BDI - "&amp;B146,CPU!$A:$J,9,FALSE)</f>
        <v>46.99</v>
      </c>
      <c r="I146" s="5">
        <f>ROUND(F146*H146,2)</f>
        <v>480.71</v>
      </c>
    </row>
    <row r="147" spans="1:9" ht="28.8" x14ac:dyDescent="0.3">
      <c r="A147" s="23" t="s">
        <v>251</v>
      </c>
      <c r="B147" s="23" t="str">
        <f>VLOOKUP(A147,MEMORIA!$A:$N,2,FALSE)</f>
        <v>COMPCOM04</v>
      </c>
      <c r="C147" s="23" t="str">
        <f>VLOOKUP(A147,MEMORIA!$A:$N,3,FALSE)</f>
        <v>PRÓPRIA</v>
      </c>
      <c r="D147" s="24" t="str">
        <f>VLOOKUP(A147,MEMORIA!$A:$N,4,FALSE)</f>
        <v>TRAMA DE MADEIRA COMPOSTA POR RIPAS, CAIBROS E TERÇAS PARA TELHADOS DE ATÉ 2 ÁGUAS PARA TELHA CERÂMICA CAPA-CANAL, INCLUSO TRANSPORTE VERTICAL</v>
      </c>
      <c r="E147" s="23" t="str">
        <f>VLOOKUP(A147,MEMORIA!$A:$N,5,FALSE)</f>
        <v>M²</v>
      </c>
      <c r="F147" s="5">
        <f>VLOOKUP(A147,MEMORIA!$A:$N,14,FALSE)</f>
        <v>10.23</v>
      </c>
      <c r="G147" s="5">
        <f>VLOOKUP("TOTAL SEM BDI - "&amp;B147,CPU!$A:$J,9,FALSE)</f>
        <v>66.67</v>
      </c>
      <c r="H147" s="5">
        <f>VLOOKUP("TOTAL COM BDI - "&amp;B147,CPU!$A:$J,9,FALSE)</f>
        <v>83.23</v>
      </c>
      <c r="I147" s="5">
        <f>ROUND(F147*H147,2)</f>
        <v>851.44</v>
      </c>
    </row>
    <row r="148" spans="1:9" x14ac:dyDescent="0.3">
      <c r="A148" s="15" t="s">
        <v>53</v>
      </c>
      <c r="B148" s="49" t="str">
        <f>VLOOKUP(A148,MEMORIA!$A:$N,2,FALSE)</f>
        <v>PISO</v>
      </c>
      <c r="C148" s="50"/>
      <c r="D148" s="50"/>
      <c r="E148" s="50"/>
      <c r="F148" s="50"/>
      <c r="G148" s="50"/>
      <c r="H148" s="51"/>
      <c r="I148" s="16">
        <f>SUM($I$149:$I$151)</f>
        <v>1208.82</v>
      </c>
    </row>
    <row r="149" spans="1:9" ht="28.8" x14ac:dyDescent="0.3">
      <c r="A149" s="23" t="s">
        <v>252</v>
      </c>
      <c r="B149" s="23">
        <f>VLOOKUP(A149,MEMORIA!$A:$N,2,FALSE)</f>
        <v>96617</v>
      </c>
      <c r="C149" s="23" t="str">
        <f>VLOOKUP(A149,MEMORIA!$A:$N,3,FALSE)</f>
        <v>SINAPI</v>
      </c>
      <c r="D149" s="24" t="str">
        <f>VLOOKUP(A149,MEMORIA!$A:$N,4,FALSE)</f>
        <v>LASTRO DE CONCRETO MAGRO, APLICADO EM BLOCOS DE COROAMENTO OU SAPATAS, ESPESSURA DE 3 CM. AF_01/2024</v>
      </c>
      <c r="E149" s="23" t="str">
        <f>VLOOKUP(A149,MEMORIA!$A:$N,5,FALSE)</f>
        <v>M2</v>
      </c>
      <c r="F149" s="5">
        <f>VLOOKUP(A149,MEMORIA!$A:$N,14,FALSE)</f>
        <v>4</v>
      </c>
      <c r="G149" s="5">
        <f>VLOOKUP("TOTAL SEM BDI - "&amp;B149,CPU!$A:$J,9,FALSE)</f>
        <v>23.990000000000002</v>
      </c>
      <c r="H149" s="5">
        <f>VLOOKUP("TOTAL COM BDI - "&amp;B149,CPU!$A:$J,9,FALSE)</f>
        <v>29.950000000000003</v>
      </c>
      <c r="I149" s="5">
        <f>ROUND(F149*H149,2)</f>
        <v>119.8</v>
      </c>
    </row>
    <row r="150" spans="1:9" ht="28.8" x14ac:dyDescent="0.3">
      <c r="A150" s="23" t="s">
        <v>253</v>
      </c>
      <c r="B150" s="23">
        <f>VLOOKUP(A150,MEMORIA!$A:$N,2,FALSE)</f>
        <v>101749</v>
      </c>
      <c r="C150" s="23" t="str">
        <f>VLOOKUP(A150,MEMORIA!$A:$N,3,FALSE)</f>
        <v>SINAPI</v>
      </c>
      <c r="D150" s="24" t="str">
        <f>VLOOKUP(A150,MEMORIA!$A:$N,4,FALSE)</f>
        <v>PISO CIMENTADO, TRAÇO 1:3 (CIMENTO E AREIA), ACABAMENTO LISO, ESPESSURA 4,0 CM, PREPARO MECÂNICO DA ARGAMASSA. AF_09/2020</v>
      </c>
      <c r="E150" s="23" t="str">
        <f>VLOOKUP(A150,MEMORIA!$A:$N,5,FALSE)</f>
        <v>M2</v>
      </c>
      <c r="F150" s="5">
        <f>VLOOKUP(A150,MEMORIA!$A:$N,14,FALSE)</f>
        <v>4</v>
      </c>
      <c r="G150" s="5">
        <f>VLOOKUP("TOTAL SEM BDI - "&amp;B150,CPU!$A:$J,9,FALSE)</f>
        <v>64.739999999999995</v>
      </c>
      <c r="H150" s="5">
        <f>VLOOKUP("TOTAL COM BDI - "&amp;B150,CPU!$A:$J,9,FALSE)</f>
        <v>80.819999999999993</v>
      </c>
      <c r="I150" s="5">
        <f>ROUND(F150*H150,2)</f>
        <v>323.27999999999997</v>
      </c>
    </row>
    <row r="151" spans="1:9" ht="43.2" x14ac:dyDescent="0.3">
      <c r="A151" s="23" t="s">
        <v>254</v>
      </c>
      <c r="B151" s="23">
        <f>VLOOKUP(A151,MEMORIA!$A:$N,2,FALSE)</f>
        <v>94994</v>
      </c>
      <c r="C151" s="23" t="str">
        <f>VLOOKUP(A151,MEMORIA!$A:$N,3,FALSE)</f>
        <v>SINAPI</v>
      </c>
      <c r="D151" s="24" t="str">
        <f>VLOOKUP(A151,MEMORIA!$A:$N,4,FALSE)</f>
        <v>EXECUÇÃO DE PASSEIO (CALÇADA) OU PISO DE CONCRETO COM CONCRETO MOLDADO IN LOCO, FEITO EM OBRA, ACABAMENTO CONVENCIONAL, ESPESSURA 8 CM, ARMADO. AF_08/2022</v>
      </c>
      <c r="E151" s="23" t="str">
        <f>VLOOKUP(A151,MEMORIA!$A:$N,5,FALSE)</f>
        <v>M2</v>
      </c>
      <c r="F151" s="5">
        <f>VLOOKUP(A151,MEMORIA!$A:$N,14,FALSE)</f>
        <v>5.6</v>
      </c>
      <c r="G151" s="5">
        <f>VLOOKUP("TOTAL SEM BDI - "&amp;B151,CPU!$A:$J,9,FALSE)</f>
        <v>109.53000000000002</v>
      </c>
      <c r="H151" s="5">
        <f>VLOOKUP("TOTAL COM BDI - "&amp;B151,CPU!$A:$J,9,FALSE)</f>
        <v>136.74</v>
      </c>
      <c r="I151" s="5">
        <f>ROUND(F151*H151,2)</f>
        <v>765.74</v>
      </c>
    </row>
    <row r="152" spans="1:9" x14ac:dyDescent="0.3">
      <c r="A152" s="15" t="s">
        <v>54</v>
      </c>
      <c r="B152" s="49" t="str">
        <f>VLOOKUP(A152,MEMORIA!$A:$N,2,FALSE)</f>
        <v>REVESTIMENTO</v>
      </c>
      <c r="C152" s="50"/>
      <c r="D152" s="50"/>
      <c r="E152" s="50"/>
      <c r="F152" s="50"/>
      <c r="G152" s="50"/>
      <c r="H152" s="51"/>
      <c r="I152" s="16">
        <f>SUM($I$153:$I$154)</f>
        <v>2396.75</v>
      </c>
    </row>
    <row r="153" spans="1:9" ht="43.2" x14ac:dyDescent="0.3">
      <c r="A153" s="23" t="s">
        <v>255</v>
      </c>
      <c r="B153" s="23">
        <f>VLOOKUP(A153,MEMORIA!$A:$N,2,FALSE)</f>
        <v>87904</v>
      </c>
      <c r="C153" s="23" t="str">
        <f>VLOOKUP(A153,MEMORIA!$A:$N,3,FALSE)</f>
        <v>SINAPI</v>
      </c>
      <c r="D153" s="24" t="str">
        <f>VLOOKUP(A153,MEMORIA!$A:$N,4,FALSE)</f>
        <v>CHAPISCO APLICADO EM ALVENARIA (COM PRESENÇA DE VÃOS) E ESTRUTURAS DE CONCRETO DE FACHADA, COM COLHER DE PEDREIRO. ARGAMASSA TRAÇO 1:3 COM PREPARO MANUAL. AF_10/2022</v>
      </c>
      <c r="E153" s="23" t="str">
        <f>VLOOKUP(A153,MEMORIA!$A:$N,5,FALSE)</f>
        <v>M2</v>
      </c>
      <c r="F153" s="5">
        <f>VLOOKUP(A153,MEMORIA!$A:$N,14,FALSE)</f>
        <v>38.619999999999997</v>
      </c>
      <c r="G153" s="5">
        <f>VLOOKUP("TOTAL SEM BDI - "&amp;B153,CPU!$A:$J,9,FALSE)</f>
        <v>8.74</v>
      </c>
      <c r="H153" s="5">
        <f>VLOOKUP("TOTAL COM BDI - "&amp;B153,CPU!$A:$J,9,FALSE)</f>
        <v>10.91</v>
      </c>
      <c r="I153" s="5">
        <f>ROUND(F153*H153,2)</f>
        <v>421.34</v>
      </c>
    </row>
    <row r="154" spans="1:9" ht="43.2" x14ac:dyDescent="0.3">
      <c r="A154" s="23" t="s">
        <v>256</v>
      </c>
      <c r="B154" s="23">
        <f>VLOOKUP(A154,MEMORIA!$A:$N,2,FALSE)</f>
        <v>87530</v>
      </c>
      <c r="C154" s="23" t="str">
        <f>VLOOKUP(A154,MEMORIA!$A:$N,3,FALSE)</f>
        <v>SINAPI</v>
      </c>
      <c r="D154" s="24" t="str">
        <f>VLOOKUP(A154,MEMORIA!$A:$N,4,FALSE)</f>
        <v>MASSA ÚNICA, EM ARGAMASSA TRAÇO 1:2:8, PREPARO MANUAL, APLICADA MANUALMENTE EM PAREDES INTERNAS DE AMBIENTES COM ÁREA ENTRE 5M² E 10M², E = 17,5MM, COM TALISCAS. AF_03/2024</v>
      </c>
      <c r="E154" s="23" t="str">
        <f>VLOOKUP(A154,MEMORIA!$A:$N,5,FALSE)</f>
        <v>M2</v>
      </c>
      <c r="F154" s="5">
        <f>VLOOKUP(A154,MEMORIA!$A:$N,14,FALSE)</f>
        <v>38.619999999999997</v>
      </c>
      <c r="G154" s="5">
        <f>VLOOKUP("TOTAL SEM BDI - "&amp;B154,CPU!$A:$J,9,FALSE)</f>
        <v>40.97</v>
      </c>
      <c r="H154" s="5">
        <f>VLOOKUP("TOTAL COM BDI - "&amp;B154,CPU!$A:$J,9,FALSE)</f>
        <v>51.15</v>
      </c>
      <c r="I154" s="5">
        <f>ROUND(F154*H154,2)</f>
        <v>1975.41</v>
      </c>
    </row>
    <row r="155" spans="1:9" x14ac:dyDescent="0.3">
      <c r="A155" s="15" t="s">
        <v>55</v>
      </c>
      <c r="B155" s="49" t="str">
        <f>VLOOKUP(A155,MEMORIA!$A:$N,2,FALSE)</f>
        <v>ESQUADRIAS</v>
      </c>
      <c r="C155" s="50"/>
      <c r="D155" s="50"/>
      <c r="E155" s="50"/>
      <c r="F155" s="50"/>
      <c r="G155" s="50"/>
      <c r="H155" s="51"/>
      <c r="I155" s="16">
        <f>SUM($I$156:$I$157)</f>
        <v>4550.21</v>
      </c>
    </row>
    <row r="156" spans="1:9" x14ac:dyDescent="0.3">
      <c r="A156" s="23" t="s">
        <v>257</v>
      </c>
      <c r="B156" s="23">
        <f>VLOOKUP(A156,MEMORIA!$A:$N,2,FALSE)</f>
        <v>100701</v>
      </c>
      <c r="C156" s="23" t="str">
        <f>VLOOKUP(A156,MEMORIA!$A:$N,3,FALSE)</f>
        <v>SINAPI</v>
      </c>
      <c r="D156" s="24" t="str">
        <f>VLOOKUP(A156,MEMORIA!$A:$N,4,FALSE)</f>
        <v>PORTA DE FERRO, DE ABRIR, TIPO GRADE COM CHAPA, COM GUARNIÇÕES. AF_12/2019</v>
      </c>
      <c r="E156" s="23" t="str">
        <f>VLOOKUP(A156,MEMORIA!$A:$N,5,FALSE)</f>
        <v>M2</v>
      </c>
      <c r="F156" s="5">
        <f>VLOOKUP(A156,MEMORIA!$A:$N,14,FALSE)</f>
        <v>1.68</v>
      </c>
      <c r="G156" s="5">
        <f>VLOOKUP("TOTAL SEM BDI - "&amp;B156,CPU!$A:$J,9,FALSE)</f>
        <v>415.3</v>
      </c>
      <c r="H156" s="5">
        <f>VLOOKUP("TOTAL COM BDI - "&amp;B156,CPU!$A:$J,9,FALSE)</f>
        <v>518.46</v>
      </c>
      <c r="I156" s="5">
        <f>ROUND(F156*H156,2)</f>
        <v>871.01</v>
      </c>
    </row>
    <row r="157" spans="1:9" ht="28.8" x14ac:dyDescent="0.3">
      <c r="A157" s="23" t="s">
        <v>258</v>
      </c>
      <c r="B157" s="23" t="str">
        <f>VLOOKUP(A157,MEMORIA!$A:$N,2,FALSE)</f>
        <v>C3659</v>
      </c>
      <c r="C157" s="23" t="str">
        <f>VLOOKUP(A157,MEMORIA!$A:$N,3,FALSE)</f>
        <v>SEINFRA</v>
      </c>
      <c r="D157" s="24" t="str">
        <f>VLOOKUP(A157,MEMORIA!$A:$N,4,FALSE)</f>
        <v>PORTÃO DE METALON E BARRA CHATA DE FERRO C/FECHADURA E DOBRADIÇA, INCLUS. PINTURA ESMALTE SINTÉTICO</v>
      </c>
      <c r="E157" s="23" t="str">
        <f>VLOOKUP(A157,MEMORIA!$A:$N,5,FALSE)</f>
        <v>M2</v>
      </c>
      <c r="F157" s="5">
        <f>VLOOKUP(A157,MEMORIA!$A:$N,14,FALSE)</f>
        <v>6</v>
      </c>
      <c r="G157" s="5">
        <f>VLOOKUP("TOTAL SEM BDI - "&amp;B157,CPU!$A:$J,9,FALSE)</f>
        <v>491.19000000000005</v>
      </c>
      <c r="H157" s="5">
        <f>VLOOKUP("TOTAL COM BDI - "&amp;B157,CPU!$A:$J,9,FALSE)</f>
        <v>613.20000000000005</v>
      </c>
      <c r="I157" s="5">
        <f>ROUND(F157*H157,2)</f>
        <v>3679.2</v>
      </c>
    </row>
    <row r="158" spans="1:9" x14ac:dyDescent="0.3">
      <c r="A158" s="15" t="s">
        <v>56</v>
      </c>
      <c r="B158" s="49" t="str">
        <f>VLOOKUP(A158,MEMORIA!$A:$N,2,FALSE)</f>
        <v>PINTURA</v>
      </c>
      <c r="C158" s="50"/>
      <c r="D158" s="50"/>
      <c r="E158" s="50"/>
      <c r="F158" s="50"/>
      <c r="G158" s="50"/>
      <c r="H158" s="51"/>
      <c r="I158" s="16">
        <f>SUM($I$159:$I$160)</f>
        <v>663.11</v>
      </c>
    </row>
    <row r="159" spans="1:9" x14ac:dyDescent="0.3">
      <c r="A159" s="23" t="s">
        <v>259</v>
      </c>
      <c r="B159" s="23" t="str">
        <f>VLOOKUP(A159,MEMORIA!$A:$N,2,FALSE)</f>
        <v>COMP205</v>
      </c>
      <c r="C159" s="23" t="str">
        <f>VLOOKUP(A159,MEMORIA!$A:$N,3,FALSE)</f>
        <v>PRÓPRIA</v>
      </c>
      <c r="D159" s="24" t="str">
        <f>VLOOKUP(A159,MEMORIA!$A:$N,4,FALSE)</f>
        <v>CAIAÇÃO EM TRES DEMÃOS EM PAREDES (REF: C0589-SEINFRA 28)</v>
      </c>
      <c r="E159" s="23" t="str">
        <f>VLOOKUP(A159,MEMORIA!$A:$N,5,FALSE)</f>
        <v>M2</v>
      </c>
      <c r="F159" s="5">
        <f>VLOOKUP(A159,MEMORIA!$A:$N,14,FALSE)</f>
        <v>38.619999999999997</v>
      </c>
      <c r="G159" s="5">
        <f>VLOOKUP("TOTAL SEM BDI - "&amp;B159,CPU!$A:$J,9,FALSE)</f>
        <v>9.3800000000000008</v>
      </c>
      <c r="H159" s="5">
        <f>VLOOKUP("TOTAL COM BDI - "&amp;B159,CPU!$A:$J,9,FALSE)</f>
        <v>11.71</v>
      </c>
      <c r="I159" s="5">
        <f>ROUND(F159*H159,2)</f>
        <v>452.24</v>
      </c>
    </row>
    <row r="160" spans="1:9" ht="43.2" x14ac:dyDescent="0.3">
      <c r="A160" s="23" t="s">
        <v>260</v>
      </c>
      <c r="B160" s="23">
        <f>VLOOKUP(A160,MEMORIA!$A:$N,2,FALSE)</f>
        <v>100758</v>
      </c>
      <c r="C160" s="23" t="str">
        <f>VLOOKUP(A160,MEMORIA!$A:$N,3,FALSE)</f>
        <v>SINAPI</v>
      </c>
      <c r="D160" s="24" t="str">
        <f>VLOOKUP(A160,MEMORIA!$A:$N,4,FALSE)</f>
        <v>PINTURA COM TINTA ALQUÍDICA DE ACABAMENTO (ESMALTE SINTÉTICO ACETINADO) APLICADA A ROLO OU PINCEL SOBRE SUPERFÍCIES METÁLICAS (EXCETO PERFIL) EXECUTADO EM OBRA (02 DEMÃOS). AF_01/2020</v>
      </c>
      <c r="E160" s="23" t="str">
        <f>VLOOKUP(A160,MEMORIA!$A:$N,5,FALSE)</f>
        <v>M2</v>
      </c>
      <c r="F160" s="5">
        <f>VLOOKUP(A160,MEMORIA!$A:$N,14,FALSE)</f>
        <v>3.36</v>
      </c>
      <c r="G160" s="5">
        <f>VLOOKUP("TOTAL SEM BDI - "&amp;B160,CPU!$A:$J,9,FALSE)</f>
        <v>50.269999999999996</v>
      </c>
      <c r="H160" s="5">
        <f>VLOOKUP("TOTAL COM BDI - "&amp;B160,CPU!$A:$J,9,FALSE)</f>
        <v>62.76</v>
      </c>
      <c r="I160" s="5">
        <f>ROUND(F160*H160,2)</f>
        <v>210.87</v>
      </c>
    </row>
    <row r="161" spans="1:9" x14ac:dyDescent="0.3">
      <c r="A161" s="15" t="s">
        <v>57</v>
      </c>
      <c r="B161" s="49" t="str">
        <f>VLOOKUP(A161,MEMORIA!$A:$N,2,FALSE)</f>
        <v>CERCAMENTO</v>
      </c>
      <c r="C161" s="50"/>
      <c r="D161" s="50"/>
      <c r="E161" s="50"/>
      <c r="F161" s="50"/>
      <c r="G161" s="50"/>
      <c r="H161" s="51"/>
      <c r="I161" s="16">
        <f>SUM($I$162:$I$162)</f>
        <v>6063.93</v>
      </c>
    </row>
    <row r="162" spans="1:9" ht="43.2" x14ac:dyDescent="0.3">
      <c r="A162" s="23" t="s">
        <v>261</v>
      </c>
      <c r="B162" s="23">
        <f>VLOOKUP(A162,MEMORIA!$A:$N,2,FALSE)</f>
        <v>101197</v>
      </c>
      <c r="C162" s="23" t="str">
        <f>VLOOKUP(A162,MEMORIA!$A:$N,3,FALSE)</f>
        <v>SINAPI</v>
      </c>
      <c r="D162" s="24" t="str">
        <f>VLOOKUP(A162,MEMORIA!$A:$N,4,FALSE)</f>
        <v>CERCA COM MOURÕES DE CONCRETO, SEÇÃO "T" PONTA INCLINADA, 10X10 CM, ESPAÇAMENTO DE 2,5 M, CRAVADOS 0,5 M, COM 11 FIOS DE ARAME FARPADO Nº 14 - FORNECIMENTO E INSTALAÇÃO. AF_05/2020</v>
      </c>
      <c r="E162" s="23" t="str">
        <f>VLOOKUP(A162,MEMORIA!$A:$N,5,FALSE)</f>
        <v>M</v>
      </c>
      <c r="F162" s="5">
        <f>VLOOKUP(A162,MEMORIA!$A:$N,14,FALSE)</f>
        <v>37</v>
      </c>
      <c r="G162" s="5">
        <f>VLOOKUP("TOTAL SEM BDI - "&amp;B162,CPU!$A:$J,9,FALSE)</f>
        <v>131.28</v>
      </c>
      <c r="H162" s="5">
        <f>VLOOKUP("TOTAL COM BDI - "&amp;B162,CPU!$A:$J,9,FALSE)</f>
        <v>163.89</v>
      </c>
      <c r="I162" s="5">
        <f>ROUND(F162*H162,2)</f>
        <v>6063.93</v>
      </c>
    </row>
    <row r="163" spans="1:9" x14ac:dyDescent="0.3">
      <c r="A163" s="12" t="s">
        <v>58</v>
      </c>
      <c r="B163" s="46" t="str">
        <f>VLOOKUP(A163,MEMORIA!$A:$N,2,FALSE)</f>
        <v>INSTALAÇÕES ELÉTRICAS</v>
      </c>
      <c r="C163" s="47"/>
      <c r="D163" s="47"/>
      <c r="E163" s="47"/>
      <c r="F163" s="47"/>
      <c r="G163" s="47"/>
      <c r="H163" s="48"/>
      <c r="I163" s="13">
        <f>SUM($I$164:$I$171)</f>
        <v>1853.2700000000002</v>
      </c>
    </row>
    <row r="164" spans="1:9" ht="43.2" x14ac:dyDescent="0.3">
      <c r="A164" s="23" t="s">
        <v>262</v>
      </c>
      <c r="B164" s="23" t="str">
        <f>VLOOKUP(A164,MEMORIA!$A:$N,2,FALSE)</f>
        <v>COMPINST05</v>
      </c>
      <c r="C164" s="23" t="str">
        <f>VLOOKUP(A164,MEMORIA!$A:$N,3,FALSE)</f>
        <v>PRÓPRIA</v>
      </c>
      <c r="D164" s="24" t="str">
        <f>VLOOKUP(A164,MEMORIA!$A:$N,4,FALSE)</f>
        <v>ENTRADA DE ENERGIA ELÉTRICA, AÉREA, MONOFÁSICA, COM CAIXA DE EMBUTIR, CABO DE 10 MM2 E DISJUNTOR DIN 50A (NÃO INCLUSO O POSTE DE CONCRETO). AF_07/2020_PS (REF: 101493-SINAPI-06/2025)</v>
      </c>
      <c r="E164" s="23" t="str">
        <f>VLOOKUP(A164,MEMORIA!$A:$N,5,FALSE)</f>
        <v>UN</v>
      </c>
      <c r="F164" s="5">
        <f>VLOOKUP(A164,MEMORIA!$A:$N,14,FALSE)</f>
        <v>1</v>
      </c>
      <c r="G164" s="5">
        <f>VLOOKUP("TOTAL SEM BDI - "&amp;B164,CPU!$A:$J,9,FALSE)</f>
        <v>967.24</v>
      </c>
      <c r="H164" s="5">
        <f>VLOOKUP("TOTAL COM BDI - "&amp;B164,CPU!$A:$J,9,FALSE)</f>
        <v>1207.5</v>
      </c>
      <c r="I164" s="5">
        <f t="shared" ref="I164:I171" si="6">ROUND(F164*H164,2)</f>
        <v>1207.5</v>
      </c>
    </row>
    <row r="165" spans="1:9" ht="28.8" x14ac:dyDescent="0.3">
      <c r="A165" s="23" t="s">
        <v>263</v>
      </c>
      <c r="B165" s="23">
        <f>VLOOKUP(A165,MEMORIA!$A:$N,2,FALSE)</f>
        <v>93656</v>
      </c>
      <c r="C165" s="23" t="str">
        <f>VLOOKUP(A165,MEMORIA!$A:$N,3,FALSE)</f>
        <v>SINAPI</v>
      </c>
      <c r="D165" s="24" t="str">
        <f>VLOOKUP(A165,MEMORIA!$A:$N,4,FALSE)</f>
        <v>DISJUNTOR MONOPOLAR TIPO DIN, CORRENTE NOMINAL DE 25A - FORNECIMENTO E INSTALAÇÃO. AF_10/2020</v>
      </c>
      <c r="E165" s="23" t="str">
        <f>VLOOKUP(A165,MEMORIA!$A:$N,5,FALSE)</f>
        <v>UN</v>
      </c>
      <c r="F165" s="5">
        <f>VLOOKUP(A165,MEMORIA!$A:$N,14,FALSE)</f>
        <v>1</v>
      </c>
      <c r="G165" s="5">
        <f>VLOOKUP("TOTAL SEM BDI - "&amp;B165,CPU!$A:$J,9,FALSE)</f>
        <v>13.33</v>
      </c>
      <c r="H165" s="5">
        <f>VLOOKUP("TOTAL COM BDI - "&amp;B165,CPU!$A:$J,9,FALSE)</f>
        <v>16.64</v>
      </c>
      <c r="I165" s="5">
        <f t="shared" si="6"/>
        <v>16.64</v>
      </c>
    </row>
    <row r="166" spans="1:9" ht="28.8" x14ac:dyDescent="0.3">
      <c r="A166" s="23" t="s">
        <v>264</v>
      </c>
      <c r="B166" s="23">
        <f>VLOOKUP(A166,MEMORIA!$A:$N,2,FALSE)</f>
        <v>93653</v>
      </c>
      <c r="C166" s="23" t="str">
        <f>VLOOKUP(A166,MEMORIA!$A:$N,3,FALSE)</f>
        <v>SINAPI</v>
      </c>
      <c r="D166" s="24" t="str">
        <f>VLOOKUP(A166,MEMORIA!$A:$N,4,FALSE)</f>
        <v>DISJUNTOR MONOPOLAR TIPO DIN, CORRENTE NOMINAL DE 10A - FORNECIMENTO E INSTALAÇÃO. AF_10/2020</v>
      </c>
      <c r="E166" s="23" t="str">
        <f>VLOOKUP(A166,MEMORIA!$A:$N,5,FALSE)</f>
        <v>UN</v>
      </c>
      <c r="F166" s="5">
        <f>VLOOKUP(A166,MEMORIA!$A:$N,14,FALSE)</f>
        <v>1</v>
      </c>
      <c r="G166" s="5">
        <f>VLOOKUP("TOTAL SEM BDI - "&amp;B166,CPU!$A:$J,9,FALSE)</f>
        <v>11.379999999999999</v>
      </c>
      <c r="H166" s="5">
        <f>VLOOKUP("TOTAL COM BDI - "&amp;B166,CPU!$A:$J,9,FALSE)</f>
        <v>14.209999999999999</v>
      </c>
      <c r="I166" s="5">
        <f t="shared" si="6"/>
        <v>14.21</v>
      </c>
    </row>
    <row r="167" spans="1:9" x14ac:dyDescent="0.3">
      <c r="A167" s="23" t="s">
        <v>265</v>
      </c>
      <c r="B167" s="23" t="str">
        <f>VLOOKUP(A167,MEMORIA!$A:$N,2,FALSE)</f>
        <v>09041/ORSE</v>
      </c>
      <c r="C167" s="23" t="str">
        <f>VLOOKUP(A167,MEMORIA!$A:$N,3,FALSE)</f>
        <v>ORSE</v>
      </c>
      <c r="D167" s="24" t="str">
        <f>VLOOKUP(A167,MEMORIA!$A:$N,4,FALSE)</f>
        <v>DISPOSITIVO DE PROTEÇÃO CONTRA SURTO DE TENSÃO DPS 60KA - 275V</v>
      </c>
      <c r="E167" s="23" t="str">
        <f>VLOOKUP(A167,MEMORIA!$A:$N,5,FALSE)</f>
        <v>UN</v>
      </c>
      <c r="F167" s="5">
        <f>VLOOKUP(A167,MEMORIA!$A:$N,14,FALSE)</f>
        <v>1</v>
      </c>
      <c r="G167" s="5">
        <f>VLOOKUP("TOTAL SEM BDI - "&amp;B167,CPU!$A:$J,9,FALSE)</f>
        <v>88.050000000000011</v>
      </c>
      <c r="H167" s="5">
        <f>VLOOKUP("TOTAL COM BDI - "&amp;B167,CPU!$A:$J,9,FALSE)</f>
        <v>109.92000000000002</v>
      </c>
      <c r="I167" s="5">
        <f t="shared" si="6"/>
        <v>109.92</v>
      </c>
    </row>
    <row r="168" spans="1:9" ht="28.8" x14ac:dyDescent="0.3">
      <c r="A168" s="23" t="s">
        <v>266</v>
      </c>
      <c r="B168" s="23">
        <f>VLOOKUP(A168,MEMORIA!$A:$N,2,FALSE)</f>
        <v>101877</v>
      </c>
      <c r="C168" s="23" t="str">
        <f>VLOOKUP(A168,MEMORIA!$A:$N,3,FALSE)</f>
        <v>SINAPI</v>
      </c>
      <c r="D168" s="24" t="str">
        <f>VLOOKUP(A168,MEMORIA!$A:$N,4,FALSE)</f>
        <v>QUADRO DE DISTRIBUIÇÃO DE ENERGIA EM PVC, DE EMBUTIR, SEM BARRAMENTO, PARA 3 DISJUNTORES - FORNECIMENTO E INSTALAÇÃO. AF_10/2020</v>
      </c>
      <c r="E168" s="23" t="str">
        <f>VLOOKUP(A168,MEMORIA!$A:$N,5,FALSE)</f>
        <v>UN</v>
      </c>
      <c r="F168" s="5">
        <f>VLOOKUP(A168,MEMORIA!$A:$N,14,FALSE)</f>
        <v>1</v>
      </c>
      <c r="G168" s="5">
        <f>VLOOKUP("TOTAL SEM BDI - "&amp;B168,CPU!$A:$J,9,FALSE)</f>
        <v>63.51</v>
      </c>
      <c r="H168" s="5">
        <f>VLOOKUP("TOTAL COM BDI - "&amp;B168,CPU!$A:$J,9,FALSE)</f>
        <v>79.289999999999992</v>
      </c>
      <c r="I168" s="5">
        <f t="shared" si="6"/>
        <v>79.290000000000006</v>
      </c>
    </row>
    <row r="169" spans="1:9" ht="43.2" x14ac:dyDescent="0.3">
      <c r="A169" s="23" t="s">
        <v>267</v>
      </c>
      <c r="B169" s="23" t="str">
        <f>VLOOKUP(A169,MEMORIA!$A:$N,2,FALSE)</f>
        <v>COMPINST02</v>
      </c>
      <c r="C169" s="23" t="str">
        <f>VLOOKUP(A169,MEMORIA!$A:$N,3,FALSE)</f>
        <v>PRÓPRIA</v>
      </c>
      <c r="D169" s="24" t="str">
        <f>VLOOKUP(A169,MEMORIA!$A:$N,4,FALSE)</f>
        <v>PONTO DE ILUMINAÇÃO E TOMADA, RESIDENCIAL, INCLUINDO INTERRUPTOR SIMPLES E TOMADA 10A/250V, CAIXA ELÉTRICA, ELETRODUTO, CABO, RASGO, QUEBRA E CHUMBAMENTO (EXCLUINDO LUMINÁRIA E LÂMPADA)</v>
      </c>
      <c r="E169" s="23" t="str">
        <f>VLOOKUP(A169,MEMORIA!$A:$N,5,FALSE)</f>
        <v>UN</v>
      </c>
      <c r="F169" s="5">
        <f>VLOOKUP(A169,MEMORIA!$A:$N,14,FALSE)</f>
        <v>1</v>
      </c>
      <c r="G169" s="5">
        <f>VLOOKUP("TOTAL SEM BDI - "&amp;B169,CPU!$A:$J,9,FALSE)</f>
        <v>244.91000000000003</v>
      </c>
      <c r="H169" s="5">
        <f>VLOOKUP("TOTAL COM BDI - "&amp;B169,CPU!$A:$J,9,FALSE)</f>
        <v>305.75</v>
      </c>
      <c r="I169" s="5">
        <f t="shared" si="6"/>
        <v>305.75</v>
      </c>
    </row>
    <row r="170" spans="1:9" ht="28.8" x14ac:dyDescent="0.3">
      <c r="A170" s="23" t="s">
        <v>268</v>
      </c>
      <c r="B170" s="23">
        <f>VLOOKUP(A170,MEMORIA!$A:$N,2,FALSE)</f>
        <v>97610</v>
      </c>
      <c r="C170" s="23" t="str">
        <f>VLOOKUP(A170,MEMORIA!$A:$N,3,FALSE)</f>
        <v>SINAPI</v>
      </c>
      <c r="D170" s="24" t="str">
        <f>VLOOKUP(A170,MEMORIA!$A:$N,4,FALSE)</f>
        <v>LÂMPADA COMPACTA DE LED 10 W, BASE E27 - FORNECIMENTO E INSTALAÇÃO. AF_09/2024</v>
      </c>
      <c r="E170" s="23" t="str">
        <f>VLOOKUP(A170,MEMORIA!$A:$N,5,FALSE)</f>
        <v>UN</v>
      </c>
      <c r="F170" s="5">
        <f>VLOOKUP(A170,MEMORIA!$A:$N,14,FALSE)</f>
        <v>1</v>
      </c>
      <c r="G170" s="5">
        <f>VLOOKUP("TOTAL SEM BDI - "&amp;B170,CPU!$A:$J,9,FALSE)</f>
        <v>13.05</v>
      </c>
      <c r="H170" s="5">
        <f>VLOOKUP("TOTAL COM BDI - "&amp;B170,CPU!$A:$J,9,FALSE)</f>
        <v>16.29</v>
      </c>
      <c r="I170" s="5">
        <f t="shared" si="6"/>
        <v>16.29</v>
      </c>
    </row>
    <row r="171" spans="1:9" ht="28.8" x14ac:dyDescent="0.3">
      <c r="A171" s="23" t="s">
        <v>269</v>
      </c>
      <c r="B171" s="23" t="str">
        <f>VLOOKUP(A171,MEMORIA!$A:$N,2,FALSE)</f>
        <v>COMPINST04</v>
      </c>
      <c r="C171" s="23" t="str">
        <f>VLOOKUP(A171,MEMORIA!$A:$N,3,FALSE)</f>
        <v>PRÓPRIA</v>
      </c>
      <c r="D171" s="24" t="str">
        <f>VLOOKUP(A171,MEMORIA!$A:$N,4,FALSE)</f>
        <v>LUMINÁRIA ARANDELA TIPO MEIA-LUA COM VIDRO FOSCO *30 X 15* CM, PARA 1 LÂMPADA (SINAPI ADAPTADO 97605)</v>
      </c>
      <c r="E171" s="23" t="str">
        <f>VLOOKUP(A171,MEMORIA!$A:$N,5,FALSE)</f>
        <v>UN</v>
      </c>
      <c r="F171" s="5">
        <f>VLOOKUP(A171,MEMORIA!$A:$N,14,FALSE)</f>
        <v>1</v>
      </c>
      <c r="G171" s="5">
        <f>VLOOKUP("TOTAL SEM BDI - "&amp;B171,CPU!$A:$J,9,FALSE)</f>
        <v>83.039999999999992</v>
      </c>
      <c r="H171" s="5">
        <f>VLOOKUP("TOTAL COM BDI - "&amp;B171,CPU!$A:$J,9,FALSE)</f>
        <v>103.66999999999999</v>
      </c>
      <c r="I171" s="5">
        <f t="shared" si="6"/>
        <v>103.67</v>
      </c>
    </row>
    <row r="172" spans="1:9" x14ac:dyDescent="0.3">
      <c r="A172" s="12" t="s">
        <v>59</v>
      </c>
      <c r="B172" s="46" t="str">
        <f>VLOOKUP(A172,MEMORIA!$A:$N,2,FALSE)</f>
        <v>ADUÇÃO</v>
      </c>
      <c r="C172" s="47"/>
      <c r="D172" s="47"/>
      <c r="E172" s="47"/>
      <c r="F172" s="47"/>
      <c r="G172" s="47"/>
      <c r="H172" s="48"/>
      <c r="I172" s="13">
        <f>SUM($I$173,$I$176,$I$178,)</f>
        <v>1351.72</v>
      </c>
    </row>
    <row r="173" spans="1:9" x14ac:dyDescent="0.3">
      <c r="A173" s="15" t="s">
        <v>60</v>
      </c>
      <c r="B173" s="49" t="str">
        <f>VLOOKUP(A173,MEMORIA!$A:$N,2,FALSE)</f>
        <v>MOVIMENTO DE TERRA</v>
      </c>
      <c r="C173" s="50"/>
      <c r="D173" s="50"/>
      <c r="E173" s="50"/>
      <c r="F173" s="50"/>
      <c r="G173" s="50"/>
      <c r="H173" s="51"/>
      <c r="I173" s="16">
        <f>SUM($I$174:$I$175)</f>
        <v>423.02</v>
      </c>
    </row>
    <row r="174" spans="1:9" x14ac:dyDescent="0.3">
      <c r="A174" s="23" t="s">
        <v>270</v>
      </c>
      <c r="B174" s="23">
        <f>VLOOKUP(A174,MEMORIA!$A:$N,2,FALSE)</f>
        <v>93358</v>
      </c>
      <c r="C174" s="23" t="str">
        <f>VLOOKUP(A174,MEMORIA!$A:$N,3,FALSE)</f>
        <v>SINAPI</v>
      </c>
      <c r="D174" s="24" t="str">
        <f>VLOOKUP(A174,MEMORIA!$A:$N,4,FALSE)</f>
        <v>ESCAVAÇÃO MANUAL DE VALA. AF_09/2024</v>
      </c>
      <c r="E174" s="23" t="str">
        <f>VLOOKUP(A174,MEMORIA!$A:$N,5,FALSE)</f>
        <v>M3</v>
      </c>
      <c r="F174" s="5">
        <f>VLOOKUP(A174,MEMORIA!$A:$N,14,FALSE)</f>
        <v>2.76</v>
      </c>
      <c r="G174" s="5">
        <f>VLOOKUP("TOTAL SEM BDI - "&amp;B174,CPU!$A:$J,9,FALSE)</f>
        <v>85.87</v>
      </c>
      <c r="H174" s="5">
        <f>VLOOKUP("TOTAL COM BDI - "&amp;B174,CPU!$A:$J,9,FALSE)</f>
        <v>107.2</v>
      </c>
      <c r="I174" s="5">
        <f>ROUND(F174*H174,2)</f>
        <v>295.87</v>
      </c>
    </row>
    <row r="175" spans="1:9" x14ac:dyDescent="0.3">
      <c r="A175" s="23" t="s">
        <v>271</v>
      </c>
      <c r="B175" s="23" t="str">
        <f>VLOOKUP(A175,MEMORIA!$A:$N,2,FALSE)</f>
        <v>COMPOS28</v>
      </c>
      <c r="C175" s="23" t="str">
        <f>VLOOKUP(A175,MEMORIA!$A:$N,3,FALSE)</f>
        <v>PRÓPRIA</v>
      </c>
      <c r="D175" s="24" t="str">
        <f>VLOOKUP(A175,MEMORIA!$A:$N,4,FALSE)</f>
        <v>REATERRO DE VALA COM COMPACTAÇÃO MANUAL</v>
      </c>
      <c r="E175" s="23" t="str">
        <f>VLOOKUP(A175,MEMORIA!$A:$N,5,FALSE)</f>
        <v>M³</v>
      </c>
      <c r="F175" s="5">
        <f>VLOOKUP(A175,MEMORIA!$A:$N,14,FALSE)</f>
        <v>2.76</v>
      </c>
      <c r="G175" s="5">
        <f>VLOOKUP("TOTAL SEM BDI - "&amp;B175,CPU!$A:$J,9,FALSE)</f>
        <v>36.9</v>
      </c>
      <c r="H175" s="5">
        <f>VLOOKUP("TOTAL COM BDI - "&amp;B175,CPU!$A:$J,9,FALSE)</f>
        <v>46.07</v>
      </c>
      <c r="I175" s="5">
        <f>ROUND(F175*H175,2)</f>
        <v>127.15</v>
      </c>
    </row>
    <row r="176" spans="1:9" x14ac:dyDescent="0.3">
      <c r="A176" s="15" t="s">
        <v>61</v>
      </c>
      <c r="B176" s="49" t="str">
        <f>VLOOKUP(A176,MEMORIA!$A:$N,2,FALSE)</f>
        <v>INFRAESTRUTURA</v>
      </c>
      <c r="C176" s="50"/>
      <c r="D176" s="50"/>
      <c r="E176" s="50"/>
      <c r="F176" s="50"/>
      <c r="G176" s="50"/>
      <c r="H176" s="51"/>
      <c r="I176" s="16">
        <f>SUM($I$177:$I$177)</f>
        <v>265.19</v>
      </c>
    </row>
    <row r="177" spans="1:9" x14ac:dyDescent="0.3">
      <c r="A177" s="23" t="s">
        <v>272</v>
      </c>
      <c r="B177" s="23" t="str">
        <f>VLOOKUP(A177,MEMORIA!$A:$N,2,FALSE)</f>
        <v>C3403</v>
      </c>
      <c r="C177" s="23" t="str">
        <f>VLOOKUP(A177,MEMORIA!$A:$N,3,FALSE)</f>
        <v>SEINFRA</v>
      </c>
      <c r="D177" s="24" t="str">
        <f>VLOOKUP(A177,MEMORIA!$A:$N,4,FALSE)</f>
        <v>BLOCO DE ANCORAGEM EM CONCRETO SIMPLES FCK=10MPa</v>
      </c>
      <c r="E177" s="23" t="str">
        <f>VLOOKUP(A177,MEMORIA!$A:$N,5,FALSE)</f>
        <v>M3</v>
      </c>
      <c r="F177" s="5">
        <f>VLOOKUP(A177,MEMORIA!$A:$N,14,FALSE)</f>
        <v>0.26</v>
      </c>
      <c r="G177" s="5">
        <f>VLOOKUP("TOTAL SEM BDI - "&amp;B177,CPU!$A:$J,9,FALSE)</f>
        <v>817.03</v>
      </c>
      <c r="H177" s="5">
        <f>VLOOKUP("TOTAL COM BDI - "&amp;B177,CPU!$A:$J,9,FALSE)</f>
        <v>1019.98</v>
      </c>
      <c r="I177" s="5">
        <f>ROUND(F177*H177,2)</f>
        <v>265.19</v>
      </c>
    </row>
    <row r="178" spans="1:9" x14ac:dyDescent="0.3">
      <c r="A178" s="15" t="s">
        <v>62</v>
      </c>
      <c r="B178" s="49" t="str">
        <f>VLOOKUP(A178,MEMORIA!$A:$N,2,FALSE)</f>
        <v>INSTALAÇÕES HIDRÁULICAS</v>
      </c>
      <c r="C178" s="50"/>
      <c r="D178" s="50"/>
      <c r="E178" s="50"/>
      <c r="F178" s="50"/>
      <c r="G178" s="50"/>
      <c r="H178" s="51"/>
      <c r="I178" s="16">
        <f>SUM($I$179:$I$180)</f>
        <v>663.51</v>
      </c>
    </row>
    <row r="179" spans="1:9" ht="28.8" x14ac:dyDescent="0.3">
      <c r="A179" s="23" t="s">
        <v>273</v>
      </c>
      <c r="B179" s="23" t="str">
        <f>VLOOKUP(A179,MEMORIA!$A:$N,2,FALSE)</f>
        <v>COMPOS27</v>
      </c>
      <c r="C179" s="23" t="str">
        <f>VLOOKUP(A179,MEMORIA!$A:$N,3,FALSE)</f>
        <v>PRÓPRIA</v>
      </c>
      <c r="D179" s="24" t="str">
        <f>VLOOKUP(A179,MEMORIA!$A:$N,4,FALSE)</f>
        <v>AQUISIÇÃO E ASSENTAMENTO DE TUBO RÍGIDO PVC, CLASSE 12, DN 50 MM, INCLUSO CONEXÕES</v>
      </c>
      <c r="E179" s="23" t="str">
        <f>VLOOKUP(A179,MEMORIA!$A:$N,5,FALSE)</f>
        <v>M</v>
      </c>
      <c r="F179" s="5">
        <f>VLOOKUP(A179,MEMORIA!$A:$N,14,FALSE)</f>
        <v>16</v>
      </c>
      <c r="G179" s="5">
        <f>VLOOKUP("TOTAL SEM BDI - "&amp;B179,CPU!$A:$J,9,FALSE)</f>
        <v>25.79</v>
      </c>
      <c r="H179" s="5">
        <f>VLOOKUP("TOTAL COM BDI - "&amp;B179,CPU!$A:$J,9,FALSE)</f>
        <v>32.200000000000003</v>
      </c>
      <c r="I179" s="5">
        <f>ROUND(F179*H179,2)</f>
        <v>515.20000000000005</v>
      </c>
    </row>
    <row r="180" spans="1:9" ht="28.8" x14ac:dyDescent="0.3">
      <c r="A180" s="23" t="s">
        <v>274</v>
      </c>
      <c r="B180" s="23">
        <f>VLOOKUP(A180,MEMORIA!$A:$N,2,FALSE)</f>
        <v>94497</v>
      </c>
      <c r="C180" s="23" t="str">
        <f>VLOOKUP(A180,MEMORIA!$A:$N,3,FALSE)</f>
        <v>SINAPI</v>
      </c>
      <c r="D180" s="24" t="str">
        <f>VLOOKUP(A180,MEMORIA!$A:$N,4,FALSE)</f>
        <v>REGISTRO DE GAVETA BRUTO, LATÃO, ROSCÁVEL, 1 1/2" - FORNECIMENTO E INSTALAÇÃO. AF_08/2021</v>
      </c>
      <c r="E180" s="23" t="str">
        <f>VLOOKUP(A180,MEMORIA!$A:$N,5,FALSE)</f>
        <v>UN</v>
      </c>
      <c r="F180" s="5">
        <f>VLOOKUP(A180,MEMORIA!$A:$N,14,FALSE)</f>
        <v>1</v>
      </c>
      <c r="G180" s="5">
        <f>VLOOKUP("TOTAL SEM BDI - "&amp;B180,CPU!$A:$J,9,FALSE)</f>
        <v>118.80000000000001</v>
      </c>
      <c r="H180" s="5">
        <f>VLOOKUP("TOTAL COM BDI - "&amp;B180,CPU!$A:$J,9,FALSE)</f>
        <v>148.31</v>
      </c>
      <c r="I180" s="5">
        <f>ROUND(F180*H180,2)</f>
        <v>148.31</v>
      </c>
    </row>
    <row r="181" spans="1:9" x14ac:dyDescent="0.3">
      <c r="A181" s="12" t="s">
        <v>63</v>
      </c>
      <c r="B181" s="46" t="str">
        <f>VLOOKUP(A181,MEMORIA!$A:$N,2,FALSE)</f>
        <v>RESERVAÇÃO</v>
      </c>
      <c r="C181" s="47"/>
      <c r="D181" s="47"/>
      <c r="E181" s="47"/>
      <c r="F181" s="47"/>
      <c r="G181" s="47"/>
      <c r="H181" s="48"/>
      <c r="I181" s="13">
        <f>SUM($I$182:$I$182)</f>
        <v>20347.62</v>
      </c>
    </row>
    <row r="182" spans="1:9" ht="57.6" x14ac:dyDescent="0.3">
      <c r="A182" s="23" t="s">
        <v>275</v>
      </c>
      <c r="B182" s="23" t="str">
        <f>VLOOKUP(A182,MEMORIA!$A:$N,2,FALSE)</f>
        <v>COMPOS32</v>
      </c>
      <c r="C182" s="23" t="str">
        <f>VLOOKUP(A182,MEMORIA!$A:$N,3,FALSE)</f>
        <v>PRÓPRIA</v>
      </c>
      <c r="D182" s="24" t="str">
        <f>VLOOKUP(A182,MEMORIA!$A:$N,4,FALSE)</f>
        <v>RESERVATÓRIO ELEVADO C/ CAIXA D'AGUA EM FIBRA DE VIDRO DE 10.000 LITROS APOIADO EM ESTRUTURA PRÉ-MOLDADA EM CONCRETO, COMPOSTA DE CAPITEL P/APOIO DA CAIXA E PILAR C/ALTURA ÚTIL = 7,00M, INCLUSO FRETE E MONTAGEM NO LOCAL, EXCETO INST. HIDRÁULICA</v>
      </c>
      <c r="E182" s="23" t="str">
        <f>VLOOKUP(A182,MEMORIA!$A:$N,5,FALSE)</f>
        <v>UND</v>
      </c>
      <c r="F182" s="5">
        <f>VLOOKUP(A182,MEMORIA!$A:$N,14,FALSE)</f>
        <v>1</v>
      </c>
      <c r="G182" s="5">
        <f>VLOOKUP("TOTAL SEM BDI - "&amp;B182,CPU!$A:$J,9,FALSE)</f>
        <v>16298.96</v>
      </c>
      <c r="H182" s="5">
        <f>VLOOKUP("TOTAL COM BDI - "&amp;B182,CPU!$A:$J,9,FALSE)</f>
        <v>20347.62</v>
      </c>
      <c r="I182" s="5">
        <f>ROUND(F182*H182,2)</f>
        <v>20347.62</v>
      </c>
    </row>
    <row r="183" spans="1:9" x14ac:dyDescent="0.3">
      <c r="A183" s="12" t="s">
        <v>64</v>
      </c>
      <c r="B183" s="46" t="str">
        <f>VLOOKUP(A183,MEMORIA!$A:$N,2,FALSE)</f>
        <v>DISTRIBUIÇÃO (CHAFARIZ)</v>
      </c>
      <c r="C183" s="47"/>
      <c r="D183" s="47"/>
      <c r="E183" s="47"/>
      <c r="F183" s="47"/>
      <c r="G183" s="47"/>
      <c r="H183" s="48"/>
      <c r="I183" s="13">
        <f>SUM($I$184:$I$195)</f>
        <v>2831.9999999999995</v>
      </c>
    </row>
    <row r="184" spans="1:9" ht="28.8" x14ac:dyDescent="0.3">
      <c r="A184" s="23" t="s">
        <v>276</v>
      </c>
      <c r="B184" s="23" t="str">
        <f>VLOOKUP(A184,MEMORIA!$A:$N,2,FALSE)</f>
        <v>COMPOS27</v>
      </c>
      <c r="C184" s="23" t="str">
        <f>VLOOKUP(A184,MEMORIA!$A:$N,3,FALSE)</f>
        <v>PRÓPRIA</v>
      </c>
      <c r="D184" s="24" t="str">
        <f>VLOOKUP(A184,MEMORIA!$A:$N,4,FALSE)</f>
        <v>AQUISIÇÃO E ASSENTAMENTO DE TUBO RÍGIDO PVC, CLASSE 12, DN 50 MM, INCLUSO CONEXÕES</v>
      </c>
      <c r="E184" s="23" t="str">
        <f>VLOOKUP(A184,MEMORIA!$A:$N,5,FALSE)</f>
        <v>M</v>
      </c>
      <c r="F184" s="5">
        <f>VLOOKUP(A184,MEMORIA!$A:$N,14,FALSE)</f>
        <v>18</v>
      </c>
      <c r="G184" s="5">
        <f>VLOOKUP("TOTAL SEM BDI - "&amp;B184,CPU!$A:$J,9,FALSE)</f>
        <v>25.79</v>
      </c>
      <c r="H184" s="5">
        <f>VLOOKUP("TOTAL COM BDI - "&amp;B184,CPU!$A:$J,9,FALSE)</f>
        <v>32.200000000000003</v>
      </c>
      <c r="I184" s="5">
        <f t="shared" ref="I184:I195" si="7">ROUND(F184*H184,2)</f>
        <v>579.6</v>
      </c>
    </row>
    <row r="185" spans="1:9" ht="28.8" x14ac:dyDescent="0.3">
      <c r="A185" s="23" t="s">
        <v>277</v>
      </c>
      <c r="B185" s="23" t="str">
        <f>VLOOKUP(A185,MEMORIA!$A:$N,2,FALSE)</f>
        <v>06457/ORSE</v>
      </c>
      <c r="C185" s="23" t="str">
        <f>VLOOKUP(A185,MEMORIA!$A:$N,3,FALSE)</f>
        <v>ORSE</v>
      </c>
      <c r="D185" s="24" t="str">
        <f>VLOOKUP(A185,MEMORIA!$A:$N,4,FALSE)</f>
        <v>CONCRETO ARMADO FCK=15MPA FABRICADO NA OBRA, ADENSADO E LANÇADO, PARA USO GERAL, COM FORMAS PLANAS EM COMPENSADO RESINADO 12MM (05 USOS)</v>
      </c>
      <c r="E185" s="23" t="str">
        <f>VLOOKUP(A185,MEMORIA!$A:$N,5,FALSE)</f>
        <v>M3</v>
      </c>
      <c r="F185" s="5">
        <f>VLOOKUP(A185,MEMORIA!$A:$N,14,FALSE)</f>
        <v>0.26</v>
      </c>
      <c r="G185" s="5">
        <f>VLOOKUP("TOTAL SEM BDI - "&amp;B185,CPU!$A:$J,9,FALSE)</f>
        <v>2617.91</v>
      </c>
      <c r="H185" s="5">
        <f>VLOOKUP("TOTAL COM BDI - "&amp;B185,CPU!$A:$J,9,FALSE)</f>
        <v>3268.2</v>
      </c>
      <c r="I185" s="5">
        <f t="shared" si="7"/>
        <v>849.73</v>
      </c>
    </row>
    <row r="186" spans="1:9" ht="28.8" x14ac:dyDescent="0.3">
      <c r="A186" s="23" t="s">
        <v>278</v>
      </c>
      <c r="B186" s="23">
        <f>VLOOKUP(A186,MEMORIA!$A:$N,2,FALSE)</f>
        <v>86906</v>
      </c>
      <c r="C186" s="23" t="str">
        <f>VLOOKUP(A186,MEMORIA!$A:$N,3,FALSE)</f>
        <v>SINAPI</v>
      </c>
      <c r="D186" s="24" t="str">
        <f>VLOOKUP(A186,MEMORIA!$A:$N,4,FALSE)</f>
        <v>TORNEIRA CROMADA DE MESA, 1/2" OU 3/4", PARA LAVATÓRIO, PADRÃO POPULAR - FORNECIMENTO E INSTALAÇÃO. AF_01/2020</v>
      </c>
      <c r="E186" s="23" t="str">
        <f>VLOOKUP(A186,MEMORIA!$A:$N,5,FALSE)</f>
        <v>UN</v>
      </c>
      <c r="F186" s="5">
        <f>VLOOKUP(A186,MEMORIA!$A:$N,14,FALSE)</f>
        <v>4</v>
      </c>
      <c r="G186" s="5">
        <f>VLOOKUP("TOTAL SEM BDI - "&amp;B186,CPU!$A:$J,9,FALSE)</f>
        <v>81.239999999999995</v>
      </c>
      <c r="H186" s="5">
        <f>VLOOKUP("TOTAL COM BDI - "&amp;B186,CPU!$A:$J,9,FALSE)</f>
        <v>101.41999999999999</v>
      </c>
      <c r="I186" s="5">
        <f t="shared" si="7"/>
        <v>405.68</v>
      </c>
    </row>
    <row r="187" spans="1:9" ht="43.2" x14ac:dyDescent="0.3">
      <c r="A187" s="23" t="s">
        <v>279</v>
      </c>
      <c r="B187" s="23">
        <f>VLOOKUP(A187,MEMORIA!$A:$N,2,FALSE)</f>
        <v>92920</v>
      </c>
      <c r="C187" s="23" t="str">
        <f>VLOOKUP(A187,MEMORIA!$A:$N,3,FALSE)</f>
        <v>SINAPI</v>
      </c>
      <c r="D187" s="24" t="str">
        <f>VLOOKUP(A187,MEMORIA!$A:$N,4,FALSE)</f>
        <v>LUVA DE REDUÇÃO, EM FERRO GALVANIZADO, 1" X 3/4", CONEXÃO ROSQUEADA, INSTALADO EM REDE DE ALIMENTAÇÃO PARA HIDRANTE - FORNECIMENTO E INSTALAÇÃO. AF_10/2020</v>
      </c>
      <c r="E187" s="23" t="str">
        <f>VLOOKUP(A187,MEMORIA!$A:$N,5,FALSE)</f>
        <v>UN</v>
      </c>
      <c r="F187" s="5">
        <f>VLOOKUP(A187,MEMORIA!$A:$N,14,FALSE)</f>
        <v>4</v>
      </c>
      <c r="G187" s="5">
        <f>VLOOKUP("TOTAL SEM BDI - "&amp;B187,CPU!$A:$J,9,FALSE)</f>
        <v>35.64</v>
      </c>
      <c r="H187" s="5">
        <f>VLOOKUP("TOTAL COM BDI - "&amp;B187,CPU!$A:$J,9,FALSE)</f>
        <v>44.49</v>
      </c>
      <c r="I187" s="5">
        <f t="shared" si="7"/>
        <v>177.96</v>
      </c>
    </row>
    <row r="188" spans="1:9" x14ac:dyDescent="0.3">
      <c r="A188" s="23" t="s">
        <v>280</v>
      </c>
      <c r="B188" s="23" t="str">
        <f>VLOOKUP(A188,MEMORIA!$A:$N,2,FALSE)</f>
        <v>COMPCH08</v>
      </c>
      <c r="C188" s="23" t="str">
        <f>VLOOKUP(A188,MEMORIA!$A:$N,3,FALSE)</f>
        <v>PRÓPRIA</v>
      </c>
      <c r="D188" s="24" t="str">
        <f>VLOOKUP(A188,MEMORIA!$A:$N,4,FALSE)</f>
        <v>CRUZETA DE FERRO GALVANIZADO, COM ROSCA BSP, DE 1"</v>
      </c>
      <c r="E188" s="23" t="str">
        <f>VLOOKUP(A188,MEMORIA!$A:$N,5,FALSE)</f>
        <v>UN</v>
      </c>
      <c r="F188" s="5">
        <f>VLOOKUP(A188,MEMORIA!$A:$N,14,FALSE)</f>
        <v>1</v>
      </c>
      <c r="G188" s="5">
        <f>VLOOKUP("TOTAL SEM BDI - "&amp;B188,CPU!$A:$J,9,FALSE)</f>
        <v>85.84</v>
      </c>
      <c r="H188" s="5">
        <f>VLOOKUP("TOTAL COM BDI - "&amp;B188,CPU!$A:$J,9,FALSE)</f>
        <v>107.16</v>
      </c>
      <c r="I188" s="5">
        <f t="shared" si="7"/>
        <v>107.16</v>
      </c>
    </row>
    <row r="189" spans="1:9" ht="28.8" x14ac:dyDescent="0.3">
      <c r="A189" s="23" t="s">
        <v>281</v>
      </c>
      <c r="B189" s="23" t="str">
        <f>VLOOKUP(A189,MEMORIA!$A:$N,2,FALSE)</f>
        <v>COMPCH01</v>
      </c>
      <c r="C189" s="23" t="str">
        <f>VLOOKUP(A189,MEMORIA!$A:$N,3,FALSE)</f>
        <v>PRÓPRIA</v>
      </c>
      <c r="D189" s="24" t="str">
        <f>VLOOKUP(A189,MEMORIA!$A:$N,4,FALSE)</f>
        <v>TÊ, EM FERRO GALVANIZADO, 1", CONEXÃO ROSQUEADA, INSTALADO EM PRUMADAS - FORNECIMENTO E INSTALAÇÃO.</v>
      </c>
      <c r="E189" s="23" t="str">
        <f>VLOOKUP(A189,MEMORIA!$A:$N,5,FALSE)</f>
        <v>UN</v>
      </c>
      <c r="F189" s="5">
        <f>VLOOKUP(A189,MEMORIA!$A:$N,14,FALSE)</f>
        <v>1</v>
      </c>
      <c r="G189" s="5">
        <f>VLOOKUP("TOTAL SEM BDI - "&amp;B189,CPU!$A:$J,9,FALSE)</f>
        <v>69.28</v>
      </c>
      <c r="H189" s="5">
        <f>VLOOKUP("TOTAL COM BDI - "&amp;B189,CPU!$A:$J,9,FALSE)</f>
        <v>86.490000000000009</v>
      </c>
      <c r="I189" s="5">
        <f t="shared" si="7"/>
        <v>86.49</v>
      </c>
    </row>
    <row r="190" spans="1:9" x14ac:dyDescent="0.3">
      <c r="A190" s="23" t="s">
        <v>282</v>
      </c>
      <c r="B190" s="23" t="str">
        <f>VLOOKUP(A190,MEMORIA!$A:$N,2,FALSE)</f>
        <v>COMPCH02</v>
      </c>
      <c r="C190" s="23" t="str">
        <f>VLOOKUP(A190,MEMORIA!$A:$N,3,FALSE)</f>
        <v>PRÓPRIA</v>
      </c>
      <c r="D190" s="24" t="str">
        <f>VLOOKUP(A190,MEMORIA!$A:$N,4,FALSE)</f>
        <v>LUVA DE FERRO GALVANIZADO, COM ROSCA BSP, DE 1"- FORNECIMENTO E INSTALAÇÃO</v>
      </c>
      <c r="E190" s="23" t="str">
        <f>VLOOKUP(A190,MEMORIA!$A:$N,5,FALSE)</f>
        <v>UN</v>
      </c>
      <c r="F190" s="5">
        <f>VLOOKUP(A190,MEMORIA!$A:$N,14,FALSE)</f>
        <v>1</v>
      </c>
      <c r="G190" s="5">
        <f>VLOOKUP("TOTAL SEM BDI - "&amp;B190,CPU!$A:$J,9,FALSE)</f>
        <v>21.18</v>
      </c>
      <c r="H190" s="5">
        <f>VLOOKUP("TOTAL COM BDI - "&amp;B190,CPU!$A:$J,9,FALSE)</f>
        <v>26.439999999999998</v>
      </c>
      <c r="I190" s="5">
        <f t="shared" si="7"/>
        <v>26.44</v>
      </c>
    </row>
    <row r="191" spans="1:9" ht="28.8" x14ac:dyDescent="0.3">
      <c r="A191" s="23" t="s">
        <v>283</v>
      </c>
      <c r="B191" s="23" t="str">
        <f>VLOOKUP(A191,MEMORIA!$A:$N,2,FALSE)</f>
        <v>COMPCH03</v>
      </c>
      <c r="C191" s="23" t="str">
        <f>VLOOKUP(A191,MEMORIA!$A:$N,3,FALSE)</f>
        <v>PRÓPRIA</v>
      </c>
      <c r="D191" s="24" t="str">
        <f>VLOOKUP(A191,MEMORIA!$A:$N,4,FALSE)</f>
        <v>CURVA 90 GRAUS DE FERRO GALVANIZADO, COM ROSCA BSP FEMEA, DE 1"- FORNECIMENTO E INSTALAÇÃO</v>
      </c>
      <c r="E191" s="23" t="str">
        <f>VLOOKUP(A191,MEMORIA!$A:$N,5,FALSE)</f>
        <v>UN</v>
      </c>
      <c r="F191" s="5">
        <f>VLOOKUP(A191,MEMORIA!$A:$N,14,FALSE)</f>
        <v>1</v>
      </c>
      <c r="G191" s="5">
        <f>VLOOKUP("TOTAL SEM BDI - "&amp;B191,CPU!$A:$J,9,FALSE)</f>
        <v>55.2</v>
      </c>
      <c r="H191" s="5">
        <f>VLOOKUP("TOTAL COM BDI - "&amp;B191,CPU!$A:$J,9,FALSE)</f>
        <v>68.91</v>
      </c>
      <c r="I191" s="5">
        <f t="shared" si="7"/>
        <v>68.91</v>
      </c>
    </row>
    <row r="192" spans="1:9" ht="28.8" x14ac:dyDescent="0.3">
      <c r="A192" s="23" t="s">
        <v>284</v>
      </c>
      <c r="B192" s="23" t="str">
        <f>VLOOKUP(A192,MEMORIA!$A:$N,2,FALSE)</f>
        <v>COMPCH04</v>
      </c>
      <c r="C192" s="23" t="str">
        <f>VLOOKUP(A192,MEMORIA!$A:$N,3,FALSE)</f>
        <v>PRÓPRIA</v>
      </c>
      <c r="D192" s="24" t="str">
        <f>VLOOKUP(A192,MEMORIA!$A:$N,4,FALSE)</f>
        <v>TUBO DE AÇO GALVANIZADO COM COSTURA 1" (25MM), INCLUSIVE CONEXOES - FORNECIMENTO E INSTALAÇÃO</v>
      </c>
      <c r="E192" s="23" t="str">
        <f>VLOOKUP(A192,MEMORIA!$A:$N,5,FALSE)</f>
        <v>M</v>
      </c>
      <c r="F192" s="5">
        <f>VLOOKUP(A192,MEMORIA!$A:$N,14,FALSE)</f>
        <v>3</v>
      </c>
      <c r="G192" s="5">
        <f>VLOOKUP("TOTAL SEM BDI - "&amp;B192,CPU!$A:$J,9,FALSE)</f>
        <v>46.050000000000004</v>
      </c>
      <c r="H192" s="5">
        <f>VLOOKUP("TOTAL COM BDI - "&amp;B192,CPU!$A:$J,9,FALSE)</f>
        <v>57.49</v>
      </c>
      <c r="I192" s="5">
        <f t="shared" si="7"/>
        <v>172.47</v>
      </c>
    </row>
    <row r="193" spans="1:9" ht="28.8" x14ac:dyDescent="0.3">
      <c r="A193" s="23" t="s">
        <v>285</v>
      </c>
      <c r="B193" s="23" t="str">
        <f>VLOOKUP(A193,MEMORIA!$A:$N,2,FALSE)</f>
        <v>COMPCH05</v>
      </c>
      <c r="C193" s="23" t="str">
        <f>VLOOKUP(A193,MEMORIA!$A:$N,3,FALSE)</f>
        <v>PRÓPRIA</v>
      </c>
      <c r="D193" s="24" t="str">
        <f>VLOOKUP(A193,MEMORIA!$A:$N,4,FALSE)</f>
        <v>BUCHA DE REDUCAO DE FERRO GALVANIZADO, COM ROSCA BSP, DE 1 1/2" X 1"- FORNECIMENTO E INSTALAÇÃO</v>
      </c>
      <c r="E193" s="23" t="str">
        <f>VLOOKUP(A193,MEMORIA!$A:$N,5,FALSE)</f>
        <v>UN</v>
      </c>
      <c r="F193" s="5">
        <f>VLOOKUP(A193,MEMORIA!$A:$N,14,FALSE)</f>
        <v>1</v>
      </c>
      <c r="G193" s="5">
        <f>VLOOKUP("TOTAL SEM BDI - "&amp;B193,CPU!$A:$J,9,FALSE)</f>
        <v>37.659999999999997</v>
      </c>
      <c r="H193" s="5">
        <f>VLOOKUP("TOTAL COM BDI - "&amp;B193,CPU!$A:$J,9,FALSE)</f>
        <v>47.01</v>
      </c>
      <c r="I193" s="5">
        <f t="shared" si="7"/>
        <v>47.01</v>
      </c>
    </row>
    <row r="194" spans="1:9" ht="28.8" x14ac:dyDescent="0.3">
      <c r="A194" s="23" t="s">
        <v>286</v>
      </c>
      <c r="B194" s="23">
        <f>VLOOKUP(A194,MEMORIA!$A:$N,2,FALSE)</f>
        <v>94497</v>
      </c>
      <c r="C194" s="23" t="str">
        <f>VLOOKUP(A194,MEMORIA!$A:$N,3,FALSE)</f>
        <v>SINAPI</v>
      </c>
      <c r="D194" s="24" t="str">
        <f>VLOOKUP(A194,MEMORIA!$A:$N,4,FALSE)</f>
        <v>REGISTRO DE GAVETA BRUTO, LATÃO, ROSCÁVEL, 1 1/2" - FORNECIMENTO E INSTALAÇÃO. AF_08/2021</v>
      </c>
      <c r="E194" s="23" t="str">
        <f>VLOOKUP(A194,MEMORIA!$A:$N,5,FALSE)</f>
        <v>UN</v>
      </c>
      <c r="F194" s="5">
        <f>VLOOKUP(A194,MEMORIA!$A:$N,14,FALSE)</f>
        <v>2</v>
      </c>
      <c r="G194" s="5">
        <f>VLOOKUP("TOTAL SEM BDI - "&amp;B194,CPU!$A:$J,9,FALSE)</f>
        <v>118.80000000000001</v>
      </c>
      <c r="H194" s="5">
        <f>VLOOKUP("TOTAL COM BDI - "&amp;B194,CPU!$A:$J,9,FALSE)</f>
        <v>148.31</v>
      </c>
      <c r="I194" s="5">
        <f t="shared" si="7"/>
        <v>296.62</v>
      </c>
    </row>
    <row r="195" spans="1:9" ht="28.8" x14ac:dyDescent="0.3">
      <c r="A195" s="23" t="s">
        <v>287</v>
      </c>
      <c r="B195" s="23" t="str">
        <f>VLOOKUP(A195,MEMORIA!$A:$N,2,FALSE)</f>
        <v>COMPCH07</v>
      </c>
      <c r="C195" s="23" t="str">
        <f>VLOOKUP(A195,MEMORIA!$A:$N,3,FALSE)</f>
        <v>PRÓPRIA</v>
      </c>
      <c r="D195" s="24" t="str">
        <f>VLOOKUP(A195,MEMORIA!$A:$N,4,FALSE)</f>
        <v>ADAPTADOR CURTO COM BOLSA E ROSCA PARA REGISTRO, PVC, SOLDÁVEL, DN 40MM X 1.1/2, INSTALADO EM PRUMADA DE ÁGUA - FORNECIMENTO E INSTALAÇÃO</v>
      </c>
      <c r="E195" s="23" t="str">
        <f>VLOOKUP(A195,MEMORIA!$A:$N,5,FALSE)</f>
        <v>UN</v>
      </c>
      <c r="F195" s="5">
        <f>VLOOKUP(A195,MEMORIA!$A:$N,14,FALSE)</f>
        <v>1</v>
      </c>
      <c r="G195" s="5">
        <f>VLOOKUP("TOTAL SEM BDI - "&amp;B195,CPU!$A:$J,9,FALSE)</f>
        <v>11.16</v>
      </c>
      <c r="H195" s="5">
        <f>VLOOKUP("TOTAL COM BDI - "&amp;B195,CPU!$A:$J,9,FALSE)</f>
        <v>13.93</v>
      </c>
      <c r="I195" s="5">
        <f t="shared" si="7"/>
        <v>13.93</v>
      </c>
    </row>
    <row r="196" spans="1:9" x14ac:dyDescent="0.3">
      <c r="A196" s="9">
        <v>4</v>
      </c>
      <c r="B196" s="52" t="str">
        <f>VLOOKUP(A196,MEMORIA!$A:$N,2,FALSE)</f>
        <v>COMUNIDADE LAGOA DOURADA</v>
      </c>
      <c r="C196" s="53"/>
      <c r="D196" s="53"/>
      <c r="E196" s="53"/>
      <c r="F196" s="53"/>
      <c r="G196" s="53"/>
      <c r="H196" s="54"/>
      <c r="I196" s="10">
        <f>SUM($I$197,$I$215,$I$222,$I$256,$I$265,$I$274,$I$276,)</f>
        <v>136162.86000000002</v>
      </c>
    </row>
    <row r="197" spans="1:9" x14ac:dyDescent="0.3">
      <c r="A197" s="12" t="s">
        <v>65</v>
      </c>
      <c r="B197" s="46" t="str">
        <f>VLOOKUP(A197,MEMORIA!$A:$N,2,FALSE)</f>
        <v>PERFURAÇÃO DE POÇO TUBULAR</v>
      </c>
      <c r="C197" s="47"/>
      <c r="D197" s="47"/>
      <c r="E197" s="47"/>
      <c r="F197" s="47"/>
      <c r="G197" s="47"/>
      <c r="H197" s="48"/>
      <c r="I197" s="13">
        <f>SUM($I$198:$I$214)</f>
        <v>64587.16</v>
      </c>
    </row>
    <row r="198" spans="1:9" x14ac:dyDescent="0.3">
      <c r="A198" s="23" t="s">
        <v>288</v>
      </c>
      <c r="B198" s="23" t="str">
        <f>VLOOKUP(A198,MEMORIA!$A:$N,2,FALSE)</f>
        <v>COMPOS3</v>
      </c>
      <c r="C198" s="23" t="str">
        <f>VLOOKUP(A198,MEMORIA!$A:$N,3,FALSE)</f>
        <v>PRÓPRIA</v>
      </c>
      <c r="D198" s="24" t="str">
        <f>VLOOKUP(A198,MEMORIA!$A:$N,4,FALSE)</f>
        <v>LOCAÇÃO DO POÇO COM ESTUDO GEOLÓGICO/HIDROGEOLÓGICO/GEOFÍSICO</v>
      </c>
      <c r="E198" s="23" t="str">
        <f>VLOOKUP(A198,MEMORIA!$A:$N,5,FALSE)</f>
        <v>UN</v>
      </c>
      <c r="F198" s="5">
        <f>VLOOKUP(A198,MEMORIA!$A:$N,14,FALSE)</f>
        <v>1</v>
      </c>
      <c r="G198" s="5">
        <f>VLOOKUP("TOTAL SEM BDI - "&amp;B198,CPU!$A:$J,9,FALSE)</f>
        <v>1692.3999999999999</v>
      </c>
      <c r="H198" s="5">
        <f>VLOOKUP("TOTAL COM BDI - "&amp;B198,CPU!$A:$J,9,FALSE)</f>
        <v>2112.79</v>
      </c>
      <c r="I198" s="5">
        <f t="shared" ref="I198:I214" si="8">ROUND(F198*H198,2)</f>
        <v>2112.79</v>
      </c>
    </row>
    <row r="199" spans="1:9" x14ac:dyDescent="0.3">
      <c r="A199" s="23" t="s">
        <v>289</v>
      </c>
      <c r="B199" s="23" t="str">
        <f>VLOOKUP(A199,MEMORIA!$A:$N,2,FALSE)</f>
        <v>COMPOS4</v>
      </c>
      <c r="C199" s="23" t="str">
        <f>VLOOKUP(A199,MEMORIA!$A:$N,3,FALSE)</f>
        <v>PRÓPRIA</v>
      </c>
      <c r="D199" s="24" t="str">
        <f>VLOOKUP(A199,MEMORIA!$A:$N,4,FALSE)</f>
        <v>TRANSPORTE DE MÁQUINAS E EQUIPAMENTOS</v>
      </c>
      <c r="E199" s="23" t="str">
        <f>VLOOKUP(A199,MEMORIA!$A:$N,5,FALSE)</f>
        <v>KM</v>
      </c>
      <c r="F199" s="5">
        <f>VLOOKUP(A199,MEMORIA!$A:$N,14,FALSE)</f>
        <v>19.7</v>
      </c>
      <c r="G199" s="5">
        <f>VLOOKUP("TOTAL SEM BDI - "&amp;B199,CPU!$A:$J,9,FALSE)</f>
        <v>5.5</v>
      </c>
      <c r="H199" s="5">
        <f>VLOOKUP("TOTAL COM BDI - "&amp;B199,CPU!$A:$J,9,FALSE)</f>
        <v>6.87</v>
      </c>
      <c r="I199" s="5">
        <f t="shared" si="8"/>
        <v>135.34</v>
      </c>
    </row>
    <row r="200" spans="1:9" x14ac:dyDescent="0.3">
      <c r="A200" s="23" t="s">
        <v>290</v>
      </c>
      <c r="B200" s="23" t="str">
        <f>VLOOKUP(A200,MEMORIA!$A:$N,2,FALSE)</f>
        <v>COMPOS4</v>
      </c>
      <c r="C200" s="23" t="str">
        <f>VLOOKUP(A200,MEMORIA!$A:$N,3,FALSE)</f>
        <v>PRÓPRIA</v>
      </c>
      <c r="D200" s="24" t="str">
        <f>VLOOKUP(A200,MEMORIA!$A:$N,4,FALSE)</f>
        <v>TRANSPORTE DE MÁQUINAS E EQUIPAMENTOS</v>
      </c>
      <c r="E200" s="23" t="str">
        <f>VLOOKUP(A200,MEMORIA!$A:$N,5,FALSE)</f>
        <v>KM</v>
      </c>
      <c r="F200" s="5">
        <f>VLOOKUP(A200,MEMORIA!$A:$N,14,FALSE)</f>
        <v>19.7</v>
      </c>
      <c r="G200" s="5">
        <f>VLOOKUP("TOTAL SEM BDI - "&amp;B200,CPU!$A:$J,9,FALSE)</f>
        <v>5.5</v>
      </c>
      <c r="H200" s="5">
        <f>VLOOKUP("TOTAL COM BDI - "&amp;B200,CPU!$A:$J,9,FALSE)</f>
        <v>6.87</v>
      </c>
      <c r="I200" s="5">
        <f t="shared" si="8"/>
        <v>135.34</v>
      </c>
    </row>
    <row r="201" spans="1:9" x14ac:dyDescent="0.3">
      <c r="A201" s="23" t="s">
        <v>291</v>
      </c>
      <c r="B201" s="23" t="str">
        <f>VLOOKUP(A201,MEMORIA!$A:$N,2,FALSE)</f>
        <v>COMPOS5</v>
      </c>
      <c r="C201" s="23" t="str">
        <f>VLOOKUP(A201,MEMORIA!$A:$N,3,FALSE)</f>
        <v>PRÓPRIA</v>
      </c>
      <c r="D201" s="24" t="str">
        <f>VLOOKUP(A201,MEMORIA!$A:$N,4,FALSE)</f>
        <v>PERFILAGEM ÓTICA</v>
      </c>
      <c r="E201" s="23" t="str">
        <f>VLOOKUP(A201,MEMORIA!$A:$N,5,FALSE)</f>
        <v>UN</v>
      </c>
      <c r="F201" s="5">
        <f>VLOOKUP(A201,MEMORIA!$A:$N,14,FALSE)</f>
        <v>1</v>
      </c>
      <c r="G201" s="5">
        <f>VLOOKUP("TOTAL SEM BDI - "&amp;B201,CPU!$A:$J,9,FALSE)</f>
        <v>2908.88</v>
      </c>
      <c r="H201" s="5">
        <f>VLOOKUP("TOTAL COM BDI - "&amp;B201,CPU!$A:$J,9,FALSE)</f>
        <v>3631.4500000000003</v>
      </c>
      <c r="I201" s="5">
        <f t="shared" si="8"/>
        <v>3631.45</v>
      </c>
    </row>
    <row r="202" spans="1:9" x14ac:dyDescent="0.3">
      <c r="A202" s="23" t="s">
        <v>292</v>
      </c>
      <c r="B202" s="23" t="str">
        <f>VLOOKUP(A202,MEMORIA!$A:$N,2,FALSE)</f>
        <v>COMPOS6</v>
      </c>
      <c r="C202" s="23" t="str">
        <f>VLOOKUP(A202,MEMORIA!$A:$N,3,FALSE)</f>
        <v>PRÓPRIA</v>
      </c>
      <c r="D202" s="24" t="str">
        <f>VLOOKUP(A202,MEMORIA!$A:$N,4,FALSE)</f>
        <v>PERFURAÇÃO EM 10'' (SEDIMENTO)</v>
      </c>
      <c r="E202" s="23" t="str">
        <f>VLOOKUP(A202,MEMORIA!$A:$N,5,FALSE)</f>
        <v>M</v>
      </c>
      <c r="F202" s="5">
        <f>VLOOKUP(A202,MEMORIA!$A:$N,14,FALSE)</f>
        <v>35</v>
      </c>
      <c r="G202" s="5">
        <f>VLOOKUP("TOTAL SEM BDI - "&amp;B202,CPU!$A:$J,9,FALSE)</f>
        <v>288.94</v>
      </c>
      <c r="H202" s="5">
        <f>VLOOKUP("TOTAL COM BDI - "&amp;B202,CPU!$A:$J,9,FALSE)</f>
        <v>360.71</v>
      </c>
      <c r="I202" s="5">
        <f t="shared" si="8"/>
        <v>12624.85</v>
      </c>
    </row>
    <row r="203" spans="1:9" x14ac:dyDescent="0.3">
      <c r="A203" s="23" t="s">
        <v>293</v>
      </c>
      <c r="B203" s="23" t="str">
        <f>VLOOKUP(A203,MEMORIA!$A:$N,2,FALSE)</f>
        <v>COMPOS7</v>
      </c>
      <c r="C203" s="23" t="str">
        <f>VLOOKUP(A203,MEMORIA!$A:$N,3,FALSE)</f>
        <v>PRÓPRIA</v>
      </c>
      <c r="D203" s="24" t="str">
        <f>VLOOKUP(A203,MEMORIA!$A:$N,4,FALSE)</f>
        <v>PERFURAÇÃO EM 8'' (ROCHA CRISTALINA)</v>
      </c>
      <c r="E203" s="23" t="str">
        <f>VLOOKUP(A203,MEMORIA!$A:$N,5,FALSE)</f>
        <v>M</v>
      </c>
      <c r="F203" s="5">
        <f>VLOOKUP(A203,MEMORIA!$A:$N,14,FALSE)</f>
        <v>0</v>
      </c>
      <c r="G203" s="5">
        <f>VLOOKUP("TOTAL SEM BDI - "&amp;B203,CPU!$A:$J,9,FALSE)</f>
        <v>368.84000000000003</v>
      </c>
      <c r="H203" s="5">
        <f>VLOOKUP("TOTAL COM BDI - "&amp;B203,CPU!$A:$J,9,FALSE)</f>
        <v>460.46000000000004</v>
      </c>
      <c r="I203" s="5">
        <f t="shared" si="8"/>
        <v>0</v>
      </c>
    </row>
    <row r="204" spans="1:9" x14ac:dyDescent="0.3">
      <c r="A204" s="23" t="s">
        <v>294</v>
      </c>
      <c r="B204" s="23" t="str">
        <f>VLOOKUP(A204,MEMORIA!$A:$N,2,FALSE)</f>
        <v>COMPOS8</v>
      </c>
      <c r="C204" s="23" t="str">
        <f>VLOOKUP(A204,MEMORIA!$A:$N,3,FALSE)</f>
        <v>PRÓPRIA</v>
      </c>
      <c r="D204" s="24" t="str">
        <f>VLOOKUP(A204,MEMORIA!$A:$N,4,FALSE)</f>
        <v>PERFURAÇÃO EM 6'' (SEDIMENTO)</v>
      </c>
      <c r="E204" s="23" t="str">
        <f>VLOOKUP(A204,MEMORIA!$A:$N,5,FALSE)</f>
        <v>M</v>
      </c>
      <c r="F204" s="5">
        <f>VLOOKUP(A204,MEMORIA!$A:$N,14,FALSE)</f>
        <v>95</v>
      </c>
      <c r="G204" s="5">
        <f>VLOOKUP("TOTAL SEM BDI - "&amp;B204,CPU!$A:$J,9,FALSE)</f>
        <v>231.16</v>
      </c>
      <c r="H204" s="5">
        <f>VLOOKUP("TOTAL COM BDI - "&amp;B204,CPU!$A:$J,9,FALSE)</f>
        <v>288.58</v>
      </c>
      <c r="I204" s="5">
        <f t="shared" si="8"/>
        <v>27415.1</v>
      </c>
    </row>
    <row r="205" spans="1:9" x14ac:dyDescent="0.3">
      <c r="A205" s="23" t="s">
        <v>295</v>
      </c>
      <c r="B205" s="23" t="str">
        <f>VLOOKUP(A205,MEMORIA!$A:$N,2,FALSE)</f>
        <v>COMPOS9</v>
      </c>
      <c r="C205" s="23" t="str">
        <f>VLOOKUP(A205,MEMORIA!$A:$N,3,FALSE)</f>
        <v>PRÓPRIA</v>
      </c>
      <c r="D205" s="24" t="str">
        <f>VLOOKUP(A205,MEMORIA!$A:$N,4,FALSE)</f>
        <v>PERFURAÇÃO EM 6'' (ROCHA CRISTALINA)</v>
      </c>
      <c r="E205" s="23" t="str">
        <f>VLOOKUP(A205,MEMORIA!$A:$N,5,FALSE)</f>
        <v>M</v>
      </c>
      <c r="F205" s="5">
        <f>VLOOKUP(A205,MEMORIA!$A:$N,14,FALSE)</f>
        <v>0</v>
      </c>
      <c r="G205" s="5">
        <f>VLOOKUP("TOTAL SEM BDI - "&amp;B205,CPU!$A:$J,9,FALSE)</f>
        <v>330.20000000000005</v>
      </c>
      <c r="H205" s="5">
        <f>VLOOKUP("TOTAL COM BDI - "&amp;B205,CPU!$A:$J,9,FALSE)</f>
        <v>412.22</v>
      </c>
      <c r="I205" s="5">
        <f t="shared" si="8"/>
        <v>0</v>
      </c>
    </row>
    <row r="206" spans="1:9" x14ac:dyDescent="0.3">
      <c r="A206" s="23" t="s">
        <v>296</v>
      </c>
      <c r="B206" s="23" t="str">
        <f>VLOOKUP(A206,MEMORIA!$A:$N,2,FALSE)</f>
        <v>COMPOS10</v>
      </c>
      <c r="C206" s="23" t="str">
        <f>VLOOKUP(A206,MEMORIA!$A:$N,3,FALSE)</f>
        <v>PRÓPRIA</v>
      </c>
      <c r="D206" s="24" t="str">
        <f>VLOOKUP(A206,MEMORIA!$A:$N,4,FALSE)</f>
        <v>CIMENTAÇÃO SANITÁRIA</v>
      </c>
      <c r="E206" s="23" t="str">
        <f>VLOOKUP(A206,MEMORIA!$A:$N,5,FALSE)</f>
        <v>M³</v>
      </c>
      <c r="F206" s="5">
        <f>VLOOKUP(A206,MEMORIA!$A:$N,14,FALSE)</f>
        <v>4.55</v>
      </c>
      <c r="G206" s="5">
        <f>VLOOKUP("TOTAL SEM BDI - "&amp;B206,CPU!$A:$J,9,FALSE)</f>
        <v>164.58999999999997</v>
      </c>
      <c r="H206" s="5">
        <f>VLOOKUP("TOTAL COM BDI - "&amp;B206,CPU!$A:$J,9,FALSE)</f>
        <v>205.46999999999997</v>
      </c>
      <c r="I206" s="5">
        <f t="shared" si="8"/>
        <v>934.89</v>
      </c>
    </row>
    <row r="207" spans="1:9" x14ac:dyDescent="0.3">
      <c r="A207" s="23" t="s">
        <v>297</v>
      </c>
      <c r="B207" s="23" t="str">
        <f>VLOOKUP(A207,MEMORIA!$A:$N,2,FALSE)</f>
        <v>COMPOS11</v>
      </c>
      <c r="C207" s="23" t="str">
        <f>VLOOKUP(A207,MEMORIA!$A:$N,3,FALSE)</f>
        <v>PRÓPRIA</v>
      </c>
      <c r="D207" s="24" t="str">
        <f>VLOOKUP(A207,MEMORIA!$A:$N,4,FALSE)</f>
        <v>LAJE DE PROTEÇÃO EM CONCRETO (1,0 M X 1,0 M X 0,15 M)</v>
      </c>
      <c r="E207" s="23" t="str">
        <f>VLOOKUP(A207,MEMORIA!$A:$N,5,FALSE)</f>
        <v>M³</v>
      </c>
      <c r="F207" s="5">
        <f>VLOOKUP(A207,MEMORIA!$A:$N,14,FALSE)</f>
        <v>0.15</v>
      </c>
      <c r="G207" s="5">
        <f>VLOOKUP("TOTAL SEM BDI - "&amp;B207,CPU!$A:$J,9,FALSE)</f>
        <v>1259.1399999999999</v>
      </c>
      <c r="H207" s="5">
        <f>VLOOKUP("TOTAL COM BDI - "&amp;B207,CPU!$A:$J,9,FALSE)</f>
        <v>1571.9099999999999</v>
      </c>
      <c r="I207" s="5">
        <f t="shared" si="8"/>
        <v>235.79</v>
      </c>
    </row>
    <row r="208" spans="1:9" x14ac:dyDescent="0.3">
      <c r="A208" s="23" t="s">
        <v>298</v>
      </c>
      <c r="B208" s="23" t="str">
        <f>VLOOKUP(A208,MEMORIA!$A:$N,2,FALSE)</f>
        <v>COMPOS12</v>
      </c>
      <c r="C208" s="23" t="str">
        <f>VLOOKUP(A208,MEMORIA!$A:$N,3,FALSE)</f>
        <v>PRÓPRIA</v>
      </c>
      <c r="D208" s="24" t="str">
        <f>VLOOKUP(A208,MEMORIA!$A:$N,4,FALSE)</f>
        <v>DESENVOLVIMENTO COM BOMBA SUBMERSA</v>
      </c>
      <c r="E208" s="23" t="str">
        <f>VLOOKUP(A208,MEMORIA!$A:$N,5,FALSE)</f>
        <v>H</v>
      </c>
      <c r="F208" s="5">
        <f>VLOOKUP(A208,MEMORIA!$A:$N,14,FALSE)</f>
        <v>6</v>
      </c>
      <c r="G208" s="5">
        <f>VLOOKUP("TOTAL SEM BDI - "&amp;B208,CPU!$A:$J,9,FALSE)</f>
        <v>513.45000000000005</v>
      </c>
      <c r="H208" s="5">
        <f>VLOOKUP("TOTAL COM BDI - "&amp;B208,CPU!$A:$J,9,FALSE)</f>
        <v>640.99</v>
      </c>
      <c r="I208" s="5">
        <f t="shared" si="8"/>
        <v>3845.94</v>
      </c>
    </row>
    <row r="209" spans="1:9" x14ac:dyDescent="0.3">
      <c r="A209" s="23" t="s">
        <v>299</v>
      </c>
      <c r="B209" s="23" t="str">
        <f>VLOOKUP(A209,MEMORIA!$A:$N,2,FALSE)</f>
        <v>COMPOS13</v>
      </c>
      <c r="C209" s="23" t="str">
        <f>VLOOKUP(A209,MEMORIA!$A:$N,3,FALSE)</f>
        <v>PRÓPRIA</v>
      </c>
      <c r="D209" s="24" t="str">
        <f>VLOOKUP(A209,MEMORIA!$A:$N,4,FALSE)</f>
        <v>TESTE VAZÃO COM BOMBA SUBMERSA</v>
      </c>
      <c r="E209" s="23" t="str">
        <f>VLOOKUP(A209,MEMORIA!$A:$N,5,FALSE)</f>
        <v>H</v>
      </c>
      <c r="F209" s="5">
        <f>VLOOKUP(A209,MEMORIA!$A:$N,14,FALSE)</f>
        <v>24</v>
      </c>
      <c r="G209" s="5">
        <f>VLOOKUP("TOTAL SEM BDI - "&amp;B209,CPU!$A:$J,9,FALSE)</f>
        <v>95.539999999999992</v>
      </c>
      <c r="H209" s="5">
        <f>VLOOKUP("TOTAL COM BDI - "&amp;B209,CPU!$A:$J,9,FALSE)</f>
        <v>119.27</v>
      </c>
      <c r="I209" s="5">
        <f t="shared" si="8"/>
        <v>2862.48</v>
      </c>
    </row>
    <row r="210" spans="1:9" x14ac:dyDescent="0.3">
      <c r="A210" s="23" t="s">
        <v>300</v>
      </c>
      <c r="B210" s="23" t="str">
        <f>VLOOKUP(A210,MEMORIA!$A:$N,2,FALSE)</f>
        <v>COMPOS14</v>
      </c>
      <c r="C210" s="23" t="str">
        <f>VLOOKUP(A210,MEMORIA!$A:$N,3,FALSE)</f>
        <v>PRÓPRIA</v>
      </c>
      <c r="D210" s="24" t="str">
        <f>VLOOKUP(A210,MEMORIA!$A:$N,4,FALSE)</f>
        <v>DESINFECÇÃO</v>
      </c>
      <c r="E210" s="23" t="str">
        <f>VLOOKUP(A210,MEMORIA!$A:$N,5,FALSE)</f>
        <v>H</v>
      </c>
      <c r="F210" s="5">
        <f>VLOOKUP(A210,MEMORIA!$A:$N,14,FALSE)</f>
        <v>6</v>
      </c>
      <c r="G210" s="5">
        <f>VLOOKUP("TOTAL SEM BDI - "&amp;B210,CPU!$A:$J,9,FALSE)</f>
        <v>100.11000000000003</v>
      </c>
      <c r="H210" s="5">
        <f>VLOOKUP("TOTAL COM BDI - "&amp;B210,CPU!$A:$J,9,FALSE)</f>
        <v>124.98000000000003</v>
      </c>
      <c r="I210" s="5">
        <f t="shared" si="8"/>
        <v>749.88</v>
      </c>
    </row>
    <row r="211" spans="1:9" x14ac:dyDescent="0.3">
      <c r="A211" s="23" t="s">
        <v>301</v>
      </c>
      <c r="B211" s="23" t="str">
        <f>VLOOKUP(A211,MEMORIA!$A:$N,2,FALSE)</f>
        <v>COMPOS15</v>
      </c>
      <c r="C211" s="23" t="str">
        <f>VLOOKUP(A211,MEMORIA!$A:$N,3,FALSE)</f>
        <v>PRÓPRIA</v>
      </c>
      <c r="D211" s="24" t="str">
        <f>VLOOKUP(A211,MEMORIA!$A:$N,4,FALSE)</f>
        <v>RELATÓRIO TÉCNICO</v>
      </c>
      <c r="E211" s="23" t="str">
        <f>VLOOKUP(A211,MEMORIA!$A:$N,5,FALSE)</f>
        <v>UN</v>
      </c>
      <c r="F211" s="5">
        <f>VLOOKUP(A211,MEMORIA!$A:$N,14,FALSE)</f>
        <v>1</v>
      </c>
      <c r="G211" s="5">
        <f>VLOOKUP("TOTAL SEM BDI - "&amp;B211,CPU!$A:$J,9,FALSE)</f>
        <v>1110.2</v>
      </c>
      <c r="H211" s="5">
        <f>VLOOKUP("TOTAL COM BDI - "&amp;B211,CPU!$A:$J,9,FALSE)</f>
        <v>1385.97</v>
      </c>
      <c r="I211" s="5">
        <f t="shared" si="8"/>
        <v>1385.97</v>
      </c>
    </row>
    <row r="212" spans="1:9" x14ac:dyDescent="0.3">
      <c r="A212" s="23" t="s">
        <v>302</v>
      </c>
      <c r="B212" s="23" t="str">
        <f>VLOOKUP(A212,MEMORIA!$A:$N,2,FALSE)</f>
        <v>COMPOS16</v>
      </c>
      <c r="C212" s="23" t="str">
        <f>VLOOKUP(A212,MEMORIA!$A:$N,3,FALSE)</f>
        <v>PRÓPRIA</v>
      </c>
      <c r="D212" s="24" t="str">
        <f>VLOOKUP(A212,MEMORIA!$A:$N,4,FALSE)</f>
        <v>ANÁLISE FÍSICO-QUÍMICA DA ÁGUA</v>
      </c>
      <c r="E212" s="23" t="str">
        <f>VLOOKUP(A212,MEMORIA!$A:$N,5,FALSE)</f>
        <v>UN</v>
      </c>
      <c r="F212" s="5">
        <f>VLOOKUP(A212,MEMORIA!$A:$N,14,FALSE)</f>
        <v>1</v>
      </c>
      <c r="G212" s="5">
        <f>VLOOKUP("TOTAL SEM BDI - "&amp;B212,CPU!$A:$J,9,FALSE)</f>
        <v>565.21</v>
      </c>
      <c r="H212" s="5">
        <f>VLOOKUP("TOTAL COM BDI - "&amp;B212,CPU!$A:$J,9,FALSE)</f>
        <v>705.61</v>
      </c>
      <c r="I212" s="5">
        <f t="shared" si="8"/>
        <v>705.61</v>
      </c>
    </row>
    <row r="213" spans="1:9" x14ac:dyDescent="0.3">
      <c r="A213" s="23" t="s">
        <v>303</v>
      </c>
      <c r="B213" s="23" t="str">
        <f>VLOOKUP(A213,MEMORIA!$A:$N,2,FALSE)</f>
        <v>COMPOS1</v>
      </c>
      <c r="C213" s="23" t="str">
        <f>VLOOKUP(A213,MEMORIA!$A:$N,3,FALSE)</f>
        <v>PRÓPRIA</v>
      </c>
      <c r="D213" s="24" t="str">
        <f>VLOOKUP(A213,MEMORIA!$A:$N,4,FALSE)</f>
        <v>FORNECIMENTO E INSTALAÇÃO DE REVESTIMENTO GEOMECÂNICO STANDART DN-154-S</v>
      </c>
      <c r="E213" s="23" t="str">
        <f>VLOOKUP(A213,MEMORIA!$A:$N,5,FALSE)</f>
        <v>M</v>
      </c>
      <c r="F213" s="5">
        <f>VLOOKUP(A213,MEMORIA!$A:$N,14,FALSE)</f>
        <v>36</v>
      </c>
      <c r="G213" s="5">
        <f>VLOOKUP("TOTAL SEM BDI - "&amp;B213,CPU!$A:$J,9,FALSE)</f>
        <v>170.76</v>
      </c>
      <c r="H213" s="5">
        <f>VLOOKUP("TOTAL COM BDI - "&amp;B213,CPU!$A:$J,9,FALSE)</f>
        <v>213.18</v>
      </c>
      <c r="I213" s="5">
        <f t="shared" si="8"/>
        <v>7674.48</v>
      </c>
    </row>
    <row r="214" spans="1:9" x14ac:dyDescent="0.3">
      <c r="A214" s="23" t="s">
        <v>304</v>
      </c>
      <c r="B214" s="23" t="str">
        <f>VLOOKUP(A214,MEMORIA!$A:$N,2,FALSE)</f>
        <v>COMPOS2</v>
      </c>
      <c r="C214" s="23" t="str">
        <f>VLOOKUP(A214,MEMORIA!$A:$N,3,FALSE)</f>
        <v>PRÓPRIA</v>
      </c>
      <c r="D214" s="24" t="str">
        <f>VLOOKUP(A214,MEMORIA!$A:$N,4,FALSE)</f>
        <v>FORNECIMENTO E INSTALAÇÃO DE TAMPA PARA POÇO</v>
      </c>
      <c r="E214" s="23" t="str">
        <f>VLOOKUP(A214,MEMORIA!$A:$N,5,FALSE)</f>
        <v>UN</v>
      </c>
      <c r="F214" s="5">
        <f>VLOOKUP(A214,MEMORIA!$A:$N,14,FALSE)</f>
        <v>1</v>
      </c>
      <c r="G214" s="5">
        <f>VLOOKUP("TOTAL SEM BDI - "&amp;B214,CPU!$A:$J,9,FALSE)</f>
        <v>109.94</v>
      </c>
      <c r="H214" s="5">
        <f>VLOOKUP("TOTAL COM BDI - "&amp;B214,CPU!$A:$J,9,FALSE)</f>
        <v>137.25</v>
      </c>
      <c r="I214" s="5">
        <f t="shared" si="8"/>
        <v>137.25</v>
      </c>
    </row>
    <row r="215" spans="1:9" x14ac:dyDescent="0.3">
      <c r="A215" s="12" t="s">
        <v>66</v>
      </c>
      <c r="B215" s="46" t="str">
        <f>VLOOKUP(A215,MEMORIA!$A:$N,2,FALSE)</f>
        <v>AQUISIÇÃO E INSTALAÇÃO DE EQUIPAMENTOS DE BOMBEAMENTO, RECALQUE/BARRILETE E CONEXÕES PARA INTERLIGAÇÃO COM RESERVATÓRIO</v>
      </c>
      <c r="C215" s="47"/>
      <c r="D215" s="47"/>
      <c r="E215" s="47"/>
      <c r="F215" s="47"/>
      <c r="G215" s="47"/>
      <c r="H215" s="48"/>
      <c r="I215" s="13">
        <f>SUM($I$216:$I$221)</f>
        <v>19625.579999999998</v>
      </c>
    </row>
    <row r="216" spans="1:9" ht="28.8" x14ac:dyDescent="0.3">
      <c r="A216" s="23" t="s">
        <v>305</v>
      </c>
      <c r="B216" s="23" t="str">
        <f>VLOOKUP(A216,MEMORIA!$A:$N,2,FALSE)</f>
        <v>COMPOS17</v>
      </c>
      <c r="C216" s="23" t="str">
        <f>VLOOKUP(A216,MEMORIA!$A:$N,3,FALSE)</f>
        <v>PRÓPRIA</v>
      </c>
      <c r="D216" s="24" t="str">
        <f>VLOOKUP(A216,MEMORIA!$A:$N,4,FALSE)</f>
        <v>FORNECIMENTO E INSTALAÇÃO DE BOMBA SUBMERSA DE 3CV, MONOFÁSICA, 220 V, LEÃO OU SIMILAR</v>
      </c>
      <c r="E216" s="23" t="str">
        <f>VLOOKUP(A216,MEMORIA!$A:$N,5,FALSE)</f>
        <v>UN</v>
      </c>
      <c r="F216" s="5">
        <f>VLOOKUP(A216,MEMORIA!$A:$N,14,FALSE)</f>
        <v>1</v>
      </c>
      <c r="G216" s="5">
        <f>VLOOKUP("TOTAL SEM BDI - "&amp;B216,CPU!$A:$J,9,FALSE)</f>
        <v>3515.68</v>
      </c>
      <c r="H216" s="5">
        <f>VLOOKUP("TOTAL COM BDI - "&amp;B216,CPU!$A:$J,9,FALSE)</f>
        <v>4388.9699999999993</v>
      </c>
      <c r="I216" s="5">
        <f t="shared" ref="I216:I221" si="9">ROUND(F216*H216,2)</f>
        <v>4388.97</v>
      </c>
    </row>
    <row r="217" spans="1:9" ht="28.8" x14ac:dyDescent="0.3">
      <c r="A217" s="23" t="s">
        <v>306</v>
      </c>
      <c r="B217" s="23" t="str">
        <f>VLOOKUP(A217,MEMORIA!$A:$N,2,FALSE)</f>
        <v>COMPOS29</v>
      </c>
      <c r="C217" s="23" t="str">
        <f>VLOOKUP(A217,MEMORIA!$A:$N,3,FALSE)</f>
        <v>PRÓPRIA</v>
      </c>
      <c r="D217" s="24" t="str">
        <f>VLOOKUP(A217,MEMORIA!$A:$N,4,FALSE)</f>
        <v>FORNECIMENTO E INSTALAÇÃO DE PAINEL DE COMANDO ELÉTRICO PARA BOMBA 3CV, MONOFÁSICO</v>
      </c>
      <c r="E217" s="23" t="str">
        <f>VLOOKUP(A217,MEMORIA!$A:$N,5,FALSE)</f>
        <v>UN</v>
      </c>
      <c r="F217" s="5">
        <f>VLOOKUP(A217,MEMORIA!$A:$N,14,FALSE)</f>
        <v>1</v>
      </c>
      <c r="G217" s="5">
        <f>VLOOKUP("TOTAL SEM BDI - "&amp;B217,CPU!$A:$J,9,FALSE)</f>
        <v>773.3</v>
      </c>
      <c r="H217" s="5">
        <f>VLOOKUP("TOTAL COM BDI - "&amp;B217,CPU!$A:$J,9,FALSE)</f>
        <v>965.39</v>
      </c>
      <c r="I217" s="5">
        <f t="shared" si="9"/>
        <v>965.39</v>
      </c>
    </row>
    <row r="218" spans="1:9" x14ac:dyDescent="0.3">
      <c r="A218" s="23" t="s">
        <v>307</v>
      </c>
      <c r="B218" s="23" t="str">
        <f>VLOOKUP(A218,MEMORIA!$A:$N,2,FALSE)</f>
        <v>COMPOS19</v>
      </c>
      <c r="C218" s="23" t="str">
        <f>VLOOKUP(A218,MEMORIA!$A:$N,3,FALSE)</f>
        <v>PRÓPRIA</v>
      </c>
      <c r="D218" s="24" t="str">
        <f>VLOOKUP(A218,MEMORIA!$A:$N,4,FALSE)</f>
        <v>FORNECIMENTO E INSTALAÇÃO DE TUBO EDUTOR DE PVC DE 1.1/2'' COM LUVA</v>
      </c>
      <c r="E218" s="23" t="str">
        <f>VLOOKUP(A218,MEMORIA!$A:$N,5,FALSE)</f>
        <v>M</v>
      </c>
      <c r="F218" s="5">
        <f>VLOOKUP(A218,MEMORIA!$A:$N,14,FALSE)</f>
        <v>110</v>
      </c>
      <c r="G218" s="5">
        <f>VLOOKUP("TOTAL SEM BDI - "&amp;B218,CPU!$A:$J,9,FALSE)</f>
        <v>46.25</v>
      </c>
      <c r="H218" s="5">
        <f>VLOOKUP("TOTAL COM BDI - "&amp;B218,CPU!$A:$J,9,FALSE)</f>
        <v>57.74</v>
      </c>
      <c r="I218" s="5">
        <f t="shared" si="9"/>
        <v>6351.4</v>
      </c>
    </row>
    <row r="219" spans="1:9" x14ac:dyDescent="0.3">
      <c r="A219" s="23" t="s">
        <v>308</v>
      </c>
      <c r="B219" s="23" t="str">
        <f>VLOOKUP(A219,MEMORIA!$A:$N,2,FALSE)</f>
        <v>COMPOS24</v>
      </c>
      <c r="C219" s="23" t="str">
        <f>VLOOKUP(A219,MEMORIA!$A:$N,3,FALSE)</f>
        <v>PRÓPRIA</v>
      </c>
      <c r="D219" s="24" t="str">
        <f>VLOOKUP(A219,MEMORIA!$A:$N,4,FALSE)</f>
        <v>FORNECIMENTO E INSTALAÇÃO DE CABO CHATO SUBMERSO DE 3 X 6 MM²</v>
      </c>
      <c r="E219" s="23" t="str">
        <f>VLOOKUP(A219,MEMORIA!$A:$N,5,FALSE)</f>
        <v>M</v>
      </c>
      <c r="F219" s="5">
        <f>VLOOKUP(A219,MEMORIA!$A:$N,14,FALSE)</f>
        <v>120</v>
      </c>
      <c r="G219" s="5">
        <f>VLOOKUP("TOTAL SEM BDI - "&amp;B219,CPU!$A:$J,9,FALSE)</f>
        <v>25.98</v>
      </c>
      <c r="H219" s="5">
        <f>VLOOKUP("TOTAL COM BDI - "&amp;B219,CPU!$A:$J,9,FALSE)</f>
        <v>32.43</v>
      </c>
      <c r="I219" s="5">
        <f t="shared" si="9"/>
        <v>3891.6</v>
      </c>
    </row>
    <row r="220" spans="1:9" x14ac:dyDescent="0.3">
      <c r="A220" s="23" t="s">
        <v>309</v>
      </c>
      <c r="B220" s="23" t="str">
        <f>VLOOKUP(A220,MEMORIA!$A:$N,2,FALSE)</f>
        <v>COMPOS21</v>
      </c>
      <c r="C220" s="23" t="str">
        <f>VLOOKUP(A220,MEMORIA!$A:$N,3,FALSE)</f>
        <v>PRÓPRIA</v>
      </c>
      <c r="D220" s="24" t="str">
        <f>VLOOKUP(A220,MEMORIA!$A:$N,4,FALSE)</f>
        <v>BARRILETE (CURVAS E CONEXÕES)</v>
      </c>
      <c r="E220" s="23" t="str">
        <f>VLOOKUP(A220,MEMORIA!$A:$N,5,FALSE)</f>
        <v>UN</v>
      </c>
      <c r="F220" s="5">
        <f>VLOOKUP(A220,MEMORIA!$A:$N,14,FALSE)</f>
        <v>1</v>
      </c>
      <c r="G220" s="5">
        <f>VLOOKUP("TOTAL SEM BDI - "&amp;B220,CPU!$A:$J,9,FALSE)</f>
        <v>2135.96</v>
      </c>
      <c r="H220" s="5">
        <f>VLOOKUP("TOTAL COM BDI - "&amp;B220,CPU!$A:$J,9,FALSE)</f>
        <v>2666.53</v>
      </c>
      <c r="I220" s="5">
        <f t="shared" si="9"/>
        <v>2666.53</v>
      </c>
    </row>
    <row r="221" spans="1:9" x14ac:dyDescent="0.3">
      <c r="A221" s="23" t="s">
        <v>310</v>
      </c>
      <c r="B221" s="23" t="str">
        <f>VLOOKUP(A221,MEMORIA!$A:$N,2,FALSE)</f>
        <v>COMPOS26</v>
      </c>
      <c r="C221" s="23" t="str">
        <f>VLOOKUP(A221,MEMORIA!$A:$N,3,FALSE)</f>
        <v>PRÓPRIA</v>
      </c>
      <c r="D221" s="24" t="str">
        <f>VLOOKUP(A221,MEMORIA!$A:$N,4,FALSE)</f>
        <v>AQUISIÇÃO E INSTALAÇÃO DE DOSADOR DE CLORO</v>
      </c>
      <c r="E221" s="23" t="str">
        <f>VLOOKUP(A221,MEMORIA!$A:$N,5,FALSE)</f>
        <v>UND</v>
      </c>
      <c r="F221" s="5">
        <f>VLOOKUP(A221,MEMORIA!$A:$N,14,FALSE)</f>
        <v>1</v>
      </c>
      <c r="G221" s="5">
        <f>VLOOKUP("TOTAL SEM BDI - "&amp;B221,CPU!$A:$J,9,FALSE)</f>
        <v>1090.75</v>
      </c>
      <c r="H221" s="5">
        <f>VLOOKUP("TOTAL COM BDI - "&amp;B221,CPU!$A:$J,9,FALSE)</f>
        <v>1361.69</v>
      </c>
      <c r="I221" s="5">
        <f t="shared" si="9"/>
        <v>1361.69</v>
      </c>
    </row>
    <row r="222" spans="1:9" x14ac:dyDescent="0.3">
      <c r="A222" s="12" t="s">
        <v>67</v>
      </c>
      <c r="B222" s="46" t="str">
        <f>VLOOKUP(A222,MEMORIA!$A:$N,2,FALSE)</f>
        <v>CONSTRUÇÃO DA CASA DE COMANDO</v>
      </c>
      <c r="C222" s="47"/>
      <c r="D222" s="47"/>
      <c r="E222" s="47"/>
      <c r="F222" s="47"/>
      <c r="G222" s="47"/>
      <c r="H222" s="48"/>
      <c r="I222" s="13">
        <f>SUM($I$223,$I$226,$I$228,$I$232,$I$235,$I$238,$I$241,$I$245,$I$248,$I$251,$I$254,)</f>
        <v>25565.510000000002</v>
      </c>
    </row>
    <row r="223" spans="1:9" x14ac:dyDescent="0.3">
      <c r="A223" s="15" t="s">
        <v>68</v>
      </c>
      <c r="B223" s="49" t="str">
        <f>VLOOKUP(A223,MEMORIA!$A:$N,2,FALSE)</f>
        <v>SERVIÇOS PRELIMINARES</v>
      </c>
      <c r="C223" s="50"/>
      <c r="D223" s="50"/>
      <c r="E223" s="50"/>
      <c r="F223" s="50"/>
      <c r="G223" s="50"/>
      <c r="H223" s="51"/>
      <c r="I223" s="16">
        <f>SUM($I$224:$I$225)</f>
        <v>3887.12</v>
      </c>
    </row>
    <row r="224" spans="1:9" x14ac:dyDescent="0.3">
      <c r="A224" s="23" t="s">
        <v>311</v>
      </c>
      <c r="B224" s="23">
        <f>VLOOKUP(A224,MEMORIA!$A:$N,2,FALSE)</f>
        <v>98524</v>
      </c>
      <c r="C224" s="23" t="str">
        <f>VLOOKUP(A224,MEMORIA!$A:$N,3,FALSE)</f>
        <v>SINAPI</v>
      </c>
      <c r="D224" s="24" t="str">
        <f>VLOOKUP(A224,MEMORIA!$A:$N,4,FALSE)</f>
        <v>LIMPEZA MANUAL DE VEGETAÇÃO EM TERRENO COM ENXADA. AF_03/2024</v>
      </c>
      <c r="E224" s="23" t="str">
        <f>VLOOKUP(A224,MEMORIA!$A:$N,5,FALSE)</f>
        <v>M2</v>
      </c>
      <c r="F224" s="5">
        <f>VLOOKUP(A224,MEMORIA!$A:$N,14,FALSE)</f>
        <v>100</v>
      </c>
      <c r="G224" s="5">
        <f>VLOOKUP("TOTAL SEM BDI - "&amp;B224,CPU!$A:$J,9,FALSE)</f>
        <v>4.62</v>
      </c>
      <c r="H224" s="5">
        <f>VLOOKUP("TOTAL COM BDI - "&amp;B224,CPU!$A:$J,9,FALSE)</f>
        <v>5.77</v>
      </c>
      <c r="I224" s="5">
        <f>ROUND(F224*H224,2)</f>
        <v>577</v>
      </c>
    </row>
    <row r="225" spans="1:9" ht="28.8" x14ac:dyDescent="0.3">
      <c r="A225" s="23" t="s">
        <v>312</v>
      </c>
      <c r="B225" s="23">
        <f>VLOOKUP(A225,MEMORIA!$A:$N,2,FALSE)</f>
        <v>99059</v>
      </c>
      <c r="C225" s="23" t="str">
        <f>VLOOKUP(A225,MEMORIA!$A:$N,3,FALSE)</f>
        <v>SINAPI</v>
      </c>
      <c r="D225" s="24" t="str">
        <f>VLOOKUP(A225,MEMORIA!$A:$N,4,FALSE)</f>
        <v>LOCAÇÃO CONVENCIONAL DE OBRA, UTILIZANDO GABARITO DE TÁBUAS CORRIDAS PONTALETADAS A CADA 2,00M - 2 UTILIZAÇÕES. AF_03/2024</v>
      </c>
      <c r="E225" s="23" t="str">
        <f>VLOOKUP(A225,MEMORIA!$A:$N,5,FALSE)</f>
        <v>M</v>
      </c>
      <c r="F225" s="5">
        <f>VLOOKUP(A225,MEMORIA!$A:$N,14,FALSE)</f>
        <v>44</v>
      </c>
      <c r="G225" s="5">
        <f>VLOOKUP("TOTAL SEM BDI - "&amp;B225,CPU!$A:$J,9,FALSE)</f>
        <v>60.260000000000005</v>
      </c>
      <c r="H225" s="5">
        <f>VLOOKUP("TOTAL COM BDI - "&amp;B225,CPU!$A:$J,9,FALSE)</f>
        <v>75.23</v>
      </c>
      <c r="I225" s="5">
        <f>ROUND(F225*H225,2)</f>
        <v>3310.12</v>
      </c>
    </row>
    <row r="226" spans="1:9" x14ac:dyDescent="0.3">
      <c r="A226" s="15" t="s">
        <v>69</v>
      </c>
      <c r="B226" s="49" t="str">
        <f>VLOOKUP(A226,MEMORIA!$A:$N,2,FALSE)</f>
        <v>MOVIMENTO DE TERRA</v>
      </c>
      <c r="C226" s="50"/>
      <c r="D226" s="50"/>
      <c r="E226" s="50"/>
      <c r="F226" s="50"/>
      <c r="G226" s="50"/>
      <c r="H226" s="51"/>
      <c r="I226" s="16">
        <f>SUM($I$227:$I$227)</f>
        <v>165.09</v>
      </c>
    </row>
    <row r="227" spans="1:9" x14ac:dyDescent="0.3">
      <c r="A227" s="23" t="s">
        <v>313</v>
      </c>
      <c r="B227" s="23">
        <f>VLOOKUP(A227,MEMORIA!$A:$N,2,FALSE)</f>
        <v>93358</v>
      </c>
      <c r="C227" s="23" t="str">
        <f>VLOOKUP(A227,MEMORIA!$A:$N,3,FALSE)</f>
        <v>SINAPI</v>
      </c>
      <c r="D227" s="24" t="str">
        <f>VLOOKUP(A227,MEMORIA!$A:$N,4,FALSE)</f>
        <v>ESCAVAÇÃO MANUAL DE VALA. AF_09/2024</v>
      </c>
      <c r="E227" s="23" t="str">
        <f>VLOOKUP(A227,MEMORIA!$A:$N,5,FALSE)</f>
        <v>M3</v>
      </c>
      <c r="F227" s="5">
        <f>VLOOKUP(A227,MEMORIA!$A:$N,14,FALSE)</f>
        <v>1.54</v>
      </c>
      <c r="G227" s="5">
        <f>VLOOKUP("TOTAL SEM BDI - "&amp;B227,CPU!$A:$J,9,FALSE)</f>
        <v>85.87</v>
      </c>
      <c r="H227" s="5">
        <f>VLOOKUP("TOTAL COM BDI - "&amp;B227,CPU!$A:$J,9,FALSE)</f>
        <v>107.2</v>
      </c>
      <c r="I227" s="5">
        <f>ROUND(F227*H227,2)</f>
        <v>165.09</v>
      </c>
    </row>
    <row r="228" spans="1:9" x14ac:dyDescent="0.3">
      <c r="A228" s="15" t="s">
        <v>70</v>
      </c>
      <c r="B228" s="49" t="str">
        <f>VLOOKUP(A228,MEMORIA!$A:$N,2,FALSE)</f>
        <v>INFRAESTRUTURA</v>
      </c>
      <c r="C228" s="50"/>
      <c r="D228" s="50"/>
      <c r="E228" s="50"/>
      <c r="F228" s="50"/>
      <c r="G228" s="50"/>
      <c r="H228" s="51"/>
      <c r="I228" s="16">
        <f>SUM($I$229:$I$231)</f>
        <v>1275.5</v>
      </c>
    </row>
    <row r="229" spans="1:9" ht="28.8" x14ac:dyDescent="0.3">
      <c r="A229" s="23" t="s">
        <v>314</v>
      </c>
      <c r="B229" s="23">
        <f>VLOOKUP(A229,MEMORIA!$A:$N,2,FALSE)</f>
        <v>96617</v>
      </c>
      <c r="C229" s="23" t="str">
        <f>VLOOKUP(A229,MEMORIA!$A:$N,3,FALSE)</f>
        <v>SINAPI</v>
      </c>
      <c r="D229" s="24" t="str">
        <f>VLOOKUP(A229,MEMORIA!$A:$N,4,FALSE)</f>
        <v>LASTRO DE CONCRETO MAGRO, APLICADO EM BLOCOS DE COROAMENTO OU SAPATAS, ESPESSURA DE 3 CM. AF_01/2024</v>
      </c>
      <c r="E229" s="23" t="str">
        <f>VLOOKUP(A229,MEMORIA!$A:$N,5,FALSE)</f>
        <v>M2</v>
      </c>
      <c r="F229" s="5">
        <f>VLOOKUP(A229,MEMORIA!$A:$N,14,FALSE)</f>
        <v>2.58</v>
      </c>
      <c r="G229" s="5">
        <f>VLOOKUP("TOTAL SEM BDI - "&amp;B229,CPU!$A:$J,9,FALSE)</f>
        <v>23.990000000000002</v>
      </c>
      <c r="H229" s="5">
        <f>VLOOKUP("TOTAL COM BDI - "&amp;B229,CPU!$A:$J,9,FALSE)</f>
        <v>29.950000000000003</v>
      </c>
      <c r="I229" s="5">
        <f>ROUND(F229*H229,2)</f>
        <v>77.27</v>
      </c>
    </row>
    <row r="230" spans="1:9" ht="28.8" x14ac:dyDescent="0.3">
      <c r="A230" s="23" t="s">
        <v>315</v>
      </c>
      <c r="B230" s="23">
        <f>VLOOKUP(A230,MEMORIA!$A:$N,2,FALSE)</f>
        <v>103800</v>
      </c>
      <c r="C230" s="23" t="str">
        <f>VLOOKUP(A230,MEMORIA!$A:$N,3,FALSE)</f>
        <v>SINAPI</v>
      </c>
      <c r="D230" s="24" t="str">
        <f>VLOOKUP(A230,MEMORIA!$A:$N,4,FALSE)</f>
        <v>PEDRA ARGAMASSADA COM CIMENTO E AREIA 1:3, 40% DE ARGAMASSA EM VOLUME - AREIA E PEDRA DE MÃO COMERCIAIS - FORNECIMENTO E ASSENTAMENTO. AF_08/2022</v>
      </c>
      <c r="E230" s="23" t="str">
        <f>VLOOKUP(A230,MEMORIA!$A:$N,5,FALSE)</f>
        <v>M3</v>
      </c>
      <c r="F230" s="5">
        <f>VLOOKUP(A230,MEMORIA!$A:$N,14,FALSE)</f>
        <v>1.04</v>
      </c>
      <c r="G230" s="5">
        <f>VLOOKUP("TOTAL SEM BDI - "&amp;B230,CPU!$A:$J,9,FALSE)</f>
        <v>680.59</v>
      </c>
      <c r="H230" s="5">
        <f>VLOOKUP("TOTAL COM BDI - "&amp;B230,CPU!$A:$J,9,FALSE)</f>
        <v>849.65000000000009</v>
      </c>
      <c r="I230" s="5">
        <f>ROUND(F230*H230,2)</f>
        <v>883.64</v>
      </c>
    </row>
    <row r="231" spans="1:9" ht="43.2" x14ac:dyDescent="0.3">
      <c r="A231" s="23" t="s">
        <v>316</v>
      </c>
      <c r="B231" s="23">
        <f>VLOOKUP(A231,MEMORIA!$A:$N,2,FALSE)</f>
        <v>103335</v>
      </c>
      <c r="C231" s="23" t="str">
        <f>VLOOKUP(A231,MEMORIA!$A:$N,3,FALSE)</f>
        <v>SINAPI</v>
      </c>
      <c r="D231" s="24" t="str">
        <f>VLOOKUP(A231,MEMORIA!$A:$N,4,FALSE)</f>
        <v>ALVENARIA DE VEDAÇÃO DE BLOCOS CERÂMICOS FURADOS NA HORIZONTAL DE 14X9X19 CM (ESPESSURA 14 CM, BLOCO DEITADO) E ARGAMASSA DE ASSENTAMENTO COM PREPARO MANUAL. AF_12/2021</v>
      </c>
      <c r="E231" s="23" t="str">
        <f>VLOOKUP(A231,MEMORIA!$A:$N,5,FALSE)</f>
        <v>M2</v>
      </c>
      <c r="F231" s="5">
        <f>VLOOKUP(A231,MEMORIA!$A:$N,14,FALSE)</f>
        <v>1.7200000000000002</v>
      </c>
      <c r="G231" s="5">
        <f>VLOOKUP("TOTAL SEM BDI - "&amp;B231,CPU!$A:$J,9,FALSE)</f>
        <v>146.51</v>
      </c>
      <c r="H231" s="5">
        <f>VLOOKUP("TOTAL COM BDI - "&amp;B231,CPU!$A:$J,9,FALSE)</f>
        <v>182.89999999999998</v>
      </c>
      <c r="I231" s="5">
        <f>ROUND(F231*H231,2)</f>
        <v>314.58999999999997</v>
      </c>
    </row>
    <row r="232" spans="1:9" x14ac:dyDescent="0.3">
      <c r="A232" s="15" t="s">
        <v>71</v>
      </c>
      <c r="B232" s="49" t="str">
        <f>VLOOKUP(A232,MEMORIA!$A:$N,2,FALSE)</f>
        <v>SUPERESTRUTURA</v>
      </c>
      <c r="C232" s="50"/>
      <c r="D232" s="50"/>
      <c r="E232" s="50"/>
      <c r="F232" s="50"/>
      <c r="G232" s="50"/>
      <c r="H232" s="51"/>
      <c r="I232" s="16">
        <f>SUM($I$233:$I$234)</f>
        <v>1347.9099999999999</v>
      </c>
    </row>
    <row r="233" spans="1:9" x14ac:dyDescent="0.3">
      <c r="A233" s="23" t="s">
        <v>317</v>
      </c>
      <c r="B233" s="23" t="str">
        <f>VLOOKUP(A233,MEMORIA!$A:$N,2,FALSE)</f>
        <v>COMPCOM01</v>
      </c>
      <c r="C233" s="23" t="str">
        <f>VLOOKUP(A233,MEMORIA!$A:$N,3,FALSE)</f>
        <v>PRÓPRIA</v>
      </c>
      <c r="D233" s="24" t="str">
        <f>VLOOKUP(A233,MEMORIA!$A:$N,4,FALSE)</f>
        <v>CINTA DE AMARRAÇÃO DE ALVENARIA MOLDADA IN LOCO EM CONCRETO</v>
      </c>
      <c r="E233" s="23" t="str">
        <f>VLOOKUP(A233,MEMORIA!$A:$N,5,FALSE)</f>
        <v>M</v>
      </c>
      <c r="F233" s="5">
        <f>VLOOKUP(A233,MEMORIA!$A:$N,14,FALSE)</f>
        <v>8.6</v>
      </c>
      <c r="G233" s="5">
        <f>VLOOKUP("TOTAL SEM BDI - "&amp;B233,CPU!$A:$J,9,FALSE)</f>
        <v>81.56</v>
      </c>
      <c r="H233" s="5">
        <f>VLOOKUP("TOTAL COM BDI - "&amp;B233,CPU!$A:$J,9,FALSE)</f>
        <v>101.82000000000001</v>
      </c>
      <c r="I233" s="5">
        <f>ROUND(F233*H233,2)</f>
        <v>875.65</v>
      </c>
    </row>
    <row r="234" spans="1:9" ht="28.8" x14ac:dyDescent="0.3">
      <c r="A234" s="23" t="s">
        <v>318</v>
      </c>
      <c r="B234" s="23" t="str">
        <f>VLOOKUP(A234,MEMORIA!$A:$N,2,FALSE)</f>
        <v>COMPCOM02</v>
      </c>
      <c r="C234" s="23" t="str">
        <f>VLOOKUP(A234,MEMORIA!$A:$N,3,FALSE)</f>
        <v>PRÓPRIA</v>
      </c>
      <c r="D234" s="24" t="str">
        <f>VLOOKUP(A234,MEMORIA!$A:$N,4,FALSE)</f>
        <v>(COMPOSIÇÃO REPRESENTATIVA) EXECUÇÃO DE ESTRUTURAS DE CONCRETO ARMADO, PARA EDIFICAÇÃO INSTITUCIONAL TÉRREA, FCK = 25 MPA</v>
      </c>
      <c r="E234" s="23" t="str">
        <f>VLOOKUP(A234,MEMORIA!$A:$N,5,FALSE)</f>
        <v>M³</v>
      </c>
      <c r="F234" s="5">
        <f>VLOOKUP(A234,MEMORIA!$A:$N,14,FALSE)</f>
        <v>0.30000000000000004</v>
      </c>
      <c r="G234" s="5">
        <f>VLOOKUP("TOTAL SEM BDI - "&amp;B234,CPU!$A:$J,9,FALSE)</f>
        <v>1260.97</v>
      </c>
      <c r="H234" s="5">
        <f>VLOOKUP("TOTAL COM BDI - "&amp;B234,CPU!$A:$J,9,FALSE)</f>
        <v>1574.19</v>
      </c>
      <c r="I234" s="5">
        <f>ROUND(F234*H234,2)</f>
        <v>472.26</v>
      </c>
    </row>
    <row r="235" spans="1:9" x14ac:dyDescent="0.3">
      <c r="A235" s="15" t="s">
        <v>72</v>
      </c>
      <c r="B235" s="49" t="str">
        <f>VLOOKUP(A235,MEMORIA!$A:$N,2,FALSE)</f>
        <v>VEDAÇÃO VERTICAL</v>
      </c>
      <c r="C235" s="50"/>
      <c r="D235" s="50"/>
      <c r="E235" s="50"/>
      <c r="F235" s="50"/>
      <c r="G235" s="50"/>
      <c r="H235" s="51"/>
      <c r="I235" s="16">
        <f>SUM($I$236:$I$237)</f>
        <v>2674.92</v>
      </c>
    </row>
    <row r="236" spans="1:9" ht="43.2" x14ac:dyDescent="0.3">
      <c r="A236" s="23" t="s">
        <v>319</v>
      </c>
      <c r="B236" s="23">
        <f>VLOOKUP(A236,MEMORIA!$A:$N,2,FALSE)</f>
        <v>103329</v>
      </c>
      <c r="C236" s="23" t="str">
        <f>VLOOKUP(A236,MEMORIA!$A:$N,3,FALSE)</f>
        <v>SINAPI</v>
      </c>
      <c r="D236" s="24" t="str">
        <f>VLOOKUP(A236,MEMORIA!$A:$N,4,FALSE)</f>
        <v>ALVENARIA DE VEDAÇÃO DE BLOCOS CERÂMICOS FURADOS NA HORIZONTAL DE 9X19X19 CM (ESPESSURA 9 CM) E ARGAMASSA DE ASSENTAMENTO COM PREPARO MANUAL. AF_12/2021</v>
      </c>
      <c r="E236" s="23" t="str">
        <f>VLOOKUP(A236,MEMORIA!$A:$N,5,FALSE)</f>
        <v>M2</v>
      </c>
      <c r="F236" s="5">
        <f>VLOOKUP(A236,MEMORIA!$A:$N,14,FALSE)</f>
        <v>19.310000000000002</v>
      </c>
      <c r="G236" s="5">
        <f>VLOOKUP("TOTAL SEM BDI - "&amp;B236,CPU!$A:$J,9,FALSE)</f>
        <v>95.08</v>
      </c>
      <c r="H236" s="5">
        <f>VLOOKUP("TOTAL COM BDI - "&amp;B236,CPU!$A:$J,9,FALSE)</f>
        <v>118.7</v>
      </c>
      <c r="I236" s="5">
        <f>ROUND(F236*H236,2)</f>
        <v>2292.1</v>
      </c>
    </row>
    <row r="237" spans="1:9" ht="43.2" x14ac:dyDescent="0.3">
      <c r="A237" s="23" t="s">
        <v>320</v>
      </c>
      <c r="B237" s="23">
        <f>VLOOKUP(A237,MEMORIA!$A:$N,2,FALSE)</f>
        <v>101161</v>
      </c>
      <c r="C237" s="23" t="str">
        <f>VLOOKUP(A237,MEMORIA!$A:$N,3,FALSE)</f>
        <v>SINAPI</v>
      </c>
      <c r="D237" s="24" t="str">
        <f>VLOOKUP(A237,MEMORIA!$A:$N,4,FALSE)</f>
        <v>ALVENARIA DE VEDAÇÃO COM ELEMENTO VAZADO DE CONCRETO (COBOGÓ) DE 7X50X50CM E ARGAMASSA DE ASSENTAMENTO COM PREPARO EM BETONEIRA. AF_05/2020</v>
      </c>
      <c r="E237" s="23" t="str">
        <f>VLOOKUP(A237,MEMORIA!$A:$N,5,FALSE)</f>
        <v>M2</v>
      </c>
      <c r="F237" s="5">
        <f>VLOOKUP(A237,MEMORIA!$A:$N,14,FALSE)</f>
        <v>1.5</v>
      </c>
      <c r="G237" s="5">
        <f>VLOOKUP("TOTAL SEM BDI - "&amp;B237,CPU!$A:$J,9,FALSE)</f>
        <v>204.43</v>
      </c>
      <c r="H237" s="5">
        <f>VLOOKUP("TOTAL COM BDI - "&amp;B237,CPU!$A:$J,9,FALSE)</f>
        <v>255.21</v>
      </c>
      <c r="I237" s="5">
        <f>ROUND(F237*H237,2)</f>
        <v>382.82</v>
      </c>
    </row>
    <row r="238" spans="1:9" x14ac:dyDescent="0.3">
      <c r="A238" s="15" t="s">
        <v>73</v>
      </c>
      <c r="B238" s="49" t="str">
        <f>VLOOKUP(A238,MEMORIA!$A:$N,2,FALSE)</f>
        <v>COBERTURA</v>
      </c>
      <c r="C238" s="50"/>
      <c r="D238" s="50"/>
      <c r="E238" s="50"/>
      <c r="F238" s="50"/>
      <c r="G238" s="50"/>
      <c r="H238" s="51"/>
      <c r="I238" s="16">
        <f>SUM($I$239:$I$240)</f>
        <v>1332.15</v>
      </c>
    </row>
    <row r="239" spans="1:9" ht="28.8" x14ac:dyDescent="0.3">
      <c r="A239" s="23" t="s">
        <v>321</v>
      </c>
      <c r="B239" s="23" t="str">
        <f>VLOOKUP(A239,MEMORIA!$A:$N,2,FALSE)</f>
        <v>COMPCOM03</v>
      </c>
      <c r="C239" s="23" t="str">
        <f>VLOOKUP(A239,MEMORIA!$A:$N,3,FALSE)</f>
        <v>PRÓPRIA</v>
      </c>
      <c r="D239" s="24" t="str">
        <f>VLOOKUP(A239,MEMORIA!$A:$N,4,FALSE)</f>
        <v>TELHAMENTO COM TELHA CERÂMICA CAPA-CANAL, TIPO COLONIAL, COM ATÉ 2 ÁGUAS, INCLUSO TRANSPORTE VERTICAL</v>
      </c>
      <c r="E239" s="23" t="str">
        <f>VLOOKUP(A239,MEMORIA!$A:$N,5,FALSE)</f>
        <v>M²</v>
      </c>
      <c r="F239" s="5">
        <f>VLOOKUP(A239,MEMORIA!$A:$N,14,FALSE)</f>
        <v>10.23</v>
      </c>
      <c r="G239" s="5">
        <f>VLOOKUP("TOTAL SEM BDI - "&amp;B239,CPU!$A:$J,9,FALSE)</f>
        <v>37.64</v>
      </c>
      <c r="H239" s="5">
        <f>VLOOKUP("TOTAL COM BDI - "&amp;B239,CPU!$A:$J,9,FALSE)</f>
        <v>46.99</v>
      </c>
      <c r="I239" s="5">
        <f>ROUND(F239*H239,2)</f>
        <v>480.71</v>
      </c>
    </row>
    <row r="240" spans="1:9" ht="28.8" x14ac:dyDescent="0.3">
      <c r="A240" s="23" t="s">
        <v>322</v>
      </c>
      <c r="B240" s="23" t="str">
        <f>VLOOKUP(A240,MEMORIA!$A:$N,2,FALSE)</f>
        <v>COMPCOM04</v>
      </c>
      <c r="C240" s="23" t="str">
        <f>VLOOKUP(A240,MEMORIA!$A:$N,3,FALSE)</f>
        <v>PRÓPRIA</v>
      </c>
      <c r="D240" s="24" t="str">
        <f>VLOOKUP(A240,MEMORIA!$A:$N,4,FALSE)</f>
        <v>TRAMA DE MADEIRA COMPOSTA POR RIPAS, CAIBROS E TERÇAS PARA TELHADOS DE ATÉ 2 ÁGUAS PARA TELHA CERÂMICA CAPA-CANAL, INCLUSO TRANSPORTE VERTICAL</v>
      </c>
      <c r="E240" s="23" t="str">
        <f>VLOOKUP(A240,MEMORIA!$A:$N,5,FALSE)</f>
        <v>M²</v>
      </c>
      <c r="F240" s="5">
        <f>VLOOKUP(A240,MEMORIA!$A:$N,14,FALSE)</f>
        <v>10.23</v>
      </c>
      <c r="G240" s="5">
        <f>VLOOKUP("TOTAL SEM BDI - "&amp;B240,CPU!$A:$J,9,FALSE)</f>
        <v>66.67</v>
      </c>
      <c r="H240" s="5">
        <f>VLOOKUP("TOTAL COM BDI - "&amp;B240,CPU!$A:$J,9,FALSE)</f>
        <v>83.23</v>
      </c>
      <c r="I240" s="5">
        <f>ROUND(F240*H240,2)</f>
        <v>851.44</v>
      </c>
    </row>
    <row r="241" spans="1:9" x14ac:dyDescent="0.3">
      <c r="A241" s="15" t="s">
        <v>74</v>
      </c>
      <c r="B241" s="49" t="str">
        <f>VLOOKUP(A241,MEMORIA!$A:$N,2,FALSE)</f>
        <v>PISO</v>
      </c>
      <c r="C241" s="50"/>
      <c r="D241" s="50"/>
      <c r="E241" s="50"/>
      <c r="F241" s="50"/>
      <c r="G241" s="50"/>
      <c r="H241" s="51"/>
      <c r="I241" s="16">
        <f>SUM($I$242:$I$244)</f>
        <v>1208.82</v>
      </c>
    </row>
    <row r="242" spans="1:9" ht="28.8" x14ac:dyDescent="0.3">
      <c r="A242" s="23" t="s">
        <v>323</v>
      </c>
      <c r="B242" s="23">
        <f>VLOOKUP(A242,MEMORIA!$A:$N,2,FALSE)</f>
        <v>96617</v>
      </c>
      <c r="C242" s="23" t="str">
        <f>VLOOKUP(A242,MEMORIA!$A:$N,3,FALSE)</f>
        <v>SINAPI</v>
      </c>
      <c r="D242" s="24" t="str">
        <f>VLOOKUP(A242,MEMORIA!$A:$N,4,FALSE)</f>
        <v>LASTRO DE CONCRETO MAGRO, APLICADO EM BLOCOS DE COROAMENTO OU SAPATAS, ESPESSURA DE 3 CM. AF_01/2024</v>
      </c>
      <c r="E242" s="23" t="str">
        <f>VLOOKUP(A242,MEMORIA!$A:$N,5,FALSE)</f>
        <v>M2</v>
      </c>
      <c r="F242" s="5">
        <f>VLOOKUP(A242,MEMORIA!$A:$N,14,FALSE)</f>
        <v>4</v>
      </c>
      <c r="G242" s="5">
        <f>VLOOKUP("TOTAL SEM BDI - "&amp;B242,CPU!$A:$J,9,FALSE)</f>
        <v>23.990000000000002</v>
      </c>
      <c r="H242" s="5">
        <f>VLOOKUP("TOTAL COM BDI - "&amp;B242,CPU!$A:$J,9,FALSE)</f>
        <v>29.950000000000003</v>
      </c>
      <c r="I242" s="5">
        <f>ROUND(F242*H242,2)</f>
        <v>119.8</v>
      </c>
    </row>
    <row r="243" spans="1:9" ht="28.8" x14ac:dyDescent="0.3">
      <c r="A243" s="23" t="s">
        <v>324</v>
      </c>
      <c r="B243" s="23">
        <f>VLOOKUP(A243,MEMORIA!$A:$N,2,FALSE)</f>
        <v>101749</v>
      </c>
      <c r="C243" s="23" t="str">
        <f>VLOOKUP(A243,MEMORIA!$A:$N,3,FALSE)</f>
        <v>SINAPI</v>
      </c>
      <c r="D243" s="24" t="str">
        <f>VLOOKUP(A243,MEMORIA!$A:$N,4,FALSE)</f>
        <v>PISO CIMENTADO, TRAÇO 1:3 (CIMENTO E AREIA), ACABAMENTO LISO, ESPESSURA 4,0 CM, PREPARO MECÂNICO DA ARGAMASSA. AF_09/2020</v>
      </c>
      <c r="E243" s="23" t="str">
        <f>VLOOKUP(A243,MEMORIA!$A:$N,5,FALSE)</f>
        <v>M2</v>
      </c>
      <c r="F243" s="5">
        <f>VLOOKUP(A243,MEMORIA!$A:$N,14,FALSE)</f>
        <v>4</v>
      </c>
      <c r="G243" s="5">
        <f>VLOOKUP("TOTAL SEM BDI - "&amp;B243,CPU!$A:$J,9,FALSE)</f>
        <v>64.739999999999995</v>
      </c>
      <c r="H243" s="5">
        <f>VLOOKUP("TOTAL COM BDI - "&amp;B243,CPU!$A:$J,9,FALSE)</f>
        <v>80.819999999999993</v>
      </c>
      <c r="I243" s="5">
        <f>ROUND(F243*H243,2)</f>
        <v>323.27999999999997</v>
      </c>
    </row>
    <row r="244" spans="1:9" ht="43.2" x14ac:dyDescent="0.3">
      <c r="A244" s="23" t="s">
        <v>325</v>
      </c>
      <c r="B244" s="23">
        <f>VLOOKUP(A244,MEMORIA!$A:$N,2,FALSE)</f>
        <v>94994</v>
      </c>
      <c r="C244" s="23" t="str">
        <f>VLOOKUP(A244,MEMORIA!$A:$N,3,FALSE)</f>
        <v>SINAPI</v>
      </c>
      <c r="D244" s="24" t="str">
        <f>VLOOKUP(A244,MEMORIA!$A:$N,4,FALSE)</f>
        <v>EXECUÇÃO DE PASSEIO (CALÇADA) OU PISO DE CONCRETO COM CONCRETO MOLDADO IN LOCO, FEITO EM OBRA, ACABAMENTO CONVENCIONAL, ESPESSURA 8 CM, ARMADO. AF_08/2022</v>
      </c>
      <c r="E244" s="23" t="str">
        <f>VLOOKUP(A244,MEMORIA!$A:$N,5,FALSE)</f>
        <v>M2</v>
      </c>
      <c r="F244" s="5">
        <f>VLOOKUP(A244,MEMORIA!$A:$N,14,FALSE)</f>
        <v>5.6</v>
      </c>
      <c r="G244" s="5">
        <f>VLOOKUP("TOTAL SEM BDI - "&amp;B244,CPU!$A:$J,9,FALSE)</f>
        <v>109.53000000000002</v>
      </c>
      <c r="H244" s="5">
        <f>VLOOKUP("TOTAL COM BDI - "&amp;B244,CPU!$A:$J,9,FALSE)</f>
        <v>136.74</v>
      </c>
      <c r="I244" s="5">
        <f>ROUND(F244*H244,2)</f>
        <v>765.74</v>
      </c>
    </row>
    <row r="245" spans="1:9" x14ac:dyDescent="0.3">
      <c r="A245" s="15" t="s">
        <v>75</v>
      </c>
      <c r="B245" s="49" t="str">
        <f>VLOOKUP(A245,MEMORIA!$A:$N,2,FALSE)</f>
        <v>REVESTIMENTO</v>
      </c>
      <c r="C245" s="50"/>
      <c r="D245" s="50"/>
      <c r="E245" s="50"/>
      <c r="F245" s="50"/>
      <c r="G245" s="50"/>
      <c r="H245" s="51"/>
      <c r="I245" s="16">
        <f>SUM($I$246:$I$247)</f>
        <v>2396.75</v>
      </c>
    </row>
    <row r="246" spans="1:9" ht="43.2" x14ac:dyDescent="0.3">
      <c r="A246" s="23" t="s">
        <v>326</v>
      </c>
      <c r="B246" s="23">
        <f>VLOOKUP(A246,MEMORIA!$A:$N,2,FALSE)</f>
        <v>87904</v>
      </c>
      <c r="C246" s="23" t="str">
        <f>VLOOKUP(A246,MEMORIA!$A:$N,3,FALSE)</f>
        <v>SINAPI</v>
      </c>
      <c r="D246" s="24" t="str">
        <f>VLOOKUP(A246,MEMORIA!$A:$N,4,FALSE)</f>
        <v>CHAPISCO APLICADO EM ALVENARIA (COM PRESENÇA DE VÃOS) E ESTRUTURAS DE CONCRETO DE FACHADA, COM COLHER DE PEDREIRO. ARGAMASSA TRAÇO 1:3 COM PREPARO MANUAL. AF_10/2022</v>
      </c>
      <c r="E246" s="23" t="str">
        <f>VLOOKUP(A246,MEMORIA!$A:$N,5,FALSE)</f>
        <v>M2</v>
      </c>
      <c r="F246" s="5">
        <f>VLOOKUP(A246,MEMORIA!$A:$N,14,FALSE)</f>
        <v>38.619999999999997</v>
      </c>
      <c r="G246" s="5">
        <f>VLOOKUP("TOTAL SEM BDI - "&amp;B246,CPU!$A:$J,9,FALSE)</f>
        <v>8.74</v>
      </c>
      <c r="H246" s="5">
        <f>VLOOKUP("TOTAL COM BDI - "&amp;B246,CPU!$A:$J,9,FALSE)</f>
        <v>10.91</v>
      </c>
      <c r="I246" s="5">
        <f>ROUND(F246*H246,2)</f>
        <v>421.34</v>
      </c>
    </row>
    <row r="247" spans="1:9" ht="43.2" x14ac:dyDescent="0.3">
      <c r="A247" s="23" t="s">
        <v>327</v>
      </c>
      <c r="B247" s="23">
        <f>VLOOKUP(A247,MEMORIA!$A:$N,2,FALSE)</f>
        <v>87530</v>
      </c>
      <c r="C247" s="23" t="str">
        <f>VLOOKUP(A247,MEMORIA!$A:$N,3,FALSE)</f>
        <v>SINAPI</v>
      </c>
      <c r="D247" s="24" t="str">
        <f>VLOOKUP(A247,MEMORIA!$A:$N,4,FALSE)</f>
        <v>MASSA ÚNICA, EM ARGAMASSA TRAÇO 1:2:8, PREPARO MANUAL, APLICADA MANUALMENTE EM PAREDES INTERNAS DE AMBIENTES COM ÁREA ENTRE 5M² E 10M², E = 17,5MM, COM TALISCAS. AF_03/2024</v>
      </c>
      <c r="E247" s="23" t="str">
        <f>VLOOKUP(A247,MEMORIA!$A:$N,5,FALSE)</f>
        <v>M2</v>
      </c>
      <c r="F247" s="5">
        <f>VLOOKUP(A247,MEMORIA!$A:$N,14,FALSE)</f>
        <v>38.619999999999997</v>
      </c>
      <c r="G247" s="5">
        <f>VLOOKUP("TOTAL SEM BDI - "&amp;B247,CPU!$A:$J,9,FALSE)</f>
        <v>40.97</v>
      </c>
      <c r="H247" s="5">
        <f>VLOOKUP("TOTAL COM BDI - "&amp;B247,CPU!$A:$J,9,FALSE)</f>
        <v>51.15</v>
      </c>
      <c r="I247" s="5">
        <f>ROUND(F247*H247,2)</f>
        <v>1975.41</v>
      </c>
    </row>
    <row r="248" spans="1:9" x14ac:dyDescent="0.3">
      <c r="A248" s="15" t="s">
        <v>76</v>
      </c>
      <c r="B248" s="49" t="str">
        <f>VLOOKUP(A248,MEMORIA!$A:$N,2,FALSE)</f>
        <v>ESQUADRIAS</v>
      </c>
      <c r="C248" s="50"/>
      <c r="D248" s="50"/>
      <c r="E248" s="50"/>
      <c r="F248" s="50"/>
      <c r="G248" s="50"/>
      <c r="H248" s="51"/>
      <c r="I248" s="16">
        <f>SUM($I$249:$I$250)</f>
        <v>4550.21</v>
      </c>
    </row>
    <row r="249" spans="1:9" x14ac:dyDescent="0.3">
      <c r="A249" s="23" t="s">
        <v>328</v>
      </c>
      <c r="B249" s="23">
        <f>VLOOKUP(A249,MEMORIA!$A:$N,2,FALSE)</f>
        <v>100701</v>
      </c>
      <c r="C249" s="23" t="str">
        <f>VLOOKUP(A249,MEMORIA!$A:$N,3,FALSE)</f>
        <v>SINAPI</v>
      </c>
      <c r="D249" s="24" t="str">
        <f>VLOOKUP(A249,MEMORIA!$A:$N,4,FALSE)</f>
        <v>PORTA DE FERRO, DE ABRIR, TIPO GRADE COM CHAPA, COM GUARNIÇÕES. AF_12/2019</v>
      </c>
      <c r="E249" s="23" t="str">
        <f>VLOOKUP(A249,MEMORIA!$A:$N,5,FALSE)</f>
        <v>M2</v>
      </c>
      <c r="F249" s="5">
        <f>VLOOKUP(A249,MEMORIA!$A:$N,14,FALSE)</f>
        <v>1.68</v>
      </c>
      <c r="G249" s="5">
        <f>VLOOKUP("TOTAL SEM BDI - "&amp;B249,CPU!$A:$J,9,FALSE)</f>
        <v>415.3</v>
      </c>
      <c r="H249" s="5">
        <f>VLOOKUP("TOTAL COM BDI - "&amp;B249,CPU!$A:$J,9,FALSE)</f>
        <v>518.46</v>
      </c>
      <c r="I249" s="5">
        <f>ROUND(F249*H249,2)</f>
        <v>871.01</v>
      </c>
    </row>
    <row r="250" spans="1:9" ht="28.8" x14ac:dyDescent="0.3">
      <c r="A250" s="23" t="s">
        <v>329</v>
      </c>
      <c r="B250" s="23" t="str">
        <f>VLOOKUP(A250,MEMORIA!$A:$N,2,FALSE)</f>
        <v>C3659</v>
      </c>
      <c r="C250" s="23" t="str">
        <f>VLOOKUP(A250,MEMORIA!$A:$N,3,FALSE)</f>
        <v>SEINFRA</v>
      </c>
      <c r="D250" s="24" t="str">
        <f>VLOOKUP(A250,MEMORIA!$A:$N,4,FALSE)</f>
        <v>PORTÃO DE METALON E BARRA CHATA DE FERRO C/FECHADURA E DOBRADIÇA, INCLUS. PINTURA ESMALTE SINTÉTICO</v>
      </c>
      <c r="E250" s="23" t="str">
        <f>VLOOKUP(A250,MEMORIA!$A:$N,5,FALSE)</f>
        <v>M2</v>
      </c>
      <c r="F250" s="5">
        <f>VLOOKUP(A250,MEMORIA!$A:$N,14,FALSE)</f>
        <v>6</v>
      </c>
      <c r="G250" s="5">
        <f>VLOOKUP("TOTAL SEM BDI - "&amp;B250,CPU!$A:$J,9,FALSE)</f>
        <v>491.19000000000005</v>
      </c>
      <c r="H250" s="5">
        <f>VLOOKUP("TOTAL COM BDI - "&amp;B250,CPU!$A:$J,9,FALSE)</f>
        <v>613.20000000000005</v>
      </c>
      <c r="I250" s="5">
        <f>ROUND(F250*H250,2)</f>
        <v>3679.2</v>
      </c>
    </row>
    <row r="251" spans="1:9" x14ac:dyDescent="0.3">
      <c r="A251" s="15" t="s">
        <v>77</v>
      </c>
      <c r="B251" s="49" t="str">
        <f>VLOOKUP(A251,MEMORIA!$A:$N,2,FALSE)</f>
        <v>PINTURA</v>
      </c>
      <c r="C251" s="50"/>
      <c r="D251" s="50"/>
      <c r="E251" s="50"/>
      <c r="F251" s="50"/>
      <c r="G251" s="50"/>
      <c r="H251" s="51"/>
      <c r="I251" s="16">
        <f>SUM($I$252:$I$253)</f>
        <v>663.11</v>
      </c>
    </row>
    <row r="252" spans="1:9" x14ac:dyDescent="0.3">
      <c r="A252" s="23" t="s">
        <v>330</v>
      </c>
      <c r="B252" s="23" t="str">
        <f>VLOOKUP(A252,MEMORIA!$A:$N,2,FALSE)</f>
        <v>COMP205</v>
      </c>
      <c r="C252" s="23" t="str">
        <f>VLOOKUP(A252,MEMORIA!$A:$N,3,FALSE)</f>
        <v>PRÓPRIA</v>
      </c>
      <c r="D252" s="24" t="str">
        <f>VLOOKUP(A252,MEMORIA!$A:$N,4,FALSE)</f>
        <v>CAIAÇÃO EM TRES DEMÃOS EM PAREDES (REF: C0589-SEINFRA 28)</v>
      </c>
      <c r="E252" s="23" t="str">
        <f>VLOOKUP(A252,MEMORIA!$A:$N,5,FALSE)</f>
        <v>M2</v>
      </c>
      <c r="F252" s="5">
        <f>VLOOKUP(A252,MEMORIA!$A:$N,14,FALSE)</f>
        <v>38.619999999999997</v>
      </c>
      <c r="G252" s="5">
        <f>VLOOKUP("TOTAL SEM BDI - "&amp;B252,CPU!$A:$J,9,FALSE)</f>
        <v>9.3800000000000008</v>
      </c>
      <c r="H252" s="5">
        <f>VLOOKUP("TOTAL COM BDI - "&amp;B252,CPU!$A:$J,9,FALSE)</f>
        <v>11.71</v>
      </c>
      <c r="I252" s="5">
        <f>ROUND(F252*H252,2)</f>
        <v>452.24</v>
      </c>
    </row>
    <row r="253" spans="1:9" ht="43.2" x14ac:dyDescent="0.3">
      <c r="A253" s="23" t="s">
        <v>331</v>
      </c>
      <c r="B253" s="23">
        <f>VLOOKUP(A253,MEMORIA!$A:$N,2,FALSE)</f>
        <v>100758</v>
      </c>
      <c r="C253" s="23" t="str">
        <f>VLOOKUP(A253,MEMORIA!$A:$N,3,FALSE)</f>
        <v>SINAPI</v>
      </c>
      <c r="D253" s="24" t="str">
        <f>VLOOKUP(A253,MEMORIA!$A:$N,4,FALSE)</f>
        <v>PINTURA COM TINTA ALQUÍDICA DE ACABAMENTO (ESMALTE SINTÉTICO ACETINADO) APLICADA A ROLO OU PINCEL SOBRE SUPERFÍCIES METÁLICAS (EXCETO PERFIL) EXECUTADO EM OBRA (02 DEMÃOS). AF_01/2020</v>
      </c>
      <c r="E253" s="23" t="str">
        <f>VLOOKUP(A253,MEMORIA!$A:$N,5,FALSE)</f>
        <v>M2</v>
      </c>
      <c r="F253" s="5">
        <f>VLOOKUP(A253,MEMORIA!$A:$N,14,FALSE)</f>
        <v>3.36</v>
      </c>
      <c r="G253" s="5">
        <f>VLOOKUP("TOTAL SEM BDI - "&amp;B253,CPU!$A:$J,9,FALSE)</f>
        <v>50.269999999999996</v>
      </c>
      <c r="H253" s="5">
        <f>VLOOKUP("TOTAL COM BDI - "&amp;B253,CPU!$A:$J,9,FALSE)</f>
        <v>62.76</v>
      </c>
      <c r="I253" s="5">
        <f>ROUND(F253*H253,2)</f>
        <v>210.87</v>
      </c>
    </row>
    <row r="254" spans="1:9" x14ac:dyDescent="0.3">
      <c r="A254" s="15" t="s">
        <v>78</v>
      </c>
      <c r="B254" s="49" t="str">
        <f>VLOOKUP(A254,MEMORIA!$A:$N,2,FALSE)</f>
        <v>CERCAMENTO</v>
      </c>
      <c r="C254" s="50"/>
      <c r="D254" s="50"/>
      <c r="E254" s="50"/>
      <c r="F254" s="50"/>
      <c r="G254" s="50"/>
      <c r="H254" s="51"/>
      <c r="I254" s="16">
        <f>SUM($I$255:$I$255)</f>
        <v>6063.93</v>
      </c>
    </row>
    <row r="255" spans="1:9" ht="43.2" x14ac:dyDescent="0.3">
      <c r="A255" s="23" t="s">
        <v>332</v>
      </c>
      <c r="B255" s="23">
        <f>VLOOKUP(A255,MEMORIA!$A:$N,2,FALSE)</f>
        <v>101197</v>
      </c>
      <c r="C255" s="23" t="str">
        <f>VLOOKUP(A255,MEMORIA!$A:$N,3,FALSE)</f>
        <v>SINAPI</v>
      </c>
      <c r="D255" s="24" t="str">
        <f>VLOOKUP(A255,MEMORIA!$A:$N,4,FALSE)</f>
        <v>CERCA COM MOURÕES DE CONCRETO, SEÇÃO "T" PONTA INCLINADA, 10X10 CM, ESPAÇAMENTO DE 2,5 M, CRAVADOS 0,5 M, COM 11 FIOS DE ARAME FARPADO Nº 14 - FORNECIMENTO E INSTALAÇÃO. AF_05/2020</v>
      </c>
      <c r="E255" s="23" t="str">
        <f>VLOOKUP(A255,MEMORIA!$A:$N,5,FALSE)</f>
        <v>M</v>
      </c>
      <c r="F255" s="5">
        <f>VLOOKUP(A255,MEMORIA!$A:$N,14,FALSE)</f>
        <v>37</v>
      </c>
      <c r="G255" s="5">
        <f>VLOOKUP("TOTAL SEM BDI - "&amp;B255,CPU!$A:$J,9,FALSE)</f>
        <v>131.28</v>
      </c>
      <c r="H255" s="5">
        <f>VLOOKUP("TOTAL COM BDI - "&amp;B255,CPU!$A:$J,9,FALSE)</f>
        <v>163.89</v>
      </c>
      <c r="I255" s="5">
        <f>ROUND(F255*H255,2)</f>
        <v>6063.93</v>
      </c>
    </row>
    <row r="256" spans="1:9" x14ac:dyDescent="0.3">
      <c r="A256" s="12" t="s">
        <v>79</v>
      </c>
      <c r="B256" s="46" t="str">
        <f>VLOOKUP(A256,MEMORIA!$A:$N,2,FALSE)</f>
        <v>INSTALAÇÕES ELÉTRICAS</v>
      </c>
      <c r="C256" s="47"/>
      <c r="D256" s="47"/>
      <c r="E256" s="47"/>
      <c r="F256" s="47"/>
      <c r="G256" s="47"/>
      <c r="H256" s="48"/>
      <c r="I256" s="13">
        <f>SUM($I$257:$I$264)</f>
        <v>1853.2700000000002</v>
      </c>
    </row>
    <row r="257" spans="1:9" ht="43.2" x14ac:dyDescent="0.3">
      <c r="A257" s="23" t="s">
        <v>333</v>
      </c>
      <c r="B257" s="23" t="str">
        <f>VLOOKUP(A257,MEMORIA!$A:$N,2,FALSE)</f>
        <v>COMPINST05</v>
      </c>
      <c r="C257" s="23" t="str">
        <f>VLOOKUP(A257,MEMORIA!$A:$N,3,FALSE)</f>
        <v>PRÓPRIA</v>
      </c>
      <c r="D257" s="24" t="str">
        <f>VLOOKUP(A257,MEMORIA!$A:$N,4,FALSE)</f>
        <v>ENTRADA DE ENERGIA ELÉTRICA, AÉREA, MONOFÁSICA, COM CAIXA DE EMBUTIR, CABO DE 10 MM2 E DISJUNTOR DIN 50A (NÃO INCLUSO O POSTE DE CONCRETO). AF_07/2020_PS (REF: 101493-SINAPI-06/2025)</v>
      </c>
      <c r="E257" s="23" t="str">
        <f>VLOOKUP(A257,MEMORIA!$A:$N,5,FALSE)</f>
        <v>UN</v>
      </c>
      <c r="F257" s="5">
        <f>VLOOKUP(A257,MEMORIA!$A:$N,14,FALSE)</f>
        <v>1</v>
      </c>
      <c r="G257" s="5">
        <f>VLOOKUP("TOTAL SEM BDI - "&amp;B257,CPU!$A:$J,9,FALSE)</f>
        <v>967.24</v>
      </c>
      <c r="H257" s="5">
        <f>VLOOKUP("TOTAL COM BDI - "&amp;B257,CPU!$A:$J,9,FALSE)</f>
        <v>1207.5</v>
      </c>
      <c r="I257" s="5">
        <f t="shared" ref="I257:I264" si="10">ROUND(F257*H257,2)</f>
        <v>1207.5</v>
      </c>
    </row>
    <row r="258" spans="1:9" ht="28.8" x14ac:dyDescent="0.3">
      <c r="A258" s="23" t="s">
        <v>334</v>
      </c>
      <c r="B258" s="23">
        <f>VLOOKUP(A258,MEMORIA!$A:$N,2,FALSE)</f>
        <v>93656</v>
      </c>
      <c r="C258" s="23" t="str">
        <f>VLOOKUP(A258,MEMORIA!$A:$N,3,FALSE)</f>
        <v>SINAPI</v>
      </c>
      <c r="D258" s="24" t="str">
        <f>VLOOKUP(A258,MEMORIA!$A:$N,4,FALSE)</f>
        <v>DISJUNTOR MONOPOLAR TIPO DIN, CORRENTE NOMINAL DE 25A - FORNECIMENTO E INSTALAÇÃO. AF_10/2020</v>
      </c>
      <c r="E258" s="23" t="str">
        <f>VLOOKUP(A258,MEMORIA!$A:$N,5,FALSE)</f>
        <v>UN</v>
      </c>
      <c r="F258" s="5">
        <f>VLOOKUP(A258,MEMORIA!$A:$N,14,FALSE)</f>
        <v>1</v>
      </c>
      <c r="G258" s="5">
        <f>VLOOKUP("TOTAL SEM BDI - "&amp;B258,CPU!$A:$J,9,FALSE)</f>
        <v>13.33</v>
      </c>
      <c r="H258" s="5">
        <f>VLOOKUP("TOTAL COM BDI - "&amp;B258,CPU!$A:$J,9,FALSE)</f>
        <v>16.64</v>
      </c>
      <c r="I258" s="5">
        <f t="shared" si="10"/>
        <v>16.64</v>
      </c>
    </row>
    <row r="259" spans="1:9" ht="28.8" x14ac:dyDescent="0.3">
      <c r="A259" s="23" t="s">
        <v>335</v>
      </c>
      <c r="B259" s="23">
        <f>VLOOKUP(A259,MEMORIA!$A:$N,2,FALSE)</f>
        <v>93653</v>
      </c>
      <c r="C259" s="23" t="str">
        <f>VLOOKUP(A259,MEMORIA!$A:$N,3,FALSE)</f>
        <v>SINAPI</v>
      </c>
      <c r="D259" s="24" t="str">
        <f>VLOOKUP(A259,MEMORIA!$A:$N,4,FALSE)</f>
        <v>DISJUNTOR MONOPOLAR TIPO DIN, CORRENTE NOMINAL DE 10A - FORNECIMENTO E INSTALAÇÃO. AF_10/2020</v>
      </c>
      <c r="E259" s="23" t="str">
        <f>VLOOKUP(A259,MEMORIA!$A:$N,5,FALSE)</f>
        <v>UN</v>
      </c>
      <c r="F259" s="5">
        <f>VLOOKUP(A259,MEMORIA!$A:$N,14,FALSE)</f>
        <v>1</v>
      </c>
      <c r="G259" s="5">
        <f>VLOOKUP("TOTAL SEM BDI - "&amp;B259,CPU!$A:$J,9,FALSE)</f>
        <v>11.379999999999999</v>
      </c>
      <c r="H259" s="5">
        <f>VLOOKUP("TOTAL COM BDI - "&amp;B259,CPU!$A:$J,9,FALSE)</f>
        <v>14.209999999999999</v>
      </c>
      <c r="I259" s="5">
        <f t="shared" si="10"/>
        <v>14.21</v>
      </c>
    </row>
    <row r="260" spans="1:9" x14ac:dyDescent="0.3">
      <c r="A260" s="23" t="s">
        <v>336</v>
      </c>
      <c r="B260" s="23" t="str">
        <f>VLOOKUP(A260,MEMORIA!$A:$N,2,FALSE)</f>
        <v>09041/ORSE</v>
      </c>
      <c r="C260" s="23" t="str">
        <f>VLOOKUP(A260,MEMORIA!$A:$N,3,FALSE)</f>
        <v>ORSE</v>
      </c>
      <c r="D260" s="24" t="str">
        <f>VLOOKUP(A260,MEMORIA!$A:$N,4,FALSE)</f>
        <v>DISPOSITIVO DE PROTEÇÃO CONTRA SURTO DE TENSÃO DPS 60KA - 275V</v>
      </c>
      <c r="E260" s="23" t="str">
        <f>VLOOKUP(A260,MEMORIA!$A:$N,5,FALSE)</f>
        <v>UN</v>
      </c>
      <c r="F260" s="5">
        <f>VLOOKUP(A260,MEMORIA!$A:$N,14,FALSE)</f>
        <v>1</v>
      </c>
      <c r="G260" s="5">
        <f>VLOOKUP("TOTAL SEM BDI - "&amp;B260,CPU!$A:$J,9,FALSE)</f>
        <v>88.050000000000011</v>
      </c>
      <c r="H260" s="5">
        <f>VLOOKUP("TOTAL COM BDI - "&amp;B260,CPU!$A:$J,9,FALSE)</f>
        <v>109.92000000000002</v>
      </c>
      <c r="I260" s="5">
        <f t="shared" si="10"/>
        <v>109.92</v>
      </c>
    </row>
    <row r="261" spans="1:9" ht="28.8" x14ac:dyDescent="0.3">
      <c r="A261" s="23" t="s">
        <v>337</v>
      </c>
      <c r="B261" s="23">
        <f>VLOOKUP(A261,MEMORIA!$A:$N,2,FALSE)</f>
        <v>101877</v>
      </c>
      <c r="C261" s="23" t="str">
        <f>VLOOKUP(A261,MEMORIA!$A:$N,3,FALSE)</f>
        <v>SINAPI</v>
      </c>
      <c r="D261" s="24" t="str">
        <f>VLOOKUP(A261,MEMORIA!$A:$N,4,FALSE)</f>
        <v>QUADRO DE DISTRIBUIÇÃO DE ENERGIA EM PVC, DE EMBUTIR, SEM BARRAMENTO, PARA 3 DISJUNTORES - FORNECIMENTO E INSTALAÇÃO. AF_10/2020</v>
      </c>
      <c r="E261" s="23" t="str">
        <f>VLOOKUP(A261,MEMORIA!$A:$N,5,FALSE)</f>
        <v>UN</v>
      </c>
      <c r="F261" s="5">
        <f>VLOOKUP(A261,MEMORIA!$A:$N,14,FALSE)</f>
        <v>1</v>
      </c>
      <c r="G261" s="5">
        <f>VLOOKUP("TOTAL SEM BDI - "&amp;B261,CPU!$A:$J,9,FALSE)</f>
        <v>63.51</v>
      </c>
      <c r="H261" s="5">
        <f>VLOOKUP("TOTAL COM BDI - "&amp;B261,CPU!$A:$J,9,FALSE)</f>
        <v>79.289999999999992</v>
      </c>
      <c r="I261" s="5">
        <f t="shared" si="10"/>
        <v>79.290000000000006</v>
      </c>
    </row>
    <row r="262" spans="1:9" ht="43.2" x14ac:dyDescent="0.3">
      <c r="A262" s="23" t="s">
        <v>338</v>
      </c>
      <c r="B262" s="23" t="str">
        <f>VLOOKUP(A262,MEMORIA!$A:$N,2,FALSE)</f>
        <v>COMPINST02</v>
      </c>
      <c r="C262" s="23" t="str">
        <f>VLOOKUP(A262,MEMORIA!$A:$N,3,FALSE)</f>
        <v>PRÓPRIA</v>
      </c>
      <c r="D262" s="24" t="str">
        <f>VLOOKUP(A262,MEMORIA!$A:$N,4,FALSE)</f>
        <v>PONTO DE ILUMINAÇÃO E TOMADA, RESIDENCIAL, INCLUINDO INTERRUPTOR SIMPLES E TOMADA 10A/250V, CAIXA ELÉTRICA, ELETRODUTO, CABO, RASGO, QUEBRA E CHUMBAMENTO (EXCLUINDO LUMINÁRIA E LÂMPADA)</v>
      </c>
      <c r="E262" s="23" t="str">
        <f>VLOOKUP(A262,MEMORIA!$A:$N,5,FALSE)</f>
        <v>UN</v>
      </c>
      <c r="F262" s="5">
        <f>VLOOKUP(A262,MEMORIA!$A:$N,14,FALSE)</f>
        <v>1</v>
      </c>
      <c r="G262" s="5">
        <f>VLOOKUP("TOTAL SEM BDI - "&amp;B262,CPU!$A:$J,9,FALSE)</f>
        <v>244.91000000000003</v>
      </c>
      <c r="H262" s="5">
        <f>VLOOKUP("TOTAL COM BDI - "&amp;B262,CPU!$A:$J,9,FALSE)</f>
        <v>305.75</v>
      </c>
      <c r="I262" s="5">
        <f t="shared" si="10"/>
        <v>305.75</v>
      </c>
    </row>
    <row r="263" spans="1:9" ht="28.8" x14ac:dyDescent="0.3">
      <c r="A263" s="23" t="s">
        <v>339</v>
      </c>
      <c r="B263" s="23">
        <f>VLOOKUP(A263,MEMORIA!$A:$N,2,FALSE)</f>
        <v>97610</v>
      </c>
      <c r="C263" s="23" t="str">
        <f>VLOOKUP(A263,MEMORIA!$A:$N,3,FALSE)</f>
        <v>SINAPI</v>
      </c>
      <c r="D263" s="24" t="str">
        <f>VLOOKUP(A263,MEMORIA!$A:$N,4,FALSE)</f>
        <v>LÂMPADA COMPACTA DE LED 10 W, BASE E27 - FORNECIMENTO E INSTALAÇÃO. AF_09/2024</v>
      </c>
      <c r="E263" s="23" t="str">
        <f>VLOOKUP(A263,MEMORIA!$A:$N,5,FALSE)</f>
        <v>UN</v>
      </c>
      <c r="F263" s="5">
        <f>VLOOKUP(A263,MEMORIA!$A:$N,14,FALSE)</f>
        <v>1</v>
      </c>
      <c r="G263" s="5">
        <f>VLOOKUP("TOTAL SEM BDI - "&amp;B263,CPU!$A:$J,9,FALSE)</f>
        <v>13.05</v>
      </c>
      <c r="H263" s="5">
        <f>VLOOKUP("TOTAL COM BDI - "&amp;B263,CPU!$A:$J,9,FALSE)</f>
        <v>16.29</v>
      </c>
      <c r="I263" s="5">
        <f t="shared" si="10"/>
        <v>16.29</v>
      </c>
    </row>
    <row r="264" spans="1:9" ht="28.8" x14ac:dyDescent="0.3">
      <c r="A264" s="23" t="s">
        <v>340</v>
      </c>
      <c r="B264" s="23" t="str">
        <f>VLOOKUP(A264,MEMORIA!$A:$N,2,FALSE)</f>
        <v>COMPINST04</v>
      </c>
      <c r="C264" s="23" t="str">
        <f>VLOOKUP(A264,MEMORIA!$A:$N,3,FALSE)</f>
        <v>PRÓPRIA</v>
      </c>
      <c r="D264" s="24" t="str">
        <f>VLOOKUP(A264,MEMORIA!$A:$N,4,FALSE)</f>
        <v>LUMINÁRIA ARANDELA TIPO MEIA-LUA COM VIDRO FOSCO *30 X 15* CM, PARA 1 LÂMPADA (SINAPI ADAPTADO 97605)</v>
      </c>
      <c r="E264" s="23" t="str">
        <f>VLOOKUP(A264,MEMORIA!$A:$N,5,FALSE)</f>
        <v>UN</v>
      </c>
      <c r="F264" s="5">
        <f>VLOOKUP(A264,MEMORIA!$A:$N,14,FALSE)</f>
        <v>1</v>
      </c>
      <c r="G264" s="5">
        <f>VLOOKUP("TOTAL SEM BDI - "&amp;B264,CPU!$A:$J,9,FALSE)</f>
        <v>83.039999999999992</v>
      </c>
      <c r="H264" s="5">
        <f>VLOOKUP("TOTAL COM BDI - "&amp;B264,CPU!$A:$J,9,FALSE)</f>
        <v>103.66999999999999</v>
      </c>
      <c r="I264" s="5">
        <f t="shared" si="10"/>
        <v>103.67</v>
      </c>
    </row>
    <row r="265" spans="1:9" x14ac:dyDescent="0.3">
      <c r="A265" s="12" t="s">
        <v>80</v>
      </c>
      <c r="B265" s="46" t="str">
        <f>VLOOKUP(A265,MEMORIA!$A:$N,2,FALSE)</f>
        <v>ADUÇÃO</v>
      </c>
      <c r="C265" s="47"/>
      <c r="D265" s="47"/>
      <c r="E265" s="47"/>
      <c r="F265" s="47"/>
      <c r="G265" s="47"/>
      <c r="H265" s="48"/>
      <c r="I265" s="13">
        <f>SUM($I$266,$I$269,$I$271,)</f>
        <v>1351.72</v>
      </c>
    </row>
    <row r="266" spans="1:9" x14ac:dyDescent="0.3">
      <c r="A266" s="15" t="s">
        <v>81</v>
      </c>
      <c r="B266" s="49" t="str">
        <f>VLOOKUP(A266,MEMORIA!$A:$N,2,FALSE)</f>
        <v>MOVIMENTO DE TERRA</v>
      </c>
      <c r="C266" s="50"/>
      <c r="D266" s="50"/>
      <c r="E266" s="50"/>
      <c r="F266" s="50"/>
      <c r="G266" s="50"/>
      <c r="H266" s="51"/>
      <c r="I266" s="16">
        <f>SUM($I$267:$I$268)</f>
        <v>423.02</v>
      </c>
    </row>
    <row r="267" spans="1:9" x14ac:dyDescent="0.3">
      <c r="A267" s="23" t="s">
        <v>341</v>
      </c>
      <c r="B267" s="23">
        <f>VLOOKUP(A267,MEMORIA!$A:$N,2,FALSE)</f>
        <v>93358</v>
      </c>
      <c r="C267" s="23" t="str">
        <f>VLOOKUP(A267,MEMORIA!$A:$N,3,FALSE)</f>
        <v>SINAPI</v>
      </c>
      <c r="D267" s="24" t="str">
        <f>VLOOKUP(A267,MEMORIA!$A:$N,4,FALSE)</f>
        <v>ESCAVAÇÃO MANUAL DE VALA. AF_09/2024</v>
      </c>
      <c r="E267" s="23" t="str">
        <f>VLOOKUP(A267,MEMORIA!$A:$N,5,FALSE)</f>
        <v>M3</v>
      </c>
      <c r="F267" s="5">
        <f>VLOOKUP(A267,MEMORIA!$A:$N,14,FALSE)</f>
        <v>2.76</v>
      </c>
      <c r="G267" s="5">
        <f>VLOOKUP("TOTAL SEM BDI - "&amp;B267,CPU!$A:$J,9,FALSE)</f>
        <v>85.87</v>
      </c>
      <c r="H267" s="5">
        <f>VLOOKUP("TOTAL COM BDI - "&amp;B267,CPU!$A:$J,9,FALSE)</f>
        <v>107.2</v>
      </c>
      <c r="I267" s="5">
        <f>ROUND(F267*H267,2)</f>
        <v>295.87</v>
      </c>
    </row>
    <row r="268" spans="1:9" x14ac:dyDescent="0.3">
      <c r="A268" s="23" t="s">
        <v>342</v>
      </c>
      <c r="B268" s="23" t="str">
        <f>VLOOKUP(A268,MEMORIA!$A:$N,2,FALSE)</f>
        <v>COMPOS28</v>
      </c>
      <c r="C268" s="23" t="str">
        <f>VLOOKUP(A268,MEMORIA!$A:$N,3,FALSE)</f>
        <v>PRÓPRIA</v>
      </c>
      <c r="D268" s="24" t="str">
        <f>VLOOKUP(A268,MEMORIA!$A:$N,4,FALSE)</f>
        <v>REATERRO DE VALA COM COMPACTAÇÃO MANUAL</v>
      </c>
      <c r="E268" s="23" t="str">
        <f>VLOOKUP(A268,MEMORIA!$A:$N,5,FALSE)</f>
        <v>M³</v>
      </c>
      <c r="F268" s="5">
        <f>VLOOKUP(A268,MEMORIA!$A:$N,14,FALSE)</f>
        <v>2.76</v>
      </c>
      <c r="G268" s="5">
        <f>VLOOKUP("TOTAL SEM BDI - "&amp;B268,CPU!$A:$J,9,FALSE)</f>
        <v>36.9</v>
      </c>
      <c r="H268" s="5">
        <f>VLOOKUP("TOTAL COM BDI - "&amp;B268,CPU!$A:$J,9,FALSE)</f>
        <v>46.07</v>
      </c>
      <c r="I268" s="5">
        <f>ROUND(F268*H268,2)</f>
        <v>127.15</v>
      </c>
    </row>
    <row r="269" spans="1:9" x14ac:dyDescent="0.3">
      <c r="A269" s="15" t="s">
        <v>82</v>
      </c>
      <c r="B269" s="49" t="str">
        <f>VLOOKUP(A269,MEMORIA!$A:$N,2,FALSE)</f>
        <v>INFRAESTRUTURA</v>
      </c>
      <c r="C269" s="50"/>
      <c r="D269" s="50"/>
      <c r="E269" s="50"/>
      <c r="F269" s="50"/>
      <c r="G269" s="50"/>
      <c r="H269" s="51"/>
      <c r="I269" s="16">
        <f>SUM($I$270:$I$270)</f>
        <v>265.19</v>
      </c>
    </row>
    <row r="270" spans="1:9" x14ac:dyDescent="0.3">
      <c r="A270" s="23" t="s">
        <v>343</v>
      </c>
      <c r="B270" s="23" t="str">
        <f>VLOOKUP(A270,MEMORIA!$A:$N,2,FALSE)</f>
        <v>C3403</v>
      </c>
      <c r="C270" s="23" t="str">
        <f>VLOOKUP(A270,MEMORIA!$A:$N,3,FALSE)</f>
        <v>SEINFRA</v>
      </c>
      <c r="D270" s="24" t="str">
        <f>VLOOKUP(A270,MEMORIA!$A:$N,4,FALSE)</f>
        <v>BLOCO DE ANCORAGEM EM CONCRETO SIMPLES FCK=10MPa</v>
      </c>
      <c r="E270" s="23" t="str">
        <f>VLOOKUP(A270,MEMORIA!$A:$N,5,FALSE)</f>
        <v>M3</v>
      </c>
      <c r="F270" s="5">
        <f>VLOOKUP(A270,MEMORIA!$A:$N,14,FALSE)</f>
        <v>0.26</v>
      </c>
      <c r="G270" s="5">
        <f>VLOOKUP("TOTAL SEM BDI - "&amp;B270,CPU!$A:$J,9,FALSE)</f>
        <v>817.03</v>
      </c>
      <c r="H270" s="5">
        <f>VLOOKUP("TOTAL COM BDI - "&amp;B270,CPU!$A:$J,9,FALSE)</f>
        <v>1019.98</v>
      </c>
      <c r="I270" s="5">
        <f>ROUND(F270*H270,2)</f>
        <v>265.19</v>
      </c>
    </row>
    <row r="271" spans="1:9" x14ac:dyDescent="0.3">
      <c r="A271" s="15" t="s">
        <v>83</v>
      </c>
      <c r="B271" s="49" t="str">
        <f>VLOOKUP(A271,MEMORIA!$A:$N,2,FALSE)</f>
        <v>INSTALAÇÕES HIDRÁULICAS</v>
      </c>
      <c r="C271" s="50"/>
      <c r="D271" s="50"/>
      <c r="E271" s="50"/>
      <c r="F271" s="50"/>
      <c r="G271" s="50"/>
      <c r="H271" s="51"/>
      <c r="I271" s="16">
        <f>SUM($I$272:$I$273)</f>
        <v>663.51</v>
      </c>
    </row>
    <row r="272" spans="1:9" ht="28.8" x14ac:dyDescent="0.3">
      <c r="A272" s="23" t="s">
        <v>344</v>
      </c>
      <c r="B272" s="23" t="str">
        <f>VLOOKUP(A272,MEMORIA!$A:$N,2,FALSE)</f>
        <v>COMPOS27</v>
      </c>
      <c r="C272" s="23" t="str">
        <f>VLOOKUP(A272,MEMORIA!$A:$N,3,FALSE)</f>
        <v>PRÓPRIA</v>
      </c>
      <c r="D272" s="24" t="str">
        <f>VLOOKUP(A272,MEMORIA!$A:$N,4,FALSE)</f>
        <v>AQUISIÇÃO E ASSENTAMENTO DE TUBO RÍGIDO PVC, CLASSE 12, DN 50 MM, INCLUSO CONEXÕES</v>
      </c>
      <c r="E272" s="23" t="str">
        <f>VLOOKUP(A272,MEMORIA!$A:$N,5,FALSE)</f>
        <v>M</v>
      </c>
      <c r="F272" s="5">
        <f>VLOOKUP(A272,MEMORIA!$A:$N,14,FALSE)</f>
        <v>16</v>
      </c>
      <c r="G272" s="5">
        <f>VLOOKUP("TOTAL SEM BDI - "&amp;B272,CPU!$A:$J,9,FALSE)</f>
        <v>25.79</v>
      </c>
      <c r="H272" s="5">
        <f>VLOOKUP("TOTAL COM BDI - "&amp;B272,CPU!$A:$J,9,FALSE)</f>
        <v>32.200000000000003</v>
      </c>
      <c r="I272" s="5">
        <f>ROUND(F272*H272,2)</f>
        <v>515.20000000000005</v>
      </c>
    </row>
    <row r="273" spans="1:9" ht="28.8" x14ac:dyDescent="0.3">
      <c r="A273" s="23" t="s">
        <v>345</v>
      </c>
      <c r="B273" s="23">
        <f>VLOOKUP(A273,MEMORIA!$A:$N,2,FALSE)</f>
        <v>94497</v>
      </c>
      <c r="C273" s="23" t="str">
        <f>VLOOKUP(A273,MEMORIA!$A:$N,3,FALSE)</f>
        <v>SINAPI</v>
      </c>
      <c r="D273" s="24" t="str">
        <f>VLOOKUP(A273,MEMORIA!$A:$N,4,FALSE)</f>
        <v>REGISTRO DE GAVETA BRUTO, LATÃO, ROSCÁVEL, 1 1/2" - FORNECIMENTO E INSTALAÇÃO. AF_08/2021</v>
      </c>
      <c r="E273" s="23" t="str">
        <f>VLOOKUP(A273,MEMORIA!$A:$N,5,FALSE)</f>
        <v>UN</v>
      </c>
      <c r="F273" s="5">
        <f>VLOOKUP(A273,MEMORIA!$A:$N,14,FALSE)</f>
        <v>1</v>
      </c>
      <c r="G273" s="5">
        <f>VLOOKUP("TOTAL SEM BDI - "&amp;B273,CPU!$A:$J,9,FALSE)</f>
        <v>118.80000000000001</v>
      </c>
      <c r="H273" s="5">
        <f>VLOOKUP("TOTAL COM BDI - "&amp;B273,CPU!$A:$J,9,FALSE)</f>
        <v>148.31</v>
      </c>
      <c r="I273" s="5">
        <f>ROUND(F273*H273,2)</f>
        <v>148.31</v>
      </c>
    </row>
    <row r="274" spans="1:9" x14ac:dyDescent="0.3">
      <c r="A274" s="12" t="s">
        <v>84</v>
      </c>
      <c r="B274" s="46" t="str">
        <f>VLOOKUP(A274,MEMORIA!$A:$N,2,FALSE)</f>
        <v>RESERVAÇÃO</v>
      </c>
      <c r="C274" s="47"/>
      <c r="D274" s="47"/>
      <c r="E274" s="47"/>
      <c r="F274" s="47"/>
      <c r="G274" s="47"/>
      <c r="H274" s="48"/>
      <c r="I274" s="13">
        <f>SUM($I$275:$I$275)</f>
        <v>20347.62</v>
      </c>
    </row>
    <row r="275" spans="1:9" ht="57.6" x14ac:dyDescent="0.3">
      <c r="A275" s="23" t="s">
        <v>346</v>
      </c>
      <c r="B275" s="23" t="str">
        <f>VLOOKUP(A275,MEMORIA!$A:$N,2,FALSE)</f>
        <v>COMPOS32</v>
      </c>
      <c r="C275" s="23" t="str">
        <f>VLOOKUP(A275,MEMORIA!$A:$N,3,FALSE)</f>
        <v>PRÓPRIA</v>
      </c>
      <c r="D275" s="24" t="str">
        <f>VLOOKUP(A275,MEMORIA!$A:$N,4,FALSE)</f>
        <v>RESERVATÓRIO ELEVADO C/ CAIXA D'AGUA EM FIBRA DE VIDRO DE 10.000 LITROS APOIADO EM ESTRUTURA PRÉ-MOLDADA EM CONCRETO, COMPOSTA DE CAPITEL P/APOIO DA CAIXA E PILAR C/ALTURA ÚTIL = 7,00M, INCLUSO FRETE E MONTAGEM NO LOCAL, EXCETO INST. HIDRÁULICA</v>
      </c>
      <c r="E275" s="23" t="str">
        <f>VLOOKUP(A275,MEMORIA!$A:$N,5,FALSE)</f>
        <v>UND</v>
      </c>
      <c r="F275" s="5">
        <f>VLOOKUP(A275,MEMORIA!$A:$N,14,FALSE)</f>
        <v>1</v>
      </c>
      <c r="G275" s="5">
        <f>VLOOKUP("TOTAL SEM BDI - "&amp;B275,CPU!$A:$J,9,FALSE)</f>
        <v>16298.96</v>
      </c>
      <c r="H275" s="5">
        <f>VLOOKUP("TOTAL COM BDI - "&amp;B275,CPU!$A:$J,9,FALSE)</f>
        <v>20347.62</v>
      </c>
      <c r="I275" s="5">
        <f>ROUND(F275*H275,2)</f>
        <v>20347.62</v>
      </c>
    </row>
    <row r="276" spans="1:9" x14ac:dyDescent="0.3">
      <c r="A276" s="12" t="s">
        <v>85</v>
      </c>
      <c r="B276" s="46" t="str">
        <f>VLOOKUP(A276,MEMORIA!$A:$N,2,FALSE)</f>
        <v>DISTRIBUIÇÃO (CHAFARIZ)</v>
      </c>
      <c r="C276" s="47"/>
      <c r="D276" s="47"/>
      <c r="E276" s="47"/>
      <c r="F276" s="47"/>
      <c r="G276" s="47"/>
      <c r="H276" s="48"/>
      <c r="I276" s="13">
        <f>SUM($I$277:$I$288)</f>
        <v>2831.9999999999995</v>
      </c>
    </row>
    <row r="277" spans="1:9" ht="28.8" x14ac:dyDescent="0.3">
      <c r="A277" s="23" t="s">
        <v>347</v>
      </c>
      <c r="B277" s="23" t="str">
        <f>VLOOKUP(A277,MEMORIA!$A:$N,2,FALSE)</f>
        <v>COMPOS27</v>
      </c>
      <c r="C277" s="23" t="str">
        <f>VLOOKUP(A277,MEMORIA!$A:$N,3,FALSE)</f>
        <v>PRÓPRIA</v>
      </c>
      <c r="D277" s="24" t="str">
        <f>VLOOKUP(A277,MEMORIA!$A:$N,4,FALSE)</f>
        <v>AQUISIÇÃO E ASSENTAMENTO DE TUBO RÍGIDO PVC, CLASSE 12, DN 50 MM, INCLUSO CONEXÕES</v>
      </c>
      <c r="E277" s="23" t="str">
        <f>VLOOKUP(A277,MEMORIA!$A:$N,5,FALSE)</f>
        <v>M</v>
      </c>
      <c r="F277" s="5">
        <f>VLOOKUP(A277,MEMORIA!$A:$N,14,FALSE)</f>
        <v>18</v>
      </c>
      <c r="G277" s="5">
        <f>VLOOKUP("TOTAL SEM BDI - "&amp;B277,CPU!$A:$J,9,FALSE)</f>
        <v>25.79</v>
      </c>
      <c r="H277" s="5">
        <f>VLOOKUP("TOTAL COM BDI - "&amp;B277,CPU!$A:$J,9,FALSE)</f>
        <v>32.200000000000003</v>
      </c>
      <c r="I277" s="5">
        <f t="shared" ref="I277:I288" si="11">ROUND(F277*H277,2)</f>
        <v>579.6</v>
      </c>
    </row>
    <row r="278" spans="1:9" ht="28.8" x14ac:dyDescent="0.3">
      <c r="A278" s="23" t="s">
        <v>348</v>
      </c>
      <c r="B278" s="23" t="str">
        <f>VLOOKUP(A278,MEMORIA!$A:$N,2,FALSE)</f>
        <v>06457/ORSE</v>
      </c>
      <c r="C278" s="23" t="str">
        <f>VLOOKUP(A278,MEMORIA!$A:$N,3,FALSE)</f>
        <v>ORSE</v>
      </c>
      <c r="D278" s="24" t="str">
        <f>VLOOKUP(A278,MEMORIA!$A:$N,4,FALSE)</f>
        <v>CONCRETO ARMADO FCK=15MPA FABRICADO NA OBRA, ADENSADO E LANÇADO, PARA USO GERAL, COM FORMAS PLANAS EM COMPENSADO RESINADO 12MM (05 USOS)</v>
      </c>
      <c r="E278" s="23" t="str">
        <f>VLOOKUP(A278,MEMORIA!$A:$N,5,FALSE)</f>
        <v>M3</v>
      </c>
      <c r="F278" s="5">
        <f>VLOOKUP(A278,MEMORIA!$A:$N,14,FALSE)</f>
        <v>0.26</v>
      </c>
      <c r="G278" s="5">
        <f>VLOOKUP("TOTAL SEM BDI - "&amp;B278,CPU!$A:$J,9,FALSE)</f>
        <v>2617.91</v>
      </c>
      <c r="H278" s="5">
        <f>VLOOKUP("TOTAL COM BDI - "&amp;B278,CPU!$A:$J,9,FALSE)</f>
        <v>3268.2</v>
      </c>
      <c r="I278" s="5">
        <f t="shared" si="11"/>
        <v>849.73</v>
      </c>
    </row>
    <row r="279" spans="1:9" ht="28.8" x14ac:dyDescent="0.3">
      <c r="A279" s="23" t="s">
        <v>349</v>
      </c>
      <c r="B279" s="23">
        <f>VLOOKUP(A279,MEMORIA!$A:$N,2,FALSE)</f>
        <v>86906</v>
      </c>
      <c r="C279" s="23" t="str">
        <f>VLOOKUP(A279,MEMORIA!$A:$N,3,FALSE)</f>
        <v>SINAPI</v>
      </c>
      <c r="D279" s="24" t="str">
        <f>VLOOKUP(A279,MEMORIA!$A:$N,4,FALSE)</f>
        <v>TORNEIRA CROMADA DE MESA, 1/2" OU 3/4", PARA LAVATÓRIO, PADRÃO POPULAR - FORNECIMENTO E INSTALAÇÃO. AF_01/2020</v>
      </c>
      <c r="E279" s="23" t="str">
        <f>VLOOKUP(A279,MEMORIA!$A:$N,5,FALSE)</f>
        <v>UN</v>
      </c>
      <c r="F279" s="5">
        <f>VLOOKUP(A279,MEMORIA!$A:$N,14,FALSE)</f>
        <v>4</v>
      </c>
      <c r="G279" s="5">
        <f>VLOOKUP("TOTAL SEM BDI - "&amp;B279,CPU!$A:$J,9,FALSE)</f>
        <v>81.239999999999995</v>
      </c>
      <c r="H279" s="5">
        <f>VLOOKUP("TOTAL COM BDI - "&amp;B279,CPU!$A:$J,9,FALSE)</f>
        <v>101.41999999999999</v>
      </c>
      <c r="I279" s="5">
        <f t="shared" si="11"/>
        <v>405.68</v>
      </c>
    </row>
    <row r="280" spans="1:9" ht="43.2" x14ac:dyDescent="0.3">
      <c r="A280" s="23" t="s">
        <v>350</v>
      </c>
      <c r="B280" s="23">
        <f>VLOOKUP(A280,MEMORIA!$A:$N,2,FALSE)</f>
        <v>92920</v>
      </c>
      <c r="C280" s="23" t="str">
        <f>VLOOKUP(A280,MEMORIA!$A:$N,3,FALSE)</f>
        <v>SINAPI</v>
      </c>
      <c r="D280" s="24" t="str">
        <f>VLOOKUP(A280,MEMORIA!$A:$N,4,FALSE)</f>
        <v>LUVA DE REDUÇÃO, EM FERRO GALVANIZADO, 1" X 3/4", CONEXÃO ROSQUEADA, INSTALADO EM REDE DE ALIMENTAÇÃO PARA HIDRANTE - FORNECIMENTO E INSTALAÇÃO. AF_10/2020</v>
      </c>
      <c r="E280" s="23" t="str">
        <f>VLOOKUP(A280,MEMORIA!$A:$N,5,FALSE)</f>
        <v>UN</v>
      </c>
      <c r="F280" s="5">
        <f>VLOOKUP(A280,MEMORIA!$A:$N,14,FALSE)</f>
        <v>4</v>
      </c>
      <c r="G280" s="5">
        <f>VLOOKUP("TOTAL SEM BDI - "&amp;B280,CPU!$A:$J,9,FALSE)</f>
        <v>35.64</v>
      </c>
      <c r="H280" s="5">
        <f>VLOOKUP("TOTAL COM BDI - "&amp;B280,CPU!$A:$J,9,FALSE)</f>
        <v>44.49</v>
      </c>
      <c r="I280" s="5">
        <f t="shared" si="11"/>
        <v>177.96</v>
      </c>
    </row>
    <row r="281" spans="1:9" x14ac:dyDescent="0.3">
      <c r="A281" s="23" t="s">
        <v>351</v>
      </c>
      <c r="B281" s="23" t="str">
        <f>VLOOKUP(A281,MEMORIA!$A:$N,2,FALSE)</f>
        <v>COMPCH08</v>
      </c>
      <c r="C281" s="23" t="str">
        <f>VLOOKUP(A281,MEMORIA!$A:$N,3,FALSE)</f>
        <v>PRÓPRIA</v>
      </c>
      <c r="D281" s="24" t="str">
        <f>VLOOKUP(A281,MEMORIA!$A:$N,4,FALSE)</f>
        <v>CRUZETA DE FERRO GALVANIZADO, COM ROSCA BSP, DE 1"</v>
      </c>
      <c r="E281" s="23" t="str">
        <f>VLOOKUP(A281,MEMORIA!$A:$N,5,FALSE)</f>
        <v>UN</v>
      </c>
      <c r="F281" s="5">
        <f>VLOOKUP(A281,MEMORIA!$A:$N,14,FALSE)</f>
        <v>1</v>
      </c>
      <c r="G281" s="5">
        <f>VLOOKUP("TOTAL SEM BDI - "&amp;B281,CPU!$A:$J,9,FALSE)</f>
        <v>85.84</v>
      </c>
      <c r="H281" s="5">
        <f>VLOOKUP("TOTAL COM BDI - "&amp;B281,CPU!$A:$J,9,FALSE)</f>
        <v>107.16</v>
      </c>
      <c r="I281" s="5">
        <f t="shared" si="11"/>
        <v>107.16</v>
      </c>
    </row>
    <row r="282" spans="1:9" ht="28.8" x14ac:dyDescent="0.3">
      <c r="A282" s="23" t="s">
        <v>352</v>
      </c>
      <c r="B282" s="23" t="str">
        <f>VLOOKUP(A282,MEMORIA!$A:$N,2,FALSE)</f>
        <v>COMPCH01</v>
      </c>
      <c r="C282" s="23" t="str">
        <f>VLOOKUP(A282,MEMORIA!$A:$N,3,FALSE)</f>
        <v>PRÓPRIA</v>
      </c>
      <c r="D282" s="24" t="str">
        <f>VLOOKUP(A282,MEMORIA!$A:$N,4,FALSE)</f>
        <v>TÊ, EM FERRO GALVANIZADO, 1", CONEXÃO ROSQUEADA, INSTALADO EM PRUMADAS - FORNECIMENTO E INSTALAÇÃO.</v>
      </c>
      <c r="E282" s="23" t="str">
        <f>VLOOKUP(A282,MEMORIA!$A:$N,5,FALSE)</f>
        <v>UN</v>
      </c>
      <c r="F282" s="5">
        <f>VLOOKUP(A282,MEMORIA!$A:$N,14,FALSE)</f>
        <v>1</v>
      </c>
      <c r="G282" s="5">
        <f>VLOOKUP("TOTAL SEM BDI - "&amp;B282,CPU!$A:$J,9,FALSE)</f>
        <v>69.28</v>
      </c>
      <c r="H282" s="5">
        <f>VLOOKUP("TOTAL COM BDI - "&amp;B282,CPU!$A:$J,9,FALSE)</f>
        <v>86.490000000000009</v>
      </c>
      <c r="I282" s="5">
        <f t="shared" si="11"/>
        <v>86.49</v>
      </c>
    </row>
    <row r="283" spans="1:9" x14ac:dyDescent="0.3">
      <c r="A283" s="23" t="s">
        <v>353</v>
      </c>
      <c r="B283" s="23" t="str">
        <f>VLOOKUP(A283,MEMORIA!$A:$N,2,FALSE)</f>
        <v>COMPCH02</v>
      </c>
      <c r="C283" s="23" t="str">
        <f>VLOOKUP(A283,MEMORIA!$A:$N,3,FALSE)</f>
        <v>PRÓPRIA</v>
      </c>
      <c r="D283" s="24" t="str">
        <f>VLOOKUP(A283,MEMORIA!$A:$N,4,FALSE)</f>
        <v>LUVA DE FERRO GALVANIZADO, COM ROSCA BSP, DE 1"- FORNECIMENTO E INSTALAÇÃO</v>
      </c>
      <c r="E283" s="23" t="str">
        <f>VLOOKUP(A283,MEMORIA!$A:$N,5,FALSE)</f>
        <v>UN</v>
      </c>
      <c r="F283" s="5">
        <f>VLOOKUP(A283,MEMORIA!$A:$N,14,FALSE)</f>
        <v>1</v>
      </c>
      <c r="G283" s="5">
        <f>VLOOKUP("TOTAL SEM BDI - "&amp;B283,CPU!$A:$J,9,FALSE)</f>
        <v>21.18</v>
      </c>
      <c r="H283" s="5">
        <f>VLOOKUP("TOTAL COM BDI - "&amp;B283,CPU!$A:$J,9,FALSE)</f>
        <v>26.439999999999998</v>
      </c>
      <c r="I283" s="5">
        <f t="shared" si="11"/>
        <v>26.44</v>
      </c>
    </row>
    <row r="284" spans="1:9" ht="28.8" x14ac:dyDescent="0.3">
      <c r="A284" s="23" t="s">
        <v>354</v>
      </c>
      <c r="B284" s="23" t="str">
        <f>VLOOKUP(A284,MEMORIA!$A:$N,2,FALSE)</f>
        <v>COMPCH03</v>
      </c>
      <c r="C284" s="23" t="str">
        <f>VLOOKUP(A284,MEMORIA!$A:$N,3,FALSE)</f>
        <v>PRÓPRIA</v>
      </c>
      <c r="D284" s="24" t="str">
        <f>VLOOKUP(A284,MEMORIA!$A:$N,4,FALSE)</f>
        <v>CURVA 90 GRAUS DE FERRO GALVANIZADO, COM ROSCA BSP FEMEA, DE 1"- FORNECIMENTO E INSTALAÇÃO</v>
      </c>
      <c r="E284" s="23" t="str">
        <f>VLOOKUP(A284,MEMORIA!$A:$N,5,FALSE)</f>
        <v>UN</v>
      </c>
      <c r="F284" s="5">
        <f>VLOOKUP(A284,MEMORIA!$A:$N,14,FALSE)</f>
        <v>1</v>
      </c>
      <c r="G284" s="5">
        <f>VLOOKUP("TOTAL SEM BDI - "&amp;B284,CPU!$A:$J,9,FALSE)</f>
        <v>55.2</v>
      </c>
      <c r="H284" s="5">
        <f>VLOOKUP("TOTAL COM BDI - "&amp;B284,CPU!$A:$J,9,FALSE)</f>
        <v>68.91</v>
      </c>
      <c r="I284" s="5">
        <f t="shared" si="11"/>
        <v>68.91</v>
      </c>
    </row>
    <row r="285" spans="1:9" ht="28.8" x14ac:dyDescent="0.3">
      <c r="A285" s="23" t="s">
        <v>355</v>
      </c>
      <c r="B285" s="23" t="str">
        <f>VLOOKUP(A285,MEMORIA!$A:$N,2,FALSE)</f>
        <v>COMPCH04</v>
      </c>
      <c r="C285" s="23" t="str">
        <f>VLOOKUP(A285,MEMORIA!$A:$N,3,FALSE)</f>
        <v>PRÓPRIA</v>
      </c>
      <c r="D285" s="24" t="str">
        <f>VLOOKUP(A285,MEMORIA!$A:$N,4,FALSE)</f>
        <v>TUBO DE AÇO GALVANIZADO COM COSTURA 1" (25MM), INCLUSIVE CONEXOES - FORNECIMENTO E INSTALAÇÃO</v>
      </c>
      <c r="E285" s="23" t="str">
        <f>VLOOKUP(A285,MEMORIA!$A:$N,5,FALSE)</f>
        <v>M</v>
      </c>
      <c r="F285" s="5">
        <f>VLOOKUP(A285,MEMORIA!$A:$N,14,FALSE)</f>
        <v>3</v>
      </c>
      <c r="G285" s="5">
        <f>VLOOKUP("TOTAL SEM BDI - "&amp;B285,CPU!$A:$J,9,FALSE)</f>
        <v>46.050000000000004</v>
      </c>
      <c r="H285" s="5">
        <f>VLOOKUP("TOTAL COM BDI - "&amp;B285,CPU!$A:$J,9,FALSE)</f>
        <v>57.49</v>
      </c>
      <c r="I285" s="5">
        <f t="shared" si="11"/>
        <v>172.47</v>
      </c>
    </row>
    <row r="286" spans="1:9" ht="28.8" x14ac:dyDescent="0.3">
      <c r="A286" s="23" t="s">
        <v>356</v>
      </c>
      <c r="B286" s="23" t="str">
        <f>VLOOKUP(A286,MEMORIA!$A:$N,2,FALSE)</f>
        <v>COMPCH05</v>
      </c>
      <c r="C286" s="23" t="str">
        <f>VLOOKUP(A286,MEMORIA!$A:$N,3,FALSE)</f>
        <v>PRÓPRIA</v>
      </c>
      <c r="D286" s="24" t="str">
        <f>VLOOKUP(A286,MEMORIA!$A:$N,4,FALSE)</f>
        <v>BUCHA DE REDUCAO DE FERRO GALVANIZADO, COM ROSCA BSP, DE 1 1/2" X 1"- FORNECIMENTO E INSTALAÇÃO</v>
      </c>
      <c r="E286" s="23" t="str">
        <f>VLOOKUP(A286,MEMORIA!$A:$N,5,FALSE)</f>
        <v>UN</v>
      </c>
      <c r="F286" s="5">
        <f>VLOOKUP(A286,MEMORIA!$A:$N,14,FALSE)</f>
        <v>1</v>
      </c>
      <c r="G286" s="5">
        <f>VLOOKUP("TOTAL SEM BDI - "&amp;B286,CPU!$A:$J,9,FALSE)</f>
        <v>37.659999999999997</v>
      </c>
      <c r="H286" s="5">
        <f>VLOOKUP("TOTAL COM BDI - "&amp;B286,CPU!$A:$J,9,FALSE)</f>
        <v>47.01</v>
      </c>
      <c r="I286" s="5">
        <f t="shared" si="11"/>
        <v>47.01</v>
      </c>
    </row>
    <row r="287" spans="1:9" ht="28.8" x14ac:dyDescent="0.3">
      <c r="A287" s="23" t="s">
        <v>357</v>
      </c>
      <c r="B287" s="23">
        <f>VLOOKUP(A287,MEMORIA!$A:$N,2,FALSE)</f>
        <v>94497</v>
      </c>
      <c r="C287" s="23" t="str">
        <f>VLOOKUP(A287,MEMORIA!$A:$N,3,FALSE)</f>
        <v>SINAPI</v>
      </c>
      <c r="D287" s="24" t="str">
        <f>VLOOKUP(A287,MEMORIA!$A:$N,4,FALSE)</f>
        <v>REGISTRO DE GAVETA BRUTO, LATÃO, ROSCÁVEL, 1 1/2" - FORNECIMENTO E INSTALAÇÃO. AF_08/2021</v>
      </c>
      <c r="E287" s="23" t="str">
        <f>VLOOKUP(A287,MEMORIA!$A:$N,5,FALSE)</f>
        <v>UN</v>
      </c>
      <c r="F287" s="5">
        <f>VLOOKUP(A287,MEMORIA!$A:$N,14,FALSE)</f>
        <v>2</v>
      </c>
      <c r="G287" s="5">
        <f>VLOOKUP("TOTAL SEM BDI - "&amp;B287,CPU!$A:$J,9,FALSE)</f>
        <v>118.80000000000001</v>
      </c>
      <c r="H287" s="5">
        <f>VLOOKUP("TOTAL COM BDI - "&amp;B287,CPU!$A:$J,9,FALSE)</f>
        <v>148.31</v>
      </c>
      <c r="I287" s="5">
        <f t="shared" si="11"/>
        <v>296.62</v>
      </c>
    </row>
    <row r="288" spans="1:9" ht="28.8" x14ac:dyDescent="0.3">
      <c r="A288" s="23" t="s">
        <v>358</v>
      </c>
      <c r="B288" s="23" t="str">
        <f>VLOOKUP(A288,MEMORIA!$A:$N,2,FALSE)</f>
        <v>COMPCH07</v>
      </c>
      <c r="C288" s="23" t="str">
        <f>VLOOKUP(A288,MEMORIA!$A:$N,3,FALSE)</f>
        <v>PRÓPRIA</v>
      </c>
      <c r="D288" s="24" t="str">
        <f>VLOOKUP(A288,MEMORIA!$A:$N,4,FALSE)</f>
        <v>ADAPTADOR CURTO COM BOLSA E ROSCA PARA REGISTRO, PVC, SOLDÁVEL, DN 40MM X 1.1/2, INSTALADO EM PRUMADA DE ÁGUA - FORNECIMENTO E INSTALAÇÃO</v>
      </c>
      <c r="E288" s="23" t="str">
        <f>VLOOKUP(A288,MEMORIA!$A:$N,5,FALSE)</f>
        <v>UN</v>
      </c>
      <c r="F288" s="5">
        <f>VLOOKUP(A288,MEMORIA!$A:$N,14,FALSE)</f>
        <v>1</v>
      </c>
      <c r="G288" s="5">
        <f>VLOOKUP("TOTAL SEM BDI - "&amp;B288,CPU!$A:$J,9,FALSE)</f>
        <v>11.16</v>
      </c>
      <c r="H288" s="5">
        <f>VLOOKUP("TOTAL COM BDI - "&amp;B288,CPU!$A:$J,9,FALSE)</f>
        <v>13.93</v>
      </c>
      <c r="I288" s="5">
        <f t="shared" si="11"/>
        <v>13.93</v>
      </c>
    </row>
    <row r="289" spans="1:9" x14ac:dyDescent="0.3">
      <c r="A289" s="9">
        <v>5</v>
      </c>
      <c r="B289" s="52" t="str">
        <f>VLOOKUP(A289,MEMORIA!$A:$N,2,FALSE)</f>
        <v>COMUNIDADE SERRA</v>
      </c>
      <c r="C289" s="53"/>
      <c r="D289" s="53"/>
      <c r="E289" s="53"/>
      <c r="F289" s="53"/>
      <c r="G289" s="53"/>
      <c r="H289" s="54"/>
      <c r="I289" s="10">
        <f>SUM($I$290,$I$308,$I$315,$I$349,$I$358,$I$367,$I$369,)</f>
        <v>136434.92000000001</v>
      </c>
    </row>
    <row r="290" spans="1:9" x14ac:dyDescent="0.3">
      <c r="A290" s="12" t="s">
        <v>86</v>
      </c>
      <c r="B290" s="46" t="str">
        <f>VLOOKUP(A290,MEMORIA!$A:$N,2,FALSE)</f>
        <v>PERFURAÇÃO DE POÇO TUBULAR</v>
      </c>
      <c r="C290" s="47"/>
      <c r="D290" s="47"/>
      <c r="E290" s="47"/>
      <c r="F290" s="47"/>
      <c r="G290" s="47"/>
      <c r="H290" s="48"/>
      <c r="I290" s="13">
        <f>SUM($I$291:$I$307)</f>
        <v>64859.22</v>
      </c>
    </row>
    <row r="291" spans="1:9" x14ac:dyDescent="0.3">
      <c r="A291" s="23" t="s">
        <v>359</v>
      </c>
      <c r="B291" s="23" t="str">
        <f>VLOOKUP(A291,MEMORIA!$A:$N,2,FALSE)</f>
        <v>COMPOS3</v>
      </c>
      <c r="C291" s="23" t="str">
        <f>VLOOKUP(A291,MEMORIA!$A:$N,3,FALSE)</f>
        <v>PRÓPRIA</v>
      </c>
      <c r="D291" s="24" t="str">
        <f>VLOOKUP(A291,MEMORIA!$A:$N,4,FALSE)</f>
        <v>LOCAÇÃO DO POÇO COM ESTUDO GEOLÓGICO/HIDROGEOLÓGICO/GEOFÍSICO</v>
      </c>
      <c r="E291" s="23" t="str">
        <f>VLOOKUP(A291,MEMORIA!$A:$N,5,FALSE)</f>
        <v>UN</v>
      </c>
      <c r="F291" s="5">
        <f>VLOOKUP(A291,MEMORIA!$A:$N,14,FALSE)</f>
        <v>1</v>
      </c>
      <c r="G291" s="5">
        <f>VLOOKUP("TOTAL SEM BDI - "&amp;B291,CPU!$A:$J,9,FALSE)</f>
        <v>1692.3999999999999</v>
      </c>
      <c r="H291" s="5">
        <f>VLOOKUP("TOTAL COM BDI - "&amp;B291,CPU!$A:$J,9,FALSE)</f>
        <v>2112.79</v>
      </c>
      <c r="I291" s="5">
        <f t="shared" ref="I291:I307" si="12">ROUND(F291*H291,2)</f>
        <v>2112.79</v>
      </c>
    </row>
    <row r="292" spans="1:9" x14ac:dyDescent="0.3">
      <c r="A292" s="23" t="s">
        <v>360</v>
      </c>
      <c r="B292" s="23" t="str">
        <f>VLOOKUP(A292,MEMORIA!$A:$N,2,FALSE)</f>
        <v>COMPOS4</v>
      </c>
      <c r="C292" s="23" t="str">
        <f>VLOOKUP(A292,MEMORIA!$A:$N,3,FALSE)</f>
        <v>PRÓPRIA</v>
      </c>
      <c r="D292" s="24" t="str">
        <f>VLOOKUP(A292,MEMORIA!$A:$N,4,FALSE)</f>
        <v>TRANSPORTE DE MÁQUINAS E EQUIPAMENTOS</v>
      </c>
      <c r="E292" s="23" t="str">
        <f>VLOOKUP(A292,MEMORIA!$A:$N,5,FALSE)</f>
        <v>KM</v>
      </c>
      <c r="F292" s="5">
        <f>VLOOKUP(A292,MEMORIA!$A:$N,14,FALSE)</f>
        <v>39.5</v>
      </c>
      <c r="G292" s="5">
        <f>VLOOKUP("TOTAL SEM BDI - "&amp;B292,CPU!$A:$J,9,FALSE)</f>
        <v>5.5</v>
      </c>
      <c r="H292" s="5">
        <f>VLOOKUP("TOTAL COM BDI - "&amp;B292,CPU!$A:$J,9,FALSE)</f>
        <v>6.87</v>
      </c>
      <c r="I292" s="5">
        <f t="shared" si="12"/>
        <v>271.37</v>
      </c>
    </row>
    <row r="293" spans="1:9" x14ac:dyDescent="0.3">
      <c r="A293" s="23" t="s">
        <v>361</v>
      </c>
      <c r="B293" s="23" t="str">
        <f>VLOOKUP(A293,MEMORIA!$A:$N,2,FALSE)</f>
        <v>COMPOS4</v>
      </c>
      <c r="C293" s="23" t="str">
        <f>VLOOKUP(A293,MEMORIA!$A:$N,3,FALSE)</f>
        <v>PRÓPRIA</v>
      </c>
      <c r="D293" s="24" t="str">
        <f>VLOOKUP(A293,MEMORIA!$A:$N,4,FALSE)</f>
        <v>TRANSPORTE DE MÁQUINAS E EQUIPAMENTOS</v>
      </c>
      <c r="E293" s="23" t="str">
        <f>VLOOKUP(A293,MEMORIA!$A:$N,5,FALSE)</f>
        <v>KM</v>
      </c>
      <c r="F293" s="5">
        <f>VLOOKUP(A293,MEMORIA!$A:$N,14,FALSE)</f>
        <v>39.5</v>
      </c>
      <c r="G293" s="5">
        <f>VLOOKUP("TOTAL SEM BDI - "&amp;B293,CPU!$A:$J,9,FALSE)</f>
        <v>5.5</v>
      </c>
      <c r="H293" s="5">
        <f>VLOOKUP("TOTAL COM BDI - "&amp;B293,CPU!$A:$J,9,FALSE)</f>
        <v>6.87</v>
      </c>
      <c r="I293" s="5">
        <f t="shared" si="12"/>
        <v>271.37</v>
      </c>
    </row>
    <row r="294" spans="1:9" x14ac:dyDescent="0.3">
      <c r="A294" s="23" t="s">
        <v>362</v>
      </c>
      <c r="B294" s="23" t="str">
        <f>VLOOKUP(A294,MEMORIA!$A:$N,2,FALSE)</f>
        <v>COMPOS5</v>
      </c>
      <c r="C294" s="23" t="str">
        <f>VLOOKUP(A294,MEMORIA!$A:$N,3,FALSE)</f>
        <v>PRÓPRIA</v>
      </c>
      <c r="D294" s="24" t="str">
        <f>VLOOKUP(A294,MEMORIA!$A:$N,4,FALSE)</f>
        <v>PERFILAGEM ÓTICA</v>
      </c>
      <c r="E294" s="23" t="str">
        <f>VLOOKUP(A294,MEMORIA!$A:$N,5,FALSE)</f>
        <v>UN</v>
      </c>
      <c r="F294" s="5">
        <f>VLOOKUP(A294,MEMORIA!$A:$N,14,FALSE)</f>
        <v>1</v>
      </c>
      <c r="G294" s="5">
        <f>VLOOKUP("TOTAL SEM BDI - "&amp;B294,CPU!$A:$J,9,FALSE)</f>
        <v>2908.88</v>
      </c>
      <c r="H294" s="5">
        <f>VLOOKUP("TOTAL COM BDI - "&amp;B294,CPU!$A:$J,9,FALSE)</f>
        <v>3631.4500000000003</v>
      </c>
      <c r="I294" s="5">
        <f t="shared" si="12"/>
        <v>3631.45</v>
      </c>
    </row>
    <row r="295" spans="1:9" x14ac:dyDescent="0.3">
      <c r="A295" s="23" t="s">
        <v>363</v>
      </c>
      <c r="B295" s="23" t="str">
        <f>VLOOKUP(A295,MEMORIA!$A:$N,2,FALSE)</f>
        <v>COMPOS6</v>
      </c>
      <c r="C295" s="23" t="str">
        <f>VLOOKUP(A295,MEMORIA!$A:$N,3,FALSE)</f>
        <v>PRÓPRIA</v>
      </c>
      <c r="D295" s="24" t="str">
        <f>VLOOKUP(A295,MEMORIA!$A:$N,4,FALSE)</f>
        <v>PERFURAÇÃO EM 10'' (SEDIMENTO)</v>
      </c>
      <c r="E295" s="23" t="str">
        <f>VLOOKUP(A295,MEMORIA!$A:$N,5,FALSE)</f>
        <v>M</v>
      </c>
      <c r="F295" s="5">
        <f>VLOOKUP(A295,MEMORIA!$A:$N,14,FALSE)</f>
        <v>35</v>
      </c>
      <c r="G295" s="5">
        <f>VLOOKUP("TOTAL SEM BDI - "&amp;B295,CPU!$A:$J,9,FALSE)</f>
        <v>288.94</v>
      </c>
      <c r="H295" s="5">
        <f>VLOOKUP("TOTAL COM BDI - "&amp;B295,CPU!$A:$J,9,FALSE)</f>
        <v>360.71</v>
      </c>
      <c r="I295" s="5">
        <f t="shared" si="12"/>
        <v>12624.85</v>
      </c>
    </row>
    <row r="296" spans="1:9" x14ac:dyDescent="0.3">
      <c r="A296" s="23" t="s">
        <v>364</v>
      </c>
      <c r="B296" s="23" t="str">
        <f>VLOOKUP(A296,MEMORIA!$A:$N,2,FALSE)</f>
        <v>COMPOS7</v>
      </c>
      <c r="C296" s="23" t="str">
        <f>VLOOKUP(A296,MEMORIA!$A:$N,3,FALSE)</f>
        <v>PRÓPRIA</v>
      </c>
      <c r="D296" s="24" t="str">
        <f>VLOOKUP(A296,MEMORIA!$A:$N,4,FALSE)</f>
        <v>PERFURAÇÃO EM 8'' (ROCHA CRISTALINA)</v>
      </c>
      <c r="E296" s="23" t="str">
        <f>VLOOKUP(A296,MEMORIA!$A:$N,5,FALSE)</f>
        <v>M</v>
      </c>
      <c r="F296" s="5">
        <f>VLOOKUP(A296,MEMORIA!$A:$N,14,FALSE)</f>
        <v>0</v>
      </c>
      <c r="G296" s="5">
        <f>VLOOKUP("TOTAL SEM BDI - "&amp;B296,CPU!$A:$J,9,FALSE)</f>
        <v>368.84000000000003</v>
      </c>
      <c r="H296" s="5">
        <f>VLOOKUP("TOTAL COM BDI - "&amp;B296,CPU!$A:$J,9,FALSE)</f>
        <v>460.46000000000004</v>
      </c>
      <c r="I296" s="5">
        <f t="shared" si="12"/>
        <v>0</v>
      </c>
    </row>
    <row r="297" spans="1:9" x14ac:dyDescent="0.3">
      <c r="A297" s="23" t="s">
        <v>365</v>
      </c>
      <c r="B297" s="23" t="str">
        <f>VLOOKUP(A297,MEMORIA!$A:$N,2,FALSE)</f>
        <v>COMPOS8</v>
      </c>
      <c r="C297" s="23" t="str">
        <f>VLOOKUP(A297,MEMORIA!$A:$N,3,FALSE)</f>
        <v>PRÓPRIA</v>
      </c>
      <c r="D297" s="24" t="str">
        <f>VLOOKUP(A297,MEMORIA!$A:$N,4,FALSE)</f>
        <v>PERFURAÇÃO EM 6'' (SEDIMENTO)</v>
      </c>
      <c r="E297" s="23" t="str">
        <f>VLOOKUP(A297,MEMORIA!$A:$N,5,FALSE)</f>
        <v>M</v>
      </c>
      <c r="F297" s="5">
        <f>VLOOKUP(A297,MEMORIA!$A:$N,14,FALSE)</f>
        <v>95</v>
      </c>
      <c r="G297" s="5">
        <f>VLOOKUP("TOTAL SEM BDI - "&amp;B297,CPU!$A:$J,9,FALSE)</f>
        <v>231.16</v>
      </c>
      <c r="H297" s="5">
        <f>VLOOKUP("TOTAL COM BDI - "&amp;B297,CPU!$A:$J,9,FALSE)</f>
        <v>288.58</v>
      </c>
      <c r="I297" s="5">
        <f t="shared" si="12"/>
        <v>27415.1</v>
      </c>
    </row>
    <row r="298" spans="1:9" x14ac:dyDescent="0.3">
      <c r="A298" s="23" t="s">
        <v>366</v>
      </c>
      <c r="B298" s="23" t="str">
        <f>VLOOKUP(A298,MEMORIA!$A:$N,2,FALSE)</f>
        <v>COMPOS9</v>
      </c>
      <c r="C298" s="23" t="str">
        <f>VLOOKUP(A298,MEMORIA!$A:$N,3,FALSE)</f>
        <v>PRÓPRIA</v>
      </c>
      <c r="D298" s="24" t="str">
        <f>VLOOKUP(A298,MEMORIA!$A:$N,4,FALSE)</f>
        <v>PERFURAÇÃO EM 6'' (ROCHA CRISTALINA)</v>
      </c>
      <c r="E298" s="23" t="str">
        <f>VLOOKUP(A298,MEMORIA!$A:$N,5,FALSE)</f>
        <v>M</v>
      </c>
      <c r="F298" s="5">
        <f>VLOOKUP(A298,MEMORIA!$A:$N,14,FALSE)</f>
        <v>0</v>
      </c>
      <c r="G298" s="5">
        <f>VLOOKUP("TOTAL SEM BDI - "&amp;B298,CPU!$A:$J,9,FALSE)</f>
        <v>330.20000000000005</v>
      </c>
      <c r="H298" s="5">
        <f>VLOOKUP("TOTAL COM BDI - "&amp;B298,CPU!$A:$J,9,FALSE)</f>
        <v>412.22</v>
      </c>
      <c r="I298" s="5">
        <f t="shared" si="12"/>
        <v>0</v>
      </c>
    </row>
    <row r="299" spans="1:9" x14ac:dyDescent="0.3">
      <c r="A299" s="23" t="s">
        <v>367</v>
      </c>
      <c r="B299" s="23" t="str">
        <f>VLOOKUP(A299,MEMORIA!$A:$N,2,FALSE)</f>
        <v>COMPOS10</v>
      </c>
      <c r="C299" s="23" t="str">
        <f>VLOOKUP(A299,MEMORIA!$A:$N,3,FALSE)</f>
        <v>PRÓPRIA</v>
      </c>
      <c r="D299" s="24" t="str">
        <f>VLOOKUP(A299,MEMORIA!$A:$N,4,FALSE)</f>
        <v>CIMENTAÇÃO SANITÁRIA</v>
      </c>
      <c r="E299" s="23" t="str">
        <f>VLOOKUP(A299,MEMORIA!$A:$N,5,FALSE)</f>
        <v>M³</v>
      </c>
      <c r="F299" s="5">
        <f>VLOOKUP(A299,MEMORIA!$A:$N,14,FALSE)</f>
        <v>4.55</v>
      </c>
      <c r="G299" s="5">
        <f>VLOOKUP("TOTAL SEM BDI - "&amp;B299,CPU!$A:$J,9,FALSE)</f>
        <v>164.58999999999997</v>
      </c>
      <c r="H299" s="5">
        <f>VLOOKUP("TOTAL COM BDI - "&amp;B299,CPU!$A:$J,9,FALSE)</f>
        <v>205.46999999999997</v>
      </c>
      <c r="I299" s="5">
        <f t="shared" si="12"/>
        <v>934.89</v>
      </c>
    </row>
    <row r="300" spans="1:9" x14ac:dyDescent="0.3">
      <c r="A300" s="23" t="s">
        <v>368</v>
      </c>
      <c r="B300" s="23" t="str">
        <f>VLOOKUP(A300,MEMORIA!$A:$N,2,FALSE)</f>
        <v>COMPOS11</v>
      </c>
      <c r="C300" s="23" t="str">
        <f>VLOOKUP(A300,MEMORIA!$A:$N,3,FALSE)</f>
        <v>PRÓPRIA</v>
      </c>
      <c r="D300" s="24" t="str">
        <f>VLOOKUP(A300,MEMORIA!$A:$N,4,FALSE)</f>
        <v>LAJE DE PROTEÇÃO EM CONCRETO (1,0 M X 1,0 M X 0,15 M)</v>
      </c>
      <c r="E300" s="23" t="str">
        <f>VLOOKUP(A300,MEMORIA!$A:$N,5,FALSE)</f>
        <v>M³</v>
      </c>
      <c r="F300" s="5">
        <f>VLOOKUP(A300,MEMORIA!$A:$N,14,FALSE)</f>
        <v>0.15</v>
      </c>
      <c r="G300" s="5">
        <f>VLOOKUP("TOTAL SEM BDI - "&amp;B300,CPU!$A:$J,9,FALSE)</f>
        <v>1259.1399999999999</v>
      </c>
      <c r="H300" s="5">
        <f>VLOOKUP("TOTAL COM BDI - "&amp;B300,CPU!$A:$J,9,FALSE)</f>
        <v>1571.9099999999999</v>
      </c>
      <c r="I300" s="5">
        <f t="shared" si="12"/>
        <v>235.79</v>
      </c>
    </row>
    <row r="301" spans="1:9" x14ac:dyDescent="0.3">
      <c r="A301" s="23" t="s">
        <v>369</v>
      </c>
      <c r="B301" s="23" t="str">
        <f>VLOOKUP(A301,MEMORIA!$A:$N,2,FALSE)</f>
        <v>COMPOS12</v>
      </c>
      <c r="C301" s="23" t="str">
        <f>VLOOKUP(A301,MEMORIA!$A:$N,3,FALSE)</f>
        <v>PRÓPRIA</v>
      </c>
      <c r="D301" s="24" t="str">
        <f>VLOOKUP(A301,MEMORIA!$A:$N,4,FALSE)</f>
        <v>DESENVOLVIMENTO COM BOMBA SUBMERSA</v>
      </c>
      <c r="E301" s="23" t="str">
        <f>VLOOKUP(A301,MEMORIA!$A:$N,5,FALSE)</f>
        <v>H</v>
      </c>
      <c r="F301" s="5">
        <f>VLOOKUP(A301,MEMORIA!$A:$N,14,FALSE)</f>
        <v>6</v>
      </c>
      <c r="G301" s="5">
        <f>VLOOKUP("TOTAL SEM BDI - "&amp;B301,CPU!$A:$J,9,FALSE)</f>
        <v>513.45000000000005</v>
      </c>
      <c r="H301" s="5">
        <f>VLOOKUP("TOTAL COM BDI - "&amp;B301,CPU!$A:$J,9,FALSE)</f>
        <v>640.99</v>
      </c>
      <c r="I301" s="5">
        <f t="shared" si="12"/>
        <v>3845.94</v>
      </c>
    </row>
    <row r="302" spans="1:9" x14ac:dyDescent="0.3">
      <c r="A302" s="23" t="s">
        <v>370</v>
      </c>
      <c r="B302" s="23" t="str">
        <f>VLOOKUP(A302,MEMORIA!$A:$N,2,FALSE)</f>
        <v>COMPOS13</v>
      </c>
      <c r="C302" s="23" t="str">
        <f>VLOOKUP(A302,MEMORIA!$A:$N,3,FALSE)</f>
        <v>PRÓPRIA</v>
      </c>
      <c r="D302" s="24" t="str">
        <f>VLOOKUP(A302,MEMORIA!$A:$N,4,FALSE)</f>
        <v>TESTE VAZÃO COM BOMBA SUBMERSA</v>
      </c>
      <c r="E302" s="23" t="str">
        <f>VLOOKUP(A302,MEMORIA!$A:$N,5,FALSE)</f>
        <v>H</v>
      </c>
      <c r="F302" s="5">
        <f>VLOOKUP(A302,MEMORIA!$A:$N,14,FALSE)</f>
        <v>24</v>
      </c>
      <c r="G302" s="5">
        <f>VLOOKUP("TOTAL SEM BDI - "&amp;B302,CPU!$A:$J,9,FALSE)</f>
        <v>95.539999999999992</v>
      </c>
      <c r="H302" s="5">
        <f>VLOOKUP("TOTAL COM BDI - "&amp;B302,CPU!$A:$J,9,FALSE)</f>
        <v>119.27</v>
      </c>
      <c r="I302" s="5">
        <f t="shared" si="12"/>
        <v>2862.48</v>
      </c>
    </row>
    <row r="303" spans="1:9" x14ac:dyDescent="0.3">
      <c r="A303" s="23" t="s">
        <v>371</v>
      </c>
      <c r="B303" s="23" t="str">
        <f>VLOOKUP(A303,MEMORIA!$A:$N,2,FALSE)</f>
        <v>COMPOS14</v>
      </c>
      <c r="C303" s="23" t="str">
        <f>VLOOKUP(A303,MEMORIA!$A:$N,3,FALSE)</f>
        <v>PRÓPRIA</v>
      </c>
      <c r="D303" s="24" t="str">
        <f>VLOOKUP(A303,MEMORIA!$A:$N,4,FALSE)</f>
        <v>DESINFECÇÃO</v>
      </c>
      <c r="E303" s="23" t="str">
        <f>VLOOKUP(A303,MEMORIA!$A:$N,5,FALSE)</f>
        <v>H</v>
      </c>
      <c r="F303" s="5">
        <f>VLOOKUP(A303,MEMORIA!$A:$N,14,FALSE)</f>
        <v>6</v>
      </c>
      <c r="G303" s="5">
        <f>VLOOKUP("TOTAL SEM BDI - "&amp;B303,CPU!$A:$J,9,FALSE)</f>
        <v>100.11000000000003</v>
      </c>
      <c r="H303" s="5">
        <f>VLOOKUP("TOTAL COM BDI - "&amp;B303,CPU!$A:$J,9,FALSE)</f>
        <v>124.98000000000003</v>
      </c>
      <c r="I303" s="5">
        <f t="shared" si="12"/>
        <v>749.88</v>
      </c>
    </row>
    <row r="304" spans="1:9" x14ac:dyDescent="0.3">
      <c r="A304" s="23" t="s">
        <v>372</v>
      </c>
      <c r="B304" s="23" t="str">
        <f>VLOOKUP(A304,MEMORIA!$A:$N,2,FALSE)</f>
        <v>COMPOS15</v>
      </c>
      <c r="C304" s="23" t="str">
        <f>VLOOKUP(A304,MEMORIA!$A:$N,3,FALSE)</f>
        <v>PRÓPRIA</v>
      </c>
      <c r="D304" s="24" t="str">
        <f>VLOOKUP(A304,MEMORIA!$A:$N,4,FALSE)</f>
        <v>RELATÓRIO TÉCNICO</v>
      </c>
      <c r="E304" s="23" t="str">
        <f>VLOOKUP(A304,MEMORIA!$A:$N,5,FALSE)</f>
        <v>UN</v>
      </c>
      <c r="F304" s="5">
        <f>VLOOKUP(A304,MEMORIA!$A:$N,14,FALSE)</f>
        <v>1</v>
      </c>
      <c r="G304" s="5">
        <f>VLOOKUP("TOTAL SEM BDI - "&amp;B304,CPU!$A:$J,9,FALSE)</f>
        <v>1110.2</v>
      </c>
      <c r="H304" s="5">
        <f>VLOOKUP("TOTAL COM BDI - "&amp;B304,CPU!$A:$J,9,FALSE)</f>
        <v>1385.97</v>
      </c>
      <c r="I304" s="5">
        <f t="shared" si="12"/>
        <v>1385.97</v>
      </c>
    </row>
    <row r="305" spans="1:9" x14ac:dyDescent="0.3">
      <c r="A305" s="23" t="s">
        <v>373</v>
      </c>
      <c r="B305" s="23" t="str">
        <f>VLOOKUP(A305,MEMORIA!$A:$N,2,FALSE)</f>
        <v>COMPOS16</v>
      </c>
      <c r="C305" s="23" t="str">
        <f>VLOOKUP(A305,MEMORIA!$A:$N,3,FALSE)</f>
        <v>PRÓPRIA</v>
      </c>
      <c r="D305" s="24" t="str">
        <f>VLOOKUP(A305,MEMORIA!$A:$N,4,FALSE)</f>
        <v>ANÁLISE FÍSICO-QUÍMICA DA ÁGUA</v>
      </c>
      <c r="E305" s="23" t="str">
        <f>VLOOKUP(A305,MEMORIA!$A:$N,5,FALSE)</f>
        <v>UN</v>
      </c>
      <c r="F305" s="5">
        <f>VLOOKUP(A305,MEMORIA!$A:$N,14,FALSE)</f>
        <v>1</v>
      </c>
      <c r="G305" s="5">
        <f>VLOOKUP("TOTAL SEM BDI - "&amp;B305,CPU!$A:$J,9,FALSE)</f>
        <v>565.21</v>
      </c>
      <c r="H305" s="5">
        <f>VLOOKUP("TOTAL COM BDI - "&amp;B305,CPU!$A:$J,9,FALSE)</f>
        <v>705.61</v>
      </c>
      <c r="I305" s="5">
        <f t="shared" si="12"/>
        <v>705.61</v>
      </c>
    </row>
    <row r="306" spans="1:9" x14ac:dyDescent="0.3">
      <c r="A306" s="23" t="s">
        <v>374</v>
      </c>
      <c r="B306" s="23" t="str">
        <f>VLOOKUP(A306,MEMORIA!$A:$N,2,FALSE)</f>
        <v>COMPOS1</v>
      </c>
      <c r="C306" s="23" t="str">
        <f>VLOOKUP(A306,MEMORIA!$A:$N,3,FALSE)</f>
        <v>PRÓPRIA</v>
      </c>
      <c r="D306" s="24" t="str">
        <f>VLOOKUP(A306,MEMORIA!$A:$N,4,FALSE)</f>
        <v>FORNECIMENTO E INSTALAÇÃO DE REVESTIMENTO GEOMECÂNICO STANDART DN-154-S</v>
      </c>
      <c r="E306" s="23" t="str">
        <f>VLOOKUP(A306,MEMORIA!$A:$N,5,FALSE)</f>
        <v>M</v>
      </c>
      <c r="F306" s="5">
        <f>VLOOKUP(A306,MEMORIA!$A:$N,14,FALSE)</f>
        <v>36</v>
      </c>
      <c r="G306" s="5">
        <f>VLOOKUP("TOTAL SEM BDI - "&amp;B306,CPU!$A:$J,9,FALSE)</f>
        <v>170.76</v>
      </c>
      <c r="H306" s="5">
        <f>VLOOKUP("TOTAL COM BDI - "&amp;B306,CPU!$A:$J,9,FALSE)</f>
        <v>213.18</v>
      </c>
      <c r="I306" s="5">
        <f t="shared" si="12"/>
        <v>7674.48</v>
      </c>
    </row>
    <row r="307" spans="1:9" x14ac:dyDescent="0.3">
      <c r="A307" s="23" t="s">
        <v>375</v>
      </c>
      <c r="B307" s="23" t="str">
        <f>VLOOKUP(A307,MEMORIA!$A:$N,2,FALSE)</f>
        <v>COMPOS2</v>
      </c>
      <c r="C307" s="23" t="str">
        <f>VLOOKUP(A307,MEMORIA!$A:$N,3,FALSE)</f>
        <v>PRÓPRIA</v>
      </c>
      <c r="D307" s="24" t="str">
        <f>VLOOKUP(A307,MEMORIA!$A:$N,4,FALSE)</f>
        <v>FORNECIMENTO E INSTALAÇÃO DE TAMPA PARA POÇO</v>
      </c>
      <c r="E307" s="23" t="str">
        <f>VLOOKUP(A307,MEMORIA!$A:$N,5,FALSE)</f>
        <v>UN</v>
      </c>
      <c r="F307" s="5">
        <f>VLOOKUP(A307,MEMORIA!$A:$N,14,FALSE)</f>
        <v>1</v>
      </c>
      <c r="G307" s="5">
        <f>VLOOKUP("TOTAL SEM BDI - "&amp;B307,CPU!$A:$J,9,FALSE)</f>
        <v>109.94</v>
      </c>
      <c r="H307" s="5">
        <f>VLOOKUP("TOTAL COM BDI - "&amp;B307,CPU!$A:$J,9,FALSE)</f>
        <v>137.25</v>
      </c>
      <c r="I307" s="5">
        <f t="shared" si="12"/>
        <v>137.25</v>
      </c>
    </row>
    <row r="308" spans="1:9" x14ac:dyDescent="0.3">
      <c r="A308" s="12" t="s">
        <v>87</v>
      </c>
      <c r="B308" s="46" t="str">
        <f>VLOOKUP(A308,MEMORIA!$A:$N,2,FALSE)</f>
        <v>AQUISIÇÃO E INSTALAÇÃO DE EQUIPAMENTOS DE BOMBEAMENTO, RECALQUE/BARRILETE E CONEXÕES PARA INTERLIGAÇÃO COM RESERVATÓRIO</v>
      </c>
      <c r="C308" s="47"/>
      <c r="D308" s="47"/>
      <c r="E308" s="47"/>
      <c r="F308" s="47"/>
      <c r="G308" s="47"/>
      <c r="H308" s="48"/>
      <c r="I308" s="13">
        <f>SUM($I$309:$I$314)</f>
        <v>19625.579999999998</v>
      </c>
    </row>
    <row r="309" spans="1:9" ht="28.8" x14ac:dyDescent="0.3">
      <c r="A309" s="23" t="s">
        <v>376</v>
      </c>
      <c r="B309" s="23" t="str">
        <f>VLOOKUP(A309,MEMORIA!$A:$N,2,FALSE)</f>
        <v>COMPOS17</v>
      </c>
      <c r="C309" s="23" t="str">
        <f>VLOOKUP(A309,MEMORIA!$A:$N,3,FALSE)</f>
        <v>PRÓPRIA</v>
      </c>
      <c r="D309" s="24" t="str">
        <f>VLOOKUP(A309,MEMORIA!$A:$N,4,FALSE)</f>
        <v>FORNECIMENTO E INSTALAÇÃO DE BOMBA SUBMERSA DE 3CV, MONOFÁSICA, 220 V, LEÃO OU SIMILAR</v>
      </c>
      <c r="E309" s="23" t="str">
        <f>VLOOKUP(A309,MEMORIA!$A:$N,5,FALSE)</f>
        <v>UN</v>
      </c>
      <c r="F309" s="5">
        <f>VLOOKUP(A309,MEMORIA!$A:$N,14,FALSE)</f>
        <v>1</v>
      </c>
      <c r="G309" s="5">
        <f>VLOOKUP("TOTAL SEM BDI - "&amp;B309,CPU!$A:$J,9,FALSE)</f>
        <v>3515.68</v>
      </c>
      <c r="H309" s="5">
        <f>VLOOKUP("TOTAL COM BDI - "&amp;B309,CPU!$A:$J,9,FALSE)</f>
        <v>4388.9699999999993</v>
      </c>
      <c r="I309" s="5">
        <f t="shared" ref="I309:I314" si="13">ROUND(F309*H309,2)</f>
        <v>4388.97</v>
      </c>
    </row>
    <row r="310" spans="1:9" ht="28.8" x14ac:dyDescent="0.3">
      <c r="A310" s="23" t="s">
        <v>377</v>
      </c>
      <c r="B310" s="23" t="str">
        <f>VLOOKUP(A310,MEMORIA!$A:$N,2,FALSE)</f>
        <v>COMPOS29</v>
      </c>
      <c r="C310" s="23" t="str">
        <f>VLOOKUP(A310,MEMORIA!$A:$N,3,FALSE)</f>
        <v>PRÓPRIA</v>
      </c>
      <c r="D310" s="24" t="str">
        <f>VLOOKUP(A310,MEMORIA!$A:$N,4,FALSE)</f>
        <v>FORNECIMENTO E INSTALAÇÃO DE PAINEL DE COMANDO ELÉTRICO PARA BOMBA 3CV, MONOFÁSICO</v>
      </c>
      <c r="E310" s="23" t="str">
        <f>VLOOKUP(A310,MEMORIA!$A:$N,5,FALSE)</f>
        <v>UN</v>
      </c>
      <c r="F310" s="5">
        <f>VLOOKUP(A310,MEMORIA!$A:$N,14,FALSE)</f>
        <v>1</v>
      </c>
      <c r="G310" s="5">
        <f>VLOOKUP("TOTAL SEM BDI - "&amp;B310,CPU!$A:$J,9,FALSE)</f>
        <v>773.3</v>
      </c>
      <c r="H310" s="5">
        <f>VLOOKUP("TOTAL COM BDI - "&amp;B310,CPU!$A:$J,9,FALSE)</f>
        <v>965.39</v>
      </c>
      <c r="I310" s="5">
        <f t="shared" si="13"/>
        <v>965.39</v>
      </c>
    </row>
    <row r="311" spans="1:9" x14ac:dyDescent="0.3">
      <c r="A311" s="23" t="s">
        <v>378</v>
      </c>
      <c r="B311" s="23" t="str">
        <f>VLOOKUP(A311,MEMORIA!$A:$N,2,FALSE)</f>
        <v>COMPOS19</v>
      </c>
      <c r="C311" s="23" t="str">
        <f>VLOOKUP(A311,MEMORIA!$A:$N,3,FALSE)</f>
        <v>PRÓPRIA</v>
      </c>
      <c r="D311" s="24" t="str">
        <f>VLOOKUP(A311,MEMORIA!$A:$N,4,FALSE)</f>
        <v>FORNECIMENTO E INSTALAÇÃO DE TUBO EDUTOR DE PVC DE 1.1/2'' COM LUVA</v>
      </c>
      <c r="E311" s="23" t="str">
        <f>VLOOKUP(A311,MEMORIA!$A:$N,5,FALSE)</f>
        <v>M</v>
      </c>
      <c r="F311" s="5">
        <f>VLOOKUP(A311,MEMORIA!$A:$N,14,FALSE)</f>
        <v>110</v>
      </c>
      <c r="G311" s="5">
        <f>VLOOKUP("TOTAL SEM BDI - "&amp;B311,CPU!$A:$J,9,FALSE)</f>
        <v>46.25</v>
      </c>
      <c r="H311" s="5">
        <f>VLOOKUP("TOTAL COM BDI - "&amp;B311,CPU!$A:$J,9,FALSE)</f>
        <v>57.74</v>
      </c>
      <c r="I311" s="5">
        <f t="shared" si="13"/>
        <v>6351.4</v>
      </c>
    </row>
    <row r="312" spans="1:9" x14ac:dyDescent="0.3">
      <c r="A312" s="23" t="s">
        <v>379</v>
      </c>
      <c r="B312" s="23" t="str">
        <f>VLOOKUP(A312,MEMORIA!$A:$N,2,FALSE)</f>
        <v>COMPOS24</v>
      </c>
      <c r="C312" s="23" t="str">
        <f>VLOOKUP(A312,MEMORIA!$A:$N,3,FALSE)</f>
        <v>PRÓPRIA</v>
      </c>
      <c r="D312" s="24" t="str">
        <f>VLOOKUP(A312,MEMORIA!$A:$N,4,FALSE)</f>
        <v>FORNECIMENTO E INSTALAÇÃO DE CABO CHATO SUBMERSO DE 3 X 6 MM²</v>
      </c>
      <c r="E312" s="23" t="str">
        <f>VLOOKUP(A312,MEMORIA!$A:$N,5,FALSE)</f>
        <v>M</v>
      </c>
      <c r="F312" s="5">
        <f>VLOOKUP(A312,MEMORIA!$A:$N,14,FALSE)</f>
        <v>120</v>
      </c>
      <c r="G312" s="5">
        <f>VLOOKUP("TOTAL SEM BDI - "&amp;B312,CPU!$A:$J,9,FALSE)</f>
        <v>25.98</v>
      </c>
      <c r="H312" s="5">
        <f>VLOOKUP("TOTAL COM BDI - "&amp;B312,CPU!$A:$J,9,FALSE)</f>
        <v>32.43</v>
      </c>
      <c r="I312" s="5">
        <f t="shared" si="13"/>
        <v>3891.6</v>
      </c>
    </row>
    <row r="313" spans="1:9" x14ac:dyDescent="0.3">
      <c r="A313" s="23" t="s">
        <v>380</v>
      </c>
      <c r="B313" s="23" t="str">
        <f>VLOOKUP(A313,MEMORIA!$A:$N,2,FALSE)</f>
        <v>COMPOS21</v>
      </c>
      <c r="C313" s="23" t="str">
        <f>VLOOKUP(A313,MEMORIA!$A:$N,3,FALSE)</f>
        <v>PRÓPRIA</v>
      </c>
      <c r="D313" s="24" t="str">
        <f>VLOOKUP(A313,MEMORIA!$A:$N,4,FALSE)</f>
        <v>BARRILETE (CURVAS E CONEXÕES)</v>
      </c>
      <c r="E313" s="23" t="str">
        <f>VLOOKUP(A313,MEMORIA!$A:$N,5,FALSE)</f>
        <v>UN</v>
      </c>
      <c r="F313" s="5">
        <f>VLOOKUP(A313,MEMORIA!$A:$N,14,FALSE)</f>
        <v>1</v>
      </c>
      <c r="G313" s="5">
        <f>VLOOKUP("TOTAL SEM BDI - "&amp;B313,CPU!$A:$J,9,FALSE)</f>
        <v>2135.96</v>
      </c>
      <c r="H313" s="5">
        <f>VLOOKUP("TOTAL COM BDI - "&amp;B313,CPU!$A:$J,9,FALSE)</f>
        <v>2666.53</v>
      </c>
      <c r="I313" s="5">
        <f t="shared" si="13"/>
        <v>2666.53</v>
      </c>
    </row>
    <row r="314" spans="1:9" x14ac:dyDescent="0.3">
      <c r="A314" s="23" t="s">
        <v>381</v>
      </c>
      <c r="B314" s="23" t="str">
        <f>VLOOKUP(A314,MEMORIA!$A:$N,2,FALSE)</f>
        <v>COMPOS26</v>
      </c>
      <c r="C314" s="23" t="str">
        <f>VLOOKUP(A314,MEMORIA!$A:$N,3,FALSE)</f>
        <v>PRÓPRIA</v>
      </c>
      <c r="D314" s="24" t="str">
        <f>VLOOKUP(A314,MEMORIA!$A:$N,4,FALSE)</f>
        <v>AQUISIÇÃO E INSTALAÇÃO DE DOSADOR DE CLORO</v>
      </c>
      <c r="E314" s="23" t="str">
        <f>VLOOKUP(A314,MEMORIA!$A:$N,5,FALSE)</f>
        <v>UND</v>
      </c>
      <c r="F314" s="5">
        <f>VLOOKUP(A314,MEMORIA!$A:$N,14,FALSE)</f>
        <v>1</v>
      </c>
      <c r="G314" s="5">
        <f>VLOOKUP("TOTAL SEM BDI - "&amp;B314,CPU!$A:$J,9,FALSE)</f>
        <v>1090.75</v>
      </c>
      <c r="H314" s="5">
        <f>VLOOKUP("TOTAL COM BDI - "&amp;B314,CPU!$A:$J,9,FALSE)</f>
        <v>1361.69</v>
      </c>
      <c r="I314" s="5">
        <f t="shared" si="13"/>
        <v>1361.69</v>
      </c>
    </row>
    <row r="315" spans="1:9" x14ac:dyDescent="0.3">
      <c r="A315" s="12" t="s">
        <v>88</v>
      </c>
      <c r="B315" s="46" t="str">
        <f>VLOOKUP(A315,MEMORIA!$A:$N,2,FALSE)</f>
        <v>CONSTRUÇÃO DA CASA DE COMANDO</v>
      </c>
      <c r="C315" s="47"/>
      <c r="D315" s="47"/>
      <c r="E315" s="47"/>
      <c r="F315" s="47"/>
      <c r="G315" s="47"/>
      <c r="H315" s="48"/>
      <c r="I315" s="13">
        <f>SUM($I$316,$I$319,$I$321,$I$325,$I$328,$I$331,$I$334,$I$338,$I$341,$I$344,$I$347,)</f>
        <v>25565.510000000002</v>
      </c>
    </row>
    <row r="316" spans="1:9" x14ac:dyDescent="0.3">
      <c r="A316" s="15" t="s">
        <v>89</v>
      </c>
      <c r="B316" s="49" t="str">
        <f>VLOOKUP(A316,MEMORIA!$A:$N,2,FALSE)</f>
        <v>SERVIÇOS PRELIMINARES</v>
      </c>
      <c r="C316" s="50"/>
      <c r="D316" s="50"/>
      <c r="E316" s="50"/>
      <c r="F316" s="50"/>
      <c r="G316" s="50"/>
      <c r="H316" s="51"/>
      <c r="I316" s="16">
        <f>SUM($I$317:$I$318)</f>
        <v>3887.12</v>
      </c>
    </row>
    <row r="317" spans="1:9" x14ac:dyDescent="0.3">
      <c r="A317" s="23" t="s">
        <v>382</v>
      </c>
      <c r="B317" s="23">
        <f>VLOOKUP(A317,MEMORIA!$A:$N,2,FALSE)</f>
        <v>98524</v>
      </c>
      <c r="C317" s="23" t="str">
        <f>VLOOKUP(A317,MEMORIA!$A:$N,3,FALSE)</f>
        <v>SINAPI</v>
      </c>
      <c r="D317" s="24" t="str">
        <f>VLOOKUP(A317,MEMORIA!$A:$N,4,FALSE)</f>
        <v>LIMPEZA MANUAL DE VEGETAÇÃO EM TERRENO COM ENXADA. AF_03/2024</v>
      </c>
      <c r="E317" s="23" t="str">
        <f>VLOOKUP(A317,MEMORIA!$A:$N,5,FALSE)</f>
        <v>M2</v>
      </c>
      <c r="F317" s="5">
        <f>VLOOKUP(A317,MEMORIA!$A:$N,14,FALSE)</f>
        <v>100</v>
      </c>
      <c r="G317" s="5">
        <f>VLOOKUP("TOTAL SEM BDI - "&amp;B317,CPU!$A:$J,9,FALSE)</f>
        <v>4.62</v>
      </c>
      <c r="H317" s="5">
        <f>VLOOKUP("TOTAL COM BDI - "&amp;B317,CPU!$A:$J,9,FALSE)</f>
        <v>5.77</v>
      </c>
      <c r="I317" s="5">
        <f>ROUND(F317*H317,2)</f>
        <v>577</v>
      </c>
    </row>
    <row r="318" spans="1:9" ht="28.8" x14ac:dyDescent="0.3">
      <c r="A318" s="23" t="s">
        <v>383</v>
      </c>
      <c r="B318" s="23">
        <f>VLOOKUP(A318,MEMORIA!$A:$N,2,FALSE)</f>
        <v>99059</v>
      </c>
      <c r="C318" s="23" t="str">
        <f>VLOOKUP(A318,MEMORIA!$A:$N,3,FALSE)</f>
        <v>SINAPI</v>
      </c>
      <c r="D318" s="24" t="str">
        <f>VLOOKUP(A318,MEMORIA!$A:$N,4,FALSE)</f>
        <v>LOCAÇÃO CONVENCIONAL DE OBRA, UTILIZANDO GABARITO DE TÁBUAS CORRIDAS PONTALETADAS A CADA 2,00M - 2 UTILIZAÇÕES. AF_03/2024</v>
      </c>
      <c r="E318" s="23" t="str">
        <f>VLOOKUP(A318,MEMORIA!$A:$N,5,FALSE)</f>
        <v>M</v>
      </c>
      <c r="F318" s="5">
        <f>VLOOKUP(A318,MEMORIA!$A:$N,14,FALSE)</f>
        <v>44</v>
      </c>
      <c r="G318" s="5">
        <f>VLOOKUP("TOTAL SEM BDI - "&amp;B318,CPU!$A:$J,9,FALSE)</f>
        <v>60.260000000000005</v>
      </c>
      <c r="H318" s="5">
        <f>VLOOKUP("TOTAL COM BDI - "&amp;B318,CPU!$A:$J,9,FALSE)</f>
        <v>75.23</v>
      </c>
      <c r="I318" s="5">
        <f>ROUND(F318*H318,2)</f>
        <v>3310.12</v>
      </c>
    </row>
    <row r="319" spans="1:9" x14ac:dyDescent="0.3">
      <c r="A319" s="15" t="s">
        <v>90</v>
      </c>
      <c r="B319" s="49" t="str">
        <f>VLOOKUP(A319,MEMORIA!$A:$N,2,FALSE)</f>
        <v>MOVIMENTO DE TERRA</v>
      </c>
      <c r="C319" s="50"/>
      <c r="D319" s="50"/>
      <c r="E319" s="50"/>
      <c r="F319" s="50"/>
      <c r="G319" s="50"/>
      <c r="H319" s="51"/>
      <c r="I319" s="16">
        <f>SUM($I$320:$I$320)</f>
        <v>165.09</v>
      </c>
    </row>
    <row r="320" spans="1:9" x14ac:dyDescent="0.3">
      <c r="A320" s="23" t="s">
        <v>384</v>
      </c>
      <c r="B320" s="23">
        <f>VLOOKUP(A320,MEMORIA!$A:$N,2,FALSE)</f>
        <v>93358</v>
      </c>
      <c r="C320" s="23" t="str">
        <f>VLOOKUP(A320,MEMORIA!$A:$N,3,FALSE)</f>
        <v>SINAPI</v>
      </c>
      <c r="D320" s="24" t="str">
        <f>VLOOKUP(A320,MEMORIA!$A:$N,4,FALSE)</f>
        <v>ESCAVAÇÃO MANUAL DE VALA. AF_09/2024</v>
      </c>
      <c r="E320" s="23" t="str">
        <f>VLOOKUP(A320,MEMORIA!$A:$N,5,FALSE)</f>
        <v>M3</v>
      </c>
      <c r="F320" s="5">
        <f>VLOOKUP(A320,MEMORIA!$A:$N,14,FALSE)</f>
        <v>1.54</v>
      </c>
      <c r="G320" s="5">
        <f>VLOOKUP("TOTAL SEM BDI - "&amp;B320,CPU!$A:$J,9,FALSE)</f>
        <v>85.87</v>
      </c>
      <c r="H320" s="5">
        <f>VLOOKUP("TOTAL COM BDI - "&amp;B320,CPU!$A:$J,9,FALSE)</f>
        <v>107.2</v>
      </c>
      <c r="I320" s="5">
        <f>ROUND(F320*H320,2)</f>
        <v>165.09</v>
      </c>
    </row>
    <row r="321" spans="1:9" x14ac:dyDescent="0.3">
      <c r="A321" s="15" t="s">
        <v>91</v>
      </c>
      <c r="B321" s="49" t="str">
        <f>VLOOKUP(A321,MEMORIA!$A:$N,2,FALSE)</f>
        <v>INFRAESTRUTURA</v>
      </c>
      <c r="C321" s="50"/>
      <c r="D321" s="50"/>
      <c r="E321" s="50"/>
      <c r="F321" s="50"/>
      <c r="G321" s="50"/>
      <c r="H321" s="51"/>
      <c r="I321" s="16">
        <f>SUM($I$322:$I$324)</f>
        <v>1275.5</v>
      </c>
    </row>
    <row r="322" spans="1:9" ht="28.8" x14ac:dyDescent="0.3">
      <c r="A322" s="23" t="s">
        <v>385</v>
      </c>
      <c r="B322" s="23">
        <f>VLOOKUP(A322,MEMORIA!$A:$N,2,FALSE)</f>
        <v>96617</v>
      </c>
      <c r="C322" s="23" t="str">
        <f>VLOOKUP(A322,MEMORIA!$A:$N,3,FALSE)</f>
        <v>SINAPI</v>
      </c>
      <c r="D322" s="24" t="str">
        <f>VLOOKUP(A322,MEMORIA!$A:$N,4,FALSE)</f>
        <v>LASTRO DE CONCRETO MAGRO, APLICADO EM BLOCOS DE COROAMENTO OU SAPATAS, ESPESSURA DE 3 CM. AF_01/2024</v>
      </c>
      <c r="E322" s="23" t="str">
        <f>VLOOKUP(A322,MEMORIA!$A:$N,5,FALSE)</f>
        <v>M2</v>
      </c>
      <c r="F322" s="5">
        <f>VLOOKUP(A322,MEMORIA!$A:$N,14,FALSE)</f>
        <v>2.58</v>
      </c>
      <c r="G322" s="5">
        <f>VLOOKUP("TOTAL SEM BDI - "&amp;B322,CPU!$A:$J,9,FALSE)</f>
        <v>23.990000000000002</v>
      </c>
      <c r="H322" s="5">
        <f>VLOOKUP("TOTAL COM BDI - "&amp;B322,CPU!$A:$J,9,FALSE)</f>
        <v>29.950000000000003</v>
      </c>
      <c r="I322" s="5">
        <f>ROUND(F322*H322,2)</f>
        <v>77.27</v>
      </c>
    </row>
    <row r="323" spans="1:9" ht="28.8" x14ac:dyDescent="0.3">
      <c r="A323" s="23" t="s">
        <v>386</v>
      </c>
      <c r="B323" s="23">
        <f>VLOOKUP(A323,MEMORIA!$A:$N,2,FALSE)</f>
        <v>103800</v>
      </c>
      <c r="C323" s="23" t="str">
        <f>VLOOKUP(A323,MEMORIA!$A:$N,3,FALSE)</f>
        <v>SINAPI</v>
      </c>
      <c r="D323" s="24" t="str">
        <f>VLOOKUP(A323,MEMORIA!$A:$N,4,FALSE)</f>
        <v>PEDRA ARGAMASSADA COM CIMENTO E AREIA 1:3, 40% DE ARGAMASSA EM VOLUME - AREIA E PEDRA DE MÃO COMERCIAIS - FORNECIMENTO E ASSENTAMENTO. AF_08/2022</v>
      </c>
      <c r="E323" s="23" t="str">
        <f>VLOOKUP(A323,MEMORIA!$A:$N,5,FALSE)</f>
        <v>M3</v>
      </c>
      <c r="F323" s="5">
        <f>VLOOKUP(A323,MEMORIA!$A:$N,14,FALSE)</f>
        <v>1.04</v>
      </c>
      <c r="G323" s="5">
        <f>VLOOKUP("TOTAL SEM BDI - "&amp;B323,CPU!$A:$J,9,FALSE)</f>
        <v>680.59</v>
      </c>
      <c r="H323" s="5">
        <f>VLOOKUP("TOTAL COM BDI - "&amp;B323,CPU!$A:$J,9,FALSE)</f>
        <v>849.65000000000009</v>
      </c>
      <c r="I323" s="5">
        <f>ROUND(F323*H323,2)</f>
        <v>883.64</v>
      </c>
    </row>
    <row r="324" spans="1:9" ht="43.2" x14ac:dyDescent="0.3">
      <c r="A324" s="23" t="s">
        <v>387</v>
      </c>
      <c r="B324" s="23">
        <f>VLOOKUP(A324,MEMORIA!$A:$N,2,FALSE)</f>
        <v>103335</v>
      </c>
      <c r="C324" s="23" t="str">
        <f>VLOOKUP(A324,MEMORIA!$A:$N,3,FALSE)</f>
        <v>SINAPI</v>
      </c>
      <c r="D324" s="24" t="str">
        <f>VLOOKUP(A324,MEMORIA!$A:$N,4,FALSE)</f>
        <v>ALVENARIA DE VEDAÇÃO DE BLOCOS CERÂMICOS FURADOS NA HORIZONTAL DE 14X9X19 CM (ESPESSURA 14 CM, BLOCO DEITADO) E ARGAMASSA DE ASSENTAMENTO COM PREPARO MANUAL. AF_12/2021</v>
      </c>
      <c r="E324" s="23" t="str">
        <f>VLOOKUP(A324,MEMORIA!$A:$N,5,FALSE)</f>
        <v>M2</v>
      </c>
      <c r="F324" s="5">
        <f>VLOOKUP(A324,MEMORIA!$A:$N,14,FALSE)</f>
        <v>1.7200000000000002</v>
      </c>
      <c r="G324" s="5">
        <f>VLOOKUP("TOTAL SEM BDI - "&amp;B324,CPU!$A:$J,9,FALSE)</f>
        <v>146.51</v>
      </c>
      <c r="H324" s="5">
        <f>VLOOKUP("TOTAL COM BDI - "&amp;B324,CPU!$A:$J,9,FALSE)</f>
        <v>182.89999999999998</v>
      </c>
      <c r="I324" s="5">
        <f>ROUND(F324*H324,2)</f>
        <v>314.58999999999997</v>
      </c>
    </row>
    <row r="325" spans="1:9" x14ac:dyDescent="0.3">
      <c r="A325" s="15" t="s">
        <v>92</v>
      </c>
      <c r="B325" s="49" t="str">
        <f>VLOOKUP(A325,MEMORIA!$A:$N,2,FALSE)</f>
        <v>SUPERESTRUTURA</v>
      </c>
      <c r="C325" s="50"/>
      <c r="D325" s="50"/>
      <c r="E325" s="50"/>
      <c r="F325" s="50"/>
      <c r="G325" s="50"/>
      <c r="H325" s="51"/>
      <c r="I325" s="16">
        <f>SUM($I$326:$I$327)</f>
        <v>1347.9099999999999</v>
      </c>
    </row>
    <row r="326" spans="1:9" x14ac:dyDescent="0.3">
      <c r="A326" s="23" t="s">
        <v>388</v>
      </c>
      <c r="B326" s="23" t="str">
        <f>VLOOKUP(A326,MEMORIA!$A:$N,2,FALSE)</f>
        <v>COMPCOM01</v>
      </c>
      <c r="C326" s="23" t="str">
        <f>VLOOKUP(A326,MEMORIA!$A:$N,3,FALSE)</f>
        <v>PRÓPRIA</v>
      </c>
      <c r="D326" s="24" t="str">
        <f>VLOOKUP(A326,MEMORIA!$A:$N,4,FALSE)</f>
        <v>CINTA DE AMARRAÇÃO DE ALVENARIA MOLDADA IN LOCO EM CONCRETO</v>
      </c>
      <c r="E326" s="23" t="str">
        <f>VLOOKUP(A326,MEMORIA!$A:$N,5,FALSE)</f>
        <v>M</v>
      </c>
      <c r="F326" s="5">
        <f>VLOOKUP(A326,MEMORIA!$A:$N,14,FALSE)</f>
        <v>8.6</v>
      </c>
      <c r="G326" s="5">
        <f>VLOOKUP("TOTAL SEM BDI - "&amp;B326,CPU!$A:$J,9,FALSE)</f>
        <v>81.56</v>
      </c>
      <c r="H326" s="5">
        <f>VLOOKUP("TOTAL COM BDI - "&amp;B326,CPU!$A:$J,9,FALSE)</f>
        <v>101.82000000000001</v>
      </c>
      <c r="I326" s="5">
        <f>ROUND(F326*H326,2)</f>
        <v>875.65</v>
      </c>
    </row>
    <row r="327" spans="1:9" ht="28.8" x14ac:dyDescent="0.3">
      <c r="A327" s="23" t="s">
        <v>389</v>
      </c>
      <c r="B327" s="23" t="str">
        <f>VLOOKUP(A327,MEMORIA!$A:$N,2,FALSE)</f>
        <v>COMPCOM02</v>
      </c>
      <c r="C327" s="23" t="str">
        <f>VLOOKUP(A327,MEMORIA!$A:$N,3,FALSE)</f>
        <v>PRÓPRIA</v>
      </c>
      <c r="D327" s="24" t="str">
        <f>VLOOKUP(A327,MEMORIA!$A:$N,4,FALSE)</f>
        <v>(COMPOSIÇÃO REPRESENTATIVA) EXECUÇÃO DE ESTRUTURAS DE CONCRETO ARMADO, PARA EDIFICAÇÃO INSTITUCIONAL TÉRREA, FCK = 25 MPA</v>
      </c>
      <c r="E327" s="23" t="str">
        <f>VLOOKUP(A327,MEMORIA!$A:$N,5,FALSE)</f>
        <v>M³</v>
      </c>
      <c r="F327" s="5">
        <f>VLOOKUP(A327,MEMORIA!$A:$N,14,FALSE)</f>
        <v>0.30000000000000004</v>
      </c>
      <c r="G327" s="5">
        <f>VLOOKUP("TOTAL SEM BDI - "&amp;B327,CPU!$A:$J,9,FALSE)</f>
        <v>1260.97</v>
      </c>
      <c r="H327" s="5">
        <f>VLOOKUP("TOTAL COM BDI - "&amp;B327,CPU!$A:$J,9,FALSE)</f>
        <v>1574.19</v>
      </c>
      <c r="I327" s="5">
        <f>ROUND(F327*H327,2)</f>
        <v>472.26</v>
      </c>
    </row>
    <row r="328" spans="1:9" x14ac:dyDescent="0.3">
      <c r="A328" s="15" t="s">
        <v>93</v>
      </c>
      <c r="B328" s="49" t="str">
        <f>VLOOKUP(A328,MEMORIA!$A:$N,2,FALSE)</f>
        <v>VEDAÇÃO VERTICAL</v>
      </c>
      <c r="C328" s="50"/>
      <c r="D328" s="50"/>
      <c r="E328" s="50"/>
      <c r="F328" s="50"/>
      <c r="G328" s="50"/>
      <c r="H328" s="51"/>
      <c r="I328" s="16">
        <f>SUM($I$329:$I$330)</f>
        <v>2674.92</v>
      </c>
    </row>
    <row r="329" spans="1:9" ht="43.2" x14ac:dyDescent="0.3">
      <c r="A329" s="23" t="s">
        <v>390</v>
      </c>
      <c r="B329" s="23">
        <f>VLOOKUP(A329,MEMORIA!$A:$N,2,FALSE)</f>
        <v>103329</v>
      </c>
      <c r="C329" s="23" t="str">
        <f>VLOOKUP(A329,MEMORIA!$A:$N,3,FALSE)</f>
        <v>SINAPI</v>
      </c>
      <c r="D329" s="24" t="str">
        <f>VLOOKUP(A329,MEMORIA!$A:$N,4,FALSE)</f>
        <v>ALVENARIA DE VEDAÇÃO DE BLOCOS CERÂMICOS FURADOS NA HORIZONTAL DE 9X19X19 CM (ESPESSURA 9 CM) E ARGAMASSA DE ASSENTAMENTO COM PREPARO MANUAL. AF_12/2021</v>
      </c>
      <c r="E329" s="23" t="str">
        <f>VLOOKUP(A329,MEMORIA!$A:$N,5,FALSE)</f>
        <v>M2</v>
      </c>
      <c r="F329" s="5">
        <f>VLOOKUP(A329,MEMORIA!$A:$N,14,FALSE)</f>
        <v>19.310000000000002</v>
      </c>
      <c r="G329" s="5">
        <f>VLOOKUP("TOTAL SEM BDI - "&amp;B329,CPU!$A:$J,9,FALSE)</f>
        <v>95.08</v>
      </c>
      <c r="H329" s="5">
        <f>VLOOKUP("TOTAL COM BDI - "&amp;B329,CPU!$A:$J,9,FALSE)</f>
        <v>118.7</v>
      </c>
      <c r="I329" s="5">
        <f>ROUND(F329*H329,2)</f>
        <v>2292.1</v>
      </c>
    </row>
    <row r="330" spans="1:9" ht="43.2" x14ac:dyDescent="0.3">
      <c r="A330" s="23" t="s">
        <v>391</v>
      </c>
      <c r="B330" s="23">
        <f>VLOOKUP(A330,MEMORIA!$A:$N,2,FALSE)</f>
        <v>101161</v>
      </c>
      <c r="C330" s="23" t="str">
        <f>VLOOKUP(A330,MEMORIA!$A:$N,3,FALSE)</f>
        <v>SINAPI</v>
      </c>
      <c r="D330" s="24" t="str">
        <f>VLOOKUP(A330,MEMORIA!$A:$N,4,FALSE)</f>
        <v>ALVENARIA DE VEDAÇÃO COM ELEMENTO VAZADO DE CONCRETO (COBOGÓ) DE 7X50X50CM E ARGAMASSA DE ASSENTAMENTO COM PREPARO EM BETONEIRA. AF_05/2020</v>
      </c>
      <c r="E330" s="23" t="str">
        <f>VLOOKUP(A330,MEMORIA!$A:$N,5,FALSE)</f>
        <v>M2</v>
      </c>
      <c r="F330" s="5">
        <f>VLOOKUP(A330,MEMORIA!$A:$N,14,FALSE)</f>
        <v>1.5</v>
      </c>
      <c r="G330" s="5">
        <f>VLOOKUP("TOTAL SEM BDI - "&amp;B330,CPU!$A:$J,9,FALSE)</f>
        <v>204.43</v>
      </c>
      <c r="H330" s="5">
        <f>VLOOKUP("TOTAL COM BDI - "&amp;B330,CPU!$A:$J,9,FALSE)</f>
        <v>255.21</v>
      </c>
      <c r="I330" s="5">
        <f>ROUND(F330*H330,2)</f>
        <v>382.82</v>
      </c>
    </row>
    <row r="331" spans="1:9" x14ac:dyDescent="0.3">
      <c r="A331" s="15" t="s">
        <v>94</v>
      </c>
      <c r="B331" s="49" t="str">
        <f>VLOOKUP(A331,MEMORIA!$A:$N,2,FALSE)</f>
        <v>COBERTURA</v>
      </c>
      <c r="C331" s="50"/>
      <c r="D331" s="50"/>
      <c r="E331" s="50"/>
      <c r="F331" s="50"/>
      <c r="G331" s="50"/>
      <c r="H331" s="51"/>
      <c r="I331" s="16">
        <f>SUM($I$332:$I$333)</f>
        <v>1332.15</v>
      </c>
    </row>
    <row r="332" spans="1:9" ht="28.8" x14ac:dyDescent="0.3">
      <c r="A332" s="23" t="s">
        <v>392</v>
      </c>
      <c r="B332" s="23" t="str">
        <f>VLOOKUP(A332,MEMORIA!$A:$N,2,FALSE)</f>
        <v>COMPCOM03</v>
      </c>
      <c r="C332" s="23" t="str">
        <f>VLOOKUP(A332,MEMORIA!$A:$N,3,FALSE)</f>
        <v>PRÓPRIA</v>
      </c>
      <c r="D332" s="24" t="str">
        <f>VLOOKUP(A332,MEMORIA!$A:$N,4,FALSE)</f>
        <v>TELHAMENTO COM TELHA CERÂMICA CAPA-CANAL, TIPO COLONIAL, COM ATÉ 2 ÁGUAS, INCLUSO TRANSPORTE VERTICAL</v>
      </c>
      <c r="E332" s="23" t="str">
        <f>VLOOKUP(A332,MEMORIA!$A:$N,5,FALSE)</f>
        <v>M²</v>
      </c>
      <c r="F332" s="5">
        <f>VLOOKUP(A332,MEMORIA!$A:$N,14,FALSE)</f>
        <v>10.23</v>
      </c>
      <c r="G332" s="5">
        <f>VLOOKUP("TOTAL SEM BDI - "&amp;B332,CPU!$A:$J,9,FALSE)</f>
        <v>37.64</v>
      </c>
      <c r="H332" s="5">
        <f>VLOOKUP("TOTAL COM BDI - "&amp;B332,CPU!$A:$J,9,FALSE)</f>
        <v>46.99</v>
      </c>
      <c r="I332" s="5">
        <f>ROUND(F332*H332,2)</f>
        <v>480.71</v>
      </c>
    </row>
    <row r="333" spans="1:9" ht="28.8" x14ac:dyDescent="0.3">
      <c r="A333" s="23" t="s">
        <v>393</v>
      </c>
      <c r="B333" s="23" t="str">
        <f>VLOOKUP(A333,MEMORIA!$A:$N,2,FALSE)</f>
        <v>COMPCOM04</v>
      </c>
      <c r="C333" s="23" t="str">
        <f>VLOOKUP(A333,MEMORIA!$A:$N,3,FALSE)</f>
        <v>PRÓPRIA</v>
      </c>
      <c r="D333" s="24" t="str">
        <f>VLOOKUP(A333,MEMORIA!$A:$N,4,FALSE)</f>
        <v>TRAMA DE MADEIRA COMPOSTA POR RIPAS, CAIBROS E TERÇAS PARA TELHADOS DE ATÉ 2 ÁGUAS PARA TELHA CERÂMICA CAPA-CANAL, INCLUSO TRANSPORTE VERTICAL</v>
      </c>
      <c r="E333" s="23" t="str">
        <f>VLOOKUP(A333,MEMORIA!$A:$N,5,FALSE)</f>
        <v>M²</v>
      </c>
      <c r="F333" s="5">
        <f>VLOOKUP(A333,MEMORIA!$A:$N,14,FALSE)</f>
        <v>10.23</v>
      </c>
      <c r="G333" s="5">
        <f>VLOOKUP("TOTAL SEM BDI - "&amp;B333,CPU!$A:$J,9,FALSE)</f>
        <v>66.67</v>
      </c>
      <c r="H333" s="5">
        <f>VLOOKUP("TOTAL COM BDI - "&amp;B333,CPU!$A:$J,9,FALSE)</f>
        <v>83.23</v>
      </c>
      <c r="I333" s="5">
        <f>ROUND(F333*H333,2)</f>
        <v>851.44</v>
      </c>
    </row>
    <row r="334" spans="1:9" x14ac:dyDescent="0.3">
      <c r="A334" s="15" t="s">
        <v>95</v>
      </c>
      <c r="B334" s="49" t="str">
        <f>VLOOKUP(A334,MEMORIA!$A:$N,2,FALSE)</f>
        <v>PISO</v>
      </c>
      <c r="C334" s="50"/>
      <c r="D334" s="50"/>
      <c r="E334" s="50"/>
      <c r="F334" s="50"/>
      <c r="G334" s="50"/>
      <c r="H334" s="51"/>
      <c r="I334" s="16">
        <f>SUM($I$335:$I$337)</f>
        <v>1208.82</v>
      </c>
    </row>
    <row r="335" spans="1:9" ht="28.8" x14ac:dyDescent="0.3">
      <c r="A335" s="23" t="s">
        <v>394</v>
      </c>
      <c r="B335" s="23">
        <f>VLOOKUP(A335,MEMORIA!$A:$N,2,FALSE)</f>
        <v>96617</v>
      </c>
      <c r="C335" s="23" t="str">
        <f>VLOOKUP(A335,MEMORIA!$A:$N,3,FALSE)</f>
        <v>SINAPI</v>
      </c>
      <c r="D335" s="24" t="str">
        <f>VLOOKUP(A335,MEMORIA!$A:$N,4,FALSE)</f>
        <v>LASTRO DE CONCRETO MAGRO, APLICADO EM BLOCOS DE COROAMENTO OU SAPATAS, ESPESSURA DE 3 CM. AF_01/2024</v>
      </c>
      <c r="E335" s="23" t="str">
        <f>VLOOKUP(A335,MEMORIA!$A:$N,5,FALSE)</f>
        <v>M2</v>
      </c>
      <c r="F335" s="5">
        <f>VLOOKUP(A335,MEMORIA!$A:$N,14,FALSE)</f>
        <v>4</v>
      </c>
      <c r="G335" s="5">
        <f>VLOOKUP("TOTAL SEM BDI - "&amp;B335,CPU!$A:$J,9,FALSE)</f>
        <v>23.990000000000002</v>
      </c>
      <c r="H335" s="5">
        <f>VLOOKUP("TOTAL COM BDI - "&amp;B335,CPU!$A:$J,9,FALSE)</f>
        <v>29.950000000000003</v>
      </c>
      <c r="I335" s="5">
        <f>ROUND(F335*H335,2)</f>
        <v>119.8</v>
      </c>
    </row>
    <row r="336" spans="1:9" ht="28.8" x14ac:dyDescent="0.3">
      <c r="A336" s="23" t="s">
        <v>395</v>
      </c>
      <c r="B336" s="23">
        <f>VLOOKUP(A336,MEMORIA!$A:$N,2,FALSE)</f>
        <v>101749</v>
      </c>
      <c r="C336" s="23" t="str">
        <f>VLOOKUP(A336,MEMORIA!$A:$N,3,FALSE)</f>
        <v>SINAPI</v>
      </c>
      <c r="D336" s="24" t="str">
        <f>VLOOKUP(A336,MEMORIA!$A:$N,4,FALSE)</f>
        <v>PISO CIMENTADO, TRAÇO 1:3 (CIMENTO E AREIA), ACABAMENTO LISO, ESPESSURA 4,0 CM, PREPARO MECÂNICO DA ARGAMASSA. AF_09/2020</v>
      </c>
      <c r="E336" s="23" t="str">
        <f>VLOOKUP(A336,MEMORIA!$A:$N,5,FALSE)</f>
        <v>M2</v>
      </c>
      <c r="F336" s="5">
        <f>VLOOKUP(A336,MEMORIA!$A:$N,14,FALSE)</f>
        <v>4</v>
      </c>
      <c r="G336" s="5">
        <f>VLOOKUP("TOTAL SEM BDI - "&amp;B336,CPU!$A:$J,9,FALSE)</f>
        <v>64.739999999999995</v>
      </c>
      <c r="H336" s="5">
        <f>VLOOKUP("TOTAL COM BDI - "&amp;B336,CPU!$A:$J,9,FALSE)</f>
        <v>80.819999999999993</v>
      </c>
      <c r="I336" s="5">
        <f>ROUND(F336*H336,2)</f>
        <v>323.27999999999997</v>
      </c>
    </row>
    <row r="337" spans="1:9" ht="43.2" x14ac:dyDescent="0.3">
      <c r="A337" s="23" t="s">
        <v>396</v>
      </c>
      <c r="B337" s="23">
        <f>VLOOKUP(A337,MEMORIA!$A:$N,2,FALSE)</f>
        <v>94994</v>
      </c>
      <c r="C337" s="23" t="str">
        <f>VLOOKUP(A337,MEMORIA!$A:$N,3,FALSE)</f>
        <v>SINAPI</v>
      </c>
      <c r="D337" s="24" t="str">
        <f>VLOOKUP(A337,MEMORIA!$A:$N,4,FALSE)</f>
        <v>EXECUÇÃO DE PASSEIO (CALÇADA) OU PISO DE CONCRETO COM CONCRETO MOLDADO IN LOCO, FEITO EM OBRA, ACABAMENTO CONVENCIONAL, ESPESSURA 8 CM, ARMADO. AF_08/2022</v>
      </c>
      <c r="E337" s="23" t="str">
        <f>VLOOKUP(A337,MEMORIA!$A:$N,5,FALSE)</f>
        <v>M2</v>
      </c>
      <c r="F337" s="5">
        <f>VLOOKUP(A337,MEMORIA!$A:$N,14,FALSE)</f>
        <v>5.6</v>
      </c>
      <c r="G337" s="5">
        <f>VLOOKUP("TOTAL SEM BDI - "&amp;B337,CPU!$A:$J,9,FALSE)</f>
        <v>109.53000000000002</v>
      </c>
      <c r="H337" s="5">
        <f>VLOOKUP("TOTAL COM BDI - "&amp;B337,CPU!$A:$J,9,FALSE)</f>
        <v>136.74</v>
      </c>
      <c r="I337" s="5">
        <f>ROUND(F337*H337,2)</f>
        <v>765.74</v>
      </c>
    </row>
    <row r="338" spans="1:9" x14ac:dyDescent="0.3">
      <c r="A338" s="15" t="s">
        <v>96</v>
      </c>
      <c r="B338" s="49" t="str">
        <f>VLOOKUP(A338,MEMORIA!$A:$N,2,FALSE)</f>
        <v>REVESTIMENTO</v>
      </c>
      <c r="C338" s="50"/>
      <c r="D338" s="50"/>
      <c r="E338" s="50"/>
      <c r="F338" s="50"/>
      <c r="G338" s="50"/>
      <c r="H338" s="51"/>
      <c r="I338" s="16">
        <f>SUM($I$339:$I$340)</f>
        <v>2396.75</v>
      </c>
    </row>
    <row r="339" spans="1:9" ht="43.2" x14ac:dyDescent="0.3">
      <c r="A339" s="23" t="s">
        <v>397</v>
      </c>
      <c r="B339" s="23">
        <f>VLOOKUP(A339,MEMORIA!$A:$N,2,FALSE)</f>
        <v>87904</v>
      </c>
      <c r="C339" s="23" t="str">
        <f>VLOOKUP(A339,MEMORIA!$A:$N,3,FALSE)</f>
        <v>SINAPI</v>
      </c>
      <c r="D339" s="24" t="str">
        <f>VLOOKUP(A339,MEMORIA!$A:$N,4,FALSE)</f>
        <v>CHAPISCO APLICADO EM ALVENARIA (COM PRESENÇA DE VÃOS) E ESTRUTURAS DE CONCRETO DE FACHADA, COM COLHER DE PEDREIRO. ARGAMASSA TRAÇO 1:3 COM PREPARO MANUAL. AF_10/2022</v>
      </c>
      <c r="E339" s="23" t="str">
        <f>VLOOKUP(A339,MEMORIA!$A:$N,5,FALSE)</f>
        <v>M2</v>
      </c>
      <c r="F339" s="5">
        <f>VLOOKUP(A339,MEMORIA!$A:$N,14,FALSE)</f>
        <v>38.619999999999997</v>
      </c>
      <c r="G339" s="5">
        <f>VLOOKUP("TOTAL SEM BDI - "&amp;B339,CPU!$A:$J,9,FALSE)</f>
        <v>8.74</v>
      </c>
      <c r="H339" s="5">
        <f>VLOOKUP("TOTAL COM BDI - "&amp;B339,CPU!$A:$J,9,FALSE)</f>
        <v>10.91</v>
      </c>
      <c r="I339" s="5">
        <f>ROUND(F339*H339,2)</f>
        <v>421.34</v>
      </c>
    </row>
    <row r="340" spans="1:9" ht="43.2" x14ac:dyDescent="0.3">
      <c r="A340" s="23" t="s">
        <v>398</v>
      </c>
      <c r="B340" s="23">
        <f>VLOOKUP(A340,MEMORIA!$A:$N,2,FALSE)</f>
        <v>87530</v>
      </c>
      <c r="C340" s="23" t="str">
        <f>VLOOKUP(A340,MEMORIA!$A:$N,3,FALSE)</f>
        <v>SINAPI</v>
      </c>
      <c r="D340" s="24" t="str">
        <f>VLOOKUP(A340,MEMORIA!$A:$N,4,FALSE)</f>
        <v>MASSA ÚNICA, EM ARGAMASSA TRAÇO 1:2:8, PREPARO MANUAL, APLICADA MANUALMENTE EM PAREDES INTERNAS DE AMBIENTES COM ÁREA ENTRE 5M² E 10M², E = 17,5MM, COM TALISCAS. AF_03/2024</v>
      </c>
      <c r="E340" s="23" t="str">
        <f>VLOOKUP(A340,MEMORIA!$A:$N,5,FALSE)</f>
        <v>M2</v>
      </c>
      <c r="F340" s="5">
        <f>VLOOKUP(A340,MEMORIA!$A:$N,14,FALSE)</f>
        <v>38.619999999999997</v>
      </c>
      <c r="G340" s="5">
        <f>VLOOKUP("TOTAL SEM BDI - "&amp;B340,CPU!$A:$J,9,FALSE)</f>
        <v>40.97</v>
      </c>
      <c r="H340" s="5">
        <f>VLOOKUP("TOTAL COM BDI - "&amp;B340,CPU!$A:$J,9,FALSE)</f>
        <v>51.15</v>
      </c>
      <c r="I340" s="5">
        <f>ROUND(F340*H340,2)</f>
        <v>1975.41</v>
      </c>
    </row>
    <row r="341" spans="1:9" x14ac:dyDescent="0.3">
      <c r="A341" s="15" t="s">
        <v>97</v>
      </c>
      <c r="B341" s="49" t="str">
        <f>VLOOKUP(A341,MEMORIA!$A:$N,2,FALSE)</f>
        <v>ESQUADRIAS</v>
      </c>
      <c r="C341" s="50"/>
      <c r="D341" s="50"/>
      <c r="E341" s="50"/>
      <c r="F341" s="50"/>
      <c r="G341" s="50"/>
      <c r="H341" s="51"/>
      <c r="I341" s="16">
        <f>SUM($I$342:$I$343)</f>
        <v>4550.21</v>
      </c>
    </row>
    <row r="342" spans="1:9" x14ac:dyDescent="0.3">
      <c r="A342" s="23" t="s">
        <v>399</v>
      </c>
      <c r="B342" s="23">
        <f>VLOOKUP(A342,MEMORIA!$A:$N,2,FALSE)</f>
        <v>100701</v>
      </c>
      <c r="C342" s="23" t="str">
        <f>VLOOKUP(A342,MEMORIA!$A:$N,3,FALSE)</f>
        <v>SINAPI</v>
      </c>
      <c r="D342" s="24" t="str">
        <f>VLOOKUP(A342,MEMORIA!$A:$N,4,FALSE)</f>
        <v>PORTA DE FERRO, DE ABRIR, TIPO GRADE COM CHAPA, COM GUARNIÇÕES. AF_12/2019</v>
      </c>
      <c r="E342" s="23" t="str">
        <f>VLOOKUP(A342,MEMORIA!$A:$N,5,FALSE)</f>
        <v>M2</v>
      </c>
      <c r="F342" s="5">
        <f>VLOOKUP(A342,MEMORIA!$A:$N,14,FALSE)</f>
        <v>1.68</v>
      </c>
      <c r="G342" s="5">
        <f>VLOOKUP("TOTAL SEM BDI - "&amp;B342,CPU!$A:$J,9,FALSE)</f>
        <v>415.3</v>
      </c>
      <c r="H342" s="5">
        <f>VLOOKUP("TOTAL COM BDI - "&amp;B342,CPU!$A:$J,9,FALSE)</f>
        <v>518.46</v>
      </c>
      <c r="I342" s="5">
        <f>ROUND(F342*H342,2)</f>
        <v>871.01</v>
      </c>
    </row>
    <row r="343" spans="1:9" ht="28.8" x14ac:dyDescent="0.3">
      <c r="A343" s="23" t="s">
        <v>400</v>
      </c>
      <c r="B343" s="23" t="str">
        <f>VLOOKUP(A343,MEMORIA!$A:$N,2,FALSE)</f>
        <v>C3659</v>
      </c>
      <c r="C343" s="23" t="str">
        <f>VLOOKUP(A343,MEMORIA!$A:$N,3,FALSE)</f>
        <v>SEINFRA</v>
      </c>
      <c r="D343" s="24" t="str">
        <f>VLOOKUP(A343,MEMORIA!$A:$N,4,FALSE)</f>
        <v>PORTÃO DE METALON E BARRA CHATA DE FERRO C/FECHADURA E DOBRADIÇA, INCLUS. PINTURA ESMALTE SINTÉTICO</v>
      </c>
      <c r="E343" s="23" t="str">
        <f>VLOOKUP(A343,MEMORIA!$A:$N,5,FALSE)</f>
        <v>M2</v>
      </c>
      <c r="F343" s="5">
        <f>VLOOKUP(A343,MEMORIA!$A:$N,14,FALSE)</f>
        <v>6</v>
      </c>
      <c r="G343" s="5">
        <f>VLOOKUP("TOTAL SEM BDI - "&amp;B343,CPU!$A:$J,9,FALSE)</f>
        <v>491.19000000000005</v>
      </c>
      <c r="H343" s="5">
        <f>VLOOKUP("TOTAL COM BDI - "&amp;B343,CPU!$A:$J,9,FALSE)</f>
        <v>613.20000000000005</v>
      </c>
      <c r="I343" s="5">
        <f>ROUND(F343*H343,2)</f>
        <v>3679.2</v>
      </c>
    </row>
    <row r="344" spans="1:9" x14ac:dyDescent="0.3">
      <c r="A344" s="15" t="s">
        <v>98</v>
      </c>
      <c r="B344" s="49" t="str">
        <f>VLOOKUP(A344,MEMORIA!$A:$N,2,FALSE)</f>
        <v>PINTURA</v>
      </c>
      <c r="C344" s="50"/>
      <c r="D344" s="50"/>
      <c r="E344" s="50"/>
      <c r="F344" s="50"/>
      <c r="G344" s="50"/>
      <c r="H344" s="51"/>
      <c r="I344" s="16">
        <f>SUM($I$345:$I$346)</f>
        <v>663.11</v>
      </c>
    </row>
    <row r="345" spans="1:9" x14ac:dyDescent="0.3">
      <c r="A345" s="23" t="s">
        <v>401</v>
      </c>
      <c r="B345" s="23" t="str">
        <f>VLOOKUP(A345,MEMORIA!$A:$N,2,FALSE)</f>
        <v>COMP205</v>
      </c>
      <c r="C345" s="23" t="str">
        <f>VLOOKUP(A345,MEMORIA!$A:$N,3,FALSE)</f>
        <v>PRÓPRIA</v>
      </c>
      <c r="D345" s="24" t="str">
        <f>VLOOKUP(A345,MEMORIA!$A:$N,4,FALSE)</f>
        <v>CAIAÇÃO EM TRES DEMÃOS EM PAREDES (REF: C0589-SEINFRA 28)</v>
      </c>
      <c r="E345" s="23" t="str">
        <f>VLOOKUP(A345,MEMORIA!$A:$N,5,FALSE)</f>
        <v>M2</v>
      </c>
      <c r="F345" s="5">
        <f>VLOOKUP(A345,MEMORIA!$A:$N,14,FALSE)</f>
        <v>38.619999999999997</v>
      </c>
      <c r="G345" s="5">
        <f>VLOOKUP("TOTAL SEM BDI - "&amp;B345,CPU!$A:$J,9,FALSE)</f>
        <v>9.3800000000000008</v>
      </c>
      <c r="H345" s="5">
        <f>VLOOKUP("TOTAL COM BDI - "&amp;B345,CPU!$A:$J,9,FALSE)</f>
        <v>11.71</v>
      </c>
      <c r="I345" s="5">
        <f>ROUND(F345*H345,2)</f>
        <v>452.24</v>
      </c>
    </row>
    <row r="346" spans="1:9" ht="43.2" x14ac:dyDescent="0.3">
      <c r="A346" s="23" t="s">
        <v>402</v>
      </c>
      <c r="B346" s="23">
        <f>VLOOKUP(A346,MEMORIA!$A:$N,2,FALSE)</f>
        <v>100758</v>
      </c>
      <c r="C346" s="23" t="str">
        <f>VLOOKUP(A346,MEMORIA!$A:$N,3,FALSE)</f>
        <v>SINAPI</v>
      </c>
      <c r="D346" s="24" t="str">
        <f>VLOOKUP(A346,MEMORIA!$A:$N,4,FALSE)</f>
        <v>PINTURA COM TINTA ALQUÍDICA DE ACABAMENTO (ESMALTE SINTÉTICO ACETINADO) APLICADA A ROLO OU PINCEL SOBRE SUPERFÍCIES METÁLICAS (EXCETO PERFIL) EXECUTADO EM OBRA (02 DEMÃOS). AF_01/2020</v>
      </c>
      <c r="E346" s="23" t="str">
        <f>VLOOKUP(A346,MEMORIA!$A:$N,5,FALSE)</f>
        <v>M2</v>
      </c>
      <c r="F346" s="5">
        <f>VLOOKUP(A346,MEMORIA!$A:$N,14,FALSE)</f>
        <v>3.36</v>
      </c>
      <c r="G346" s="5">
        <f>VLOOKUP("TOTAL SEM BDI - "&amp;B346,CPU!$A:$J,9,FALSE)</f>
        <v>50.269999999999996</v>
      </c>
      <c r="H346" s="5">
        <f>VLOOKUP("TOTAL COM BDI - "&amp;B346,CPU!$A:$J,9,FALSE)</f>
        <v>62.76</v>
      </c>
      <c r="I346" s="5">
        <f>ROUND(F346*H346,2)</f>
        <v>210.87</v>
      </c>
    </row>
    <row r="347" spans="1:9" x14ac:dyDescent="0.3">
      <c r="A347" s="15" t="s">
        <v>99</v>
      </c>
      <c r="B347" s="49" t="str">
        <f>VLOOKUP(A347,MEMORIA!$A:$N,2,FALSE)</f>
        <v>CERCAMENTO</v>
      </c>
      <c r="C347" s="50"/>
      <c r="D347" s="50"/>
      <c r="E347" s="50"/>
      <c r="F347" s="50"/>
      <c r="G347" s="50"/>
      <c r="H347" s="51"/>
      <c r="I347" s="16">
        <f>SUM($I$348:$I$348)</f>
        <v>6063.93</v>
      </c>
    </row>
    <row r="348" spans="1:9" ht="43.2" x14ac:dyDescent="0.3">
      <c r="A348" s="23" t="s">
        <v>403</v>
      </c>
      <c r="B348" s="23">
        <f>VLOOKUP(A348,MEMORIA!$A:$N,2,FALSE)</f>
        <v>101197</v>
      </c>
      <c r="C348" s="23" t="str">
        <f>VLOOKUP(A348,MEMORIA!$A:$N,3,FALSE)</f>
        <v>SINAPI</v>
      </c>
      <c r="D348" s="24" t="str">
        <f>VLOOKUP(A348,MEMORIA!$A:$N,4,FALSE)</f>
        <v>CERCA COM MOURÕES DE CONCRETO, SEÇÃO "T" PONTA INCLINADA, 10X10 CM, ESPAÇAMENTO DE 2,5 M, CRAVADOS 0,5 M, COM 11 FIOS DE ARAME FARPADO Nº 14 - FORNECIMENTO E INSTALAÇÃO. AF_05/2020</v>
      </c>
      <c r="E348" s="23" t="str">
        <f>VLOOKUP(A348,MEMORIA!$A:$N,5,FALSE)</f>
        <v>M</v>
      </c>
      <c r="F348" s="5">
        <f>VLOOKUP(A348,MEMORIA!$A:$N,14,FALSE)</f>
        <v>37</v>
      </c>
      <c r="G348" s="5">
        <f>VLOOKUP("TOTAL SEM BDI - "&amp;B348,CPU!$A:$J,9,FALSE)</f>
        <v>131.28</v>
      </c>
      <c r="H348" s="5">
        <f>VLOOKUP("TOTAL COM BDI - "&amp;B348,CPU!$A:$J,9,FALSE)</f>
        <v>163.89</v>
      </c>
      <c r="I348" s="5">
        <f>ROUND(F348*H348,2)</f>
        <v>6063.93</v>
      </c>
    </row>
    <row r="349" spans="1:9" x14ac:dyDescent="0.3">
      <c r="A349" s="12" t="s">
        <v>100</v>
      </c>
      <c r="B349" s="46" t="str">
        <f>VLOOKUP(A349,MEMORIA!$A:$N,2,FALSE)</f>
        <v>INSTALAÇÕES ELÉTRICAS</v>
      </c>
      <c r="C349" s="47"/>
      <c r="D349" s="47"/>
      <c r="E349" s="47"/>
      <c r="F349" s="47"/>
      <c r="G349" s="47"/>
      <c r="H349" s="48"/>
      <c r="I349" s="13">
        <f>SUM($I$350:$I$357)</f>
        <v>1853.2700000000002</v>
      </c>
    </row>
    <row r="350" spans="1:9" ht="43.2" x14ac:dyDescent="0.3">
      <c r="A350" s="23" t="s">
        <v>404</v>
      </c>
      <c r="B350" s="23" t="str">
        <f>VLOOKUP(A350,MEMORIA!$A:$N,2,FALSE)</f>
        <v>COMPINST05</v>
      </c>
      <c r="C350" s="23" t="str">
        <f>VLOOKUP(A350,MEMORIA!$A:$N,3,FALSE)</f>
        <v>PRÓPRIA</v>
      </c>
      <c r="D350" s="24" t="str">
        <f>VLOOKUP(A350,MEMORIA!$A:$N,4,FALSE)</f>
        <v>ENTRADA DE ENERGIA ELÉTRICA, AÉREA, MONOFÁSICA, COM CAIXA DE EMBUTIR, CABO DE 10 MM2 E DISJUNTOR DIN 50A (NÃO INCLUSO O POSTE DE CONCRETO). AF_07/2020_PS (REF: 101493-SINAPI-06/2025)</v>
      </c>
      <c r="E350" s="23" t="str">
        <f>VLOOKUP(A350,MEMORIA!$A:$N,5,FALSE)</f>
        <v>UN</v>
      </c>
      <c r="F350" s="5">
        <f>VLOOKUP(A350,MEMORIA!$A:$N,14,FALSE)</f>
        <v>1</v>
      </c>
      <c r="G350" s="5">
        <f>VLOOKUP("TOTAL SEM BDI - "&amp;B350,CPU!$A:$J,9,FALSE)</f>
        <v>967.24</v>
      </c>
      <c r="H350" s="5">
        <f>VLOOKUP("TOTAL COM BDI - "&amp;B350,CPU!$A:$J,9,FALSE)</f>
        <v>1207.5</v>
      </c>
      <c r="I350" s="5">
        <f t="shared" ref="I350:I357" si="14">ROUND(F350*H350,2)</f>
        <v>1207.5</v>
      </c>
    </row>
    <row r="351" spans="1:9" ht="28.8" x14ac:dyDescent="0.3">
      <c r="A351" s="23" t="s">
        <v>405</v>
      </c>
      <c r="B351" s="23">
        <f>VLOOKUP(A351,MEMORIA!$A:$N,2,FALSE)</f>
        <v>93656</v>
      </c>
      <c r="C351" s="23" t="str">
        <f>VLOOKUP(A351,MEMORIA!$A:$N,3,FALSE)</f>
        <v>SINAPI</v>
      </c>
      <c r="D351" s="24" t="str">
        <f>VLOOKUP(A351,MEMORIA!$A:$N,4,FALSE)</f>
        <v>DISJUNTOR MONOPOLAR TIPO DIN, CORRENTE NOMINAL DE 25A - FORNECIMENTO E INSTALAÇÃO. AF_10/2020</v>
      </c>
      <c r="E351" s="23" t="str">
        <f>VLOOKUP(A351,MEMORIA!$A:$N,5,FALSE)</f>
        <v>UN</v>
      </c>
      <c r="F351" s="5">
        <f>VLOOKUP(A351,MEMORIA!$A:$N,14,FALSE)</f>
        <v>1</v>
      </c>
      <c r="G351" s="5">
        <f>VLOOKUP("TOTAL SEM BDI - "&amp;B351,CPU!$A:$J,9,FALSE)</f>
        <v>13.33</v>
      </c>
      <c r="H351" s="5">
        <f>VLOOKUP("TOTAL COM BDI - "&amp;B351,CPU!$A:$J,9,FALSE)</f>
        <v>16.64</v>
      </c>
      <c r="I351" s="5">
        <f t="shared" si="14"/>
        <v>16.64</v>
      </c>
    </row>
    <row r="352" spans="1:9" ht="28.8" x14ac:dyDescent="0.3">
      <c r="A352" s="23" t="s">
        <v>406</v>
      </c>
      <c r="B352" s="23">
        <f>VLOOKUP(A352,MEMORIA!$A:$N,2,FALSE)</f>
        <v>93653</v>
      </c>
      <c r="C352" s="23" t="str">
        <f>VLOOKUP(A352,MEMORIA!$A:$N,3,FALSE)</f>
        <v>SINAPI</v>
      </c>
      <c r="D352" s="24" t="str">
        <f>VLOOKUP(A352,MEMORIA!$A:$N,4,FALSE)</f>
        <v>DISJUNTOR MONOPOLAR TIPO DIN, CORRENTE NOMINAL DE 10A - FORNECIMENTO E INSTALAÇÃO. AF_10/2020</v>
      </c>
      <c r="E352" s="23" t="str">
        <f>VLOOKUP(A352,MEMORIA!$A:$N,5,FALSE)</f>
        <v>UN</v>
      </c>
      <c r="F352" s="5">
        <f>VLOOKUP(A352,MEMORIA!$A:$N,14,FALSE)</f>
        <v>1</v>
      </c>
      <c r="G352" s="5">
        <f>VLOOKUP("TOTAL SEM BDI - "&amp;B352,CPU!$A:$J,9,FALSE)</f>
        <v>11.379999999999999</v>
      </c>
      <c r="H352" s="5">
        <f>VLOOKUP("TOTAL COM BDI - "&amp;B352,CPU!$A:$J,9,FALSE)</f>
        <v>14.209999999999999</v>
      </c>
      <c r="I352" s="5">
        <f t="shared" si="14"/>
        <v>14.21</v>
      </c>
    </row>
    <row r="353" spans="1:9" x14ac:dyDescent="0.3">
      <c r="A353" s="23" t="s">
        <v>407</v>
      </c>
      <c r="B353" s="23" t="str">
        <f>VLOOKUP(A353,MEMORIA!$A:$N,2,FALSE)</f>
        <v>09041/ORSE</v>
      </c>
      <c r="C353" s="23" t="str">
        <f>VLOOKUP(A353,MEMORIA!$A:$N,3,FALSE)</f>
        <v>ORSE</v>
      </c>
      <c r="D353" s="24" t="str">
        <f>VLOOKUP(A353,MEMORIA!$A:$N,4,FALSE)</f>
        <v>DISPOSITIVO DE PROTEÇÃO CONTRA SURTO DE TENSÃO DPS 60KA - 275V</v>
      </c>
      <c r="E353" s="23" t="str">
        <f>VLOOKUP(A353,MEMORIA!$A:$N,5,FALSE)</f>
        <v>UN</v>
      </c>
      <c r="F353" s="5">
        <f>VLOOKUP(A353,MEMORIA!$A:$N,14,FALSE)</f>
        <v>1</v>
      </c>
      <c r="G353" s="5">
        <f>VLOOKUP("TOTAL SEM BDI - "&amp;B353,CPU!$A:$J,9,FALSE)</f>
        <v>88.050000000000011</v>
      </c>
      <c r="H353" s="5">
        <f>VLOOKUP("TOTAL COM BDI - "&amp;B353,CPU!$A:$J,9,FALSE)</f>
        <v>109.92000000000002</v>
      </c>
      <c r="I353" s="5">
        <f t="shared" si="14"/>
        <v>109.92</v>
      </c>
    </row>
    <row r="354" spans="1:9" ht="28.8" x14ac:dyDescent="0.3">
      <c r="A354" s="23" t="s">
        <v>408</v>
      </c>
      <c r="B354" s="23">
        <f>VLOOKUP(A354,MEMORIA!$A:$N,2,FALSE)</f>
        <v>101877</v>
      </c>
      <c r="C354" s="23" t="str">
        <f>VLOOKUP(A354,MEMORIA!$A:$N,3,FALSE)</f>
        <v>SINAPI</v>
      </c>
      <c r="D354" s="24" t="str">
        <f>VLOOKUP(A354,MEMORIA!$A:$N,4,FALSE)</f>
        <v>QUADRO DE DISTRIBUIÇÃO DE ENERGIA EM PVC, DE EMBUTIR, SEM BARRAMENTO, PARA 3 DISJUNTORES - FORNECIMENTO E INSTALAÇÃO. AF_10/2020</v>
      </c>
      <c r="E354" s="23" t="str">
        <f>VLOOKUP(A354,MEMORIA!$A:$N,5,FALSE)</f>
        <v>UN</v>
      </c>
      <c r="F354" s="5">
        <f>VLOOKUP(A354,MEMORIA!$A:$N,14,FALSE)</f>
        <v>1</v>
      </c>
      <c r="G354" s="5">
        <f>VLOOKUP("TOTAL SEM BDI - "&amp;B354,CPU!$A:$J,9,FALSE)</f>
        <v>63.51</v>
      </c>
      <c r="H354" s="5">
        <f>VLOOKUP("TOTAL COM BDI - "&amp;B354,CPU!$A:$J,9,FALSE)</f>
        <v>79.289999999999992</v>
      </c>
      <c r="I354" s="5">
        <f t="shared" si="14"/>
        <v>79.290000000000006</v>
      </c>
    </row>
    <row r="355" spans="1:9" ht="43.2" x14ac:dyDescent="0.3">
      <c r="A355" s="23" t="s">
        <v>409</v>
      </c>
      <c r="B355" s="23" t="str">
        <f>VLOOKUP(A355,MEMORIA!$A:$N,2,FALSE)</f>
        <v>COMPINST02</v>
      </c>
      <c r="C355" s="23" t="str">
        <f>VLOOKUP(A355,MEMORIA!$A:$N,3,FALSE)</f>
        <v>PRÓPRIA</v>
      </c>
      <c r="D355" s="24" t="str">
        <f>VLOOKUP(A355,MEMORIA!$A:$N,4,FALSE)</f>
        <v>PONTO DE ILUMINAÇÃO E TOMADA, RESIDENCIAL, INCLUINDO INTERRUPTOR SIMPLES E TOMADA 10A/250V, CAIXA ELÉTRICA, ELETRODUTO, CABO, RASGO, QUEBRA E CHUMBAMENTO (EXCLUINDO LUMINÁRIA E LÂMPADA)</v>
      </c>
      <c r="E355" s="23" t="str">
        <f>VLOOKUP(A355,MEMORIA!$A:$N,5,FALSE)</f>
        <v>UN</v>
      </c>
      <c r="F355" s="5">
        <f>VLOOKUP(A355,MEMORIA!$A:$N,14,FALSE)</f>
        <v>1</v>
      </c>
      <c r="G355" s="5">
        <f>VLOOKUP("TOTAL SEM BDI - "&amp;B355,CPU!$A:$J,9,FALSE)</f>
        <v>244.91000000000003</v>
      </c>
      <c r="H355" s="5">
        <f>VLOOKUP("TOTAL COM BDI - "&amp;B355,CPU!$A:$J,9,FALSE)</f>
        <v>305.75</v>
      </c>
      <c r="I355" s="5">
        <f t="shared" si="14"/>
        <v>305.75</v>
      </c>
    </row>
    <row r="356" spans="1:9" ht="28.8" x14ac:dyDescent="0.3">
      <c r="A356" s="23" t="s">
        <v>410</v>
      </c>
      <c r="B356" s="23">
        <f>VLOOKUP(A356,MEMORIA!$A:$N,2,FALSE)</f>
        <v>97610</v>
      </c>
      <c r="C356" s="23" t="str">
        <f>VLOOKUP(A356,MEMORIA!$A:$N,3,FALSE)</f>
        <v>SINAPI</v>
      </c>
      <c r="D356" s="24" t="str">
        <f>VLOOKUP(A356,MEMORIA!$A:$N,4,FALSE)</f>
        <v>LÂMPADA COMPACTA DE LED 10 W, BASE E27 - FORNECIMENTO E INSTALAÇÃO. AF_09/2024</v>
      </c>
      <c r="E356" s="23" t="str">
        <f>VLOOKUP(A356,MEMORIA!$A:$N,5,FALSE)</f>
        <v>UN</v>
      </c>
      <c r="F356" s="5">
        <f>VLOOKUP(A356,MEMORIA!$A:$N,14,FALSE)</f>
        <v>1</v>
      </c>
      <c r="G356" s="5">
        <f>VLOOKUP("TOTAL SEM BDI - "&amp;B356,CPU!$A:$J,9,FALSE)</f>
        <v>13.05</v>
      </c>
      <c r="H356" s="5">
        <f>VLOOKUP("TOTAL COM BDI - "&amp;B356,CPU!$A:$J,9,FALSE)</f>
        <v>16.29</v>
      </c>
      <c r="I356" s="5">
        <f t="shared" si="14"/>
        <v>16.29</v>
      </c>
    </row>
    <row r="357" spans="1:9" ht="28.8" x14ac:dyDescent="0.3">
      <c r="A357" s="23" t="s">
        <v>411</v>
      </c>
      <c r="B357" s="23" t="str">
        <f>VLOOKUP(A357,MEMORIA!$A:$N,2,FALSE)</f>
        <v>COMPINST04</v>
      </c>
      <c r="C357" s="23" t="str">
        <f>VLOOKUP(A357,MEMORIA!$A:$N,3,FALSE)</f>
        <v>PRÓPRIA</v>
      </c>
      <c r="D357" s="24" t="str">
        <f>VLOOKUP(A357,MEMORIA!$A:$N,4,FALSE)</f>
        <v>LUMINÁRIA ARANDELA TIPO MEIA-LUA COM VIDRO FOSCO *30 X 15* CM, PARA 1 LÂMPADA (SINAPI ADAPTADO 97605)</v>
      </c>
      <c r="E357" s="23" t="str">
        <f>VLOOKUP(A357,MEMORIA!$A:$N,5,FALSE)</f>
        <v>UN</v>
      </c>
      <c r="F357" s="5">
        <f>VLOOKUP(A357,MEMORIA!$A:$N,14,FALSE)</f>
        <v>1</v>
      </c>
      <c r="G357" s="5">
        <f>VLOOKUP("TOTAL SEM BDI - "&amp;B357,CPU!$A:$J,9,FALSE)</f>
        <v>83.039999999999992</v>
      </c>
      <c r="H357" s="5">
        <f>VLOOKUP("TOTAL COM BDI - "&amp;B357,CPU!$A:$J,9,FALSE)</f>
        <v>103.66999999999999</v>
      </c>
      <c r="I357" s="5">
        <f t="shared" si="14"/>
        <v>103.67</v>
      </c>
    </row>
    <row r="358" spans="1:9" x14ac:dyDescent="0.3">
      <c r="A358" s="12" t="s">
        <v>101</v>
      </c>
      <c r="B358" s="46" t="str">
        <f>VLOOKUP(A358,MEMORIA!$A:$N,2,FALSE)</f>
        <v>ADUÇÃO</v>
      </c>
      <c r="C358" s="47"/>
      <c r="D358" s="47"/>
      <c r="E358" s="47"/>
      <c r="F358" s="47"/>
      <c r="G358" s="47"/>
      <c r="H358" s="48"/>
      <c r="I358" s="13">
        <f>SUM($I$359,$I$362,$I$364,)</f>
        <v>1351.72</v>
      </c>
    </row>
    <row r="359" spans="1:9" x14ac:dyDescent="0.3">
      <c r="A359" s="15" t="s">
        <v>102</v>
      </c>
      <c r="B359" s="49" t="str">
        <f>VLOOKUP(A359,MEMORIA!$A:$N,2,FALSE)</f>
        <v>MOVIMENTO DE TERRA</v>
      </c>
      <c r="C359" s="50"/>
      <c r="D359" s="50"/>
      <c r="E359" s="50"/>
      <c r="F359" s="50"/>
      <c r="G359" s="50"/>
      <c r="H359" s="51"/>
      <c r="I359" s="16">
        <f>SUM($I$360:$I$361)</f>
        <v>423.02</v>
      </c>
    </row>
    <row r="360" spans="1:9" x14ac:dyDescent="0.3">
      <c r="A360" s="23" t="s">
        <v>412</v>
      </c>
      <c r="B360" s="23">
        <f>VLOOKUP(A360,MEMORIA!$A:$N,2,FALSE)</f>
        <v>93358</v>
      </c>
      <c r="C360" s="23" t="str">
        <f>VLOOKUP(A360,MEMORIA!$A:$N,3,FALSE)</f>
        <v>SINAPI</v>
      </c>
      <c r="D360" s="24" t="str">
        <f>VLOOKUP(A360,MEMORIA!$A:$N,4,FALSE)</f>
        <v>ESCAVAÇÃO MANUAL DE VALA. AF_09/2024</v>
      </c>
      <c r="E360" s="23" t="str">
        <f>VLOOKUP(A360,MEMORIA!$A:$N,5,FALSE)</f>
        <v>M3</v>
      </c>
      <c r="F360" s="5">
        <f>VLOOKUP(A360,MEMORIA!$A:$N,14,FALSE)</f>
        <v>2.76</v>
      </c>
      <c r="G360" s="5">
        <f>VLOOKUP("TOTAL SEM BDI - "&amp;B360,CPU!$A:$J,9,FALSE)</f>
        <v>85.87</v>
      </c>
      <c r="H360" s="5">
        <f>VLOOKUP("TOTAL COM BDI - "&amp;B360,CPU!$A:$J,9,FALSE)</f>
        <v>107.2</v>
      </c>
      <c r="I360" s="5">
        <f>ROUND(F360*H360,2)</f>
        <v>295.87</v>
      </c>
    </row>
    <row r="361" spans="1:9" x14ac:dyDescent="0.3">
      <c r="A361" s="23" t="s">
        <v>413</v>
      </c>
      <c r="B361" s="23" t="str">
        <f>VLOOKUP(A361,MEMORIA!$A:$N,2,FALSE)</f>
        <v>COMPOS28</v>
      </c>
      <c r="C361" s="23" t="str">
        <f>VLOOKUP(A361,MEMORIA!$A:$N,3,FALSE)</f>
        <v>PRÓPRIA</v>
      </c>
      <c r="D361" s="24" t="str">
        <f>VLOOKUP(A361,MEMORIA!$A:$N,4,FALSE)</f>
        <v>REATERRO DE VALA COM COMPACTAÇÃO MANUAL</v>
      </c>
      <c r="E361" s="23" t="str">
        <f>VLOOKUP(A361,MEMORIA!$A:$N,5,FALSE)</f>
        <v>M³</v>
      </c>
      <c r="F361" s="5">
        <f>VLOOKUP(A361,MEMORIA!$A:$N,14,FALSE)</f>
        <v>2.76</v>
      </c>
      <c r="G361" s="5">
        <f>VLOOKUP("TOTAL SEM BDI - "&amp;B361,CPU!$A:$J,9,FALSE)</f>
        <v>36.9</v>
      </c>
      <c r="H361" s="5">
        <f>VLOOKUP("TOTAL COM BDI - "&amp;B361,CPU!$A:$J,9,FALSE)</f>
        <v>46.07</v>
      </c>
      <c r="I361" s="5">
        <f>ROUND(F361*H361,2)</f>
        <v>127.15</v>
      </c>
    </row>
    <row r="362" spans="1:9" x14ac:dyDescent="0.3">
      <c r="A362" s="15" t="s">
        <v>103</v>
      </c>
      <c r="B362" s="49" t="str">
        <f>VLOOKUP(A362,MEMORIA!$A:$N,2,FALSE)</f>
        <v>INFRAESTRUTURA</v>
      </c>
      <c r="C362" s="50"/>
      <c r="D362" s="50"/>
      <c r="E362" s="50"/>
      <c r="F362" s="50"/>
      <c r="G362" s="50"/>
      <c r="H362" s="51"/>
      <c r="I362" s="16">
        <f>SUM($I$363:$I$363)</f>
        <v>265.19</v>
      </c>
    </row>
    <row r="363" spans="1:9" x14ac:dyDescent="0.3">
      <c r="A363" s="23" t="s">
        <v>414</v>
      </c>
      <c r="B363" s="23" t="str">
        <f>VLOOKUP(A363,MEMORIA!$A:$N,2,FALSE)</f>
        <v>C3403</v>
      </c>
      <c r="C363" s="23" t="str">
        <f>VLOOKUP(A363,MEMORIA!$A:$N,3,FALSE)</f>
        <v>SEINFRA</v>
      </c>
      <c r="D363" s="24" t="str">
        <f>VLOOKUP(A363,MEMORIA!$A:$N,4,FALSE)</f>
        <v>BLOCO DE ANCORAGEM EM CONCRETO SIMPLES FCK=10MPa</v>
      </c>
      <c r="E363" s="23" t="str">
        <f>VLOOKUP(A363,MEMORIA!$A:$N,5,FALSE)</f>
        <v>M3</v>
      </c>
      <c r="F363" s="5">
        <f>VLOOKUP(A363,MEMORIA!$A:$N,14,FALSE)</f>
        <v>0.26</v>
      </c>
      <c r="G363" s="5">
        <f>VLOOKUP("TOTAL SEM BDI - "&amp;B363,CPU!$A:$J,9,FALSE)</f>
        <v>817.03</v>
      </c>
      <c r="H363" s="5">
        <f>VLOOKUP("TOTAL COM BDI - "&amp;B363,CPU!$A:$J,9,FALSE)</f>
        <v>1019.98</v>
      </c>
      <c r="I363" s="5">
        <f>ROUND(F363*H363,2)</f>
        <v>265.19</v>
      </c>
    </row>
    <row r="364" spans="1:9" x14ac:dyDescent="0.3">
      <c r="A364" s="15" t="s">
        <v>104</v>
      </c>
      <c r="B364" s="49" t="str">
        <f>VLOOKUP(A364,MEMORIA!$A:$N,2,FALSE)</f>
        <v>INSTALAÇÕES HIDRÁULICAS</v>
      </c>
      <c r="C364" s="50"/>
      <c r="D364" s="50"/>
      <c r="E364" s="50"/>
      <c r="F364" s="50"/>
      <c r="G364" s="50"/>
      <c r="H364" s="51"/>
      <c r="I364" s="16">
        <f>SUM($I$365:$I$366)</f>
        <v>663.51</v>
      </c>
    </row>
    <row r="365" spans="1:9" ht="28.8" x14ac:dyDescent="0.3">
      <c r="A365" s="23" t="s">
        <v>415</v>
      </c>
      <c r="B365" s="23" t="str">
        <f>VLOOKUP(A365,MEMORIA!$A:$N,2,FALSE)</f>
        <v>COMPOS27</v>
      </c>
      <c r="C365" s="23" t="str">
        <f>VLOOKUP(A365,MEMORIA!$A:$N,3,FALSE)</f>
        <v>PRÓPRIA</v>
      </c>
      <c r="D365" s="24" t="str">
        <f>VLOOKUP(A365,MEMORIA!$A:$N,4,FALSE)</f>
        <v>AQUISIÇÃO E ASSENTAMENTO DE TUBO RÍGIDO PVC, CLASSE 12, DN 50 MM, INCLUSO CONEXÕES</v>
      </c>
      <c r="E365" s="23" t="str">
        <f>VLOOKUP(A365,MEMORIA!$A:$N,5,FALSE)</f>
        <v>M</v>
      </c>
      <c r="F365" s="5">
        <f>VLOOKUP(A365,MEMORIA!$A:$N,14,FALSE)</f>
        <v>16</v>
      </c>
      <c r="G365" s="5">
        <f>VLOOKUP("TOTAL SEM BDI - "&amp;B365,CPU!$A:$J,9,FALSE)</f>
        <v>25.79</v>
      </c>
      <c r="H365" s="5">
        <f>VLOOKUP("TOTAL COM BDI - "&amp;B365,CPU!$A:$J,9,FALSE)</f>
        <v>32.200000000000003</v>
      </c>
      <c r="I365" s="5">
        <f>ROUND(F365*H365,2)</f>
        <v>515.20000000000005</v>
      </c>
    </row>
    <row r="366" spans="1:9" ht="28.8" x14ac:dyDescent="0.3">
      <c r="A366" s="23" t="s">
        <v>416</v>
      </c>
      <c r="B366" s="23">
        <f>VLOOKUP(A366,MEMORIA!$A:$N,2,FALSE)</f>
        <v>94497</v>
      </c>
      <c r="C366" s="23" t="str">
        <f>VLOOKUP(A366,MEMORIA!$A:$N,3,FALSE)</f>
        <v>SINAPI</v>
      </c>
      <c r="D366" s="24" t="str">
        <f>VLOOKUP(A366,MEMORIA!$A:$N,4,FALSE)</f>
        <v>REGISTRO DE GAVETA BRUTO, LATÃO, ROSCÁVEL, 1 1/2" - FORNECIMENTO E INSTALAÇÃO. AF_08/2021</v>
      </c>
      <c r="E366" s="23" t="str">
        <f>VLOOKUP(A366,MEMORIA!$A:$N,5,FALSE)</f>
        <v>UN</v>
      </c>
      <c r="F366" s="5">
        <f>VLOOKUP(A366,MEMORIA!$A:$N,14,FALSE)</f>
        <v>1</v>
      </c>
      <c r="G366" s="5">
        <f>VLOOKUP("TOTAL SEM BDI - "&amp;B366,CPU!$A:$J,9,FALSE)</f>
        <v>118.80000000000001</v>
      </c>
      <c r="H366" s="5">
        <f>VLOOKUP("TOTAL COM BDI - "&amp;B366,CPU!$A:$J,9,FALSE)</f>
        <v>148.31</v>
      </c>
      <c r="I366" s="5">
        <f>ROUND(F366*H366,2)</f>
        <v>148.31</v>
      </c>
    </row>
    <row r="367" spans="1:9" x14ac:dyDescent="0.3">
      <c r="A367" s="12" t="s">
        <v>105</v>
      </c>
      <c r="B367" s="46" t="str">
        <f>VLOOKUP(A367,MEMORIA!$A:$N,2,FALSE)</f>
        <v>RESERVAÇÃO</v>
      </c>
      <c r="C367" s="47"/>
      <c r="D367" s="47"/>
      <c r="E367" s="47"/>
      <c r="F367" s="47"/>
      <c r="G367" s="47"/>
      <c r="H367" s="48"/>
      <c r="I367" s="13">
        <f>SUM($I$368:$I$368)</f>
        <v>20347.62</v>
      </c>
    </row>
    <row r="368" spans="1:9" ht="57.6" x14ac:dyDescent="0.3">
      <c r="A368" s="23" t="s">
        <v>417</v>
      </c>
      <c r="B368" s="23" t="str">
        <f>VLOOKUP(A368,MEMORIA!$A:$N,2,FALSE)</f>
        <v>COMPOS32</v>
      </c>
      <c r="C368" s="23" t="str">
        <f>VLOOKUP(A368,MEMORIA!$A:$N,3,FALSE)</f>
        <v>PRÓPRIA</v>
      </c>
      <c r="D368" s="24" t="str">
        <f>VLOOKUP(A368,MEMORIA!$A:$N,4,FALSE)</f>
        <v>RESERVATÓRIO ELEVADO C/ CAIXA D'AGUA EM FIBRA DE VIDRO DE 10.000 LITROS APOIADO EM ESTRUTURA PRÉ-MOLDADA EM CONCRETO, COMPOSTA DE CAPITEL P/APOIO DA CAIXA E PILAR C/ALTURA ÚTIL = 7,00M, INCLUSO FRETE E MONTAGEM NO LOCAL, EXCETO INST. HIDRÁULICA</v>
      </c>
      <c r="E368" s="23" t="str">
        <f>VLOOKUP(A368,MEMORIA!$A:$N,5,FALSE)</f>
        <v>UND</v>
      </c>
      <c r="F368" s="5">
        <f>VLOOKUP(A368,MEMORIA!$A:$N,14,FALSE)</f>
        <v>1</v>
      </c>
      <c r="G368" s="5">
        <f>VLOOKUP("TOTAL SEM BDI - "&amp;B368,CPU!$A:$J,9,FALSE)</f>
        <v>16298.96</v>
      </c>
      <c r="H368" s="5">
        <f>VLOOKUP("TOTAL COM BDI - "&amp;B368,CPU!$A:$J,9,FALSE)</f>
        <v>20347.62</v>
      </c>
      <c r="I368" s="5">
        <f>ROUND(F368*H368,2)</f>
        <v>20347.62</v>
      </c>
    </row>
    <row r="369" spans="1:9" x14ac:dyDescent="0.3">
      <c r="A369" s="12" t="s">
        <v>106</v>
      </c>
      <c r="B369" s="46" t="str">
        <f>VLOOKUP(A369,MEMORIA!$A:$N,2,FALSE)</f>
        <v>DISTRIBUIÇÃO (CHAFARIZ)</v>
      </c>
      <c r="C369" s="47"/>
      <c r="D369" s="47"/>
      <c r="E369" s="47"/>
      <c r="F369" s="47"/>
      <c r="G369" s="47"/>
      <c r="H369" s="48"/>
      <c r="I369" s="13">
        <f>SUM($I$370:$I$381)</f>
        <v>2831.9999999999995</v>
      </c>
    </row>
    <row r="370" spans="1:9" ht="28.8" x14ac:dyDescent="0.3">
      <c r="A370" s="23" t="s">
        <v>418</v>
      </c>
      <c r="B370" s="23" t="str">
        <f>VLOOKUP(A370,MEMORIA!$A:$N,2,FALSE)</f>
        <v>COMPOS27</v>
      </c>
      <c r="C370" s="23" t="str">
        <f>VLOOKUP(A370,MEMORIA!$A:$N,3,FALSE)</f>
        <v>PRÓPRIA</v>
      </c>
      <c r="D370" s="24" t="str">
        <f>VLOOKUP(A370,MEMORIA!$A:$N,4,FALSE)</f>
        <v>AQUISIÇÃO E ASSENTAMENTO DE TUBO RÍGIDO PVC, CLASSE 12, DN 50 MM, INCLUSO CONEXÕES</v>
      </c>
      <c r="E370" s="23" t="str">
        <f>VLOOKUP(A370,MEMORIA!$A:$N,5,FALSE)</f>
        <v>M</v>
      </c>
      <c r="F370" s="5">
        <f>VLOOKUP(A370,MEMORIA!$A:$N,14,FALSE)</f>
        <v>18</v>
      </c>
      <c r="G370" s="5">
        <f>VLOOKUP("TOTAL SEM BDI - "&amp;B370,CPU!$A:$J,9,FALSE)</f>
        <v>25.79</v>
      </c>
      <c r="H370" s="5">
        <f>VLOOKUP("TOTAL COM BDI - "&amp;B370,CPU!$A:$J,9,FALSE)</f>
        <v>32.200000000000003</v>
      </c>
      <c r="I370" s="5">
        <f t="shared" ref="I370:I381" si="15">ROUND(F370*H370,2)</f>
        <v>579.6</v>
      </c>
    </row>
    <row r="371" spans="1:9" ht="28.8" x14ac:dyDescent="0.3">
      <c r="A371" s="23" t="s">
        <v>419</v>
      </c>
      <c r="B371" s="23" t="str">
        <f>VLOOKUP(A371,MEMORIA!$A:$N,2,FALSE)</f>
        <v>06457/ORSE</v>
      </c>
      <c r="C371" s="23" t="str">
        <f>VLOOKUP(A371,MEMORIA!$A:$N,3,FALSE)</f>
        <v>ORSE</v>
      </c>
      <c r="D371" s="24" t="str">
        <f>VLOOKUP(A371,MEMORIA!$A:$N,4,FALSE)</f>
        <v>CONCRETO ARMADO FCK=15MPA FABRICADO NA OBRA, ADENSADO E LANÇADO, PARA USO GERAL, COM FORMAS PLANAS EM COMPENSADO RESINADO 12MM (05 USOS)</v>
      </c>
      <c r="E371" s="23" t="str">
        <f>VLOOKUP(A371,MEMORIA!$A:$N,5,FALSE)</f>
        <v>M3</v>
      </c>
      <c r="F371" s="5">
        <f>VLOOKUP(A371,MEMORIA!$A:$N,14,FALSE)</f>
        <v>0.26</v>
      </c>
      <c r="G371" s="5">
        <f>VLOOKUP("TOTAL SEM BDI - "&amp;B371,CPU!$A:$J,9,FALSE)</f>
        <v>2617.91</v>
      </c>
      <c r="H371" s="5">
        <f>VLOOKUP("TOTAL COM BDI - "&amp;B371,CPU!$A:$J,9,FALSE)</f>
        <v>3268.2</v>
      </c>
      <c r="I371" s="5">
        <f t="shared" si="15"/>
        <v>849.73</v>
      </c>
    </row>
    <row r="372" spans="1:9" ht="28.8" x14ac:dyDescent="0.3">
      <c r="A372" s="23" t="s">
        <v>420</v>
      </c>
      <c r="B372" s="23">
        <f>VLOOKUP(A372,MEMORIA!$A:$N,2,FALSE)</f>
        <v>86906</v>
      </c>
      <c r="C372" s="23" t="str">
        <f>VLOOKUP(A372,MEMORIA!$A:$N,3,FALSE)</f>
        <v>SINAPI</v>
      </c>
      <c r="D372" s="24" t="str">
        <f>VLOOKUP(A372,MEMORIA!$A:$N,4,FALSE)</f>
        <v>TORNEIRA CROMADA DE MESA, 1/2" OU 3/4", PARA LAVATÓRIO, PADRÃO POPULAR - FORNECIMENTO E INSTALAÇÃO. AF_01/2020</v>
      </c>
      <c r="E372" s="23" t="str">
        <f>VLOOKUP(A372,MEMORIA!$A:$N,5,FALSE)</f>
        <v>UN</v>
      </c>
      <c r="F372" s="5">
        <f>VLOOKUP(A372,MEMORIA!$A:$N,14,FALSE)</f>
        <v>4</v>
      </c>
      <c r="G372" s="5">
        <f>VLOOKUP("TOTAL SEM BDI - "&amp;B372,CPU!$A:$J,9,FALSE)</f>
        <v>81.239999999999995</v>
      </c>
      <c r="H372" s="5">
        <f>VLOOKUP("TOTAL COM BDI - "&amp;B372,CPU!$A:$J,9,FALSE)</f>
        <v>101.41999999999999</v>
      </c>
      <c r="I372" s="5">
        <f t="shared" si="15"/>
        <v>405.68</v>
      </c>
    </row>
    <row r="373" spans="1:9" ht="43.2" x14ac:dyDescent="0.3">
      <c r="A373" s="23" t="s">
        <v>421</v>
      </c>
      <c r="B373" s="23">
        <f>VLOOKUP(A373,MEMORIA!$A:$N,2,FALSE)</f>
        <v>92920</v>
      </c>
      <c r="C373" s="23" t="str">
        <f>VLOOKUP(A373,MEMORIA!$A:$N,3,FALSE)</f>
        <v>SINAPI</v>
      </c>
      <c r="D373" s="24" t="str">
        <f>VLOOKUP(A373,MEMORIA!$A:$N,4,FALSE)</f>
        <v>LUVA DE REDUÇÃO, EM FERRO GALVANIZADO, 1" X 3/4", CONEXÃO ROSQUEADA, INSTALADO EM REDE DE ALIMENTAÇÃO PARA HIDRANTE - FORNECIMENTO E INSTALAÇÃO. AF_10/2020</v>
      </c>
      <c r="E373" s="23" t="str">
        <f>VLOOKUP(A373,MEMORIA!$A:$N,5,FALSE)</f>
        <v>UN</v>
      </c>
      <c r="F373" s="5">
        <f>VLOOKUP(A373,MEMORIA!$A:$N,14,FALSE)</f>
        <v>4</v>
      </c>
      <c r="G373" s="5">
        <f>VLOOKUP("TOTAL SEM BDI - "&amp;B373,CPU!$A:$J,9,FALSE)</f>
        <v>35.64</v>
      </c>
      <c r="H373" s="5">
        <f>VLOOKUP("TOTAL COM BDI - "&amp;B373,CPU!$A:$J,9,FALSE)</f>
        <v>44.49</v>
      </c>
      <c r="I373" s="5">
        <f t="shared" si="15"/>
        <v>177.96</v>
      </c>
    </row>
    <row r="374" spans="1:9" x14ac:dyDescent="0.3">
      <c r="A374" s="23" t="s">
        <v>422</v>
      </c>
      <c r="B374" s="23" t="str">
        <f>VLOOKUP(A374,MEMORIA!$A:$N,2,FALSE)</f>
        <v>COMPCH08</v>
      </c>
      <c r="C374" s="23" t="str">
        <f>VLOOKUP(A374,MEMORIA!$A:$N,3,FALSE)</f>
        <v>PRÓPRIA</v>
      </c>
      <c r="D374" s="24" t="str">
        <f>VLOOKUP(A374,MEMORIA!$A:$N,4,FALSE)</f>
        <v>CRUZETA DE FERRO GALVANIZADO, COM ROSCA BSP, DE 1"</v>
      </c>
      <c r="E374" s="23" t="str">
        <f>VLOOKUP(A374,MEMORIA!$A:$N,5,FALSE)</f>
        <v>UN</v>
      </c>
      <c r="F374" s="5">
        <f>VLOOKUP(A374,MEMORIA!$A:$N,14,FALSE)</f>
        <v>1</v>
      </c>
      <c r="G374" s="5">
        <f>VLOOKUP("TOTAL SEM BDI - "&amp;B374,CPU!$A:$J,9,FALSE)</f>
        <v>85.84</v>
      </c>
      <c r="H374" s="5">
        <f>VLOOKUP("TOTAL COM BDI - "&amp;B374,CPU!$A:$J,9,FALSE)</f>
        <v>107.16</v>
      </c>
      <c r="I374" s="5">
        <f t="shared" si="15"/>
        <v>107.16</v>
      </c>
    </row>
    <row r="375" spans="1:9" ht="28.8" x14ac:dyDescent="0.3">
      <c r="A375" s="23" t="s">
        <v>423</v>
      </c>
      <c r="B375" s="23" t="str">
        <f>VLOOKUP(A375,MEMORIA!$A:$N,2,FALSE)</f>
        <v>COMPCH01</v>
      </c>
      <c r="C375" s="23" t="str">
        <f>VLOOKUP(A375,MEMORIA!$A:$N,3,FALSE)</f>
        <v>PRÓPRIA</v>
      </c>
      <c r="D375" s="24" t="str">
        <f>VLOOKUP(A375,MEMORIA!$A:$N,4,FALSE)</f>
        <v>TÊ, EM FERRO GALVANIZADO, 1", CONEXÃO ROSQUEADA, INSTALADO EM PRUMADAS - FORNECIMENTO E INSTALAÇÃO.</v>
      </c>
      <c r="E375" s="23" t="str">
        <f>VLOOKUP(A375,MEMORIA!$A:$N,5,FALSE)</f>
        <v>UN</v>
      </c>
      <c r="F375" s="5">
        <f>VLOOKUP(A375,MEMORIA!$A:$N,14,FALSE)</f>
        <v>1</v>
      </c>
      <c r="G375" s="5">
        <f>VLOOKUP("TOTAL SEM BDI - "&amp;B375,CPU!$A:$J,9,FALSE)</f>
        <v>69.28</v>
      </c>
      <c r="H375" s="5">
        <f>VLOOKUP("TOTAL COM BDI - "&amp;B375,CPU!$A:$J,9,FALSE)</f>
        <v>86.490000000000009</v>
      </c>
      <c r="I375" s="5">
        <f t="shared" si="15"/>
        <v>86.49</v>
      </c>
    </row>
    <row r="376" spans="1:9" x14ac:dyDescent="0.3">
      <c r="A376" s="23" t="s">
        <v>424</v>
      </c>
      <c r="B376" s="23" t="str">
        <f>VLOOKUP(A376,MEMORIA!$A:$N,2,FALSE)</f>
        <v>COMPCH02</v>
      </c>
      <c r="C376" s="23" t="str">
        <f>VLOOKUP(A376,MEMORIA!$A:$N,3,FALSE)</f>
        <v>PRÓPRIA</v>
      </c>
      <c r="D376" s="24" t="str">
        <f>VLOOKUP(A376,MEMORIA!$A:$N,4,FALSE)</f>
        <v>LUVA DE FERRO GALVANIZADO, COM ROSCA BSP, DE 1"- FORNECIMENTO E INSTALAÇÃO</v>
      </c>
      <c r="E376" s="23" t="str">
        <f>VLOOKUP(A376,MEMORIA!$A:$N,5,FALSE)</f>
        <v>UN</v>
      </c>
      <c r="F376" s="5">
        <f>VLOOKUP(A376,MEMORIA!$A:$N,14,FALSE)</f>
        <v>1</v>
      </c>
      <c r="G376" s="5">
        <f>VLOOKUP("TOTAL SEM BDI - "&amp;B376,CPU!$A:$J,9,FALSE)</f>
        <v>21.18</v>
      </c>
      <c r="H376" s="5">
        <f>VLOOKUP("TOTAL COM BDI - "&amp;B376,CPU!$A:$J,9,FALSE)</f>
        <v>26.439999999999998</v>
      </c>
      <c r="I376" s="5">
        <f t="shared" si="15"/>
        <v>26.44</v>
      </c>
    </row>
    <row r="377" spans="1:9" ht="28.8" x14ac:dyDescent="0.3">
      <c r="A377" s="23" t="s">
        <v>425</v>
      </c>
      <c r="B377" s="23" t="str">
        <f>VLOOKUP(A377,MEMORIA!$A:$N,2,FALSE)</f>
        <v>COMPCH03</v>
      </c>
      <c r="C377" s="23" t="str">
        <f>VLOOKUP(A377,MEMORIA!$A:$N,3,FALSE)</f>
        <v>PRÓPRIA</v>
      </c>
      <c r="D377" s="24" t="str">
        <f>VLOOKUP(A377,MEMORIA!$A:$N,4,FALSE)</f>
        <v>CURVA 90 GRAUS DE FERRO GALVANIZADO, COM ROSCA BSP FEMEA, DE 1"- FORNECIMENTO E INSTALAÇÃO</v>
      </c>
      <c r="E377" s="23" t="str">
        <f>VLOOKUP(A377,MEMORIA!$A:$N,5,FALSE)</f>
        <v>UN</v>
      </c>
      <c r="F377" s="5">
        <f>VLOOKUP(A377,MEMORIA!$A:$N,14,FALSE)</f>
        <v>1</v>
      </c>
      <c r="G377" s="5">
        <f>VLOOKUP("TOTAL SEM BDI - "&amp;B377,CPU!$A:$J,9,FALSE)</f>
        <v>55.2</v>
      </c>
      <c r="H377" s="5">
        <f>VLOOKUP("TOTAL COM BDI - "&amp;B377,CPU!$A:$J,9,FALSE)</f>
        <v>68.91</v>
      </c>
      <c r="I377" s="5">
        <f t="shared" si="15"/>
        <v>68.91</v>
      </c>
    </row>
    <row r="378" spans="1:9" ht="28.8" x14ac:dyDescent="0.3">
      <c r="A378" s="23" t="s">
        <v>426</v>
      </c>
      <c r="B378" s="23" t="str">
        <f>VLOOKUP(A378,MEMORIA!$A:$N,2,FALSE)</f>
        <v>COMPCH04</v>
      </c>
      <c r="C378" s="23" t="str">
        <f>VLOOKUP(A378,MEMORIA!$A:$N,3,FALSE)</f>
        <v>PRÓPRIA</v>
      </c>
      <c r="D378" s="24" t="str">
        <f>VLOOKUP(A378,MEMORIA!$A:$N,4,FALSE)</f>
        <v>TUBO DE AÇO GALVANIZADO COM COSTURA 1" (25MM), INCLUSIVE CONEXOES - FORNECIMENTO E INSTALAÇÃO</v>
      </c>
      <c r="E378" s="23" t="str">
        <f>VLOOKUP(A378,MEMORIA!$A:$N,5,FALSE)</f>
        <v>M</v>
      </c>
      <c r="F378" s="5">
        <f>VLOOKUP(A378,MEMORIA!$A:$N,14,FALSE)</f>
        <v>3</v>
      </c>
      <c r="G378" s="5">
        <f>VLOOKUP("TOTAL SEM BDI - "&amp;B378,CPU!$A:$J,9,FALSE)</f>
        <v>46.050000000000004</v>
      </c>
      <c r="H378" s="5">
        <f>VLOOKUP("TOTAL COM BDI - "&amp;B378,CPU!$A:$J,9,FALSE)</f>
        <v>57.49</v>
      </c>
      <c r="I378" s="5">
        <f t="shared" si="15"/>
        <v>172.47</v>
      </c>
    </row>
    <row r="379" spans="1:9" ht="28.8" x14ac:dyDescent="0.3">
      <c r="A379" s="23" t="s">
        <v>427</v>
      </c>
      <c r="B379" s="23" t="str">
        <f>VLOOKUP(A379,MEMORIA!$A:$N,2,FALSE)</f>
        <v>COMPCH05</v>
      </c>
      <c r="C379" s="23" t="str">
        <f>VLOOKUP(A379,MEMORIA!$A:$N,3,FALSE)</f>
        <v>PRÓPRIA</v>
      </c>
      <c r="D379" s="24" t="str">
        <f>VLOOKUP(A379,MEMORIA!$A:$N,4,FALSE)</f>
        <v>BUCHA DE REDUCAO DE FERRO GALVANIZADO, COM ROSCA BSP, DE 1 1/2" X 1"- FORNECIMENTO E INSTALAÇÃO</v>
      </c>
      <c r="E379" s="23" t="str">
        <f>VLOOKUP(A379,MEMORIA!$A:$N,5,FALSE)</f>
        <v>UN</v>
      </c>
      <c r="F379" s="5">
        <f>VLOOKUP(A379,MEMORIA!$A:$N,14,FALSE)</f>
        <v>1</v>
      </c>
      <c r="G379" s="5">
        <f>VLOOKUP("TOTAL SEM BDI - "&amp;B379,CPU!$A:$J,9,FALSE)</f>
        <v>37.659999999999997</v>
      </c>
      <c r="H379" s="5">
        <f>VLOOKUP("TOTAL COM BDI - "&amp;B379,CPU!$A:$J,9,FALSE)</f>
        <v>47.01</v>
      </c>
      <c r="I379" s="5">
        <f t="shared" si="15"/>
        <v>47.01</v>
      </c>
    </row>
    <row r="380" spans="1:9" ht="28.8" x14ac:dyDescent="0.3">
      <c r="A380" s="23" t="s">
        <v>428</v>
      </c>
      <c r="B380" s="23">
        <f>VLOOKUP(A380,MEMORIA!$A:$N,2,FALSE)</f>
        <v>94497</v>
      </c>
      <c r="C380" s="23" t="str">
        <f>VLOOKUP(A380,MEMORIA!$A:$N,3,FALSE)</f>
        <v>SINAPI</v>
      </c>
      <c r="D380" s="24" t="str">
        <f>VLOOKUP(A380,MEMORIA!$A:$N,4,FALSE)</f>
        <v>REGISTRO DE GAVETA BRUTO, LATÃO, ROSCÁVEL, 1 1/2" - FORNECIMENTO E INSTALAÇÃO. AF_08/2021</v>
      </c>
      <c r="E380" s="23" t="str">
        <f>VLOOKUP(A380,MEMORIA!$A:$N,5,FALSE)</f>
        <v>UN</v>
      </c>
      <c r="F380" s="5">
        <f>VLOOKUP(A380,MEMORIA!$A:$N,14,FALSE)</f>
        <v>2</v>
      </c>
      <c r="G380" s="5">
        <f>VLOOKUP("TOTAL SEM BDI - "&amp;B380,CPU!$A:$J,9,FALSE)</f>
        <v>118.80000000000001</v>
      </c>
      <c r="H380" s="5">
        <f>VLOOKUP("TOTAL COM BDI - "&amp;B380,CPU!$A:$J,9,FALSE)</f>
        <v>148.31</v>
      </c>
      <c r="I380" s="5">
        <f t="shared" si="15"/>
        <v>296.62</v>
      </c>
    </row>
    <row r="381" spans="1:9" ht="28.8" x14ac:dyDescent="0.3">
      <c r="A381" s="23" t="s">
        <v>429</v>
      </c>
      <c r="B381" s="23" t="str">
        <f>VLOOKUP(A381,MEMORIA!$A:$N,2,FALSE)</f>
        <v>COMPCH07</v>
      </c>
      <c r="C381" s="23" t="str">
        <f>VLOOKUP(A381,MEMORIA!$A:$N,3,FALSE)</f>
        <v>PRÓPRIA</v>
      </c>
      <c r="D381" s="24" t="str">
        <f>VLOOKUP(A381,MEMORIA!$A:$N,4,FALSE)</f>
        <v>ADAPTADOR CURTO COM BOLSA E ROSCA PARA REGISTRO, PVC, SOLDÁVEL, DN 40MM X 1.1/2, INSTALADO EM PRUMADA DE ÁGUA - FORNECIMENTO E INSTALAÇÃO</v>
      </c>
      <c r="E381" s="23" t="str">
        <f>VLOOKUP(A381,MEMORIA!$A:$N,5,FALSE)</f>
        <v>UN</v>
      </c>
      <c r="F381" s="5">
        <f>VLOOKUP(A381,MEMORIA!$A:$N,14,FALSE)</f>
        <v>1</v>
      </c>
      <c r="G381" s="5">
        <f>VLOOKUP("TOTAL SEM BDI - "&amp;B381,CPU!$A:$J,9,FALSE)</f>
        <v>11.16</v>
      </c>
      <c r="H381" s="5">
        <f>VLOOKUP("TOTAL COM BDI - "&amp;B381,CPU!$A:$J,9,FALSE)</f>
        <v>13.93</v>
      </c>
      <c r="I381" s="5">
        <f t="shared" si="15"/>
        <v>13.93</v>
      </c>
    </row>
    <row r="382" spans="1:9" x14ac:dyDescent="0.3">
      <c r="A382" s="9">
        <v>6</v>
      </c>
      <c r="B382" s="52" t="str">
        <f>VLOOKUP(A382,MEMORIA!$A:$N,2,FALSE)</f>
        <v>COMUNIDADE VÁRZEA</v>
      </c>
      <c r="C382" s="53"/>
      <c r="D382" s="53"/>
      <c r="E382" s="53"/>
      <c r="F382" s="53"/>
      <c r="G382" s="53"/>
      <c r="H382" s="54"/>
      <c r="I382" s="10">
        <f>SUM($I$383,$I$401,$I$408,$I$442,$I$451,$I$460,$I$462,)</f>
        <v>136808.64000000001</v>
      </c>
    </row>
    <row r="383" spans="1:9" x14ac:dyDescent="0.3">
      <c r="A383" s="12" t="s">
        <v>107</v>
      </c>
      <c r="B383" s="46" t="str">
        <f>VLOOKUP(A383,MEMORIA!$A:$N,2,FALSE)</f>
        <v>PERFURAÇÃO DE POÇO TUBULAR</v>
      </c>
      <c r="C383" s="47"/>
      <c r="D383" s="47"/>
      <c r="E383" s="47"/>
      <c r="F383" s="47"/>
      <c r="G383" s="47"/>
      <c r="H383" s="48"/>
      <c r="I383" s="13">
        <f>SUM($I$384:$I$400)</f>
        <v>65232.94</v>
      </c>
    </row>
    <row r="384" spans="1:9" x14ac:dyDescent="0.3">
      <c r="A384" s="23" t="s">
        <v>430</v>
      </c>
      <c r="B384" s="23" t="str">
        <f>VLOOKUP(A384,MEMORIA!$A:$N,2,FALSE)</f>
        <v>COMPOS3</v>
      </c>
      <c r="C384" s="23" t="str">
        <f>VLOOKUP(A384,MEMORIA!$A:$N,3,FALSE)</f>
        <v>PRÓPRIA</v>
      </c>
      <c r="D384" s="24" t="str">
        <f>VLOOKUP(A384,MEMORIA!$A:$N,4,FALSE)</f>
        <v>LOCAÇÃO DO POÇO COM ESTUDO GEOLÓGICO/HIDROGEOLÓGICO/GEOFÍSICO</v>
      </c>
      <c r="E384" s="23" t="str">
        <f>VLOOKUP(A384,MEMORIA!$A:$N,5,FALSE)</f>
        <v>UN</v>
      </c>
      <c r="F384" s="5">
        <f>VLOOKUP(A384,MEMORIA!$A:$N,14,FALSE)</f>
        <v>1</v>
      </c>
      <c r="G384" s="5">
        <f>VLOOKUP("TOTAL SEM BDI - "&amp;B384,CPU!$A:$J,9,FALSE)</f>
        <v>1692.3999999999999</v>
      </c>
      <c r="H384" s="5">
        <f>VLOOKUP("TOTAL COM BDI - "&amp;B384,CPU!$A:$J,9,FALSE)</f>
        <v>2112.79</v>
      </c>
      <c r="I384" s="5">
        <f t="shared" ref="I384:I400" si="16">ROUND(F384*H384,2)</f>
        <v>2112.79</v>
      </c>
    </row>
    <row r="385" spans="1:9" x14ac:dyDescent="0.3">
      <c r="A385" s="23" t="s">
        <v>431</v>
      </c>
      <c r="B385" s="23" t="str">
        <f>VLOOKUP(A385,MEMORIA!$A:$N,2,FALSE)</f>
        <v>COMPOS4</v>
      </c>
      <c r="C385" s="23" t="str">
        <f>VLOOKUP(A385,MEMORIA!$A:$N,3,FALSE)</f>
        <v>PRÓPRIA</v>
      </c>
      <c r="D385" s="24" t="str">
        <f>VLOOKUP(A385,MEMORIA!$A:$N,4,FALSE)</f>
        <v>TRANSPORTE DE MÁQUINAS E EQUIPAMENTOS</v>
      </c>
      <c r="E385" s="23" t="str">
        <f>VLOOKUP(A385,MEMORIA!$A:$N,5,FALSE)</f>
        <v>KM</v>
      </c>
      <c r="F385" s="5">
        <f>VLOOKUP(A385,MEMORIA!$A:$N,14,FALSE)</f>
        <v>66.7</v>
      </c>
      <c r="G385" s="5">
        <f>VLOOKUP("TOTAL SEM BDI - "&amp;B385,CPU!$A:$J,9,FALSE)</f>
        <v>5.5</v>
      </c>
      <c r="H385" s="5">
        <f>VLOOKUP("TOTAL COM BDI - "&amp;B385,CPU!$A:$J,9,FALSE)</f>
        <v>6.87</v>
      </c>
      <c r="I385" s="5">
        <f t="shared" si="16"/>
        <v>458.23</v>
      </c>
    </row>
    <row r="386" spans="1:9" x14ac:dyDescent="0.3">
      <c r="A386" s="23" t="s">
        <v>432</v>
      </c>
      <c r="B386" s="23" t="str">
        <f>VLOOKUP(A386,MEMORIA!$A:$N,2,FALSE)</f>
        <v>COMPOS4</v>
      </c>
      <c r="C386" s="23" t="str">
        <f>VLOOKUP(A386,MEMORIA!$A:$N,3,FALSE)</f>
        <v>PRÓPRIA</v>
      </c>
      <c r="D386" s="24" t="str">
        <f>VLOOKUP(A386,MEMORIA!$A:$N,4,FALSE)</f>
        <v>TRANSPORTE DE MÁQUINAS E EQUIPAMENTOS</v>
      </c>
      <c r="E386" s="23" t="str">
        <f>VLOOKUP(A386,MEMORIA!$A:$N,5,FALSE)</f>
        <v>KM</v>
      </c>
      <c r="F386" s="5">
        <f>VLOOKUP(A386,MEMORIA!$A:$N,14,FALSE)</f>
        <v>66.7</v>
      </c>
      <c r="G386" s="5">
        <f>VLOOKUP("TOTAL SEM BDI - "&amp;B386,CPU!$A:$J,9,FALSE)</f>
        <v>5.5</v>
      </c>
      <c r="H386" s="5">
        <f>VLOOKUP("TOTAL COM BDI - "&amp;B386,CPU!$A:$J,9,FALSE)</f>
        <v>6.87</v>
      </c>
      <c r="I386" s="5">
        <f t="shared" si="16"/>
        <v>458.23</v>
      </c>
    </row>
    <row r="387" spans="1:9" x14ac:dyDescent="0.3">
      <c r="A387" s="23" t="s">
        <v>433</v>
      </c>
      <c r="B387" s="23" t="str">
        <f>VLOOKUP(A387,MEMORIA!$A:$N,2,FALSE)</f>
        <v>COMPOS5</v>
      </c>
      <c r="C387" s="23" t="str">
        <f>VLOOKUP(A387,MEMORIA!$A:$N,3,FALSE)</f>
        <v>PRÓPRIA</v>
      </c>
      <c r="D387" s="24" t="str">
        <f>VLOOKUP(A387,MEMORIA!$A:$N,4,FALSE)</f>
        <v>PERFILAGEM ÓTICA</v>
      </c>
      <c r="E387" s="23" t="str">
        <f>VLOOKUP(A387,MEMORIA!$A:$N,5,FALSE)</f>
        <v>UN</v>
      </c>
      <c r="F387" s="5">
        <f>VLOOKUP(A387,MEMORIA!$A:$N,14,FALSE)</f>
        <v>1</v>
      </c>
      <c r="G387" s="5">
        <f>VLOOKUP("TOTAL SEM BDI - "&amp;B387,CPU!$A:$J,9,FALSE)</f>
        <v>2908.88</v>
      </c>
      <c r="H387" s="5">
        <f>VLOOKUP("TOTAL COM BDI - "&amp;B387,CPU!$A:$J,9,FALSE)</f>
        <v>3631.4500000000003</v>
      </c>
      <c r="I387" s="5">
        <f t="shared" si="16"/>
        <v>3631.45</v>
      </c>
    </row>
    <row r="388" spans="1:9" x14ac:dyDescent="0.3">
      <c r="A388" s="23" t="s">
        <v>434</v>
      </c>
      <c r="B388" s="23" t="str">
        <f>VLOOKUP(A388,MEMORIA!$A:$N,2,FALSE)</f>
        <v>COMPOS6</v>
      </c>
      <c r="C388" s="23" t="str">
        <f>VLOOKUP(A388,MEMORIA!$A:$N,3,FALSE)</f>
        <v>PRÓPRIA</v>
      </c>
      <c r="D388" s="24" t="str">
        <f>VLOOKUP(A388,MEMORIA!$A:$N,4,FALSE)</f>
        <v>PERFURAÇÃO EM 10'' (SEDIMENTO)</v>
      </c>
      <c r="E388" s="23" t="str">
        <f>VLOOKUP(A388,MEMORIA!$A:$N,5,FALSE)</f>
        <v>M</v>
      </c>
      <c r="F388" s="5">
        <f>VLOOKUP(A388,MEMORIA!$A:$N,14,FALSE)</f>
        <v>35</v>
      </c>
      <c r="G388" s="5">
        <f>VLOOKUP("TOTAL SEM BDI - "&amp;B388,CPU!$A:$J,9,FALSE)</f>
        <v>288.94</v>
      </c>
      <c r="H388" s="5">
        <f>VLOOKUP("TOTAL COM BDI - "&amp;B388,CPU!$A:$J,9,FALSE)</f>
        <v>360.71</v>
      </c>
      <c r="I388" s="5">
        <f t="shared" si="16"/>
        <v>12624.85</v>
      </c>
    </row>
    <row r="389" spans="1:9" x14ac:dyDescent="0.3">
      <c r="A389" s="23" t="s">
        <v>435</v>
      </c>
      <c r="B389" s="23" t="str">
        <f>VLOOKUP(A389,MEMORIA!$A:$N,2,FALSE)</f>
        <v>COMPOS7</v>
      </c>
      <c r="C389" s="23" t="str">
        <f>VLOOKUP(A389,MEMORIA!$A:$N,3,FALSE)</f>
        <v>PRÓPRIA</v>
      </c>
      <c r="D389" s="24" t="str">
        <f>VLOOKUP(A389,MEMORIA!$A:$N,4,FALSE)</f>
        <v>PERFURAÇÃO EM 8'' (ROCHA CRISTALINA)</v>
      </c>
      <c r="E389" s="23" t="str">
        <f>VLOOKUP(A389,MEMORIA!$A:$N,5,FALSE)</f>
        <v>M</v>
      </c>
      <c r="F389" s="5">
        <f>VLOOKUP(A389,MEMORIA!$A:$N,14,FALSE)</f>
        <v>0</v>
      </c>
      <c r="G389" s="5">
        <f>VLOOKUP("TOTAL SEM BDI - "&amp;B389,CPU!$A:$J,9,FALSE)</f>
        <v>368.84000000000003</v>
      </c>
      <c r="H389" s="5">
        <f>VLOOKUP("TOTAL COM BDI - "&amp;B389,CPU!$A:$J,9,FALSE)</f>
        <v>460.46000000000004</v>
      </c>
      <c r="I389" s="5">
        <f t="shared" si="16"/>
        <v>0</v>
      </c>
    </row>
    <row r="390" spans="1:9" x14ac:dyDescent="0.3">
      <c r="A390" s="23" t="s">
        <v>436</v>
      </c>
      <c r="B390" s="23" t="str">
        <f>VLOOKUP(A390,MEMORIA!$A:$N,2,FALSE)</f>
        <v>COMPOS8</v>
      </c>
      <c r="C390" s="23" t="str">
        <f>VLOOKUP(A390,MEMORIA!$A:$N,3,FALSE)</f>
        <v>PRÓPRIA</v>
      </c>
      <c r="D390" s="24" t="str">
        <f>VLOOKUP(A390,MEMORIA!$A:$N,4,FALSE)</f>
        <v>PERFURAÇÃO EM 6'' (SEDIMENTO)</v>
      </c>
      <c r="E390" s="23" t="str">
        <f>VLOOKUP(A390,MEMORIA!$A:$N,5,FALSE)</f>
        <v>M</v>
      </c>
      <c r="F390" s="5">
        <f>VLOOKUP(A390,MEMORIA!$A:$N,14,FALSE)</f>
        <v>95</v>
      </c>
      <c r="G390" s="5">
        <f>VLOOKUP("TOTAL SEM BDI - "&amp;B390,CPU!$A:$J,9,FALSE)</f>
        <v>231.16</v>
      </c>
      <c r="H390" s="5">
        <f>VLOOKUP("TOTAL COM BDI - "&amp;B390,CPU!$A:$J,9,FALSE)</f>
        <v>288.58</v>
      </c>
      <c r="I390" s="5">
        <f t="shared" si="16"/>
        <v>27415.1</v>
      </c>
    </row>
    <row r="391" spans="1:9" x14ac:dyDescent="0.3">
      <c r="A391" s="23" t="s">
        <v>437</v>
      </c>
      <c r="B391" s="23" t="str">
        <f>VLOOKUP(A391,MEMORIA!$A:$N,2,FALSE)</f>
        <v>COMPOS9</v>
      </c>
      <c r="C391" s="23" t="str">
        <f>VLOOKUP(A391,MEMORIA!$A:$N,3,FALSE)</f>
        <v>PRÓPRIA</v>
      </c>
      <c r="D391" s="24" t="str">
        <f>VLOOKUP(A391,MEMORIA!$A:$N,4,FALSE)</f>
        <v>PERFURAÇÃO EM 6'' (ROCHA CRISTALINA)</v>
      </c>
      <c r="E391" s="23" t="str">
        <f>VLOOKUP(A391,MEMORIA!$A:$N,5,FALSE)</f>
        <v>M</v>
      </c>
      <c r="F391" s="5">
        <f>VLOOKUP(A391,MEMORIA!$A:$N,14,FALSE)</f>
        <v>0</v>
      </c>
      <c r="G391" s="5">
        <f>VLOOKUP("TOTAL SEM BDI - "&amp;B391,CPU!$A:$J,9,FALSE)</f>
        <v>330.20000000000005</v>
      </c>
      <c r="H391" s="5">
        <f>VLOOKUP("TOTAL COM BDI - "&amp;B391,CPU!$A:$J,9,FALSE)</f>
        <v>412.22</v>
      </c>
      <c r="I391" s="5">
        <f t="shared" si="16"/>
        <v>0</v>
      </c>
    </row>
    <row r="392" spans="1:9" x14ac:dyDescent="0.3">
      <c r="A392" s="23" t="s">
        <v>438</v>
      </c>
      <c r="B392" s="23" t="str">
        <f>VLOOKUP(A392,MEMORIA!$A:$N,2,FALSE)</f>
        <v>COMPOS10</v>
      </c>
      <c r="C392" s="23" t="str">
        <f>VLOOKUP(A392,MEMORIA!$A:$N,3,FALSE)</f>
        <v>PRÓPRIA</v>
      </c>
      <c r="D392" s="24" t="str">
        <f>VLOOKUP(A392,MEMORIA!$A:$N,4,FALSE)</f>
        <v>CIMENTAÇÃO SANITÁRIA</v>
      </c>
      <c r="E392" s="23" t="str">
        <f>VLOOKUP(A392,MEMORIA!$A:$N,5,FALSE)</f>
        <v>M³</v>
      </c>
      <c r="F392" s="5">
        <f>VLOOKUP(A392,MEMORIA!$A:$N,14,FALSE)</f>
        <v>4.55</v>
      </c>
      <c r="G392" s="5">
        <f>VLOOKUP("TOTAL SEM BDI - "&amp;B392,CPU!$A:$J,9,FALSE)</f>
        <v>164.58999999999997</v>
      </c>
      <c r="H392" s="5">
        <f>VLOOKUP("TOTAL COM BDI - "&amp;B392,CPU!$A:$J,9,FALSE)</f>
        <v>205.46999999999997</v>
      </c>
      <c r="I392" s="5">
        <f t="shared" si="16"/>
        <v>934.89</v>
      </c>
    </row>
    <row r="393" spans="1:9" x14ac:dyDescent="0.3">
      <c r="A393" s="23" t="s">
        <v>439</v>
      </c>
      <c r="B393" s="23" t="str">
        <f>VLOOKUP(A393,MEMORIA!$A:$N,2,FALSE)</f>
        <v>COMPOS11</v>
      </c>
      <c r="C393" s="23" t="str">
        <f>VLOOKUP(A393,MEMORIA!$A:$N,3,FALSE)</f>
        <v>PRÓPRIA</v>
      </c>
      <c r="D393" s="24" t="str">
        <f>VLOOKUP(A393,MEMORIA!$A:$N,4,FALSE)</f>
        <v>LAJE DE PROTEÇÃO EM CONCRETO (1,0 M X 1,0 M X 0,15 M)</v>
      </c>
      <c r="E393" s="23" t="str">
        <f>VLOOKUP(A393,MEMORIA!$A:$N,5,FALSE)</f>
        <v>M³</v>
      </c>
      <c r="F393" s="5">
        <f>VLOOKUP(A393,MEMORIA!$A:$N,14,FALSE)</f>
        <v>0.15</v>
      </c>
      <c r="G393" s="5">
        <f>VLOOKUP("TOTAL SEM BDI - "&amp;B393,CPU!$A:$J,9,FALSE)</f>
        <v>1259.1399999999999</v>
      </c>
      <c r="H393" s="5">
        <f>VLOOKUP("TOTAL COM BDI - "&amp;B393,CPU!$A:$J,9,FALSE)</f>
        <v>1571.9099999999999</v>
      </c>
      <c r="I393" s="5">
        <f t="shared" si="16"/>
        <v>235.79</v>
      </c>
    </row>
    <row r="394" spans="1:9" x14ac:dyDescent="0.3">
      <c r="A394" s="23" t="s">
        <v>440</v>
      </c>
      <c r="B394" s="23" t="str">
        <f>VLOOKUP(A394,MEMORIA!$A:$N,2,FALSE)</f>
        <v>COMPOS12</v>
      </c>
      <c r="C394" s="23" t="str">
        <f>VLOOKUP(A394,MEMORIA!$A:$N,3,FALSE)</f>
        <v>PRÓPRIA</v>
      </c>
      <c r="D394" s="24" t="str">
        <f>VLOOKUP(A394,MEMORIA!$A:$N,4,FALSE)</f>
        <v>DESENVOLVIMENTO COM BOMBA SUBMERSA</v>
      </c>
      <c r="E394" s="23" t="str">
        <f>VLOOKUP(A394,MEMORIA!$A:$N,5,FALSE)</f>
        <v>H</v>
      </c>
      <c r="F394" s="5">
        <f>VLOOKUP(A394,MEMORIA!$A:$N,14,FALSE)</f>
        <v>6</v>
      </c>
      <c r="G394" s="5">
        <f>VLOOKUP("TOTAL SEM BDI - "&amp;B394,CPU!$A:$J,9,FALSE)</f>
        <v>513.45000000000005</v>
      </c>
      <c r="H394" s="5">
        <f>VLOOKUP("TOTAL COM BDI - "&amp;B394,CPU!$A:$J,9,FALSE)</f>
        <v>640.99</v>
      </c>
      <c r="I394" s="5">
        <f t="shared" si="16"/>
        <v>3845.94</v>
      </c>
    </row>
    <row r="395" spans="1:9" x14ac:dyDescent="0.3">
      <c r="A395" s="23" t="s">
        <v>441</v>
      </c>
      <c r="B395" s="23" t="str">
        <f>VLOOKUP(A395,MEMORIA!$A:$N,2,FALSE)</f>
        <v>COMPOS13</v>
      </c>
      <c r="C395" s="23" t="str">
        <f>VLOOKUP(A395,MEMORIA!$A:$N,3,FALSE)</f>
        <v>PRÓPRIA</v>
      </c>
      <c r="D395" s="24" t="str">
        <f>VLOOKUP(A395,MEMORIA!$A:$N,4,FALSE)</f>
        <v>TESTE VAZÃO COM BOMBA SUBMERSA</v>
      </c>
      <c r="E395" s="23" t="str">
        <f>VLOOKUP(A395,MEMORIA!$A:$N,5,FALSE)</f>
        <v>H</v>
      </c>
      <c r="F395" s="5">
        <f>VLOOKUP(A395,MEMORIA!$A:$N,14,FALSE)</f>
        <v>24</v>
      </c>
      <c r="G395" s="5">
        <f>VLOOKUP("TOTAL SEM BDI - "&amp;B395,CPU!$A:$J,9,FALSE)</f>
        <v>95.539999999999992</v>
      </c>
      <c r="H395" s="5">
        <f>VLOOKUP("TOTAL COM BDI - "&amp;B395,CPU!$A:$J,9,FALSE)</f>
        <v>119.27</v>
      </c>
      <c r="I395" s="5">
        <f t="shared" si="16"/>
        <v>2862.48</v>
      </c>
    </row>
    <row r="396" spans="1:9" x14ac:dyDescent="0.3">
      <c r="A396" s="23" t="s">
        <v>442</v>
      </c>
      <c r="B396" s="23" t="str">
        <f>VLOOKUP(A396,MEMORIA!$A:$N,2,FALSE)</f>
        <v>COMPOS14</v>
      </c>
      <c r="C396" s="23" t="str">
        <f>VLOOKUP(A396,MEMORIA!$A:$N,3,FALSE)</f>
        <v>PRÓPRIA</v>
      </c>
      <c r="D396" s="24" t="str">
        <f>VLOOKUP(A396,MEMORIA!$A:$N,4,FALSE)</f>
        <v>DESINFECÇÃO</v>
      </c>
      <c r="E396" s="23" t="str">
        <f>VLOOKUP(A396,MEMORIA!$A:$N,5,FALSE)</f>
        <v>H</v>
      </c>
      <c r="F396" s="5">
        <f>VLOOKUP(A396,MEMORIA!$A:$N,14,FALSE)</f>
        <v>6</v>
      </c>
      <c r="G396" s="5">
        <f>VLOOKUP("TOTAL SEM BDI - "&amp;B396,CPU!$A:$J,9,FALSE)</f>
        <v>100.11000000000003</v>
      </c>
      <c r="H396" s="5">
        <f>VLOOKUP("TOTAL COM BDI - "&amp;B396,CPU!$A:$J,9,FALSE)</f>
        <v>124.98000000000003</v>
      </c>
      <c r="I396" s="5">
        <f t="shared" si="16"/>
        <v>749.88</v>
      </c>
    </row>
    <row r="397" spans="1:9" x14ac:dyDescent="0.3">
      <c r="A397" s="23" t="s">
        <v>443</v>
      </c>
      <c r="B397" s="23" t="str">
        <f>VLOOKUP(A397,MEMORIA!$A:$N,2,FALSE)</f>
        <v>COMPOS15</v>
      </c>
      <c r="C397" s="23" t="str">
        <f>VLOOKUP(A397,MEMORIA!$A:$N,3,FALSE)</f>
        <v>PRÓPRIA</v>
      </c>
      <c r="D397" s="24" t="str">
        <f>VLOOKUP(A397,MEMORIA!$A:$N,4,FALSE)</f>
        <v>RELATÓRIO TÉCNICO</v>
      </c>
      <c r="E397" s="23" t="str">
        <f>VLOOKUP(A397,MEMORIA!$A:$N,5,FALSE)</f>
        <v>UN</v>
      </c>
      <c r="F397" s="5">
        <f>VLOOKUP(A397,MEMORIA!$A:$N,14,FALSE)</f>
        <v>1</v>
      </c>
      <c r="G397" s="5">
        <f>VLOOKUP("TOTAL SEM BDI - "&amp;B397,CPU!$A:$J,9,FALSE)</f>
        <v>1110.2</v>
      </c>
      <c r="H397" s="5">
        <f>VLOOKUP("TOTAL COM BDI - "&amp;B397,CPU!$A:$J,9,FALSE)</f>
        <v>1385.97</v>
      </c>
      <c r="I397" s="5">
        <f t="shared" si="16"/>
        <v>1385.97</v>
      </c>
    </row>
    <row r="398" spans="1:9" x14ac:dyDescent="0.3">
      <c r="A398" s="23" t="s">
        <v>444</v>
      </c>
      <c r="B398" s="23" t="str">
        <f>VLOOKUP(A398,MEMORIA!$A:$N,2,FALSE)</f>
        <v>COMPOS16</v>
      </c>
      <c r="C398" s="23" t="str">
        <f>VLOOKUP(A398,MEMORIA!$A:$N,3,FALSE)</f>
        <v>PRÓPRIA</v>
      </c>
      <c r="D398" s="24" t="str">
        <f>VLOOKUP(A398,MEMORIA!$A:$N,4,FALSE)</f>
        <v>ANÁLISE FÍSICO-QUÍMICA DA ÁGUA</v>
      </c>
      <c r="E398" s="23" t="str">
        <f>VLOOKUP(A398,MEMORIA!$A:$N,5,FALSE)</f>
        <v>UN</v>
      </c>
      <c r="F398" s="5">
        <f>VLOOKUP(A398,MEMORIA!$A:$N,14,FALSE)</f>
        <v>1</v>
      </c>
      <c r="G398" s="5">
        <f>VLOOKUP("TOTAL SEM BDI - "&amp;B398,CPU!$A:$J,9,FALSE)</f>
        <v>565.21</v>
      </c>
      <c r="H398" s="5">
        <f>VLOOKUP("TOTAL COM BDI - "&amp;B398,CPU!$A:$J,9,FALSE)</f>
        <v>705.61</v>
      </c>
      <c r="I398" s="5">
        <f t="shared" si="16"/>
        <v>705.61</v>
      </c>
    </row>
    <row r="399" spans="1:9" x14ac:dyDescent="0.3">
      <c r="A399" s="23" t="s">
        <v>445</v>
      </c>
      <c r="B399" s="23" t="str">
        <f>VLOOKUP(A399,MEMORIA!$A:$N,2,FALSE)</f>
        <v>COMPOS1</v>
      </c>
      <c r="C399" s="23" t="str">
        <f>VLOOKUP(A399,MEMORIA!$A:$N,3,FALSE)</f>
        <v>PRÓPRIA</v>
      </c>
      <c r="D399" s="24" t="str">
        <f>VLOOKUP(A399,MEMORIA!$A:$N,4,FALSE)</f>
        <v>FORNECIMENTO E INSTALAÇÃO DE REVESTIMENTO GEOMECÂNICO STANDART DN-154-S</v>
      </c>
      <c r="E399" s="23" t="str">
        <f>VLOOKUP(A399,MEMORIA!$A:$N,5,FALSE)</f>
        <v>M</v>
      </c>
      <c r="F399" s="5">
        <f>VLOOKUP(A399,MEMORIA!$A:$N,14,FALSE)</f>
        <v>36</v>
      </c>
      <c r="G399" s="5">
        <f>VLOOKUP("TOTAL SEM BDI - "&amp;B399,CPU!$A:$J,9,FALSE)</f>
        <v>170.76</v>
      </c>
      <c r="H399" s="5">
        <f>VLOOKUP("TOTAL COM BDI - "&amp;B399,CPU!$A:$J,9,FALSE)</f>
        <v>213.18</v>
      </c>
      <c r="I399" s="5">
        <f t="shared" si="16"/>
        <v>7674.48</v>
      </c>
    </row>
    <row r="400" spans="1:9" x14ac:dyDescent="0.3">
      <c r="A400" s="23" t="s">
        <v>446</v>
      </c>
      <c r="B400" s="23" t="str">
        <f>VLOOKUP(A400,MEMORIA!$A:$N,2,FALSE)</f>
        <v>COMPOS2</v>
      </c>
      <c r="C400" s="23" t="str">
        <f>VLOOKUP(A400,MEMORIA!$A:$N,3,FALSE)</f>
        <v>PRÓPRIA</v>
      </c>
      <c r="D400" s="24" t="str">
        <f>VLOOKUP(A400,MEMORIA!$A:$N,4,FALSE)</f>
        <v>FORNECIMENTO E INSTALAÇÃO DE TAMPA PARA POÇO</v>
      </c>
      <c r="E400" s="23" t="str">
        <f>VLOOKUP(A400,MEMORIA!$A:$N,5,FALSE)</f>
        <v>UN</v>
      </c>
      <c r="F400" s="5">
        <f>VLOOKUP(A400,MEMORIA!$A:$N,14,FALSE)</f>
        <v>1</v>
      </c>
      <c r="G400" s="5">
        <f>VLOOKUP("TOTAL SEM BDI - "&amp;B400,CPU!$A:$J,9,FALSE)</f>
        <v>109.94</v>
      </c>
      <c r="H400" s="5">
        <f>VLOOKUP("TOTAL COM BDI - "&amp;B400,CPU!$A:$J,9,FALSE)</f>
        <v>137.25</v>
      </c>
      <c r="I400" s="5">
        <f t="shared" si="16"/>
        <v>137.25</v>
      </c>
    </row>
    <row r="401" spans="1:9" x14ac:dyDescent="0.3">
      <c r="A401" s="12" t="s">
        <v>108</v>
      </c>
      <c r="B401" s="46" t="str">
        <f>VLOOKUP(A401,MEMORIA!$A:$N,2,FALSE)</f>
        <v>AQUISIÇÃO E INSTALAÇÃO DE EQUIPAMENTOS DE BOMBEAMENTO, RECALQUE/BARRILETE E CONEXÕES PARA INTERLIGAÇÃO COM RESERVATÓRIO</v>
      </c>
      <c r="C401" s="47"/>
      <c r="D401" s="47"/>
      <c r="E401" s="47"/>
      <c r="F401" s="47"/>
      <c r="G401" s="47"/>
      <c r="H401" s="48"/>
      <c r="I401" s="13">
        <f>SUM($I$402:$I$407)</f>
        <v>19625.579999999998</v>
      </c>
    </row>
    <row r="402" spans="1:9" ht="28.8" x14ac:dyDescent="0.3">
      <c r="A402" s="23" t="s">
        <v>447</v>
      </c>
      <c r="B402" s="23" t="str">
        <f>VLOOKUP(A402,MEMORIA!$A:$N,2,FALSE)</f>
        <v>COMPOS17</v>
      </c>
      <c r="C402" s="23" t="str">
        <f>VLOOKUP(A402,MEMORIA!$A:$N,3,FALSE)</f>
        <v>PRÓPRIA</v>
      </c>
      <c r="D402" s="24" t="str">
        <f>VLOOKUP(A402,MEMORIA!$A:$N,4,FALSE)</f>
        <v>FORNECIMENTO E INSTALAÇÃO DE BOMBA SUBMERSA DE 3CV, MONOFÁSICA, 220 V, LEÃO OU SIMILAR</v>
      </c>
      <c r="E402" s="23" t="str">
        <f>VLOOKUP(A402,MEMORIA!$A:$N,5,FALSE)</f>
        <v>UN</v>
      </c>
      <c r="F402" s="5">
        <f>VLOOKUP(A402,MEMORIA!$A:$N,14,FALSE)</f>
        <v>1</v>
      </c>
      <c r="G402" s="5">
        <f>VLOOKUP("TOTAL SEM BDI - "&amp;B402,CPU!$A:$J,9,FALSE)</f>
        <v>3515.68</v>
      </c>
      <c r="H402" s="5">
        <f>VLOOKUP("TOTAL COM BDI - "&amp;B402,CPU!$A:$J,9,FALSE)</f>
        <v>4388.9699999999993</v>
      </c>
      <c r="I402" s="5">
        <f t="shared" ref="I402:I407" si="17">ROUND(F402*H402,2)</f>
        <v>4388.97</v>
      </c>
    </row>
    <row r="403" spans="1:9" ht="28.8" x14ac:dyDescent="0.3">
      <c r="A403" s="23" t="s">
        <v>448</v>
      </c>
      <c r="B403" s="23" t="str">
        <f>VLOOKUP(A403,MEMORIA!$A:$N,2,FALSE)</f>
        <v>COMPOS29</v>
      </c>
      <c r="C403" s="23" t="str">
        <f>VLOOKUP(A403,MEMORIA!$A:$N,3,FALSE)</f>
        <v>PRÓPRIA</v>
      </c>
      <c r="D403" s="24" t="str">
        <f>VLOOKUP(A403,MEMORIA!$A:$N,4,FALSE)</f>
        <v>FORNECIMENTO E INSTALAÇÃO DE PAINEL DE COMANDO ELÉTRICO PARA BOMBA 3CV, MONOFÁSICO</v>
      </c>
      <c r="E403" s="23" t="str">
        <f>VLOOKUP(A403,MEMORIA!$A:$N,5,FALSE)</f>
        <v>UN</v>
      </c>
      <c r="F403" s="5">
        <f>VLOOKUP(A403,MEMORIA!$A:$N,14,FALSE)</f>
        <v>1</v>
      </c>
      <c r="G403" s="5">
        <f>VLOOKUP("TOTAL SEM BDI - "&amp;B403,CPU!$A:$J,9,FALSE)</f>
        <v>773.3</v>
      </c>
      <c r="H403" s="5">
        <f>VLOOKUP("TOTAL COM BDI - "&amp;B403,CPU!$A:$J,9,FALSE)</f>
        <v>965.39</v>
      </c>
      <c r="I403" s="5">
        <f t="shared" si="17"/>
        <v>965.39</v>
      </c>
    </row>
    <row r="404" spans="1:9" x14ac:dyDescent="0.3">
      <c r="A404" s="23" t="s">
        <v>449</v>
      </c>
      <c r="B404" s="23" t="str">
        <f>VLOOKUP(A404,MEMORIA!$A:$N,2,FALSE)</f>
        <v>COMPOS19</v>
      </c>
      <c r="C404" s="23" t="str">
        <f>VLOOKUP(A404,MEMORIA!$A:$N,3,FALSE)</f>
        <v>PRÓPRIA</v>
      </c>
      <c r="D404" s="24" t="str">
        <f>VLOOKUP(A404,MEMORIA!$A:$N,4,FALSE)</f>
        <v>FORNECIMENTO E INSTALAÇÃO DE TUBO EDUTOR DE PVC DE 1.1/2'' COM LUVA</v>
      </c>
      <c r="E404" s="23" t="str">
        <f>VLOOKUP(A404,MEMORIA!$A:$N,5,FALSE)</f>
        <v>M</v>
      </c>
      <c r="F404" s="5">
        <f>VLOOKUP(A404,MEMORIA!$A:$N,14,FALSE)</f>
        <v>110</v>
      </c>
      <c r="G404" s="5">
        <f>VLOOKUP("TOTAL SEM BDI - "&amp;B404,CPU!$A:$J,9,FALSE)</f>
        <v>46.25</v>
      </c>
      <c r="H404" s="5">
        <f>VLOOKUP("TOTAL COM BDI - "&amp;B404,CPU!$A:$J,9,FALSE)</f>
        <v>57.74</v>
      </c>
      <c r="I404" s="5">
        <f t="shared" si="17"/>
        <v>6351.4</v>
      </c>
    </row>
    <row r="405" spans="1:9" x14ac:dyDescent="0.3">
      <c r="A405" s="23" t="s">
        <v>450</v>
      </c>
      <c r="B405" s="23" t="str">
        <f>VLOOKUP(A405,MEMORIA!$A:$N,2,FALSE)</f>
        <v>COMPOS24</v>
      </c>
      <c r="C405" s="23" t="str">
        <f>VLOOKUP(A405,MEMORIA!$A:$N,3,FALSE)</f>
        <v>PRÓPRIA</v>
      </c>
      <c r="D405" s="24" t="str">
        <f>VLOOKUP(A405,MEMORIA!$A:$N,4,FALSE)</f>
        <v>FORNECIMENTO E INSTALAÇÃO DE CABO CHATO SUBMERSO DE 3 X 6 MM²</v>
      </c>
      <c r="E405" s="23" t="str">
        <f>VLOOKUP(A405,MEMORIA!$A:$N,5,FALSE)</f>
        <v>M</v>
      </c>
      <c r="F405" s="5">
        <f>VLOOKUP(A405,MEMORIA!$A:$N,14,FALSE)</f>
        <v>120</v>
      </c>
      <c r="G405" s="5">
        <f>VLOOKUP("TOTAL SEM BDI - "&amp;B405,CPU!$A:$J,9,FALSE)</f>
        <v>25.98</v>
      </c>
      <c r="H405" s="5">
        <f>VLOOKUP("TOTAL COM BDI - "&amp;B405,CPU!$A:$J,9,FALSE)</f>
        <v>32.43</v>
      </c>
      <c r="I405" s="5">
        <f t="shared" si="17"/>
        <v>3891.6</v>
      </c>
    </row>
    <row r="406" spans="1:9" x14ac:dyDescent="0.3">
      <c r="A406" s="23" t="s">
        <v>451</v>
      </c>
      <c r="B406" s="23" t="str">
        <f>VLOOKUP(A406,MEMORIA!$A:$N,2,FALSE)</f>
        <v>COMPOS21</v>
      </c>
      <c r="C406" s="23" t="str">
        <f>VLOOKUP(A406,MEMORIA!$A:$N,3,FALSE)</f>
        <v>PRÓPRIA</v>
      </c>
      <c r="D406" s="24" t="str">
        <f>VLOOKUP(A406,MEMORIA!$A:$N,4,FALSE)</f>
        <v>BARRILETE (CURVAS E CONEXÕES)</v>
      </c>
      <c r="E406" s="23" t="str">
        <f>VLOOKUP(A406,MEMORIA!$A:$N,5,FALSE)</f>
        <v>UN</v>
      </c>
      <c r="F406" s="5">
        <f>VLOOKUP(A406,MEMORIA!$A:$N,14,FALSE)</f>
        <v>1</v>
      </c>
      <c r="G406" s="5">
        <f>VLOOKUP("TOTAL SEM BDI - "&amp;B406,CPU!$A:$J,9,FALSE)</f>
        <v>2135.96</v>
      </c>
      <c r="H406" s="5">
        <f>VLOOKUP("TOTAL COM BDI - "&amp;B406,CPU!$A:$J,9,FALSE)</f>
        <v>2666.53</v>
      </c>
      <c r="I406" s="5">
        <f t="shared" si="17"/>
        <v>2666.53</v>
      </c>
    </row>
    <row r="407" spans="1:9" x14ac:dyDescent="0.3">
      <c r="A407" s="23" t="s">
        <v>452</v>
      </c>
      <c r="B407" s="23" t="str">
        <f>VLOOKUP(A407,MEMORIA!$A:$N,2,FALSE)</f>
        <v>COMPOS26</v>
      </c>
      <c r="C407" s="23" t="str">
        <f>VLOOKUP(A407,MEMORIA!$A:$N,3,FALSE)</f>
        <v>PRÓPRIA</v>
      </c>
      <c r="D407" s="24" t="str">
        <f>VLOOKUP(A407,MEMORIA!$A:$N,4,FALSE)</f>
        <v>AQUISIÇÃO E INSTALAÇÃO DE DOSADOR DE CLORO</v>
      </c>
      <c r="E407" s="23" t="str">
        <f>VLOOKUP(A407,MEMORIA!$A:$N,5,FALSE)</f>
        <v>UND</v>
      </c>
      <c r="F407" s="5">
        <f>VLOOKUP(A407,MEMORIA!$A:$N,14,FALSE)</f>
        <v>1</v>
      </c>
      <c r="G407" s="5">
        <f>VLOOKUP("TOTAL SEM BDI - "&amp;B407,CPU!$A:$J,9,FALSE)</f>
        <v>1090.75</v>
      </c>
      <c r="H407" s="5">
        <f>VLOOKUP("TOTAL COM BDI - "&amp;B407,CPU!$A:$J,9,FALSE)</f>
        <v>1361.69</v>
      </c>
      <c r="I407" s="5">
        <f t="shared" si="17"/>
        <v>1361.69</v>
      </c>
    </row>
    <row r="408" spans="1:9" x14ac:dyDescent="0.3">
      <c r="A408" s="12" t="s">
        <v>109</v>
      </c>
      <c r="B408" s="46" t="str">
        <f>VLOOKUP(A408,MEMORIA!$A:$N,2,FALSE)</f>
        <v>CONSTRUÇÃO DA CASA DE COMANDO</v>
      </c>
      <c r="C408" s="47"/>
      <c r="D408" s="47"/>
      <c r="E408" s="47"/>
      <c r="F408" s="47"/>
      <c r="G408" s="47"/>
      <c r="H408" s="48"/>
      <c r="I408" s="13">
        <f>SUM($I$409,$I$412,$I$414,$I$418,$I$421,$I$424,$I$427,$I$431,$I$434,$I$437,$I$440,)</f>
        <v>25565.510000000002</v>
      </c>
    </row>
    <row r="409" spans="1:9" x14ac:dyDescent="0.3">
      <c r="A409" s="15" t="s">
        <v>110</v>
      </c>
      <c r="B409" s="49" t="str">
        <f>VLOOKUP(A409,MEMORIA!$A:$N,2,FALSE)</f>
        <v>SERVIÇOS PRELIMINARES</v>
      </c>
      <c r="C409" s="50"/>
      <c r="D409" s="50"/>
      <c r="E409" s="50"/>
      <c r="F409" s="50"/>
      <c r="G409" s="50"/>
      <c r="H409" s="51"/>
      <c r="I409" s="16">
        <f>SUM($I$410:$I$411)</f>
        <v>3887.12</v>
      </c>
    </row>
    <row r="410" spans="1:9" x14ac:dyDescent="0.3">
      <c r="A410" s="23" t="s">
        <v>453</v>
      </c>
      <c r="B410" s="23">
        <f>VLOOKUP(A410,MEMORIA!$A:$N,2,FALSE)</f>
        <v>98524</v>
      </c>
      <c r="C410" s="23" t="str">
        <f>VLOOKUP(A410,MEMORIA!$A:$N,3,FALSE)</f>
        <v>SINAPI</v>
      </c>
      <c r="D410" s="24" t="str">
        <f>VLOOKUP(A410,MEMORIA!$A:$N,4,FALSE)</f>
        <v>LIMPEZA MANUAL DE VEGETAÇÃO EM TERRENO COM ENXADA. AF_03/2024</v>
      </c>
      <c r="E410" s="23" t="str">
        <f>VLOOKUP(A410,MEMORIA!$A:$N,5,FALSE)</f>
        <v>M2</v>
      </c>
      <c r="F410" s="5">
        <f>VLOOKUP(A410,MEMORIA!$A:$N,14,FALSE)</f>
        <v>100</v>
      </c>
      <c r="G410" s="5">
        <f>VLOOKUP("TOTAL SEM BDI - "&amp;B410,CPU!$A:$J,9,FALSE)</f>
        <v>4.62</v>
      </c>
      <c r="H410" s="5">
        <f>VLOOKUP("TOTAL COM BDI - "&amp;B410,CPU!$A:$J,9,FALSE)</f>
        <v>5.77</v>
      </c>
      <c r="I410" s="5">
        <f>ROUND(F410*H410,2)</f>
        <v>577</v>
      </c>
    </row>
    <row r="411" spans="1:9" ht="28.8" x14ac:dyDescent="0.3">
      <c r="A411" s="23" t="s">
        <v>454</v>
      </c>
      <c r="B411" s="23">
        <f>VLOOKUP(A411,MEMORIA!$A:$N,2,FALSE)</f>
        <v>99059</v>
      </c>
      <c r="C411" s="23" t="str">
        <f>VLOOKUP(A411,MEMORIA!$A:$N,3,FALSE)</f>
        <v>SINAPI</v>
      </c>
      <c r="D411" s="24" t="str">
        <f>VLOOKUP(A411,MEMORIA!$A:$N,4,FALSE)</f>
        <v>LOCAÇÃO CONVENCIONAL DE OBRA, UTILIZANDO GABARITO DE TÁBUAS CORRIDAS PONTALETADAS A CADA 2,00M - 2 UTILIZAÇÕES. AF_03/2024</v>
      </c>
      <c r="E411" s="23" t="str">
        <f>VLOOKUP(A411,MEMORIA!$A:$N,5,FALSE)</f>
        <v>M</v>
      </c>
      <c r="F411" s="5">
        <f>VLOOKUP(A411,MEMORIA!$A:$N,14,FALSE)</f>
        <v>44</v>
      </c>
      <c r="G411" s="5">
        <f>VLOOKUP("TOTAL SEM BDI - "&amp;B411,CPU!$A:$J,9,FALSE)</f>
        <v>60.260000000000005</v>
      </c>
      <c r="H411" s="5">
        <f>VLOOKUP("TOTAL COM BDI - "&amp;B411,CPU!$A:$J,9,FALSE)</f>
        <v>75.23</v>
      </c>
      <c r="I411" s="5">
        <f>ROUND(F411*H411,2)</f>
        <v>3310.12</v>
      </c>
    </row>
    <row r="412" spans="1:9" x14ac:dyDescent="0.3">
      <c r="A412" s="15" t="s">
        <v>111</v>
      </c>
      <c r="B412" s="49" t="str">
        <f>VLOOKUP(A412,MEMORIA!$A:$N,2,FALSE)</f>
        <v>MOVIMENTO DE TERRA</v>
      </c>
      <c r="C412" s="50"/>
      <c r="D412" s="50"/>
      <c r="E412" s="50"/>
      <c r="F412" s="50"/>
      <c r="G412" s="50"/>
      <c r="H412" s="51"/>
      <c r="I412" s="16">
        <f>SUM($I$413:$I$413)</f>
        <v>165.09</v>
      </c>
    </row>
    <row r="413" spans="1:9" x14ac:dyDescent="0.3">
      <c r="A413" s="23" t="s">
        <v>455</v>
      </c>
      <c r="B413" s="23">
        <f>VLOOKUP(A413,MEMORIA!$A:$N,2,FALSE)</f>
        <v>93358</v>
      </c>
      <c r="C413" s="23" t="str">
        <f>VLOOKUP(A413,MEMORIA!$A:$N,3,FALSE)</f>
        <v>SINAPI</v>
      </c>
      <c r="D413" s="24" t="str">
        <f>VLOOKUP(A413,MEMORIA!$A:$N,4,FALSE)</f>
        <v>ESCAVAÇÃO MANUAL DE VALA. AF_09/2024</v>
      </c>
      <c r="E413" s="23" t="str">
        <f>VLOOKUP(A413,MEMORIA!$A:$N,5,FALSE)</f>
        <v>M3</v>
      </c>
      <c r="F413" s="5">
        <f>VLOOKUP(A413,MEMORIA!$A:$N,14,FALSE)</f>
        <v>1.54</v>
      </c>
      <c r="G413" s="5">
        <f>VLOOKUP("TOTAL SEM BDI - "&amp;B413,CPU!$A:$J,9,FALSE)</f>
        <v>85.87</v>
      </c>
      <c r="H413" s="5">
        <f>VLOOKUP("TOTAL COM BDI - "&amp;B413,CPU!$A:$J,9,FALSE)</f>
        <v>107.2</v>
      </c>
      <c r="I413" s="5">
        <f>ROUND(F413*H413,2)</f>
        <v>165.09</v>
      </c>
    </row>
    <row r="414" spans="1:9" x14ac:dyDescent="0.3">
      <c r="A414" s="15" t="s">
        <v>112</v>
      </c>
      <c r="B414" s="49" t="str">
        <f>VLOOKUP(A414,MEMORIA!$A:$N,2,FALSE)</f>
        <v>INFRAESTRUTURA</v>
      </c>
      <c r="C414" s="50"/>
      <c r="D414" s="50"/>
      <c r="E414" s="50"/>
      <c r="F414" s="50"/>
      <c r="G414" s="50"/>
      <c r="H414" s="51"/>
      <c r="I414" s="16">
        <f>SUM($I$415:$I$417)</f>
        <v>1275.5</v>
      </c>
    </row>
    <row r="415" spans="1:9" ht="28.8" x14ac:dyDescent="0.3">
      <c r="A415" s="23" t="s">
        <v>456</v>
      </c>
      <c r="B415" s="23">
        <f>VLOOKUP(A415,MEMORIA!$A:$N,2,FALSE)</f>
        <v>96617</v>
      </c>
      <c r="C415" s="23" t="str">
        <f>VLOOKUP(A415,MEMORIA!$A:$N,3,FALSE)</f>
        <v>SINAPI</v>
      </c>
      <c r="D415" s="24" t="str">
        <f>VLOOKUP(A415,MEMORIA!$A:$N,4,FALSE)</f>
        <v>LASTRO DE CONCRETO MAGRO, APLICADO EM BLOCOS DE COROAMENTO OU SAPATAS, ESPESSURA DE 3 CM. AF_01/2024</v>
      </c>
      <c r="E415" s="23" t="str">
        <f>VLOOKUP(A415,MEMORIA!$A:$N,5,FALSE)</f>
        <v>M2</v>
      </c>
      <c r="F415" s="5">
        <f>VLOOKUP(A415,MEMORIA!$A:$N,14,FALSE)</f>
        <v>2.58</v>
      </c>
      <c r="G415" s="5">
        <f>VLOOKUP("TOTAL SEM BDI - "&amp;B415,CPU!$A:$J,9,FALSE)</f>
        <v>23.990000000000002</v>
      </c>
      <c r="H415" s="5">
        <f>VLOOKUP("TOTAL COM BDI - "&amp;B415,CPU!$A:$J,9,FALSE)</f>
        <v>29.950000000000003</v>
      </c>
      <c r="I415" s="5">
        <f>ROUND(F415*H415,2)</f>
        <v>77.27</v>
      </c>
    </row>
    <row r="416" spans="1:9" ht="28.8" x14ac:dyDescent="0.3">
      <c r="A416" s="23" t="s">
        <v>457</v>
      </c>
      <c r="B416" s="23">
        <f>VLOOKUP(A416,MEMORIA!$A:$N,2,FALSE)</f>
        <v>103800</v>
      </c>
      <c r="C416" s="23" t="str">
        <f>VLOOKUP(A416,MEMORIA!$A:$N,3,FALSE)</f>
        <v>SINAPI</v>
      </c>
      <c r="D416" s="24" t="str">
        <f>VLOOKUP(A416,MEMORIA!$A:$N,4,FALSE)</f>
        <v>PEDRA ARGAMASSADA COM CIMENTO E AREIA 1:3, 40% DE ARGAMASSA EM VOLUME - AREIA E PEDRA DE MÃO COMERCIAIS - FORNECIMENTO E ASSENTAMENTO. AF_08/2022</v>
      </c>
      <c r="E416" s="23" t="str">
        <f>VLOOKUP(A416,MEMORIA!$A:$N,5,FALSE)</f>
        <v>M3</v>
      </c>
      <c r="F416" s="5">
        <f>VLOOKUP(A416,MEMORIA!$A:$N,14,FALSE)</f>
        <v>1.04</v>
      </c>
      <c r="G416" s="5">
        <f>VLOOKUP("TOTAL SEM BDI - "&amp;B416,CPU!$A:$J,9,FALSE)</f>
        <v>680.59</v>
      </c>
      <c r="H416" s="5">
        <f>VLOOKUP("TOTAL COM BDI - "&amp;B416,CPU!$A:$J,9,FALSE)</f>
        <v>849.65000000000009</v>
      </c>
      <c r="I416" s="5">
        <f>ROUND(F416*H416,2)</f>
        <v>883.64</v>
      </c>
    </row>
    <row r="417" spans="1:9" ht="43.2" x14ac:dyDescent="0.3">
      <c r="A417" s="23" t="s">
        <v>458</v>
      </c>
      <c r="B417" s="23">
        <f>VLOOKUP(A417,MEMORIA!$A:$N,2,FALSE)</f>
        <v>103335</v>
      </c>
      <c r="C417" s="23" t="str">
        <f>VLOOKUP(A417,MEMORIA!$A:$N,3,FALSE)</f>
        <v>SINAPI</v>
      </c>
      <c r="D417" s="24" t="str">
        <f>VLOOKUP(A417,MEMORIA!$A:$N,4,FALSE)</f>
        <v>ALVENARIA DE VEDAÇÃO DE BLOCOS CERÂMICOS FURADOS NA HORIZONTAL DE 14X9X19 CM (ESPESSURA 14 CM, BLOCO DEITADO) E ARGAMASSA DE ASSENTAMENTO COM PREPARO MANUAL. AF_12/2021</v>
      </c>
      <c r="E417" s="23" t="str">
        <f>VLOOKUP(A417,MEMORIA!$A:$N,5,FALSE)</f>
        <v>M2</v>
      </c>
      <c r="F417" s="5">
        <f>VLOOKUP(A417,MEMORIA!$A:$N,14,FALSE)</f>
        <v>1.7200000000000002</v>
      </c>
      <c r="G417" s="5">
        <f>VLOOKUP("TOTAL SEM BDI - "&amp;B417,CPU!$A:$J,9,FALSE)</f>
        <v>146.51</v>
      </c>
      <c r="H417" s="5">
        <f>VLOOKUP("TOTAL COM BDI - "&amp;B417,CPU!$A:$J,9,FALSE)</f>
        <v>182.89999999999998</v>
      </c>
      <c r="I417" s="5">
        <f>ROUND(F417*H417,2)</f>
        <v>314.58999999999997</v>
      </c>
    </row>
    <row r="418" spans="1:9" x14ac:dyDescent="0.3">
      <c r="A418" s="15" t="s">
        <v>113</v>
      </c>
      <c r="B418" s="49" t="str">
        <f>VLOOKUP(A418,MEMORIA!$A:$N,2,FALSE)</f>
        <v>SUPERESTRUTURA</v>
      </c>
      <c r="C418" s="50"/>
      <c r="D418" s="50"/>
      <c r="E418" s="50"/>
      <c r="F418" s="50"/>
      <c r="G418" s="50"/>
      <c r="H418" s="51"/>
      <c r="I418" s="16">
        <f>SUM($I$419:$I$420)</f>
        <v>1347.9099999999999</v>
      </c>
    </row>
    <row r="419" spans="1:9" x14ac:dyDescent="0.3">
      <c r="A419" s="23" t="s">
        <v>459</v>
      </c>
      <c r="B419" s="23" t="str">
        <f>VLOOKUP(A419,MEMORIA!$A:$N,2,FALSE)</f>
        <v>COMPCOM01</v>
      </c>
      <c r="C419" s="23" t="str">
        <f>VLOOKUP(A419,MEMORIA!$A:$N,3,FALSE)</f>
        <v>PRÓPRIA</v>
      </c>
      <c r="D419" s="24" t="str">
        <f>VLOOKUP(A419,MEMORIA!$A:$N,4,FALSE)</f>
        <v>CINTA DE AMARRAÇÃO DE ALVENARIA MOLDADA IN LOCO EM CONCRETO</v>
      </c>
      <c r="E419" s="23" t="str">
        <f>VLOOKUP(A419,MEMORIA!$A:$N,5,FALSE)</f>
        <v>M</v>
      </c>
      <c r="F419" s="5">
        <f>VLOOKUP(A419,MEMORIA!$A:$N,14,FALSE)</f>
        <v>8.6</v>
      </c>
      <c r="G419" s="5">
        <f>VLOOKUP("TOTAL SEM BDI - "&amp;B419,CPU!$A:$J,9,FALSE)</f>
        <v>81.56</v>
      </c>
      <c r="H419" s="5">
        <f>VLOOKUP("TOTAL COM BDI - "&amp;B419,CPU!$A:$J,9,FALSE)</f>
        <v>101.82000000000001</v>
      </c>
      <c r="I419" s="5">
        <f>ROUND(F419*H419,2)</f>
        <v>875.65</v>
      </c>
    </row>
    <row r="420" spans="1:9" ht="28.8" x14ac:dyDescent="0.3">
      <c r="A420" s="23" t="s">
        <v>460</v>
      </c>
      <c r="B420" s="23" t="str">
        <f>VLOOKUP(A420,MEMORIA!$A:$N,2,FALSE)</f>
        <v>COMPCOM02</v>
      </c>
      <c r="C420" s="23" t="str">
        <f>VLOOKUP(A420,MEMORIA!$A:$N,3,FALSE)</f>
        <v>PRÓPRIA</v>
      </c>
      <c r="D420" s="24" t="str">
        <f>VLOOKUP(A420,MEMORIA!$A:$N,4,FALSE)</f>
        <v>(COMPOSIÇÃO REPRESENTATIVA) EXECUÇÃO DE ESTRUTURAS DE CONCRETO ARMADO, PARA EDIFICAÇÃO INSTITUCIONAL TÉRREA, FCK = 25 MPA</v>
      </c>
      <c r="E420" s="23" t="str">
        <f>VLOOKUP(A420,MEMORIA!$A:$N,5,FALSE)</f>
        <v>M³</v>
      </c>
      <c r="F420" s="5">
        <f>VLOOKUP(A420,MEMORIA!$A:$N,14,FALSE)</f>
        <v>0.30000000000000004</v>
      </c>
      <c r="G420" s="5">
        <f>VLOOKUP("TOTAL SEM BDI - "&amp;B420,CPU!$A:$J,9,FALSE)</f>
        <v>1260.97</v>
      </c>
      <c r="H420" s="5">
        <f>VLOOKUP("TOTAL COM BDI - "&amp;B420,CPU!$A:$J,9,FALSE)</f>
        <v>1574.19</v>
      </c>
      <c r="I420" s="5">
        <f>ROUND(F420*H420,2)</f>
        <v>472.26</v>
      </c>
    </row>
    <row r="421" spans="1:9" x14ac:dyDescent="0.3">
      <c r="A421" s="15" t="s">
        <v>114</v>
      </c>
      <c r="B421" s="49" t="str">
        <f>VLOOKUP(A421,MEMORIA!$A:$N,2,FALSE)</f>
        <v>VEDAÇÃO VERTICAL</v>
      </c>
      <c r="C421" s="50"/>
      <c r="D421" s="50"/>
      <c r="E421" s="50"/>
      <c r="F421" s="50"/>
      <c r="G421" s="50"/>
      <c r="H421" s="51"/>
      <c r="I421" s="16">
        <f>SUM($I$422:$I$423)</f>
        <v>2674.92</v>
      </c>
    </row>
    <row r="422" spans="1:9" ht="43.2" x14ac:dyDescent="0.3">
      <c r="A422" s="23" t="s">
        <v>461</v>
      </c>
      <c r="B422" s="23">
        <f>VLOOKUP(A422,MEMORIA!$A:$N,2,FALSE)</f>
        <v>103329</v>
      </c>
      <c r="C422" s="23" t="str">
        <f>VLOOKUP(A422,MEMORIA!$A:$N,3,FALSE)</f>
        <v>SINAPI</v>
      </c>
      <c r="D422" s="24" t="str">
        <f>VLOOKUP(A422,MEMORIA!$A:$N,4,FALSE)</f>
        <v>ALVENARIA DE VEDAÇÃO DE BLOCOS CERÂMICOS FURADOS NA HORIZONTAL DE 9X19X19 CM (ESPESSURA 9 CM) E ARGAMASSA DE ASSENTAMENTO COM PREPARO MANUAL. AF_12/2021</v>
      </c>
      <c r="E422" s="23" t="str">
        <f>VLOOKUP(A422,MEMORIA!$A:$N,5,FALSE)</f>
        <v>M2</v>
      </c>
      <c r="F422" s="5">
        <f>VLOOKUP(A422,MEMORIA!$A:$N,14,FALSE)</f>
        <v>19.310000000000002</v>
      </c>
      <c r="G422" s="5">
        <f>VLOOKUP("TOTAL SEM BDI - "&amp;B422,CPU!$A:$J,9,FALSE)</f>
        <v>95.08</v>
      </c>
      <c r="H422" s="5">
        <f>VLOOKUP("TOTAL COM BDI - "&amp;B422,CPU!$A:$J,9,FALSE)</f>
        <v>118.7</v>
      </c>
      <c r="I422" s="5">
        <f>ROUND(F422*H422,2)</f>
        <v>2292.1</v>
      </c>
    </row>
    <row r="423" spans="1:9" ht="43.2" x14ac:dyDescent="0.3">
      <c r="A423" s="23" t="s">
        <v>462</v>
      </c>
      <c r="B423" s="23">
        <f>VLOOKUP(A423,MEMORIA!$A:$N,2,FALSE)</f>
        <v>101161</v>
      </c>
      <c r="C423" s="23" t="str">
        <f>VLOOKUP(A423,MEMORIA!$A:$N,3,FALSE)</f>
        <v>SINAPI</v>
      </c>
      <c r="D423" s="24" t="str">
        <f>VLOOKUP(A423,MEMORIA!$A:$N,4,FALSE)</f>
        <v>ALVENARIA DE VEDAÇÃO COM ELEMENTO VAZADO DE CONCRETO (COBOGÓ) DE 7X50X50CM E ARGAMASSA DE ASSENTAMENTO COM PREPARO EM BETONEIRA. AF_05/2020</v>
      </c>
      <c r="E423" s="23" t="str">
        <f>VLOOKUP(A423,MEMORIA!$A:$N,5,FALSE)</f>
        <v>M2</v>
      </c>
      <c r="F423" s="5">
        <f>VLOOKUP(A423,MEMORIA!$A:$N,14,FALSE)</f>
        <v>1.5</v>
      </c>
      <c r="G423" s="5">
        <f>VLOOKUP("TOTAL SEM BDI - "&amp;B423,CPU!$A:$J,9,FALSE)</f>
        <v>204.43</v>
      </c>
      <c r="H423" s="5">
        <f>VLOOKUP("TOTAL COM BDI - "&amp;B423,CPU!$A:$J,9,FALSE)</f>
        <v>255.21</v>
      </c>
      <c r="I423" s="5">
        <f>ROUND(F423*H423,2)</f>
        <v>382.82</v>
      </c>
    </row>
    <row r="424" spans="1:9" x14ac:dyDescent="0.3">
      <c r="A424" s="15" t="s">
        <v>115</v>
      </c>
      <c r="B424" s="49" t="str">
        <f>VLOOKUP(A424,MEMORIA!$A:$N,2,FALSE)</f>
        <v>COBERTURA</v>
      </c>
      <c r="C424" s="50"/>
      <c r="D424" s="50"/>
      <c r="E424" s="50"/>
      <c r="F424" s="50"/>
      <c r="G424" s="50"/>
      <c r="H424" s="51"/>
      <c r="I424" s="16">
        <f>SUM($I$425:$I$426)</f>
        <v>1332.15</v>
      </c>
    </row>
    <row r="425" spans="1:9" ht="28.8" x14ac:dyDescent="0.3">
      <c r="A425" s="23" t="s">
        <v>463</v>
      </c>
      <c r="B425" s="23" t="str">
        <f>VLOOKUP(A425,MEMORIA!$A:$N,2,FALSE)</f>
        <v>COMPCOM03</v>
      </c>
      <c r="C425" s="23" t="str">
        <f>VLOOKUP(A425,MEMORIA!$A:$N,3,FALSE)</f>
        <v>PRÓPRIA</v>
      </c>
      <c r="D425" s="24" t="str">
        <f>VLOOKUP(A425,MEMORIA!$A:$N,4,FALSE)</f>
        <v>TELHAMENTO COM TELHA CERÂMICA CAPA-CANAL, TIPO COLONIAL, COM ATÉ 2 ÁGUAS, INCLUSO TRANSPORTE VERTICAL</v>
      </c>
      <c r="E425" s="23" t="str">
        <f>VLOOKUP(A425,MEMORIA!$A:$N,5,FALSE)</f>
        <v>M²</v>
      </c>
      <c r="F425" s="5">
        <f>VLOOKUP(A425,MEMORIA!$A:$N,14,FALSE)</f>
        <v>10.23</v>
      </c>
      <c r="G425" s="5">
        <f>VLOOKUP("TOTAL SEM BDI - "&amp;B425,CPU!$A:$J,9,FALSE)</f>
        <v>37.64</v>
      </c>
      <c r="H425" s="5">
        <f>VLOOKUP("TOTAL COM BDI - "&amp;B425,CPU!$A:$J,9,FALSE)</f>
        <v>46.99</v>
      </c>
      <c r="I425" s="5">
        <f>ROUND(F425*H425,2)</f>
        <v>480.71</v>
      </c>
    </row>
    <row r="426" spans="1:9" ht="28.8" x14ac:dyDescent="0.3">
      <c r="A426" s="23" t="s">
        <v>464</v>
      </c>
      <c r="B426" s="23" t="str">
        <f>VLOOKUP(A426,MEMORIA!$A:$N,2,FALSE)</f>
        <v>COMPCOM04</v>
      </c>
      <c r="C426" s="23" t="str">
        <f>VLOOKUP(A426,MEMORIA!$A:$N,3,FALSE)</f>
        <v>PRÓPRIA</v>
      </c>
      <c r="D426" s="24" t="str">
        <f>VLOOKUP(A426,MEMORIA!$A:$N,4,FALSE)</f>
        <v>TRAMA DE MADEIRA COMPOSTA POR RIPAS, CAIBROS E TERÇAS PARA TELHADOS DE ATÉ 2 ÁGUAS PARA TELHA CERÂMICA CAPA-CANAL, INCLUSO TRANSPORTE VERTICAL</v>
      </c>
      <c r="E426" s="23" t="str">
        <f>VLOOKUP(A426,MEMORIA!$A:$N,5,FALSE)</f>
        <v>M²</v>
      </c>
      <c r="F426" s="5">
        <f>VLOOKUP(A426,MEMORIA!$A:$N,14,FALSE)</f>
        <v>10.23</v>
      </c>
      <c r="G426" s="5">
        <f>VLOOKUP("TOTAL SEM BDI - "&amp;B426,CPU!$A:$J,9,FALSE)</f>
        <v>66.67</v>
      </c>
      <c r="H426" s="5">
        <f>VLOOKUP("TOTAL COM BDI - "&amp;B426,CPU!$A:$J,9,FALSE)</f>
        <v>83.23</v>
      </c>
      <c r="I426" s="5">
        <f>ROUND(F426*H426,2)</f>
        <v>851.44</v>
      </c>
    </row>
    <row r="427" spans="1:9" x14ac:dyDescent="0.3">
      <c r="A427" s="15" t="s">
        <v>116</v>
      </c>
      <c r="B427" s="49" t="str">
        <f>VLOOKUP(A427,MEMORIA!$A:$N,2,FALSE)</f>
        <v>PISO</v>
      </c>
      <c r="C427" s="50"/>
      <c r="D427" s="50"/>
      <c r="E427" s="50"/>
      <c r="F427" s="50"/>
      <c r="G427" s="50"/>
      <c r="H427" s="51"/>
      <c r="I427" s="16">
        <f>SUM($I$428:$I$430)</f>
        <v>1208.82</v>
      </c>
    </row>
    <row r="428" spans="1:9" ht="28.8" x14ac:dyDescent="0.3">
      <c r="A428" s="23" t="s">
        <v>465</v>
      </c>
      <c r="B428" s="23">
        <f>VLOOKUP(A428,MEMORIA!$A:$N,2,FALSE)</f>
        <v>96617</v>
      </c>
      <c r="C428" s="23" t="str">
        <f>VLOOKUP(A428,MEMORIA!$A:$N,3,FALSE)</f>
        <v>SINAPI</v>
      </c>
      <c r="D428" s="24" t="str">
        <f>VLOOKUP(A428,MEMORIA!$A:$N,4,FALSE)</f>
        <v>LASTRO DE CONCRETO MAGRO, APLICADO EM BLOCOS DE COROAMENTO OU SAPATAS, ESPESSURA DE 3 CM. AF_01/2024</v>
      </c>
      <c r="E428" s="23" t="str">
        <f>VLOOKUP(A428,MEMORIA!$A:$N,5,FALSE)</f>
        <v>M2</v>
      </c>
      <c r="F428" s="5">
        <f>VLOOKUP(A428,MEMORIA!$A:$N,14,FALSE)</f>
        <v>4</v>
      </c>
      <c r="G428" s="5">
        <f>VLOOKUP("TOTAL SEM BDI - "&amp;B428,CPU!$A:$J,9,FALSE)</f>
        <v>23.990000000000002</v>
      </c>
      <c r="H428" s="5">
        <f>VLOOKUP("TOTAL COM BDI - "&amp;B428,CPU!$A:$J,9,FALSE)</f>
        <v>29.950000000000003</v>
      </c>
      <c r="I428" s="5">
        <f>ROUND(F428*H428,2)</f>
        <v>119.8</v>
      </c>
    </row>
    <row r="429" spans="1:9" ht="28.8" x14ac:dyDescent="0.3">
      <c r="A429" s="23" t="s">
        <v>466</v>
      </c>
      <c r="B429" s="23">
        <f>VLOOKUP(A429,MEMORIA!$A:$N,2,FALSE)</f>
        <v>101749</v>
      </c>
      <c r="C429" s="23" t="str">
        <f>VLOOKUP(A429,MEMORIA!$A:$N,3,FALSE)</f>
        <v>SINAPI</v>
      </c>
      <c r="D429" s="24" t="str">
        <f>VLOOKUP(A429,MEMORIA!$A:$N,4,FALSE)</f>
        <v>PISO CIMENTADO, TRAÇO 1:3 (CIMENTO E AREIA), ACABAMENTO LISO, ESPESSURA 4,0 CM, PREPARO MECÂNICO DA ARGAMASSA. AF_09/2020</v>
      </c>
      <c r="E429" s="23" t="str">
        <f>VLOOKUP(A429,MEMORIA!$A:$N,5,FALSE)</f>
        <v>M2</v>
      </c>
      <c r="F429" s="5">
        <f>VLOOKUP(A429,MEMORIA!$A:$N,14,FALSE)</f>
        <v>4</v>
      </c>
      <c r="G429" s="5">
        <f>VLOOKUP("TOTAL SEM BDI - "&amp;B429,CPU!$A:$J,9,FALSE)</f>
        <v>64.739999999999995</v>
      </c>
      <c r="H429" s="5">
        <f>VLOOKUP("TOTAL COM BDI - "&amp;B429,CPU!$A:$J,9,FALSE)</f>
        <v>80.819999999999993</v>
      </c>
      <c r="I429" s="5">
        <f>ROUND(F429*H429,2)</f>
        <v>323.27999999999997</v>
      </c>
    </row>
    <row r="430" spans="1:9" ht="43.2" x14ac:dyDescent="0.3">
      <c r="A430" s="23" t="s">
        <v>467</v>
      </c>
      <c r="B430" s="23">
        <f>VLOOKUP(A430,MEMORIA!$A:$N,2,FALSE)</f>
        <v>94994</v>
      </c>
      <c r="C430" s="23" t="str">
        <f>VLOOKUP(A430,MEMORIA!$A:$N,3,FALSE)</f>
        <v>SINAPI</v>
      </c>
      <c r="D430" s="24" t="str">
        <f>VLOOKUP(A430,MEMORIA!$A:$N,4,FALSE)</f>
        <v>EXECUÇÃO DE PASSEIO (CALÇADA) OU PISO DE CONCRETO COM CONCRETO MOLDADO IN LOCO, FEITO EM OBRA, ACABAMENTO CONVENCIONAL, ESPESSURA 8 CM, ARMADO. AF_08/2022</v>
      </c>
      <c r="E430" s="23" t="str">
        <f>VLOOKUP(A430,MEMORIA!$A:$N,5,FALSE)</f>
        <v>M2</v>
      </c>
      <c r="F430" s="5">
        <f>VLOOKUP(A430,MEMORIA!$A:$N,14,FALSE)</f>
        <v>5.6</v>
      </c>
      <c r="G430" s="5">
        <f>VLOOKUP("TOTAL SEM BDI - "&amp;B430,CPU!$A:$J,9,FALSE)</f>
        <v>109.53000000000002</v>
      </c>
      <c r="H430" s="5">
        <f>VLOOKUP("TOTAL COM BDI - "&amp;B430,CPU!$A:$J,9,FALSE)</f>
        <v>136.74</v>
      </c>
      <c r="I430" s="5">
        <f>ROUND(F430*H430,2)</f>
        <v>765.74</v>
      </c>
    </row>
    <row r="431" spans="1:9" x14ac:dyDescent="0.3">
      <c r="A431" s="15" t="s">
        <v>117</v>
      </c>
      <c r="B431" s="49" t="str">
        <f>VLOOKUP(A431,MEMORIA!$A:$N,2,FALSE)</f>
        <v>REVESTIMENTO</v>
      </c>
      <c r="C431" s="50"/>
      <c r="D431" s="50"/>
      <c r="E431" s="50"/>
      <c r="F431" s="50"/>
      <c r="G431" s="50"/>
      <c r="H431" s="51"/>
      <c r="I431" s="16">
        <f>SUM($I$432:$I$433)</f>
        <v>2396.75</v>
      </c>
    </row>
    <row r="432" spans="1:9" ht="43.2" x14ac:dyDescent="0.3">
      <c r="A432" s="23" t="s">
        <v>468</v>
      </c>
      <c r="B432" s="23">
        <f>VLOOKUP(A432,MEMORIA!$A:$N,2,FALSE)</f>
        <v>87904</v>
      </c>
      <c r="C432" s="23" t="str">
        <f>VLOOKUP(A432,MEMORIA!$A:$N,3,FALSE)</f>
        <v>SINAPI</v>
      </c>
      <c r="D432" s="24" t="str">
        <f>VLOOKUP(A432,MEMORIA!$A:$N,4,FALSE)</f>
        <v>CHAPISCO APLICADO EM ALVENARIA (COM PRESENÇA DE VÃOS) E ESTRUTURAS DE CONCRETO DE FACHADA, COM COLHER DE PEDREIRO. ARGAMASSA TRAÇO 1:3 COM PREPARO MANUAL. AF_10/2022</v>
      </c>
      <c r="E432" s="23" t="str">
        <f>VLOOKUP(A432,MEMORIA!$A:$N,5,FALSE)</f>
        <v>M2</v>
      </c>
      <c r="F432" s="5">
        <f>VLOOKUP(A432,MEMORIA!$A:$N,14,FALSE)</f>
        <v>38.619999999999997</v>
      </c>
      <c r="G432" s="5">
        <f>VLOOKUP("TOTAL SEM BDI - "&amp;B432,CPU!$A:$J,9,FALSE)</f>
        <v>8.74</v>
      </c>
      <c r="H432" s="5">
        <f>VLOOKUP("TOTAL COM BDI - "&amp;B432,CPU!$A:$J,9,FALSE)</f>
        <v>10.91</v>
      </c>
      <c r="I432" s="5">
        <f>ROUND(F432*H432,2)</f>
        <v>421.34</v>
      </c>
    </row>
    <row r="433" spans="1:9" ht="43.2" x14ac:dyDescent="0.3">
      <c r="A433" s="23" t="s">
        <v>469</v>
      </c>
      <c r="B433" s="23">
        <f>VLOOKUP(A433,MEMORIA!$A:$N,2,FALSE)</f>
        <v>87530</v>
      </c>
      <c r="C433" s="23" t="str">
        <f>VLOOKUP(A433,MEMORIA!$A:$N,3,FALSE)</f>
        <v>SINAPI</v>
      </c>
      <c r="D433" s="24" t="str">
        <f>VLOOKUP(A433,MEMORIA!$A:$N,4,FALSE)</f>
        <v>MASSA ÚNICA, EM ARGAMASSA TRAÇO 1:2:8, PREPARO MANUAL, APLICADA MANUALMENTE EM PAREDES INTERNAS DE AMBIENTES COM ÁREA ENTRE 5M² E 10M², E = 17,5MM, COM TALISCAS. AF_03/2024</v>
      </c>
      <c r="E433" s="23" t="str">
        <f>VLOOKUP(A433,MEMORIA!$A:$N,5,FALSE)</f>
        <v>M2</v>
      </c>
      <c r="F433" s="5">
        <f>VLOOKUP(A433,MEMORIA!$A:$N,14,FALSE)</f>
        <v>38.619999999999997</v>
      </c>
      <c r="G433" s="5">
        <f>VLOOKUP("TOTAL SEM BDI - "&amp;B433,CPU!$A:$J,9,FALSE)</f>
        <v>40.97</v>
      </c>
      <c r="H433" s="5">
        <f>VLOOKUP("TOTAL COM BDI - "&amp;B433,CPU!$A:$J,9,FALSE)</f>
        <v>51.15</v>
      </c>
      <c r="I433" s="5">
        <f>ROUND(F433*H433,2)</f>
        <v>1975.41</v>
      </c>
    </row>
    <row r="434" spans="1:9" x14ac:dyDescent="0.3">
      <c r="A434" s="15" t="s">
        <v>118</v>
      </c>
      <c r="B434" s="49" t="str">
        <f>VLOOKUP(A434,MEMORIA!$A:$N,2,FALSE)</f>
        <v>ESQUADRIAS</v>
      </c>
      <c r="C434" s="50"/>
      <c r="D434" s="50"/>
      <c r="E434" s="50"/>
      <c r="F434" s="50"/>
      <c r="G434" s="50"/>
      <c r="H434" s="51"/>
      <c r="I434" s="16">
        <f>SUM($I$435:$I$436)</f>
        <v>4550.21</v>
      </c>
    </row>
    <row r="435" spans="1:9" x14ac:dyDescent="0.3">
      <c r="A435" s="23" t="s">
        <v>470</v>
      </c>
      <c r="B435" s="23">
        <f>VLOOKUP(A435,MEMORIA!$A:$N,2,FALSE)</f>
        <v>100701</v>
      </c>
      <c r="C435" s="23" t="str">
        <f>VLOOKUP(A435,MEMORIA!$A:$N,3,FALSE)</f>
        <v>SINAPI</v>
      </c>
      <c r="D435" s="24" t="str">
        <f>VLOOKUP(A435,MEMORIA!$A:$N,4,FALSE)</f>
        <v>PORTA DE FERRO, DE ABRIR, TIPO GRADE COM CHAPA, COM GUARNIÇÕES. AF_12/2019</v>
      </c>
      <c r="E435" s="23" t="str">
        <f>VLOOKUP(A435,MEMORIA!$A:$N,5,FALSE)</f>
        <v>M2</v>
      </c>
      <c r="F435" s="5">
        <f>VLOOKUP(A435,MEMORIA!$A:$N,14,FALSE)</f>
        <v>1.68</v>
      </c>
      <c r="G435" s="5">
        <f>VLOOKUP("TOTAL SEM BDI - "&amp;B435,CPU!$A:$J,9,FALSE)</f>
        <v>415.3</v>
      </c>
      <c r="H435" s="5">
        <f>VLOOKUP("TOTAL COM BDI - "&amp;B435,CPU!$A:$J,9,FALSE)</f>
        <v>518.46</v>
      </c>
      <c r="I435" s="5">
        <f>ROUND(F435*H435,2)</f>
        <v>871.01</v>
      </c>
    </row>
    <row r="436" spans="1:9" ht="28.8" x14ac:dyDescent="0.3">
      <c r="A436" s="23" t="s">
        <v>471</v>
      </c>
      <c r="B436" s="23" t="str">
        <f>VLOOKUP(A436,MEMORIA!$A:$N,2,FALSE)</f>
        <v>C3659</v>
      </c>
      <c r="C436" s="23" t="str">
        <f>VLOOKUP(A436,MEMORIA!$A:$N,3,FALSE)</f>
        <v>SEINFRA</v>
      </c>
      <c r="D436" s="24" t="str">
        <f>VLOOKUP(A436,MEMORIA!$A:$N,4,FALSE)</f>
        <v>PORTÃO DE METALON E BARRA CHATA DE FERRO C/FECHADURA E DOBRADIÇA, INCLUS. PINTURA ESMALTE SINTÉTICO</v>
      </c>
      <c r="E436" s="23" t="str">
        <f>VLOOKUP(A436,MEMORIA!$A:$N,5,FALSE)</f>
        <v>M2</v>
      </c>
      <c r="F436" s="5">
        <f>VLOOKUP(A436,MEMORIA!$A:$N,14,FALSE)</f>
        <v>6</v>
      </c>
      <c r="G436" s="5">
        <f>VLOOKUP("TOTAL SEM BDI - "&amp;B436,CPU!$A:$J,9,FALSE)</f>
        <v>491.19000000000005</v>
      </c>
      <c r="H436" s="5">
        <f>VLOOKUP("TOTAL COM BDI - "&amp;B436,CPU!$A:$J,9,FALSE)</f>
        <v>613.20000000000005</v>
      </c>
      <c r="I436" s="5">
        <f>ROUND(F436*H436,2)</f>
        <v>3679.2</v>
      </c>
    </row>
    <row r="437" spans="1:9" x14ac:dyDescent="0.3">
      <c r="A437" s="15" t="s">
        <v>119</v>
      </c>
      <c r="B437" s="49" t="str">
        <f>VLOOKUP(A437,MEMORIA!$A:$N,2,FALSE)</f>
        <v>PINTURA</v>
      </c>
      <c r="C437" s="50"/>
      <c r="D437" s="50"/>
      <c r="E437" s="50"/>
      <c r="F437" s="50"/>
      <c r="G437" s="50"/>
      <c r="H437" s="51"/>
      <c r="I437" s="16">
        <f>SUM($I$438:$I$439)</f>
        <v>663.11</v>
      </c>
    </row>
    <row r="438" spans="1:9" x14ac:dyDescent="0.3">
      <c r="A438" s="23" t="s">
        <v>472</v>
      </c>
      <c r="B438" s="23" t="str">
        <f>VLOOKUP(A438,MEMORIA!$A:$N,2,FALSE)</f>
        <v>COMP205</v>
      </c>
      <c r="C438" s="23" t="str">
        <f>VLOOKUP(A438,MEMORIA!$A:$N,3,FALSE)</f>
        <v>PRÓPRIA</v>
      </c>
      <c r="D438" s="24" t="str">
        <f>VLOOKUP(A438,MEMORIA!$A:$N,4,FALSE)</f>
        <v>CAIAÇÃO EM TRES DEMÃOS EM PAREDES (REF: C0589-SEINFRA 28)</v>
      </c>
      <c r="E438" s="23" t="str">
        <f>VLOOKUP(A438,MEMORIA!$A:$N,5,FALSE)</f>
        <v>M2</v>
      </c>
      <c r="F438" s="5">
        <f>VLOOKUP(A438,MEMORIA!$A:$N,14,FALSE)</f>
        <v>38.619999999999997</v>
      </c>
      <c r="G438" s="5">
        <f>VLOOKUP("TOTAL SEM BDI - "&amp;B438,CPU!$A:$J,9,FALSE)</f>
        <v>9.3800000000000008</v>
      </c>
      <c r="H438" s="5">
        <f>VLOOKUP("TOTAL COM BDI - "&amp;B438,CPU!$A:$J,9,FALSE)</f>
        <v>11.71</v>
      </c>
      <c r="I438" s="5">
        <f>ROUND(F438*H438,2)</f>
        <v>452.24</v>
      </c>
    </row>
    <row r="439" spans="1:9" ht="43.2" x14ac:dyDescent="0.3">
      <c r="A439" s="23" t="s">
        <v>473</v>
      </c>
      <c r="B439" s="23">
        <f>VLOOKUP(A439,MEMORIA!$A:$N,2,FALSE)</f>
        <v>100758</v>
      </c>
      <c r="C439" s="23" t="str">
        <f>VLOOKUP(A439,MEMORIA!$A:$N,3,FALSE)</f>
        <v>SINAPI</v>
      </c>
      <c r="D439" s="24" t="str">
        <f>VLOOKUP(A439,MEMORIA!$A:$N,4,FALSE)</f>
        <v>PINTURA COM TINTA ALQUÍDICA DE ACABAMENTO (ESMALTE SINTÉTICO ACETINADO) APLICADA A ROLO OU PINCEL SOBRE SUPERFÍCIES METÁLICAS (EXCETO PERFIL) EXECUTADO EM OBRA (02 DEMÃOS). AF_01/2020</v>
      </c>
      <c r="E439" s="23" t="str">
        <f>VLOOKUP(A439,MEMORIA!$A:$N,5,FALSE)</f>
        <v>M2</v>
      </c>
      <c r="F439" s="5">
        <f>VLOOKUP(A439,MEMORIA!$A:$N,14,FALSE)</f>
        <v>3.36</v>
      </c>
      <c r="G439" s="5">
        <f>VLOOKUP("TOTAL SEM BDI - "&amp;B439,CPU!$A:$J,9,FALSE)</f>
        <v>50.269999999999996</v>
      </c>
      <c r="H439" s="5">
        <f>VLOOKUP("TOTAL COM BDI - "&amp;B439,CPU!$A:$J,9,FALSE)</f>
        <v>62.76</v>
      </c>
      <c r="I439" s="5">
        <f>ROUND(F439*H439,2)</f>
        <v>210.87</v>
      </c>
    </row>
    <row r="440" spans="1:9" x14ac:dyDescent="0.3">
      <c r="A440" s="15" t="s">
        <v>120</v>
      </c>
      <c r="B440" s="49" t="str">
        <f>VLOOKUP(A440,MEMORIA!$A:$N,2,FALSE)</f>
        <v>CERCAMENTO</v>
      </c>
      <c r="C440" s="50"/>
      <c r="D440" s="50"/>
      <c r="E440" s="50"/>
      <c r="F440" s="50"/>
      <c r="G440" s="50"/>
      <c r="H440" s="51"/>
      <c r="I440" s="16">
        <f>SUM($I$441:$I$441)</f>
        <v>6063.93</v>
      </c>
    </row>
    <row r="441" spans="1:9" ht="43.2" x14ac:dyDescent="0.3">
      <c r="A441" s="23" t="s">
        <v>474</v>
      </c>
      <c r="B441" s="23">
        <f>VLOOKUP(A441,MEMORIA!$A:$N,2,FALSE)</f>
        <v>101197</v>
      </c>
      <c r="C441" s="23" t="str">
        <f>VLOOKUP(A441,MEMORIA!$A:$N,3,FALSE)</f>
        <v>SINAPI</v>
      </c>
      <c r="D441" s="24" t="str">
        <f>VLOOKUP(A441,MEMORIA!$A:$N,4,FALSE)</f>
        <v>CERCA COM MOURÕES DE CONCRETO, SEÇÃO "T" PONTA INCLINADA, 10X10 CM, ESPAÇAMENTO DE 2,5 M, CRAVADOS 0,5 M, COM 11 FIOS DE ARAME FARPADO Nº 14 - FORNECIMENTO E INSTALAÇÃO. AF_05/2020</v>
      </c>
      <c r="E441" s="23" t="str">
        <f>VLOOKUP(A441,MEMORIA!$A:$N,5,FALSE)</f>
        <v>M</v>
      </c>
      <c r="F441" s="5">
        <f>VLOOKUP(A441,MEMORIA!$A:$N,14,FALSE)</f>
        <v>37</v>
      </c>
      <c r="G441" s="5">
        <f>VLOOKUP("TOTAL SEM BDI - "&amp;B441,CPU!$A:$J,9,FALSE)</f>
        <v>131.28</v>
      </c>
      <c r="H441" s="5">
        <f>VLOOKUP("TOTAL COM BDI - "&amp;B441,CPU!$A:$J,9,FALSE)</f>
        <v>163.89</v>
      </c>
      <c r="I441" s="5">
        <f>ROUND(F441*H441,2)</f>
        <v>6063.93</v>
      </c>
    </row>
    <row r="442" spans="1:9" x14ac:dyDescent="0.3">
      <c r="A442" s="12" t="s">
        <v>121</v>
      </c>
      <c r="B442" s="46" t="str">
        <f>VLOOKUP(A442,MEMORIA!$A:$N,2,FALSE)</f>
        <v>INSTALAÇÕES ELÉTRICAS</v>
      </c>
      <c r="C442" s="47"/>
      <c r="D442" s="47"/>
      <c r="E442" s="47"/>
      <c r="F442" s="47"/>
      <c r="G442" s="47"/>
      <c r="H442" s="48"/>
      <c r="I442" s="13">
        <f>SUM($I$443:$I$450)</f>
        <v>1853.2700000000002</v>
      </c>
    </row>
    <row r="443" spans="1:9" ht="43.2" x14ac:dyDescent="0.3">
      <c r="A443" s="23" t="s">
        <v>475</v>
      </c>
      <c r="B443" s="23" t="str">
        <f>VLOOKUP(A443,MEMORIA!$A:$N,2,FALSE)</f>
        <v>COMPINST05</v>
      </c>
      <c r="C443" s="23" t="str">
        <f>VLOOKUP(A443,MEMORIA!$A:$N,3,FALSE)</f>
        <v>PRÓPRIA</v>
      </c>
      <c r="D443" s="24" t="str">
        <f>VLOOKUP(A443,MEMORIA!$A:$N,4,FALSE)</f>
        <v>ENTRADA DE ENERGIA ELÉTRICA, AÉREA, MONOFÁSICA, COM CAIXA DE EMBUTIR, CABO DE 10 MM2 E DISJUNTOR DIN 50A (NÃO INCLUSO O POSTE DE CONCRETO). AF_07/2020_PS (REF: 101493-SINAPI-06/2025)</v>
      </c>
      <c r="E443" s="23" t="str">
        <f>VLOOKUP(A443,MEMORIA!$A:$N,5,FALSE)</f>
        <v>UN</v>
      </c>
      <c r="F443" s="5">
        <f>VLOOKUP(A443,MEMORIA!$A:$N,14,FALSE)</f>
        <v>1</v>
      </c>
      <c r="G443" s="5">
        <f>VLOOKUP("TOTAL SEM BDI - "&amp;B443,CPU!$A:$J,9,FALSE)</f>
        <v>967.24</v>
      </c>
      <c r="H443" s="5">
        <f>VLOOKUP("TOTAL COM BDI - "&amp;B443,CPU!$A:$J,9,FALSE)</f>
        <v>1207.5</v>
      </c>
      <c r="I443" s="5">
        <f t="shared" ref="I443:I450" si="18">ROUND(F443*H443,2)</f>
        <v>1207.5</v>
      </c>
    </row>
    <row r="444" spans="1:9" ht="28.8" x14ac:dyDescent="0.3">
      <c r="A444" s="23" t="s">
        <v>476</v>
      </c>
      <c r="B444" s="23">
        <f>VLOOKUP(A444,MEMORIA!$A:$N,2,FALSE)</f>
        <v>93656</v>
      </c>
      <c r="C444" s="23" t="str">
        <f>VLOOKUP(A444,MEMORIA!$A:$N,3,FALSE)</f>
        <v>SINAPI</v>
      </c>
      <c r="D444" s="24" t="str">
        <f>VLOOKUP(A444,MEMORIA!$A:$N,4,FALSE)</f>
        <v>DISJUNTOR MONOPOLAR TIPO DIN, CORRENTE NOMINAL DE 25A - FORNECIMENTO E INSTALAÇÃO. AF_10/2020</v>
      </c>
      <c r="E444" s="23" t="str">
        <f>VLOOKUP(A444,MEMORIA!$A:$N,5,FALSE)</f>
        <v>UN</v>
      </c>
      <c r="F444" s="5">
        <f>VLOOKUP(A444,MEMORIA!$A:$N,14,FALSE)</f>
        <v>1</v>
      </c>
      <c r="G444" s="5">
        <f>VLOOKUP("TOTAL SEM BDI - "&amp;B444,CPU!$A:$J,9,FALSE)</f>
        <v>13.33</v>
      </c>
      <c r="H444" s="5">
        <f>VLOOKUP("TOTAL COM BDI - "&amp;B444,CPU!$A:$J,9,FALSE)</f>
        <v>16.64</v>
      </c>
      <c r="I444" s="5">
        <f t="shared" si="18"/>
        <v>16.64</v>
      </c>
    </row>
    <row r="445" spans="1:9" ht="28.8" x14ac:dyDescent="0.3">
      <c r="A445" s="23" t="s">
        <v>477</v>
      </c>
      <c r="B445" s="23">
        <f>VLOOKUP(A445,MEMORIA!$A:$N,2,FALSE)</f>
        <v>93653</v>
      </c>
      <c r="C445" s="23" t="str">
        <f>VLOOKUP(A445,MEMORIA!$A:$N,3,FALSE)</f>
        <v>SINAPI</v>
      </c>
      <c r="D445" s="24" t="str">
        <f>VLOOKUP(A445,MEMORIA!$A:$N,4,FALSE)</f>
        <v>DISJUNTOR MONOPOLAR TIPO DIN, CORRENTE NOMINAL DE 10A - FORNECIMENTO E INSTALAÇÃO. AF_10/2020</v>
      </c>
      <c r="E445" s="23" t="str">
        <f>VLOOKUP(A445,MEMORIA!$A:$N,5,FALSE)</f>
        <v>UN</v>
      </c>
      <c r="F445" s="5">
        <f>VLOOKUP(A445,MEMORIA!$A:$N,14,FALSE)</f>
        <v>1</v>
      </c>
      <c r="G445" s="5">
        <f>VLOOKUP("TOTAL SEM BDI - "&amp;B445,CPU!$A:$J,9,FALSE)</f>
        <v>11.379999999999999</v>
      </c>
      <c r="H445" s="5">
        <f>VLOOKUP("TOTAL COM BDI - "&amp;B445,CPU!$A:$J,9,FALSE)</f>
        <v>14.209999999999999</v>
      </c>
      <c r="I445" s="5">
        <f t="shared" si="18"/>
        <v>14.21</v>
      </c>
    </row>
    <row r="446" spans="1:9" x14ac:dyDescent="0.3">
      <c r="A446" s="23" t="s">
        <v>478</v>
      </c>
      <c r="B446" s="23" t="str">
        <f>VLOOKUP(A446,MEMORIA!$A:$N,2,FALSE)</f>
        <v>09041/ORSE</v>
      </c>
      <c r="C446" s="23" t="str">
        <f>VLOOKUP(A446,MEMORIA!$A:$N,3,FALSE)</f>
        <v>ORSE</v>
      </c>
      <c r="D446" s="24" t="str">
        <f>VLOOKUP(A446,MEMORIA!$A:$N,4,FALSE)</f>
        <v>DISPOSITIVO DE PROTEÇÃO CONTRA SURTO DE TENSÃO DPS 60KA - 275V</v>
      </c>
      <c r="E446" s="23" t="str">
        <f>VLOOKUP(A446,MEMORIA!$A:$N,5,FALSE)</f>
        <v>UN</v>
      </c>
      <c r="F446" s="5">
        <f>VLOOKUP(A446,MEMORIA!$A:$N,14,FALSE)</f>
        <v>1</v>
      </c>
      <c r="G446" s="5">
        <f>VLOOKUP("TOTAL SEM BDI - "&amp;B446,CPU!$A:$J,9,FALSE)</f>
        <v>88.050000000000011</v>
      </c>
      <c r="H446" s="5">
        <f>VLOOKUP("TOTAL COM BDI - "&amp;B446,CPU!$A:$J,9,FALSE)</f>
        <v>109.92000000000002</v>
      </c>
      <c r="I446" s="5">
        <f t="shared" si="18"/>
        <v>109.92</v>
      </c>
    </row>
    <row r="447" spans="1:9" ht="28.8" x14ac:dyDescent="0.3">
      <c r="A447" s="23" t="s">
        <v>479</v>
      </c>
      <c r="B447" s="23">
        <f>VLOOKUP(A447,MEMORIA!$A:$N,2,FALSE)</f>
        <v>101877</v>
      </c>
      <c r="C447" s="23" t="str">
        <f>VLOOKUP(A447,MEMORIA!$A:$N,3,FALSE)</f>
        <v>SINAPI</v>
      </c>
      <c r="D447" s="24" t="str">
        <f>VLOOKUP(A447,MEMORIA!$A:$N,4,FALSE)</f>
        <v>QUADRO DE DISTRIBUIÇÃO DE ENERGIA EM PVC, DE EMBUTIR, SEM BARRAMENTO, PARA 3 DISJUNTORES - FORNECIMENTO E INSTALAÇÃO. AF_10/2020</v>
      </c>
      <c r="E447" s="23" t="str">
        <f>VLOOKUP(A447,MEMORIA!$A:$N,5,FALSE)</f>
        <v>UN</v>
      </c>
      <c r="F447" s="5">
        <f>VLOOKUP(A447,MEMORIA!$A:$N,14,FALSE)</f>
        <v>1</v>
      </c>
      <c r="G447" s="5">
        <f>VLOOKUP("TOTAL SEM BDI - "&amp;B447,CPU!$A:$J,9,FALSE)</f>
        <v>63.51</v>
      </c>
      <c r="H447" s="5">
        <f>VLOOKUP("TOTAL COM BDI - "&amp;B447,CPU!$A:$J,9,FALSE)</f>
        <v>79.289999999999992</v>
      </c>
      <c r="I447" s="5">
        <f t="shared" si="18"/>
        <v>79.290000000000006</v>
      </c>
    </row>
    <row r="448" spans="1:9" ht="43.2" x14ac:dyDescent="0.3">
      <c r="A448" s="23" t="s">
        <v>480</v>
      </c>
      <c r="B448" s="23" t="str">
        <f>VLOOKUP(A448,MEMORIA!$A:$N,2,FALSE)</f>
        <v>COMPINST02</v>
      </c>
      <c r="C448" s="23" t="str">
        <f>VLOOKUP(A448,MEMORIA!$A:$N,3,FALSE)</f>
        <v>PRÓPRIA</v>
      </c>
      <c r="D448" s="24" t="str">
        <f>VLOOKUP(A448,MEMORIA!$A:$N,4,FALSE)</f>
        <v>PONTO DE ILUMINAÇÃO E TOMADA, RESIDENCIAL, INCLUINDO INTERRUPTOR SIMPLES E TOMADA 10A/250V, CAIXA ELÉTRICA, ELETRODUTO, CABO, RASGO, QUEBRA E CHUMBAMENTO (EXCLUINDO LUMINÁRIA E LÂMPADA)</v>
      </c>
      <c r="E448" s="23" t="str">
        <f>VLOOKUP(A448,MEMORIA!$A:$N,5,FALSE)</f>
        <v>UN</v>
      </c>
      <c r="F448" s="5">
        <f>VLOOKUP(A448,MEMORIA!$A:$N,14,FALSE)</f>
        <v>1</v>
      </c>
      <c r="G448" s="5">
        <f>VLOOKUP("TOTAL SEM BDI - "&amp;B448,CPU!$A:$J,9,FALSE)</f>
        <v>244.91000000000003</v>
      </c>
      <c r="H448" s="5">
        <f>VLOOKUP("TOTAL COM BDI - "&amp;B448,CPU!$A:$J,9,FALSE)</f>
        <v>305.75</v>
      </c>
      <c r="I448" s="5">
        <f t="shared" si="18"/>
        <v>305.75</v>
      </c>
    </row>
    <row r="449" spans="1:9" ht="28.8" x14ac:dyDescent="0.3">
      <c r="A449" s="23" t="s">
        <v>481</v>
      </c>
      <c r="B449" s="23">
        <f>VLOOKUP(A449,MEMORIA!$A:$N,2,FALSE)</f>
        <v>97610</v>
      </c>
      <c r="C449" s="23" t="str">
        <f>VLOOKUP(A449,MEMORIA!$A:$N,3,FALSE)</f>
        <v>SINAPI</v>
      </c>
      <c r="D449" s="24" t="str">
        <f>VLOOKUP(A449,MEMORIA!$A:$N,4,FALSE)</f>
        <v>LÂMPADA COMPACTA DE LED 10 W, BASE E27 - FORNECIMENTO E INSTALAÇÃO. AF_09/2024</v>
      </c>
      <c r="E449" s="23" t="str">
        <f>VLOOKUP(A449,MEMORIA!$A:$N,5,FALSE)</f>
        <v>UN</v>
      </c>
      <c r="F449" s="5">
        <f>VLOOKUP(A449,MEMORIA!$A:$N,14,FALSE)</f>
        <v>1</v>
      </c>
      <c r="G449" s="5">
        <f>VLOOKUP("TOTAL SEM BDI - "&amp;B449,CPU!$A:$J,9,FALSE)</f>
        <v>13.05</v>
      </c>
      <c r="H449" s="5">
        <f>VLOOKUP("TOTAL COM BDI - "&amp;B449,CPU!$A:$J,9,FALSE)</f>
        <v>16.29</v>
      </c>
      <c r="I449" s="5">
        <f t="shared" si="18"/>
        <v>16.29</v>
      </c>
    </row>
    <row r="450" spans="1:9" ht="28.8" x14ac:dyDescent="0.3">
      <c r="A450" s="23" t="s">
        <v>482</v>
      </c>
      <c r="B450" s="23" t="str">
        <f>VLOOKUP(A450,MEMORIA!$A:$N,2,FALSE)</f>
        <v>COMPINST04</v>
      </c>
      <c r="C450" s="23" t="str">
        <f>VLOOKUP(A450,MEMORIA!$A:$N,3,FALSE)</f>
        <v>PRÓPRIA</v>
      </c>
      <c r="D450" s="24" t="str">
        <f>VLOOKUP(A450,MEMORIA!$A:$N,4,FALSE)</f>
        <v>LUMINÁRIA ARANDELA TIPO MEIA-LUA COM VIDRO FOSCO *30 X 15* CM, PARA 1 LÂMPADA (SINAPI ADAPTADO 97605)</v>
      </c>
      <c r="E450" s="23" t="str">
        <f>VLOOKUP(A450,MEMORIA!$A:$N,5,FALSE)</f>
        <v>UN</v>
      </c>
      <c r="F450" s="5">
        <f>VLOOKUP(A450,MEMORIA!$A:$N,14,FALSE)</f>
        <v>1</v>
      </c>
      <c r="G450" s="5">
        <f>VLOOKUP("TOTAL SEM BDI - "&amp;B450,CPU!$A:$J,9,FALSE)</f>
        <v>83.039999999999992</v>
      </c>
      <c r="H450" s="5">
        <f>VLOOKUP("TOTAL COM BDI - "&amp;B450,CPU!$A:$J,9,FALSE)</f>
        <v>103.66999999999999</v>
      </c>
      <c r="I450" s="5">
        <f t="shared" si="18"/>
        <v>103.67</v>
      </c>
    </row>
    <row r="451" spans="1:9" x14ac:dyDescent="0.3">
      <c r="A451" s="12" t="s">
        <v>122</v>
      </c>
      <c r="B451" s="46" t="str">
        <f>VLOOKUP(A451,MEMORIA!$A:$N,2,FALSE)</f>
        <v>ADUÇÃO</v>
      </c>
      <c r="C451" s="47"/>
      <c r="D451" s="47"/>
      <c r="E451" s="47"/>
      <c r="F451" s="47"/>
      <c r="G451" s="47"/>
      <c r="H451" s="48"/>
      <c r="I451" s="13">
        <f>SUM($I$452,$I$455,$I$457,)</f>
        <v>1351.72</v>
      </c>
    </row>
    <row r="452" spans="1:9" x14ac:dyDescent="0.3">
      <c r="A452" s="15" t="s">
        <v>123</v>
      </c>
      <c r="B452" s="49" t="str">
        <f>VLOOKUP(A452,MEMORIA!$A:$N,2,FALSE)</f>
        <v>MOVIMENTO DE TERRA</v>
      </c>
      <c r="C452" s="50"/>
      <c r="D452" s="50"/>
      <c r="E452" s="50"/>
      <c r="F452" s="50"/>
      <c r="G452" s="50"/>
      <c r="H452" s="51"/>
      <c r="I452" s="16">
        <f>SUM($I$453:$I$454)</f>
        <v>423.02</v>
      </c>
    </row>
    <row r="453" spans="1:9" x14ac:dyDescent="0.3">
      <c r="A453" s="23" t="s">
        <v>483</v>
      </c>
      <c r="B453" s="23">
        <f>VLOOKUP(A453,MEMORIA!$A:$N,2,FALSE)</f>
        <v>93358</v>
      </c>
      <c r="C453" s="23" t="str">
        <f>VLOOKUP(A453,MEMORIA!$A:$N,3,FALSE)</f>
        <v>SINAPI</v>
      </c>
      <c r="D453" s="24" t="str">
        <f>VLOOKUP(A453,MEMORIA!$A:$N,4,FALSE)</f>
        <v>ESCAVAÇÃO MANUAL DE VALA. AF_09/2024</v>
      </c>
      <c r="E453" s="23" t="str">
        <f>VLOOKUP(A453,MEMORIA!$A:$N,5,FALSE)</f>
        <v>M3</v>
      </c>
      <c r="F453" s="5">
        <f>VLOOKUP(A453,MEMORIA!$A:$N,14,FALSE)</f>
        <v>2.76</v>
      </c>
      <c r="G453" s="5">
        <f>VLOOKUP("TOTAL SEM BDI - "&amp;B453,CPU!$A:$J,9,FALSE)</f>
        <v>85.87</v>
      </c>
      <c r="H453" s="5">
        <f>VLOOKUP("TOTAL COM BDI - "&amp;B453,CPU!$A:$J,9,FALSE)</f>
        <v>107.2</v>
      </c>
      <c r="I453" s="5">
        <f>ROUND(F453*H453,2)</f>
        <v>295.87</v>
      </c>
    </row>
    <row r="454" spans="1:9" x14ac:dyDescent="0.3">
      <c r="A454" s="23" t="s">
        <v>484</v>
      </c>
      <c r="B454" s="23" t="str">
        <f>VLOOKUP(A454,MEMORIA!$A:$N,2,FALSE)</f>
        <v>COMPOS28</v>
      </c>
      <c r="C454" s="23" t="str">
        <f>VLOOKUP(A454,MEMORIA!$A:$N,3,FALSE)</f>
        <v>PRÓPRIA</v>
      </c>
      <c r="D454" s="24" t="str">
        <f>VLOOKUP(A454,MEMORIA!$A:$N,4,FALSE)</f>
        <v>REATERRO DE VALA COM COMPACTAÇÃO MANUAL</v>
      </c>
      <c r="E454" s="23" t="str">
        <f>VLOOKUP(A454,MEMORIA!$A:$N,5,FALSE)</f>
        <v>M³</v>
      </c>
      <c r="F454" s="5">
        <f>VLOOKUP(A454,MEMORIA!$A:$N,14,FALSE)</f>
        <v>2.76</v>
      </c>
      <c r="G454" s="5">
        <f>VLOOKUP("TOTAL SEM BDI - "&amp;B454,CPU!$A:$J,9,FALSE)</f>
        <v>36.9</v>
      </c>
      <c r="H454" s="5">
        <f>VLOOKUP("TOTAL COM BDI - "&amp;B454,CPU!$A:$J,9,FALSE)</f>
        <v>46.07</v>
      </c>
      <c r="I454" s="5">
        <f>ROUND(F454*H454,2)</f>
        <v>127.15</v>
      </c>
    </row>
    <row r="455" spans="1:9" x14ac:dyDescent="0.3">
      <c r="A455" s="15" t="s">
        <v>124</v>
      </c>
      <c r="B455" s="49" t="str">
        <f>VLOOKUP(A455,MEMORIA!$A:$N,2,FALSE)</f>
        <v>INFRAESTRUTURA</v>
      </c>
      <c r="C455" s="50"/>
      <c r="D455" s="50"/>
      <c r="E455" s="50"/>
      <c r="F455" s="50"/>
      <c r="G455" s="50"/>
      <c r="H455" s="51"/>
      <c r="I455" s="16">
        <f>SUM($I$456:$I$456)</f>
        <v>265.19</v>
      </c>
    </row>
    <row r="456" spans="1:9" x14ac:dyDescent="0.3">
      <c r="A456" s="23" t="s">
        <v>485</v>
      </c>
      <c r="B456" s="23" t="str">
        <f>VLOOKUP(A456,MEMORIA!$A:$N,2,FALSE)</f>
        <v>C3403</v>
      </c>
      <c r="C456" s="23" t="str">
        <f>VLOOKUP(A456,MEMORIA!$A:$N,3,FALSE)</f>
        <v>SEINFRA</v>
      </c>
      <c r="D456" s="24" t="str">
        <f>VLOOKUP(A456,MEMORIA!$A:$N,4,FALSE)</f>
        <v>BLOCO DE ANCORAGEM EM CONCRETO SIMPLES FCK=10MPa</v>
      </c>
      <c r="E456" s="23" t="str">
        <f>VLOOKUP(A456,MEMORIA!$A:$N,5,FALSE)</f>
        <v>M3</v>
      </c>
      <c r="F456" s="5">
        <f>VLOOKUP(A456,MEMORIA!$A:$N,14,FALSE)</f>
        <v>0.26</v>
      </c>
      <c r="G456" s="5">
        <f>VLOOKUP("TOTAL SEM BDI - "&amp;B456,CPU!$A:$J,9,FALSE)</f>
        <v>817.03</v>
      </c>
      <c r="H456" s="5">
        <f>VLOOKUP("TOTAL COM BDI - "&amp;B456,CPU!$A:$J,9,FALSE)</f>
        <v>1019.98</v>
      </c>
      <c r="I456" s="5">
        <f>ROUND(F456*H456,2)</f>
        <v>265.19</v>
      </c>
    </row>
    <row r="457" spans="1:9" x14ac:dyDescent="0.3">
      <c r="A457" s="15" t="s">
        <v>125</v>
      </c>
      <c r="B457" s="49" t="str">
        <f>VLOOKUP(A457,MEMORIA!$A:$N,2,FALSE)</f>
        <v>INSTALAÇÕES HIDRÁULICAS</v>
      </c>
      <c r="C457" s="50"/>
      <c r="D457" s="50"/>
      <c r="E457" s="50"/>
      <c r="F457" s="50"/>
      <c r="G457" s="50"/>
      <c r="H457" s="51"/>
      <c r="I457" s="16">
        <f>SUM($I$458:$I$459)</f>
        <v>663.51</v>
      </c>
    </row>
    <row r="458" spans="1:9" ht="28.8" x14ac:dyDescent="0.3">
      <c r="A458" s="23" t="s">
        <v>486</v>
      </c>
      <c r="B458" s="23" t="str">
        <f>VLOOKUP(A458,MEMORIA!$A:$N,2,FALSE)</f>
        <v>COMPOS27</v>
      </c>
      <c r="C458" s="23" t="str">
        <f>VLOOKUP(A458,MEMORIA!$A:$N,3,FALSE)</f>
        <v>PRÓPRIA</v>
      </c>
      <c r="D458" s="24" t="str">
        <f>VLOOKUP(A458,MEMORIA!$A:$N,4,FALSE)</f>
        <v>AQUISIÇÃO E ASSENTAMENTO DE TUBO RÍGIDO PVC, CLASSE 12, DN 50 MM, INCLUSO CONEXÕES</v>
      </c>
      <c r="E458" s="23" t="str">
        <f>VLOOKUP(A458,MEMORIA!$A:$N,5,FALSE)</f>
        <v>M</v>
      </c>
      <c r="F458" s="5">
        <f>VLOOKUP(A458,MEMORIA!$A:$N,14,FALSE)</f>
        <v>16</v>
      </c>
      <c r="G458" s="5">
        <f>VLOOKUP("TOTAL SEM BDI - "&amp;B458,CPU!$A:$J,9,FALSE)</f>
        <v>25.79</v>
      </c>
      <c r="H458" s="5">
        <f>VLOOKUP("TOTAL COM BDI - "&amp;B458,CPU!$A:$J,9,FALSE)</f>
        <v>32.200000000000003</v>
      </c>
      <c r="I458" s="5">
        <f>ROUND(F458*H458,2)</f>
        <v>515.20000000000005</v>
      </c>
    </row>
    <row r="459" spans="1:9" ht="28.8" x14ac:dyDescent="0.3">
      <c r="A459" s="23" t="s">
        <v>487</v>
      </c>
      <c r="B459" s="23">
        <f>VLOOKUP(A459,MEMORIA!$A:$N,2,FALSE)</f>
        <v>94497</v>
      </c>
      <c r="C459" s="23" t="str">
        <f>VLOOKUP(A459,MEMORIA!$A:$N,3,FALSE)</f>
        <v>SINAPI</v>
      </c>
      <c r="D459" s="24" t="str">
        <f>VLOOKUP(A459,MEMORIA!$A:$N,4,FALSE)</f>
        <v>REGISTRO DE GAVETA BRUTO, LATÃO, ROSCÁVEL, 1 1/2" - FORNECIMENTO E INSTALAÇÃO. AF_08/2021</v>
      </c>
      <c r="E459" s="23" t="str">
        <f>VLOOKUP(A459,MEMORIA!$A:$N,5,FALSE)</f>
        <v>UN</v>
      </c>
      <c r="F459" s="5">
        <f>VLOOKUP(A459,MEMORIA!$A:$N,14,FALSE)</f>
        <v>1</v>
      </c>
      <c r="G459" s="5">
        <f>VLOOKUP("TOTAL SEM BDI - "&amp;B459,CPU!$A:$J,9,FALSE)</f>
        <v>118.80000000000001</v>
      </c>
      <c r="H459" s="5">
        <f>VLOOKUP("TOTAL COM BDI - "&amp;B459,CPU!$A:$J,9,FALSE)</f>
        <v>148.31</v>
      </c>
      <c r="I459" s="5">
        <f>ROUND(F459*H459,2)</f>
        <v>148.31</v>
      </c>
    </row>
    <row r="460" spans="1:9" x14ac:dyDescent="0.3">
      <c r="A460" s="12" t="s">
        <v>126</v>
      </c>
      <c r="B460" s="46" t="str">
        <f>VLOOKUP(A460,MEMORIA!$A:$N,2,FALSE)</f>
        <v>RESERVAÇÃO</v>
      </c>
      <c r="C460" s="47"/>
      <c r="D460" s="47"/>
      <c r="E460" s="47"/>
      <c r="F460" s="47"/>
      <c r="G460" s="47"/>
      <c r="H460" s="48"/>
      <c r="I460" s="13">
        <f>SUM($I$461:$I$461)</f>
        <v>20347.62</v>
      </c>
    </row>
    <row r="461" spans="1:9" ht="57.6" x14ac:dyDescent="0.3">
      <c r="A461" s="23" t="s">
        <v>488</v>
      </c>
      <c r="B461" s="23" t="str">
        <f>VLOOKUP(A461,MEMORIA!$A:$N,2,FALSE)</f>
        <v>COMPOS32</v>
      </c>
      <c r="C461" s="23" t="str">
        <f>VLOOKUP(A461,MEMORIA!$A:$N,3,FALSE)</f>
        <v>PRÓPRIA</v>
      </c>
      <c r="D461" s="24" t="str">
        <f>VLOOKUP(A461,MEMORIA!$A:$N,4,FALSE)</f>
        <v>RESERVATÓRIO ELEVADO C/ CAIXA D'AGUA EM FIBRA DE VIDRO DE 10.000 LITROS APOIADO EM ESTRUTURA PRÉ-MOLDADA EM CONCRETO, COMPOSTA DE CAPITEL P/APOIO DA CAIXA E PILAR C/ALTURA ÚTIL = 7,00M, INCLUSO FRETE E MONTAGEM NO LOCAL, EXCETO INST. HIDRÁULICA</v>
      </c>
      <c r="E461" s="23" t="str">
        <f>VLOOKUP(A461,MEMORIA!$A:$N,5,FALSE)</f>
        <v>UND</v>
      </c>
      <c r="F461" s="5">
        <f>VLOOKUP(A461,MEMORIA!$A:$N,14,FALSE)</f>
        <v>1</v>
      </c>
      <c r="G461" s="5">
        <f>VLOOKUP("TOTAL SEM BDI - "&amp;B461,CPU!$A:$J,9,FALSE)</f>
        <v>16298.96</v>
      </c>
      <c r="H461" s="5">
        <f>VLOOKUP("TOTAL COM BDI - "&amp;B461,CPU!$A:$J,9,FALSE)</f>
        <v>20347.62</v>
      </c>
      <c r="I461" s="5">
        <f>ROUND(F461*H461,2)</f>
        <v>20347.62</v>
      </c>
    </row>
    <row r="462" spans="1:9" x14ac:dyDescent="0.3">
      <c r="A462" s="12" t="s">
        <v>127</v>
      </c>
      <c r="B462" s="46" t="str">
        <f>VLOOKUP(A462,MEMORIA!$A:$N,2,FALSE)</f>
        <v>DISTRIBUIÇÃO (CHAFARIZ)</v>
      </c>
      <c r="C462" s="47"/>
      <c r="D462" s="47"/>
      <c r="E462" s="47"/>
      <c r="F462" s="47"/>
      <c r="G462" s="47"/>
      <c r="H462" s="48"/>
      <c r="I462" s="13">
        <f>SUM($I$463:$I$474)</f>
        <v>2831.9999999999995</v>
      </c>
    </row>
    <row r="463" spans="1:9" ht="28.8" x14ac:dyDescent="0.3">
      <c r="A463" s="23" t="s">
        <v>489</v>
      </c>
      <c r="B463" s="23" t="str">
        <f>VLOOKUP(A463,MEMORIA!$A:$N,2,FALSE)</f>
        <v>COMPOS27</v>
      </c>
      <c r="C463" s="23" t="str">
        <f>VLOOKUP(A463,MEMORIA!$A:$N,3,FALSE)</f>
        <v>PRÓPRIA</v>
      </c>
      <c r="D463" s="24" t="str">
        <f>VLOOKUP(A463,MEMORIA!$A:$N,4,FALSE)</f>
        <v>AQUISIÇÃO E ASSENTAMENTO DE TUBO RÍGIDO PVC, CLASSE 12, DN 50 MM, INCLUSO CONEXÕES</v>
      </c>
      <c r="E463" s="23" t="str">
        <f>VLOOKUP(A463,MEMORIA!$A:$N,5,FALSE)</f>
        <v>M</v>
      </c>
      <c r="F463" s="5">
        <f>VLOOKUP(A463,MEMORIA!$A:$N,14,FALSE)</f>
        <v>18</v>
      </c>
      <c r="G463" s="5">
        <f>VLOOKUP("TOTAL SEM BDI - "&amp;B463,CPU!$A:$J,9,FALSE)</f>
        <v>25.79</v>
      </c>
      <c r="H463" s="5">
        <f>VLOOKUP("TOTAL COM BDI - "&amp;B463,CPU!$A:$J,9,FALSE)</f>
        <v>32.200000000000003</v>
      </c>
      <c r="I463" s="5">
        <f t="shared" ref="I463:I474" si="19">ROUND(F463*H463,2)</f>
        <v>579.6</v>
      </c>
    </row>
    <row r="464" spans="1:9" ht="28.8" x14ac:dyDescent="0.3">
      <c r="A464" s="23" t="s">
        <v>490</v>
      </c>
      <c r="B464" s="23" t="str">
        <f>VLOOKUP(A464,MEMORIA!$A:$N,2,FALSE)</f>
        <v>06457/ORSE</v>
      </c>
      <c r="C464" s="23" t="str">
        <f>VLOOKUP(A464,MEMORIA!$A:$N,3,FALSE)</f>
        <v>ORSE</v>
      </c>
      <c r="D464" s="24" t="str">
        <f>VLOOKUP(A464,MEMORIA!$A:$N,4,FALSE)</f>
        <v>CONCRETO ARMADO FCK=15MPA FABRICADO NA OBRA, ADENSADO E LANÇADO, PARA USO GERAL, COM FORMAS PLANAS EM COMPENSADO RESINADO 12MM (05 USOS)</v>
      </c>
      <c r="E464" s="23" t="str">
        <f>VLOOKUP(A464,MEMORIA!$A:$N,5,FALSE)</f>
        <v>M3</v>
      </c>
      <c r="F464" s="5">
        <f>VLOOKUP(A464,MEMORIA!$A:$N,14,FALSE)</f>
        <v>0.26</v>
      </c>
      <c r="G464" s="5">
        <f>VLOOKUP("TOTAL SEM BDI - "&amp;B464,CPU!$A:$J,9,FALSE)</f>
        <v>2617.91</v>
      </c>
      <c r="H464" s="5">
        <f>VLOOKUP("TOTAL COM BDI - "&amp;B464,CPU!$A:$J,9,FALSE)</f>
        <v>3268.2</v>
      </c>
      <c r="I464" s="5">
        <f t="shared" si="19"/>
        <v>849.73</v>
      </c>
    </row>
    <row r="465" spans="1:9" ht="28.8" x14ac:dyDescent="0.3">
      <c r="A465" s="23" t="s">
        <v>491</v>
      </c>
      <c r="B465" s="23">
        <f>VLOOKUP(A465,MEMORIA!$A:$N,2,FALSE)</f>
        <v>86906</v>
      </c>
      <c r="C465" s="23" t="str">
        <f>VLOOKUP(A465,MEMORIA!$A:$N,3,FALSE)</f>
        <v>SINAPI</v>
      </c>
      <c r="D465" s="24" t="str">
        <f>VLOOKUP(A465,MEMORIA!$A:$N,4,FALSE)</f>
        <v>TORNEIRA CROMADA DE MESA, 1/2" OU 3/4", PARA LAVATÓRIO, PADRÃO POPULAR - FORNECIMENTO E INSTALAÇÃO. AF_01/2020</v>
      </c>
      <c r="E465" s="23" t="str">
        <f>VLOOKUP(A465,MEMORIA!$A:$N,5,FALSE)</f>
        <v>UN</v>
      </c>
      <c r="F465" s="5">
        <f>VLOOKUP(A465,MEMORIA!$A:$N,14,FALSE)</f>
        <v>4</v>
      </c>
      <c r="G465" s="5">
        <f>VLOOKUP("TOTAL SEM BDI - "&amp;B465,CPU!$A:$J,9,FALSE)</f>
        <v>81.239999999999995</v>
      </c>
      <c r="H465" s="5">
        <f>VLOOKUP("TOTAL COM BDI - "&amp;B465,CPU!$A:$J,9,FALSE)</f>
        <v>101.41999999999999</v>
      </c>
      <c r="I465" s="5">
        <f t="shared" si="19"/>
        <v>405.68</v>
      </c>
    </row>
    <row r="466" spans="1:9" ht="43.2" x14ac:dyDescent="0.3">
      <c r="A466" s="23" t="s">
        <v>492</v>
      </c>
      <c r="B466" s="23">
        <f>VLOOKUP(A466,MEMORIA!$A:$N,2,FALSE)</f>
        <v>92920</v>
      </c>
      <c r="C466" s="23" t="str">
        <f>VLOOKUP(A466,MEMORIA!$A:$N,3,FALSE)</f>
        <v>SINAPI</v>
      </c>
      <c r="D466" s="24" t="str">
        <f>VLOOKUP(A466,MEMORIA!$A:$N,4,FALSE)</f>
        <v>LUVA DE REDUÇÃO, EM FERRO GALVANIZADO, 1" X 3/4", CONEXÃO ROSQUEADA, INSTALADO EM REDE DE ALIMENTAÇÃO PARA HIDRANTE - FORNECIMENTO E INSTALAÇÃO. AF_10/2020</v>
      </c>
      <c r="E466" s="23" t="str">
        <f>VLOOKUP(A466,MEMORIA!$A:$N,5,FALSE)</f>
        <v>UN</v>
      </c>
      <c r="F466" s="5">
        <f>VLOOKUP(A466,MEMORIA!$A:$N,14,FALSE)</f>
        <v>4</v>
      </c>
      <c r="G466" s="5">
        <f>VLOOKUP("TOTAL SEM BDI - "&amp;B466,CPU!$A:$J,9,FALSE)</f>
        <v>35.64</v>
      </c>
      <c r="H466" s="5">
        <f>VLOOKUP("TOTAL COM BDI - "&amp;B466,CPU!$A:$J,9,FALSE)</f>
        <v>44.49</v>
      </c>
      <c r="I466" s="5">
        <f t="shared" si="19"/>
        <v>177.96</v>
      </c>
    </row>
    <row r="467" spans="1:9" x14ac:dyDescent="0.3">
      <c r="A467" s="23" t="s">
        <v>493</v>
      </c>
      <c r="B467" s="23" t="str">
        <f>VLOOKUP(A467,MEMORIA!$A:$N,2,FALSE)</f>
        <v>COMPCH08</v>
      </c>
      <c r="C467" s="23" t="str">
        <f>VLOOKUP(A467,MEMORIA!$A:$N,3,FALSE)</f>
        <v>PRÓPRIA</v>
      </c>
      <c r="D467" s="24" t="str">
        <f>VLOOKUP(A467,MEMORIA!$A:$N,4,FALSE)</f>
        <v>CRUZETA DE FERRO GALVANIZADO, COM ROSCA BSP, DE 1"</v>
      </c>
      <c r="E467" s="23" t="str">
        <f>VLOOKUP(A467,MEMORIA!$A:$N,5,FALSE)</f>
        <v>UN</v>
      </c>
      <c r="F467" s="5">
        <f>VLOOKUP(A467,MEMORIA!$A:$N,14,FALSE)</f>
        <v>1</v>
      </c>
      <c r="G467" s="5">
        <f>VLOOKUP("TOTAL SEM BDI - "&amp;B467,CPU!$A:$J,9,FALSE)</f>
        <v>85.84</v>
      </c>
      <c r="H467" s="5">
        <f>VLOOKUP("TOTAL COM BDI - "&amp;B467,CPU!$A:$J,9,FALSE)</f>
        <v>107.16</v>
      </c>
      <c r="I467" s="5">
        <f t="shared" si="19"/>
        <v>107.16</v>
      </c>
    </row>
    <row r="468" spans="1:9" ht="28.8" x14ac:dyDescent="0.3">
      <c r="A468" s="23" t="s">
        <v>494</v>
      </c>
      <c r="B468" s="23" t="str">
        <f>VLOOKUP(A468,MEMORIA!$A:$N,2,FALSE)</f>
        <v>COMPCH01</v>
      </c>
      <c r="C468" s="23" t="str">
        <f>VLOOKUP(A468,MEMORIA!$A:$N,3,FALSE)</f>
        <v>PRÓPRIA</v>
      </c>
      <c r="D468" s="24" t="str">
        <f>VLOOKUP(A468,MEMORIA!$A:$N,4,FALSE)</f>
        <v>TÊ, EM FERRO GALVANIZADO, 1", CONEXÃO ROSQUEADA, INSTALADO EM PRUMADAS - FORNECIMENTO E INSTALAÇÃO.</v>
      </c>
      <c r="E468" s="23" t="str">
        <f>VLOOKUP(A468,MEMORIA!$A:$N,5,FALSE)</f>
        <v>UN</v>
      </c>
      <c r="F468" s="5">
        <f>VLOOKUP(A468,MEMORIA!$A:$N,14,FALSE)</f>
        <v>1</v>
      </c>
      <c r="G468" s="5">
        <f>VLOOKUP("TOTAL SEM BDI - "&amp;B468,CPU!$A:$J,9,FALSE)</f>
        <v>69.28</v>
      </c>
      <c r="H468" s="5">
        <f>VLOOKUP("TOTAL COM BDI - "&amp;B468,CPU!$A:$J,9,FALSE)</f>
        <v>86.490000000000009</v>
      </c>
      <c r="I468" s="5">
        <f t="shared" si="19"/>
        <v>86.49</v>
      </c>
    </row>
    <row r="469" spans="1:9" x14ac:dyDescent="0.3">
      <c r="A469" s="23" t="s">
        <v>495</v>
      </c>
      <c r="B469" s="23" t="str">
        <f>VLOOKUP(A469,MEMORIA!$A:$N,2,FALSE)</f>
        <v>COMPCH02</v>
      </c>
      <c r="C469" s="23" t="str">
        <f>VLOOKUP(A469,MEMORIA!$A:$N,3,FALSE)</f>
        <v>PRÓPRIA</v>
      </c>
      <c r="D469" s="24" t="str">
        <f>VLOOKUP(A469,MEMORIA!$A:$N,4,FALSE)</f>
        <v>LUVA DE FERRO GALVANIZADO, COM ROSCA BSP, DE 1"- FORNECIMENTO E INSTALAÇÃO</v>
      </c>
      <c r="E469" s="23" t="str">
        <f>VLOOKUP(A469,MEMORIA!$A:$N,5,FALSE)</f>
        <v>UN</v>
      </c>
      <c r="F469" s="5">
        <f>VLOOKUP(A469,MEMORIA!$A:$N,14,FALSE)</f>
        <v>1</v>
      </c>
      <c r="G469" s="5">
        <f>VLOOKUP("TOTAL SEM BDI - "&amp;B469,CPU!$A:$J,9,FALSE)</f>
        <v>21.18</v>
      </c>
      <c r="H469" s="5">
        <f>VLOOKUP("TOTAL COM BDI - "&amp;B469,CPU!$A:$J,9,FALSE)</f>
        <v>26.439999999999998</v>
      </c>
      <c r="I469" s="5">
        <f t="shared" si="19"/>
        <v>26.44</v>
      </c>
    </row>
    <row r="470" spans="1:9" ht="28.8" x14ac:dyDescent="0.3">
      <c r="A470" s="23" t="s">
        <v>496</v>
      </c>
      <c r="B470" s="23" t="str">
        <f>VLOOKUP(A470,MEMORIA!$A:$N,2,FALSE)</f>
        <v>COMPCH03</v>
      </c>
      <c r="C470" s="23" t="str">
        <f>VLOOKUP(A470,MEMORIA!$A:$N,3,FALSE)</f>
        <v>PRÓPRIA</v>
      </c>
      <c r="D470" s="24" t="str">
        <f>VLOOKUP(A470,MEMORIA!$A:$N,4,FALSE)</f>
        <v>CURVA 90 GRAUS DE FERRO GALVANIZADO, COM ROSCA BSP FEMEA, DE 1"- FORNECIMENTO E INSTALAÇÃO</v>
      </c>
      <c r="E470" s="23" t="str">
        <f>VLOOKUP(A470,MEMORIA!$A:$N,5,FALSE)</f>
        <v>UN</v>
      </c>
      <c r="F470" s="5">
        <f>VLOOKUP(A470,MEMORIA!$A:$N,14,FALSE)</f>
        <v>1</v>
      </c>
      <c r="G470" s="5">
        <f>VLOOKUP("TOTAL SEM BDI - "&amp;B470,CPU!$A:$J,9,FALSE)</f>
        <v>55.2</v>
      </c>
      <c r="H470" s="5">
        <f>VLOOKUP("TOTAL COM BDI - "&amp;B470,CPU!$A:$J,9,FALSE)</f>
        <v>68.91</v>
      </c>
      <c r="I470" s="5">
        <f t="shared" si="19"/>
        <v>68.91</v>
      </c>
    </row>
    <row r="471" spans="1:9" ht="28.8" x14ac:dyDescent="0.3">
      <c r="A471" s="23" t="s">
        <v>497</v>
      </c>
      <c r="B471" s="23" t="str">
        <f>VLOOKUP(A471,MEMORIA!$A:$N,2,FALSE)</f>
        <v>COMPCH04</v>
      </c>
      <c r="C471" s="23" t="str">
        <f>VLOOKUP(A471,MEMORIA!$A:$N,3,FALSE)</f>
        <v>PRÓPRIA</v>
      </c>
      <c r="D471" s="24" t="str">
        <f>VLOOKUP(A471,MEMORIA!$A:$N,4,FALSE)</f>
        <v>TUBO DE AÇO GALVANIZADO COM COSTURA 1" (25MM), INCLUSIVE CONEXOES - FORNECIMENTO E INSTALAÇÃO</v>
      </c>
      <c r="E471" s="23" t="str">
        <f>VLOOKUP(A471,MEMORIA!$A:$N,5,FALSE)</f>
        <v>M</v>
      </c>
      <c r="F471" s="5">
        <f>VLOOKUP(A471,MEMORIA!$A:$N,14,FALSE)</f>
        <v>3</v>
      </c>
      <c r="G471" s="5">
        <f>VLOOKUP("TOTAL SEM BDI - "&amp;B471,CPU!$A:$J,9,FALSE)</f>
        <v>46.050000000000004</v>
      </c>
      <c r="H471" s="5">
        <f>VLOOKUP("TOTAL COM BDI - "&amp;B471,CPU!$A:$J,9,FALSE)</f>
        <v>57.49</v>
      </c>
      <c r="I471" s="5">
        <f t="shared" si="19"/>
        <v>172.47</v>
      </c>
    </row>
    <row r="472" spans="1:9" ht="28.8" x14ac:dyDescent="0.3">
      <c r="A472" s="23" t="s">
        <v>498</v>
      </c>
      <c r="B472" s="23" t="str">
        <f>VLOOKUP(A472,MEMORIA!$A:$N,2,FALSE)</f>
        <v>COMPCH05</v>
      </c>
      <c r="C472" s="23" t="str">
        <f>VLOOKUP(A472,MEMORIA!$A:$N,3,FALSE)</f>
        <v>PRÓPRIA</v>
      </c>
      <c r="D472" s="24" t="str">
        <f>VLOOKUP(A472,MEMORIA!$A:$N,4,FALSE)</f>
        <v>BUCHA DE REDUCAO DE FERRO GALVANIZADO, COM ROSCA BSP, DE 1 1/2" X 1"- FORNECIMENTO E INSTALAÇÃO</v>
      </c>
      <c r="E472" s="23" t="str">
        <f>VLOOKUP(A472,MEMORIA!$A:$N,5,FALSE)</f>
        <v>UN</v>
      </c>
      <c r="F472" s="5">
        <f>VLOOKUP(A472,MEMORIA!$A:$N,14,FALSE)</f>
        <v>1</v>
      </c>
      <c r="G472" s="5">
        <f>VLOOKUP("TOTAL SEM BDI - "&amp;B472,CPU!$A:$J,9,FALSE)</f>
        <v>37.659999999999997</v>
      </c>
      <c r="H472" s="5">
        <f>VLOOKUP("TOTAL COM BDI - "&amp;B472,CPU!$A:$J,9,FALSE)</f>
        <v>47.01</v>
      </c>
      <c r="I472" s="5">
        <f t="shared" si="19"/>
        <v>47.01</v>
      </c>
    </row>
    <row r="473" spans="1:9" ht="28.8" x14ac:dyDescent="0.3">
      <c r="A473" s="23" t="s">
        <v>499</v>
      </c>
      <c r="B473" s="23">
        <f>VLOOKUP(A473,MEMORIA!$A:$N,2,FALSE)</f>
        <v>94497</v>
      </c>
      <c r="C473" s="23" t="str">
        <f>VLOOKUP(A473,MEMORIA!$A:$N,3,FALSE)</f>
        <v>SINAPI</v>
      </c>
      <c r="D473" s="24" t="str">
        <f>VLOOKUP(A473,MEMORIA!$A:$N,4,FALSE)</f>
        <v>REGISTRO DE GAVETA BRUTO, LATÃO, ROSCÁVEL, 1 1/2" - FORNECIMENTO E INSTALAÇÃO. AF_08/2021</v>
      </c>
      <c r="E473" s="23" t="str">
        <f>VLOOKUP(A473,MEMORIA!$A:$N,5,FALSE)</f>
        <v>UN</v>
      </c>
      <c r="F473" s="5">
        <f>VLOOKUP(A473,MEMORIA!$A:$N,14,FALSE)</f>
        <v>2</v>
      </c>
      <c r="G473" s="5">
        <f>VLOOKUP("TOTAL SEM BDI - "&amp;B473,CPU!$A:$J,9,FALSE)</f>
        <v>118.80000000000001</v>
      </c>
      <c r="H473" s="5">
        <f>VLOOKUP("TOTAL COM BDI - "&amp;B473,CPU!$A:$J,9,FALSE)</f>
        <v>148.31</v>
      </c>
      <c r="I473" s="5">
        <f t="shared" si="19"/>
        <v>296.62</v>
      </c>
    </row>
    <row r="474" spans="1:9" ht="28.8" x14ac:dyDescent="0.3">
      <c r="A474" s="23" t="s">
        <v>500</v>
      </c>
      <c r="B474" s="23" t="str">
        <f>VLOOKUP(A474,MEMORIA!$A:$N,2,FALSE)</f>
        <v>COMPCH07</v>
      </c>
      <c r="C474" s="23" t="str">
        <f>VLOOKUP(A474,MEMORIA!$A:$N,3,FALSE)</f>
        <v>PRÓPRIA</v>
      </c>
      <c r="D474" s="24" t="str">
        <f>VLOOKUP(A474,MEMORIA!$A:$N,4,FALSE)</f>
        <v>ADAPTADOR CURTO COM BOLSA E ROSCA PARA REGISTRO, PVC, SOLDÁVEL, DN 40MM X 1.1/2, INSTALADO EM PRUMADA DE ÁGUA - FORNECIMENTO E INSTALAÇÃO</v>
      </c>
      <c r="E474" s="23" t="str">
        <f>VLOOKUP(A474,MEMORIA!$A:$N,5,FALSE)</f>
        <v>UN</v>
      </c>
      <c r="F474" s="5">
        <f>VLOOKUP(A474,MEMORIA!$A:$N,14,FALSE)</f>
        <v>1</v>
      </c>
      <c r="G474" s="5">
        <f>VLOOKUP("TOTAL SEM BDI - "&amp;B474,CPU!$A:$J,9,FALSE)</f>
        <v>11.16</v>
      </c>
      <c r="H474" s="5">
        <f>VLOOKUP("TOTAL COM BDI - "&amp;B474,CPU!$A:$J,9,FALSE)</f>
        <v>13.93</v>
      </c>
      <c r="I474" s="5">
        <f t="shared" si="19"/>
        <v>13.93</v>
      </c>
    </row>
    <row r="475" spans="1:9" x14ac:dyDescent="0.3">
      <c r="A475" s="34" t="s">
        <v>128</v>
      </c>
      <c r="B475" s="36"/>
      <c r="C475" s="36"/>
      <c r="D475" s="36"/>
      <c r="E475" s="36"/>
      <c r="F475" s="36"/>
      <c r="G475" s="36"/>
      <c r="H475" s="35"/>
      <c r="I475" s="18">
        <f>SUM(I7,I10,I103,I196,I289,I382,)</f>
        <v>727819.19000000006</v>
      </c>
    </row>
  </sheetData>
  <mergeCells count="115">
    <mergeCell ref="A1:I1"/>
    <mergeCell ref="A2:I2"/>
    <mergeCell ref="A3:I3"/>
    <mergeCell ref="B7:H7"/>
    <mergeCell ref="B10:H10"/>
    <mergeCell ref="B11:H11"/>
    <mergeCell ref="B49:H49"/>
    <mergeCell ref="B52:H52"/>
    <mergeCell ref="B55:H55"/>
    <mergeCell ref="B59:H59"/>
    <mergeCell ref="B62:H62"/>
    <mergeCell ref="B65:H65"/>
    <mergeCell ref="B29:H29"/>
    <mergeCell ref="B36:H36"/>
    <mergeCell ref="B37:H37"/>
    <mergeCell ref="B40:H40"/>
    <mergeCell ref="B42:H42"/>
    <mergeCell ref="B46:H46"/>
    <mergeCell ref="B88:H88"/>
    <mergeCell ref="B90:H90"/>
    <mergeCell ref="B103:H103"/>
    <mergeCell ref="B104:H104"/>
    <mergeCell ref="B122:H122"/>
    <mergeCell ref="B129:H129"/>
    <mergeCell ref="B68:H68"/>
    <mergeCell ref="B70:H70"/>
    <mergeCell ref="B79:H79"/>
    <mergeCell ref="B80:H80"/>
    <mergeCell ref="B83:H83"/>
    <mergeCell ref="B85:H85"/>
    <mergeCell ref="B148:H148"/>
    <mergeCell ref="B152:H152"/>
    <mergeCell ref="B155:H155"/>
    <mergeCell ref="B158:H158"/>
    <mergeCell ref="B161:H161"/>
    <mergeCell ref="B163:H163"/>
    <mergeCell ref="B130:H130"/>
    <mergeCell ref="B133:H133"/>
    <mergeCell ref="B135:H135"/>
    <mergeCell ref="B139:H139"/>
    <mergeCell ref="B142:H142"/>
    <mergeCell ref="B145:H145"/>
    <mergeCell ref="B196:H196"/>
    <mergeCell ref="B197:H197"/>
    <mergeCell ref="B215:H215"/>
    <mergeCell ref="B222:H222"/>
    <mergeCell ref="B223:H223"/>
    <mergeCell ref="B226:H226"/>
    <mergeCell ref="B172:H172"/>
    <mergeCell ref="B173:H173"/>
    <mergeCell ref="B176:H176"/>
    <mergeCell ref="B178:H178"/>
    <mergeCell ref="B181:H181"/>
    <mergeCell ref="B183:H183"/>
    <mergeCell ref="B248:H248"/>
    <mergeCell ref="B251:H251"/>
    <mergeCell ref="B254:H254"/>
    <mergeCell ref="B256:H256"/>
    <mergeCell ref="B265:H265"/>
    <mergeCell ref="B266:H266"/>
    <mergeCell ref="B228:H228"/>
    <mergeCell ref="B232:H232"/>
    <mergeCell ref="B235:H235"/>
    <mergeCell ref="B238:H238"/>
    <mergeCell ref="B241:H241"/>
    <mergeCell ref="B245:H245"/>
    <mergeCell ref="B308:H308"/>
    <mergeCell ref="B315:H315"/>
    <mergeCell ref="B316:H316"/>
    <mergeCell ref="B319:H319"/>
    <mergeCell ref="B321:H321"/>
    <mergeCell ref="B325:H325"/>
    <mergeCell ref="B269:H269"/>
    <mergeCell ref="B271:H271"/>
    <mergeCell ref="B274:H274"/>
    <mergeCell ref="B276:H276"/>
    <mergeCell ref="B289:H289"/>
    <mergeCell ref="B290:H290"/>
    <mergeCell ref="B347:H347"/>
    <mergeCell ref="B349:H349"/>
    <mergeCell ref="B358:H358"/>
    <mergeCell ref="B359:H359"/>
    <mergeCell ref="B362:H362"/>
    <mergeCell ref="B364:H364"/>
    <mergeCell ref="B328:H328"/>
    <mergeCell ref="B331:H331"/>
    <mergeCell ref="B334:H334"/>
    <mergeCell ref="B338:H338"/>
    <mergeCell ref="B341:H341"/>
    <mergeCell ref="B344:H344"/>
    <mergeCell ref="B409:H409"/>
    <mergeCell ref="B412:H412"/>
    <mergeCell ref="B414:H414"/>
    <mergeCell ref="B418:H418"/>
    <mergeCell ref="B421:H421"/>
    <mergeCell ref="B424:H424"/>
    <mergeCell ref="B367:H367"/>
    <mergeCell ref="B369:H369"/>
    <mergeCell ref="B382:H382"/>
    <mergeCell ref="B383:H383"/>
    <mergeCell ref="B401:H401"/>
    <mergeCell ref="B408:H408"/>
    <mergeCell ref="A475:H475"/>
    <mergeCell ref="B451:H451"/>
    <mergeCell ref="B452:H452"/>
    <mergeCell ref="B455:H455"/>
    <mergeCell ref="B457:H457"/>
    <mergeCell ref="B460:H460"/>
    <mergeCell ref="B462:H462"/>
    <mergeCell ref="B427:H427"/>
    <mergeCell ref="B431:H431"/>
    <mergeCell ref="B434:H434"/>
    <mergeCell ref="B437:H437"/>
    <mergeCell ref="B440:H440"/>
    <mergeCell ref="B442:H442"/>
  </mergeCells>
  <pageMargins left="0.78740157480314965" right="0.39370078740157483" top="1.1811023622047245" bottom="0.78740157480314965" header="0.31496062992125984" footer="0.31496062992125984"/>
  <pageSetup paperSize="9" scale="50" fitToHeight="0" orientation="portrait" r:id="rId1"/>
  <headerFooter>
    <oddHeader>&amp;C&amp;G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980DD0-08D4-4B86-AC78-8FC80360FBBF}">
  <sheetPr>
    <pageSetUpPr fitToPage="1"/>
  </sheetPr>
  <dimension ref="A1:U479"/>
  <sheetViews>
    <sheetView showGridLines="0" zoomScaleNormal="100" workbookViewId="0">
      <pane xSplit="9" topLeftCell="J1" activePane="topRight" state="frozenSplit"/>
      <selection sqref="A1:I1"/>
      <selection pane="topRight" activeCell="K11" sqref="K11"/>
    </sheetView>
  </sheetViews>
  <sheetFormatPr defaultRowHeight="14.4" x14ac:dyDescent="0.3"/>
  <cols>
    <col min="1" max="3" width="12" bestFit="1" customWidth="1"/>
    <col min="4" max="4" width="74.109375" customWidth="1"/>
    <col min="5" max="5" width="9.21875" bestFit="1" customWidth="1"/>
    <col min="6" max="9" width="14.77734375" bestFit="1" customWidth="1"/>
    <col min="10" max="18" width="13.88671875" bestFit="1" customWidth="1"/>
    <col min="19" max="22" width="14.77734375" bestFit="1" customWidth="1"/>
  </cols>
  <sheetData>
    <row r="1" spans="1:21" x14ac:dyDescent="0.3">
      <c r="A1" s="33" t="str">
        <f>CIDADE</f>
        <v>MUNICÍPIO DE LAGOA DO PIAUI - PI</v>
      </c>
      <c r="B1" s="33"/>
      <c r="C1" s="33"/>
      <c r="D1" s="33"/>
      <c r="E1" s="33"/>
      <c r="F1" s="33"/>
      <c r="G1" s="33"/>
      <c r="H1" s="33"/>
      <c r="I1" s="33"/>
    </row>
    <row r="2" spans="1:21" x14ac:dyDescent="0.3">
      <c r="A2" s="33" t="str">
        <f>OBRA</f>
        <v>IMPLANTAÇÃO DE 5 (CINCO) SISTEMAS SIMPLIFICADOS DE ABASTECIMENTO DE ÁGUA ZONA RURAL DO MUNICÍPIO DE LAGOA DO PIAUÍ-PI</v>
      </c>
      <c r="B2" s="33"/>
      <c r="C2" s="33"/>
      <c r="D2" s="33"/>
      <c r="E2" s="33"/>
      <c r="F2" s="33"/>
      <c r="G2" s="33"/>
      <c r="H2" s="33"/>
      <c r="I2" s="33"/>
    </row>
    <row r="3" spans="1:21" x14ac:dyDescent="0.3">
      <c r="A3" s="33" t="s">
        <v>501</v>
      </c>
      <c r="B3" s="33"/>
      <c r="C3" s="33"/>
      <c r="D3" s="33"/>
      <c r="E3" s="33"/>
      <c r="F3" s="33"/>
      <c r="G3" s="33"/>
      <c r="H3" s="33"/>
      <c r="I3" s="33"/>
    </row>
    <row r="5" spans="1:21" x14ac:dyDescent="0.3">
      <c r="A5" s="1" t="s">
        <v>3</v>
      </c>
      <c r="B5" s="7" t="str">
        <f>FONTE&amp;FOLHA</f>
        <v>SINAPI PI 06/2025, SEINFRA CE 28, ORSE SE 05/2025, SEM DESONERAÇÃO</v>
      </c>
      <c r="C5" s="3"/>
      <c r="D5" s="3"/>
      <c r="E5" s="3"/>
      <c r="F5" s="1" t="s">
        <v>10</v>
      </c>
      <c r="G5" s="8">
        <f>LEI</f>
        <v>113.33</v>
      </c>
      <c r="H5" s="1" t="s">
        <v>19</v>
      </c>
      <c r="I5" s="8">
        <f>BDI</f>
        <v>24.84</v>
      </c>
    </row>
    <row r="6" spans="1:21" x14ac:dyDescent="0.3">
      <c r="A6" s="55" t="s">
        <v>20</v>
      </c>
      <c r="B6" s="55" t="s">
        <v>138</v>
      </c>
      <c r="C6" s="55" t="s">
        <v>139</v>
      </c>
      <c r="D6" s="55" t="s">
        <v>21</v>
      </c>
      <c r="E6" s="55" t="s">
        <v>140</v>
      </c>
      <c r="F6" s="55" t="s">
        <v>141</v>
      </c>
      <c r="G6" s="55" t="s">
        <v>142</v>
      </c>
      <c r="H6" s="55" t="s">
        <v>143</v>
      </c>
      <c r="I6" s="55" t="s">
        <v>15</v>
      </c>
      <c r="J6" s="34" t="s">
        <v>130</v>
      </c>
      <c r="K6" s="36"/>
      <c r="L6" s="35"/>
      <c r="M6" s="34" t="s">
        <v>131</v>
      </c>
      <c r="N6" s="36"/>
      <c r="O6" s="35"/>
      <c r="P6" s="34" t="s">
        <v>132</v>
      </c>
      <c r="Q6" s="36"/>
      <c r="R6" s="35"/>
      <c r="S6" s="55" t="s">
        <v>15</v>
      </c>
      <c r="T6" s="34" t="s">
        <v>22</v>
      </c>
      <c r="U6" s="35"/>
    </row>
    <row r="7" spans="1:21" x14ac:dyDescent="0.3">
      <c r="A7" s="56"/>
      <c r="B7" s="56"/>
      <c r="C7" s="56"/>
      <c r="D7" s="56"/>
      <c r="E7" s="56"/>
      <c r="F7" s="56"/>
      <c r="G7" s="56"/>
      <c r="H7" s="56"/>
      <c r="I7" s="56"/>
      <c r="J7" s="4" t="s">
        <v>15</v>
      </c>
      <c r="K7" s="4" t="s">
        <v>141</v>
      </c>
      <c r="L7" s="4" t="s">
        <v>502</v>
      </c>
      <c r="M7" s="4" t="s">
        <v>15</v>
      </c>
      <c r="N7" s="4" t="s">
        <v>141</v>
      </c>
      <c r="O7" s="4" t="s">
        <v>502</v>
      </c>
      <c r="P7" s="4" t="s">
        <v>15</v>
      </c>
      <c r="Q7" s="4" t="s">
        <v>141</v>
      </c>
      <c r="R7" s="4" t="s">
        <v>502</v>
      </c>
      <c r="S7" s="56"/>
      <c r="T7" s="4" t="s">
        <v>133</v>
      </c>
      <c r="U7" s="4" t="s">
        <v>134</v>
      </c>
    </row>
    <row r="8" spans="1:21" x14ac:dyDescent="0.3">
      <c r="A8" s="9">
        <v>1</v>
      </c>
      <c r="B8" s="52" t="str">
        <f>VLOOKUP(A8,MEMORIA!$A:$N,2,FALSE)</f>
        <v>SERVIÇOS PRELIMINARES</v>
      </c>
      <c r="C8" s="53"/>
      <c r="D8" s="53"/>
      <c r="E8" s="53"/>
      <c r="F8" s="53"/>
      <c r="G8" s="53"/>
      <c r="H8" s="54"/>
      <c r="I8" s="10">
        <f>SUM(I$9:I$10)</f>
        <v>45878.19</v>
      </c>
      <c r="J8" s="10">
        <f>SUM(J$9:J$10)</f>
        <v>19273</v>
      </c>
      <c r="K8" s="10"/>
      <c r="L8" s="11">
        <f t="shared" ref="L8:L71" si="0">J8/$I8</f>
        <v>0.42009067925303939</v>
      </c>
      <c r="M8" s="10">
        <f>SUM(M$9:M$10)</f>
        <v>17736.79</v>
      </c>
      <c r="N8" s="10"/>
      <c r="O8" s="11">
        <f t="shared" ref="O8:O71" si="1">M8/$I8</f>
        <v>0.38660614117514225</v>
      </c>
      <c r="P8" s="10">
        <f>SUM(P$9:P$10)</f>
        <v>8868.4</v>
      </c>
      <c r="Q8" s="10"/>
      <c r="R8" s="11">
        <f t="shared" ref="R8:R71" si="2">P8/$I8</f>
        <v>0.19330317957181831</v>
      </c>
      <c r="S8" s="10">
        <f t="shared" ref="S8:S71" si="3">SUM(J8,M8,P8,)</f>
        <v>45878.19</v>
      </c>
      <c r="T8" s="11">
        <f t="shared" ref="T8:T71" si="4">SUM(L8,O8,R8,)</f>
        <v>1</v>
      </c>
      <c r="U8" s="11">
        <f t="shared" ref="U8:U71" si="5">S8/$I$476</f>
        <v>6.3035147506896594E-2</v>
      </c>
    </row>
    <row r="9" spans="1:21" x14ac:dyDescent="0.3">
      <c r="A9" s="23" t="s">
        <v>144</v>
      </c>
      <c r="B9" s="23" t="str">
        <f>VLOOKUP(A9,MEMORIA!$A:$N,2,FALSE)</f>
        <v>COMPOS25</v>
      </c>
      <c r="C9" s="23" t="str">
        <f>VLOOKUP(A9,MEMORIA!$A:$N,3,FALSE)</f>
        <v>PRÓPRIA</v>
      </c>
      <c r="D9" s="24" t="str">
        <f>VLOOKUP(A9,MEMORIA!$A:$N,4,FALSE)</f>
        <v>ADMINISTRAÇÃO LOCAL DA OBRA</v>
      </c>
      <c r="E9" s="23" t="str">
        <f>VLOOKUP(A9,MEMORIA!$A:$N,5,FALSE)</f>
        <v>MÊS</v>
      </c>
      <c r="F9" s="5">
        <f>VLOOKUP(A9,MEMORIA!$A:$N,14,FALSE)</f>
        <v>3</v>
      </c>
      <c r="G9" s="5">
        <f>VLOOKUP(A9,ORCAMENTO!$A:$I,7,FALSE)</f>
        <v>11839.68</v>
      </c>
      <c r="H9" s="5">
        <f>VLOOKUP(A9,ORCAMENTO!$A:$I,8,FALSE)</f>
        <v>14780.66</v>
      </c>
      <c r="I9" s="5">
        <f>ROUND(F9*H9,2)</f>
        <v>44341.98</v>
      </c>
      <c r="J9" s="5">
        <f>ROUND(K9*$H9,2)</f>
        <v>17736.79</v>
      </c>
      <c r="K9" s="5">
        <v>1.2</v>
      </c>
      <c r="L9" s="25">
        <f t="shared" si="0"/>
        <v>0.39999995489601503</v>
      </c>
      <c r="M9" s="5">
        <f>ROUND(N9*$H9,2)</f>
        <v>17736.79</v>
      </c>
      <c r="N9" s="5">
        <v>1.2</v>
      </c>
      <c r="O9" s="25">
        <f t="shared" si="1"/>
        <v>0.39999995489601503</v>
      </c>
      <c r="P9" s="5">
        <f>ROUND(Q9*$H9,2)</f>
        <v>8868.4</v>
      </c>
      <c r="Q9" s="5">
        <v>0.6</v>
      </c>
      <c r="R9" s="25">
        <f t="shared" si="2"/>
        <v>0.20000009020796994</v>
      </c>
      <c r="S9" s="5">
        <f t="shared" si="3"/>
        <v>44341.98</v>
      </c>
      <c r="T9" s="25">
        <f t="shared" si="4"/>
        <v>1</v>
      </c>
      <c r="U9" s="25">
        <f t="shared" si="5"/>
        <v>6.0924444709956053E-2</v>
      </c>
    </row>
    <row r="10" spans="1:21" x14ac:dyDescent="0.3">
      <c r="A10" s="23" t="s">
        <v>145</v>
      </c>
      <c r="B10" s="23" t="str">
        <f>VLOOKUP(A10,MEMORIA!$A:$N,2,FALSE)</f>
        <v>COMP14</v>
      </c>
      <c r="C10" s="23" t="str">
        <f>VLOOKUP(A10,MEMORIA!$A:$N,3,FALSE)</f>
        <v>PRÓPRIA</v>
      </c>
      <c r="D10" s="24" t="str">
        <f>VLOOKUP(A10,MEMORIA!$A:$N,4,FALSE)</f>
        <v>PLACAS PADRÃO DE OBRA</v>
      </c>
      <c r="E10" s="23" t="str">
        <f>VLOOKUP(A10,MEMORIA!$A:$N,5,FALSE)</f>
        <v>M2</v>
      </c>
      <c r="F10" s="5">
        <f>VLOOKUP(A10,MEMORIA!$A:$N,14,FALSE)</f>
        <v>6.48</v>
      </c>
      <c r="G10" s="5">
        <f>VLOOKUP(A10,ORCAMENTO!$A:$I,7,FALSE)</f>
        <v>189.89999999999998</v>
      </c>
      <c r="H10" s="5">
        <f>VLOOKUP(A10,ORCAMENTO!$A:$I,8,FALSE)</f>
        <v>237.07</v>
      </c>
      <c r="I10" s="5">
        <f>ROUND(F10*H10,2)</f>
        <v>1536.21</v>
      </c>
      <c r="J10" s="5">
        <f>ROUND(K10*$H10,2)</f>
        <v>1536.21</v>
      </c>
      <c r="K10" s="5">
        <f>F10</f>
        <v>6.48</v>
      </c>
      <c r="L10" s="25">
        <f t="shared" si="0"/>
        <v>1</v>
      </c>
      <c r="M10" s="5">
        <f>ROUND(N10*$H10,2)</f>
        <v>0</v>
      </c>
      <c r="N10" s="5">
        <v>0</v>
      </c>
      <c r="O10" s="25">
        <f t="shared" si="1"/>
        <v>0</v>
      </c>
      <c r="P10" s="5">
        <f>ROUND(Q10*$H10,2)</f>
        <v>0</v>
      </c>
      <c r="Q10" s="5">
        <v>0</v>
      </c>
      <c r="R10" s="25">
        <f t="shared" si="2"/>
        <v>0</v>
      </c>
      <c r="S10" s="5">
        <f t="shared" si="3"/>
        <v>1536.21</v>
      </c>
      <c r="T10" s="25">
        <f t="shared" si="4"/>
        <v>1</v>
      </c>
      <c r="U10" s="25">
        <f t="shared" si="5"/>
        <v>2.1107027969405421E-3</v>
      </c>
    </row>
    <row r="11" spans="1:21" x14ac:dyDescent="0.3">
      <c r="A11" s="9">
        <v>2</v>
      </c>
      <c r="B11" s="52" t="str">
        <f>VLOOKUP(A11,MEMORIA!$A:$N,2,FALSE)</f>
        <v>COMUNIDADE SANTA MARIA</v>
      </c>
      <c r="C11" s="53"/>
      <c r="D11" s="53"/>
      <c r="E11" s="53"/>
      <c r="F11" s="53"/>
      <c r="G11" s="53"/>
      <c r="H11" s="54"/>
      <c r="I11" s="10">
        <f>SUM(I$12,I$30,I$37,I$71,I$80,I$89,I$91,)</f>
        <v>136489.88000000003</v>
      </c>
      <c r="J11" s="10">
        <f>SUM(J$12,J$30,J$37,J$71,J$80,J$89,J$91,)</f>
        <v>136489.88000000003</v>
      </c>
      <c r="K11" s="10"/>
      <c r="L11" s="11">
        <f t="shared" si="0"/>
        <v>1</v>
      </c>
      <c r="M11" s="10">
        <f>SUM(M$12,M$30,M$37,M$71,M$80,M$89,M$91,)</f>
        <v>0</v>
      </c>
      <c r="N11" s="10"/>
      <c r="O11" s="11">
        <f t="shared" si="1"/>
        <v>0</v>
      </c>
      <c r="P11" s="10">
        <f>SUM(P$12,P$30,P$37,P$71,P$80,P$89,P$91,)</f>
        <v>0</v>
      </c>
      <c r="Q11" s="10"/>
      <c r="R11" s="11">
        <f t="shared" si="2"/>
        <v>0</v>
      </c>
      <c r="S11" s="10">
        <f t="shared" si="3"/>
        <v>136489.88000000003</v>
      </c>
      <c r="T11" s="11">
        <f t="shared" si="4"/>
        <v>1</v>
      </c>
      <c r="U11" s="11">
        <f t="shared" si="5"/>
        <v>0.18753267552618394</v>
      </c>
    </row>
    <row r="12" spans="1:21" x14ac:dyDescent="0.3">
      <c r="A12" s="12" t="s">
        <v>23</v>
      </c>
      <c r="B12" s="46" t="str">
        <f>VLOOKUP(A12,MEMORIA!$A:$N,2,FALSE)</f>
        <v>PERFURAÇÃO DE POÇO TUBULAR</v>
      </c>
      <c r="C12" s="47"/>
      <c r="D12" s="47"/>
      <c r="E12" s="47"/>
      <c r="F12" s="47"/>
      <c r="G12" s="47"/>
      <c r="H12" s="48"/>
      <c r="I12" s="13">
        <f>SUM(I$13:I$29)</f>
        <v>64914.180000000008</v>
      </c>
      <c r="J12" s="13">
        <f>SUM(J$13:J$29)</f>
        <v>64914.180000000008</v>
      </c>
      <c r="K12" s="13"/>
      <c r="L12" s="14">
        <f t="shared" si="0"/>
        <v>1</v>
      </c>
      <c r="M12" s="13">
        <f>SUM(M$13:M$29)</f>
        <v>0</v>
      </c>
      <c r="N12" s="13"/>
      <c r="O12" s="14">
        <f t="shared" si="1"/>
        <v>0</v>
      </c>
      <c r="P12" s="13">
        <f>SUM(P$13:P$29)</f>
        <v>0</v>
      </c>
      <c r="Q12" s="13"/>
      <c r="R12" s="14">
        <f t="shared" si="2"/>
        <v>0</v>
      </c>
      <c r="S12" s="13">
        <f t="shared" si="3"/>
        <v>64914.180000000008</v>
      </c>
      <c r="T12" s="14">
        <f t="shared" si="4"/>
        <v>1</v>
      </c>
      <c r="U12" s="14">
        <f t="shared" si="5"/>
        <v>8.918998137435756E-2</v>
      </c>
    </row>
    <row r="13" spans="1:21" x14ac:dyDescent="0.3">
      <c r="A13" s="23" t="s">
        <v>146</v>
      </c>
      <c r="B13" s="23" t="str">
        <f>VLOOKUP(A13,MEMORIA!$A:$N,2,FALSE)</f>
        <v>COMPOS3</v>
      </c>
      <c r="C13" s="23" t="str">
        <f>VLOOKUP(A13,MEMORIA!$A:$N,3,FALSE)</f>
        <v>PRÓPRIA</v>
      </c>
      <c r="D13" s="24" t="str">
        <f>VLOOKUP(A13,MEMORIA!$A:$N,4,FALSE)</f>
        <v>LOCAÇÃO DO POÇO COM ESTUDO GEOLÓGICO/HIDROGEOLÓGICO/GEOFÍSICO</v>
      </c>
      <c r="E13" s="23" t="str">
        <f>VLOOKUP(A13,MEMORIA!$A:$N,5,FALSE)</f>
        <v>UN</v>
      </c>
      <c r="F13" s="5">
        <f>VLOOKUP(A13,MEMORIA!$A:$N,14,FALSE)</f>
        <v>1</v>
      </c>
      <c r="G13" s="5">
        <f>VLOOKUP(A13,ORCAMENTO!$A:$I,7,FALSE)</f>
        <v>1692.3999999999999</v>
      </c>
      <c r="H13" s="5">
        <f>VLOOKUP(A13,ORCAMENTO!$A:$I,8,FALSE)</f>
        <v>2112.79</v>
      </c>
      <c r="I13" s="5">
        <f t="shared" ref="I13:I29" si="6">ROUND(F13*H13,2)</f>
        <v>2112.79</v>
      </c>
      <c r="J13" s="5">
        <f t="shared" ref="J13:J29" si="7">ROUND(K13*$H13,2)</f>
        <v>2112.79</v>
      </c>
      <c r="K13" s="5">
        <f>F13</f>
        <v>1</v>
      </c>
      <c r="L13" s="25">
        <f t="shared" si="0"/>
        <v>1</v>
      </c>
      <c r="M13" s="5">
        <f t="shared" ref="M13:M29" si="8">ROUND(N13*$H13,2)</f>
        <v>0</v>
      </c>
      <c r="N13" s="5">
        <v>0</v>
      </c>
      <c r="O13" s="25">
        <f t="shared" si="1"/>
        <v>0</v>
      </c>
      <c r="P13" s="5">
        <f t="shared" ref="P13:P29" si="9">ROUND(Q13*$H13,2)</f>
        <v>0</v>
      </c>
      <c r="Q13" s="5">
        <v>0</v>
      </c>
      <c r="R13" s="25">
        <f t="shared" si="2"/>
        <v>0</v>
      </c>
      <c r="S13" s="5">
        <f t="shared" si="3"/>
        <v>2112.79</v>
      </c>
      <c r="T13" s="25">
        <f t="shared" si="4"/>
        <v>1</v>
      </c>
      <c r="U13" s="25">
        <f t="shared" si="5"/>
        <v>2.9029050470625812E-3</v>
      </c>
    </row>
    <row r="14" spans="1:21" x14ac:dyDescent="0.3">
      <c r="A14" s="23" t="s">
        <v>147</v>
      </c>
      <c r="B14" s="23" t="str">
        <f>VLOOKUP(A14,MEMORIA!$A:$N,2,FALSE)</f>
        <v>COMPOS4</v>
      </c>
      <c r="C14" s="23" t="str">
        <f>VLOOKUP(A14,MEMORIA!$A:$N,3,FALSE)</f>
        <v>PRÓPRIA</v>
      </c>
      <c r="D14" s="24" t="str">
        <f>VLOOKUP(A14,MEMORIA!$A:$N,4,FALSE)</f>
        <v>TRANSPORTE DE MÁQUINAS E EQUIPAMENTOS</v>
      </c>
      <c r="E14" s="23" t="str">
        <f>VLOOKUP(A14,MEMORIA!$A:$N,5,FALSE)</f>
        <v>KM</v>
      </c>
      <c r="F14" s="5">
        <f>VLOOKUP(A14,MEMORIA!$A:$N,14,FALSE)</f>
        <v>43.5</v>
      </c>
      <c r="G14" s="5">
        <f>VLOOKUP(A14,ORCAMENTO!$A:$I,7,FALSE)</f>
        <v>5.5</v>
      </c>
      <c r="H14" s="5">
        <f>VLOOKUP(A14,ORCAMENTO!$A:$I,8,FALSE)</f>
        <v>6.87</v>
      </c>
      <c r="I14" s="5">
        <f t="shared" si="6"/>
        <v>298.85000000000002</v>
      </c>
      <c r="J14" s="5">
        <f t="shared" si="7"/>
        <v>298.85000000000002</v>
      </c>
      <c r="K14" s="5">
        <f t="shared" ref="K14:K36" si="10">F14</f>
        <v>43.5</v>
      </c>
      <c r="L14" s="25">
        <f t="shared" si="0"/>
        <v>1</v>
      </c>
      <c r="M14" s="5">
        <f t="shared" si="8"/>
        <v>0</v>
      </c>
      <c r="N14" s="5">
        <v>0</v>
      </c>
      <c r="O14" s="25">
        <f t="shared" si="1"/>
        <v>0</v>
      </c>
      <c r="P14" s="5">
        <f t="shared" si="9"/>
        <v>0</v>
      </c>
      <c r="Q14" s="5">
        <v>0</v>
      </c>
      <c r="R14" s="25">
        <f t="shared" si="2"/>
        <v>0</v>
      </c>
      <c r="S14" s="5">
        <f t="shared" si="3"/>
        <v>298.85000000000002</v>
      </c>
      <c r="T14" s="25">
        <f t="shared" si="4"/>
        <v>1</v>
      </c>
      <c r="U14" s="25">
        <f t="shared" si="5"/>
        <v>4.1061022312423502E-4</v>
      </c>
    </row>
    <row r="15" spans="1:21" x14ac:dyDescent="0.3">
      <c r="A15" s="23" t="s">
        <v>148</v>
      </c>
      <c r="B15" s="23" t="str">
        <f>VLOOKUP(A15,MEMORIA!$A:$N,2,FALSE)</f>
        <v>COMPOS4</v>
      </c>
      <c r="C15" s="23" t="str">
        <f>VLOOKUP(A15,MEMORIA!$A:$N,3,FALSE)</f>
        <v>PRÓPRIA</v>
      </c>
      <c r="D15" s="24" t="str">
        <f>VLOOKUP(A15,MEMORIA!$A:$N,4,FALSE)</f>
        <v>TRANSPORTE DE MÁQUINAS E EQUIPAMENTOS</v>
      </c>
      <c r="E15" s="23" t="str">
        <f>VLOOKUP(A15,MEMORIA!$A:$N,5,FALSE)</f>
        <v>KM</v>
      </c>
      <c r="F15" s="5">
        <f>VLOOKUP(A15,MEMORIA!$A:$N,14,FALSE)</f>
        <v>43.5</v>
      </c>
      <c r="G15" s="5">
        <f>VLOOKUP(A15,ORCAMENTO!$A:$I,7,FALSE)</f>
        <v>5.5</v>
      </c>
      <c r="H15" s="5">
        <f>VLOOKUP(A15,ORCAMENTO!$A:$I,8,FALSE)</f>
        <v>6.87</v>
      </c>
      <c r="I15" s="5">
        <f t="shared" si="6"/>
        <v>298.85000000000002</v>
      </c>
      <c r="J15" s="5">
        <f t="shared" si="7"/>
        <v>298.85000000000002</v>
      </c>
      <c r="K15" s="5">
        <f t="shared" si="10"/>
        <v>43.5</v>
      </c>
      <c r="L15" s="25">
        <f t="shared" si="0"/>
        <v>1</v>
      </c>
      <c r="M15" s="5">
        <f t="shared" si="8"/>
        <v>0</v>
      </c>
      <c r="N15" s="5">
        <v>0</v>
      </c>
      <c r="O15" s="25">
        <f t="shared" si="1"/>
        <v>0</v>
      </c>
      <c r="P15" s="5">
        <f t="shared" si="9"/>
        <v>0</v>
      </c>
      <c r="Q15" s="5">
        <v>0</v>
      </c>
      <c r="R15" s="25">
        <f t="shared" si="2"/>
        <v>0</v>
      </c>
      <c r="S15" s="5">
        <f t="shared" si="3"/>
        <v>298.85000000000002</v>
      </c>
      <c r="T15" s="25">
        <f t="shared" si="4"/>
        <v>1</v>
      </c>
      <c r="U15" s="25">
        <f t="shared" si="5"/>
        <v>4.1061022312423502E-4</v>
      </c>
    </row>
    <row r="16" spans="1:21" x14ac:dyDescent="0.3">
      <c r="A16" s="23" t="s">
        <v>149</v>
      </c>
      <c r="B16" s="23" t="str">
        <f>VLOOKUP(A16,MEMORIA!$A:$N,2,FALSE)</f>
        <v>COMPOS5</v>
      </c>
      <c r="C16" s="23" t="str">
        <f>VLOOKUP(A16,MEMORIA!$A:$N,3,FALSE)</f>
        <v>PRÓPRIA</v>
      </c>
      <c r="D16" s="24" t="str">
        <f>VLOOKUP(A16,MEMORIA!$A:$N,4,FALSE)</f>
        <v>PERFILAGEM ÓTICA</v>
      </c>
      <c r="E16" s="23" t="str">
        <f>VLOOKUP(A16,MEMORIA!$A:$N,5,FALSE)</f>
        <v>UN</v>
      </c>
      <c r="F16" s="5">
        <f>VLOOKUP(A16,MEMORIA!$A:$N,14,FALSE)</f>
        <v>1</v>
      </c>
      <c r="G16" s="5">
        <f>VLOOKUP(A16,ORCAMENTO!$A:$I,7,FALSE)</f>
        <v>2908.88</v>
      </c>
      <c r="H16" s="5">
        <f>VLOOKUP(A16,ORCAMENTO!$A:$I,8,FALSE)</f>
        <v>3631.4500000000003</v>
      </c>
      <c r="I16" s="5">
        <f t="shared" si="6"/>
        <v>3631.45</v>
      </c>
      <c r="J16" s="5">
        <f t="shared" si="7"/>
        <v>3631.45</v>
      </c>
      <c r="K16" s="5">
        <f t="shared" si="10"/>
        <v>1</v>
      </c>
      <c r="L16" s="25">
        <f t="shared" si="0"/>
        <v>1</v>
      </c>
      <c r="M16" s="5">
        <f t="shared" si="8"/>
        <v>0</v>
      </c>
      <c r="N16" s="5">
        <v>0</v>
      </c>
      <c r="O16" s="25">
        <f t="shared" si="1"/>
        <v>0</v>
      </c>
      <c r="P16" s="5">
        <f t="shared" si="9"/>
        <v>0</v>
      </c>
      <c r="Q16" s="5">
        <v>0</v>
      </c>
      <c r="R16" s="25">
        <f t="shared" si="2"/>
        <v>0</v>
      </c>
      <c r="S16" s="5">
        <f t="shared" si="3"/>
        <v>3631.45</v>
      </c>
      <c r="T16" s="25">
        <f t="shared" si="4"/>
        <v>1</v>
      </c>
      <c r="U16" s="25">
        <f t="shared" si="5"/>
        <v>4.9894947122787452E-3</v>
      </c>
    </row>
    <row r="17" spans="1:21" x14ac:dyDescent="0.3">
      <c r="A17" s="23" t="s">
        <v>150</v>
      </c>
      <c r="B17" s="23" t="str">
        <f>VLOOKUP(A17,MEMORIA!$A:$N,2,FALSE)</f>
        <v>COMPOS6</v>
      </c>
      <c r="C17" s="23" t="str">
        <f>VLOOKUP(A17,MEMORIA!$A:$N,3,FALSE)</f>
        <v>PRÓPRIA</v>
      </c>
      <c r="D17" s="24" t="str">
        <f>VLOOKUP(A17,MEMORIA!$A:$N,4,FALSE)</f>
        <v>PERFURAÇÃO EM 10'' (SEDIMENTO)</v>
      </c>
      <c r="E17" s="23" t="str">
        <f>VLOOKUP(A17,MEMORIA!$A:$N,5,FALSE)</f>
        <v>M</v>
      </c>
      <c r="F17" s="5">
        <f>VLOOKUP(A17,MEMORIA!$A:$N,14,FALSE)</f>
        <v>35</v>
      </c>
      <c r="G17" s="5">
        <f>VLOOKUP(A17,ORCAMENTO!$A:$I,7,FALSE)</f>
        <v>288.94</v>
      </c>
      <c r="H17" s="5">
        <f>VLOOKUP(A17,ORCAMENTO!$A:$I,8,FALSE)</f>
        <v>360.71</v>
      </c>
      <c r="I17" s="5">
        <f t="shared" si="6"/>
        <v>12624.85</v>
      </c>
      <c r="J17" s="5">
        <f t="shared" si="7"/>
        <v>12624.85</v>
      </c>
      <c r="K17" s="5">
        <f t="shared" si="10"/>
        <v>35</v>
      </c>
      <c r="L17" s="25">
        <f t="shared" si="0"/>
        <v>1</v>
      </c>
      <c r="M17" s="5">
        <f t="shared" si="8"/>
        <v>0</v>
      </c>
      <c r="N17" s="5">
        <v>0</v>
      </c>
      <c r="O17" s="25">
        <f t="shared" si="1"/>
        <v>0</v>
      </c>
      <c r="P17" s="5">
        <f t="shared" si="9"/>
        <v>0</v>
      </c>
      <c r="Q17" s="5">
        <v>0</v>
      </c>
      <c r="R17" s="25">
        <f t="shared" si="2"/>
        <v>0</v>
      </c>
      <c r="S17" s="5">
        <f t="shared" si="3"/>
        <v>12624.85</v>
      </c>
      <c r="T17" s="25">
        <f t="shared" si="4"/>
        <v>1</v>
      </c>
      <c r="U17" s="25">
        <f t="shared" si="5"/>
        <v>1.7346135102593269E-2</v>
      </c>
    </row>
    <row r="18" spans="1:21" x14ac:dyDescent="0.3">
      <c r="A18" s="23" t="s">
        <v>151</v>
      </c>
      <c r="B18" s="23" t="str">
        <f>VLOOKUP(A18,MEMORIA!$A:$N,2,FALSE)</f>
        <v>COMPOS7</v>
      </c>
      <c r="C18" s="23" t="str">
        <f>VLOOKUP(A18,MEMORIA!$A:$N,3,FALSE)</f>
        <v>PRÓPRIA</v>
      </c>
      <c r="D18" s="24" t="str">
        <f>VLOOKUP(A18,MEMORIA!$A:$N,4,FALSE)</f>
        <v>PERFURAÇÃO EM 8'' (ROCHA CRISTALINA)</v>
      </c>
      <c r="E18" s="23" t="str">
        <f>VLOOKUP(A18,MEMORIA!$A:$N,5,FALSE)</f>
        <v>M</v>
      </c>
      <c r="F18" s="5">
        <f>VLOOKUP(A18,MEMORIA!$A:$N,14,FALSE)</f>
        <v>0</v>
      </c>
      <c r="G18" s="5">
        <f>VLOOKUP(A18,ORCAMENTO!$A:$I,7,FALSE)</f>
        <v>368.84000000000003</v>
      </c>
      <c r="H18" s="5">
        <f>VLOOKUP(A18,ORCAMENTO!$A:$I,8,FALSE)</f>
        <v>460.46000000000004</v>
      </c>
      <c r="I18" s="5">
        <f t="shared" si="6"/>
        <v>0</v>
      </c>
      <c r="J18" s="5">
        <f t="shared" si="7"/>
        <v>0</v>
      </c>
      <c r="K18" s="5">
        <f t="shared" si="10"/>
        <v>0</v>
      </c>
      <c r="L18" s="25" t="e">
        <f t="shared" si="0"/>
        <v>#DIV/0!</v>
      </c>
      <c r="M18" s="5">
        <f t="shared" si="8"/>
        <v>0</v>
      </c>
      <c r="N18" s="5">
        <v>0</v>
      </c>
      <c r="O18" s="25" t="e">
        <f t="shared" si="1"/>
        <v>#DIV/0!</v>
      </c>
      <c r="P18" s="5">
        <f t="shared" si="9"/>
        <v>0</v>
      </c>
      <c r="Q18" s="5">
        <v>0</v>
      </c>
      <c r="R18" s="25" t="e">
        <f t="shared" si="2"/>
        <v>#DIV/0!</v>
      </c>
      <c r="S18" s="5">
        <f t="shared" si="3"/>
        <v>0</v>
      </c>
      <c r="T18" s="25" t="e">
        <f t="shared" si="4"/>
        <v>#DIV/0!</v>
      </c>
      <c r="U18" s="25">
        <f t="shared" si="5"/>
        <v>0</v>
      </c>
    </row>
    <row r="19" spans="1:21" x14ac:dyDescent="0.3">
      <c r="A19" s="23" t="s">
        <v>152</v>
      </c>
      <c r="B19" s="23" t="str">
        <f>VLOOKUP(A19,MEMORIA!$A:$N,2,FALSE)</f>
        <v>COMPOS8</v>
      </c>
      <c r="C19" s="23" t="str">
        <f>VLOOKUP(A19,MEMORIA!$A:$N,3,FALSE)</f>
        <v>PRÓPRIA</v>
      </c>
      <c r="D19" s="24" t="str">
        <f>VLOOKUP(A19,MEMORIA!$A:$N,4,FALSE)</f>
        <v>PERFURAÇÃO EM 6'' (SEDIMENTO)</v>
      </c>
      <c r="E19" s="23" t="str">
        <f>VLOOKUP(A19,MEMORIA!$A:$N,5,FALSE)</f>
        <v>M</v>
      </c>
      <c r="F19" s="5">
        <f>VLOOKUP(A19,MEMORIA!$A:$N,14,FALSE)</f>
        <v>95</v>
      </c>
      <c r="G19" s="5">
        <f>VLOOKUP(A19,ORCAMENTO!$A:$I,7,FALSE)</f>
        <v>231.16</v>
      </c>
      <c r="H19" s="5">
        <f>VLOOKUP(A19,ORCAMENTO!$A:$I,8,FALSE)</f>
        <v>288.58</v>
      </c>
      <c r="I19" s="5">
        <f t="shared" si="6"/>
        <v>27415.1</v>
      </c>
      <c r="J19" s="5">
        <f t="shared" si="7"/>
        <v>27415.1</v>
      </c>
      <c r="K19" s="5">
        <f t="shared" si="10"/>
        <v>95</v>
      </c>
      <c r="L19" s="25">
        <f t="shared" si="0"/>
        <v>1</v>
      </c>
      <c r="M19" s="5">
        <f t="shared" si="8"/>
        <v>0</v>
      </c>
      <c r="N19" s="5">
        <v>0</v>
      </c>
      <c r="O19" s="25">
        <f t="shared" si="1"/>
        <v>0</v>
      </c>
      <c r="P19" s="5">
        <f t="shared" si="9"/>
        <v>0</v>
      </c>
      <c r="Q19" s="5">
        <v>0</v>
      </c>
      <c r="R19" s="25">
        <f t="shared" si="2"/>
        <v>0</v>
      </c>
      <c r="S19" s="5">
        <f t="shared" si="3"/>
        <v>27415.1</v>
      </c>
      <c r="T19" s="25">
        <f t="shared" si="4"/>
        <v>1</v>
      </c>
      <c r="U19" s="25">
        <f t="shared" si="5"/>
        <v>3.7667459688717465E-2</v>
      </c>
    </row>
    <row r="20" spans="1:21" x14ac:dyDescent="0.3">
      <c r="A20" s="23" t="s">
        <v>153</v>
      </c>
      <c r="B20" s="23" t="str">
        <f>VLOOKUP(A20,MEMORIA!$A:$N,2,FALSE)</f>
        <v>COMPOS9</v>
      </c>
      <c r="C20" s="23" t="str">
        <f>VLOOKUP(A20,MEMORIA!$A:$N,3,FALSE)</f>
        <v>PRÓPRIA</v>
      </c>
      <c r="D20" s="24" t="str">
        <f>VLOOKUP(A20,MEMORIA!$A:$N,4,FALSE)</f>
        <v>PERFURAÇÃO EM 6'' (ROCHA CRISTALINA)</v>
      </c>
      <c r="E20" s="23" t="str">
        <f>VLOOKUP(A20,MEMORIA!$A:$N,5,FALSE)</f>
        <v>M</v>
      </c>
      <c r="F20" s="5">
        <f>VLOOKUP(A20,MEMORIA!$A:$N,14,FALSE)</f>
        <v>0</v>
      </c>
      <c r="G20" s="5">
        <f>VLOOKUP(A20,ORCAMENTO!$A:$I,7,FALSE)</f>
        <v>330.20000000000005</v>
      </c>
      <c r="H20" s="5">
        <f>VLOOKUP(A20,ORCAMENTO!$A:$I,8,FALSE)</f>
        <v>412.22</v>
      </c>
      <c r="I20" s="5">
        <f t="shared" si="6"/>
        <v>0</v>
      </c>
      <c r="J20" s="5">
        <f t="shared" si="7"/>
        <v>0</v>
      </c>
      <c r="K20" s="5">
        <f t="shared" si="10"/>
        <v>0</v>
      </c>
      <c r="L20" s="25" t="e">
        <f t="shared" si="0"/>
        <v>#DIV/0!</v>
      </c>
      <c r="M20" s="5">
        <f t="shared" si="8"/>
        <v>0</v>
      </c>
      <c r="N20" s="5">
        <v>0</v>
      </c>
      <c r="O20" s="25" t="e">
        <f t="shared" si="1"/>
        <v>#DIV/0!</v>
      </c>
      <c r="P20" s="5">
        <f t="shared" si="9"/>
        <v>0</v>
      </c>
      <c r="Q20" s="5">
        <v>0</v>
      </c>
      <c r="R20" s="25" t="e">
        <f t="shared" si="2"/>
        <v>#DIV/0!</v>
      </c>
      <c r="S20" s="5">
        <f t="shared" si="3"/>
        <v>0</v>
      </c>
      <c r="T20" s="25" t="e">
        <f t="shared" si="4"/>
        <v>#DIV/0!</v>
      </c>
      <c r="U20" s="25">
        <f t="shared" si="5"/>
        <v>0</v>
      </c>
    </row>
    <row r="21" spans="1:21" x14ac:dyDescent="0.3">
      <c r="A21" s="23" t="s">
        <v>154</v>
      </c>
      <c r="B21" s="23" t="str">
        <f>VLOOKUP(A21,MEMORIA!$A:$N,2,FALSE)</f>
        <v>COMPOS10</v>
      </c>
      <c r="C21" s="23" t="str">
        <f>VLOOKUP(A21,MEMORIA!$A:$N,3,FALSE)</f>
        <v>PRÓPRIA</v>
      </c>
      <c r="D21" s="24" t="str">
        <f>VLOOKUP(A21,MEMORIA!$A:$N,4,FALSE)</f>
        <v>CIMENTAÇÃO SANITÁRIA</v>
      </c>
      <c r="E21" s="23" t="str">
        <f>VLOOKUP(A21,MEMORIA!$A:$N,5,FALSE)</f>
        <v>M³</v>
      </c>
      <c r="F21" s="5">
        <f>VLOOKUP(A21,MEMORIA!$A:$N,14,FALSE)</f>
        <v>4.55</v>
      </c>
      <c r="G21" s="5">
        <f>VLOOKUP(A21,ORCAMENTO!$A:$I,7,FALSE)</f>
        <v>164.58999999999997</v>
      </c>
      <c r="H21" s="5">
        <f>VLOOKUP(A21,ORCAMENTO!$A:$I,8,FALSE)</f>
        <v>205.46999999999997</v>
      </c>
      <c r="I21" s="5">
        <f t="shared" si="6"/>
        <v>934.89</v>
      </c>
      <c r="J21" s="5">
        <f t="shared" si="7"/>
        <v>934.89</v>
      </c>
      <c r="K21" s="5">
        <f t="shared" si="10"/>
        <v>4.55</v>
      </c>
      <c r="L21" s="25">
        <f t="shared" si="0"/>
        <v>1</v>
      </c>
      <c r="M21" s="5">
        <f t="shared" si="8"/>
        <v>0</v>
      </c>
      <c r="N21" s="5">
        <v>0</v>
      </c>
      <c r="O21" s="25">
        <f t="shared" si="1"/>
        <v>0</v>
      </c>
      <c r="P21" s="5">
        <f t="shared" si="9"/>
        <v>0</v>
      </c>
      <c r="Q21" s="5">
        <v>0</v>
      </c>
      <c r="R21" s="25">
        <f t="shared" si="2"/>
        <v>0</v>
      </c>
      <c r="S21" s="5">
        <f t="shared" si="3"/>
        <v>934.89</v>
      </c>
      <c r="T21" s="25">
        <f t="shared" si="4"/>
        <v>1</v>
      </c>
      <c r="U21" s="25">
        <f t="shared" si="5"/>
        <v>1.284508587909038E-3</v>
      </c>
    </row>
    <row r="22" spans="1:21" x14ac:dyDescent="0.3">
      <c r="A22" s="23" t="s">
        <v>155</v>
      </c>
      <c r="B22" s="23" t="str">
        <f>VLOOKUP(A22,MEMORIA!$A:$N,2,FALSE)</f>
        <v>COMPOS11</v>
      </c>
      <c r="C22" s="23" t="str">
        <f>VLOOKUP(A22,MEMORIA!$A:$N,3,FALSE)</f>
        <v>PRÓPRIA</v>
      </c>
      <c r="D22" s="24" t="str">
        <f>VLOOKUP(A22,MEMORIA!$A:$N,4,FALSE)</f>
        <v>LAJE DE PROTEÇÃO EM CONCRETO (1,0 M X 1,0 M X 0,15 M)</v>
      </c>
      <c r="E22" s="23" t="str">
        <f>VLOOKUP(A22,MEMORIA!$A:$N,5,FALSE)</f>
        <v>M³</v>
      </c>
      <c r="F22" s="5">
        <f>VLOOKUP(A22,MEMORIA!$A:$N,14,FALSE)</f>
        <v>0.15</v>
      </c>
      <c r="G22" s="5">
        <f>VLOOKUP(A22,ORCAMENTO!$A:$I,7,FALSE)</f>
        <v>1259.1399999999999</v>
      </c>
      <c r="H22" s="5">
        <f>VLOOKUP(A22,ORCAMENTO!$A:$I,8,FALSE)</f>
        <v>1571.9099999999999</v>
      </c>
      <c r="I22" s="5">
        <f t="shared" si="6"/>
        <v>235.79</v>
      </c>
      <c r="J22" s="5">
        <f t="shared" si="7"/>
        <v>235.79</v>
      </c>
      <c r="K22" s="5">
        <f t="shared" si="10"/>
        <v>0.15</v>
      </c>
      <c r="L22" s="25">
        <f t="shared" si="0"/>
        <v>1</v>
      </c>
      <c r="M22" s="5">
        <f t="shared" si="8"/>
        <v>0</v>
      </c>
      <c r="N22" s="5">
        <v>0</v>
      </c>
      <c r="O22" s="25">
        <f t="shared" si="1"/>
        <v>0</v>
      </c>
      <c r="P22" s="5">
        <f t="shared" si="9"/>
        <v>0</v>
      </c>
      <c r="Q22" s="5">
        <v>0</v>
      </c>
      <c r="R22" s="25">
        <f t="shared" si="2"/>
        <v>0</v>
      </c>
      <c r="S22" s="5">
        <f t="shared" si="3"/>
        <v>235.79</v>
      </c>
      <c r="T22" s="25">
        <f t="shared" si="4"/>
        <v>1</v>
      </c>
      <c r="U22" s="25">
        <f t="shared" si="5"/>
        <v>3.2396782503082939E-4</v>
      </c>
    </row>
    <row r="23" spans="1:21" x14ac:dyDescent="0.3">
      <c r="A23" s="23" t="s">
        <v>156</v>
      </c>
      <c r="B23" s="23" t="str">
        <f>VLOOKUP(A23,MEMORIA!$A:$N,2,FALSE)</f>
        <v>COMPOS12</v>
      </c>
      <c r="C23" s="23" t="str">
        <f>VLOOKUP(A23,MEMORIA!$A:$N,3,FALSE)</f>
        <v>PRÓPRIA</v>
      </c>
      <c r="D23" s="24" t="str">
        <f>VLOOKUP(A23,MEMORIA!$A:$N,4,FALSE)</f>
        <v>DESENVOLVIMENTO COM BOMBA SUBMERSA</v>
      </c>
      <c r="E23" s="23" t="str">
        <f>VLOOKUP(A23,MEMORIA!$A:$N,5,FALSE)</f>
        <v>H</v>
      </c>
      <c r="F23" s="5">
        <f>VLOOKUP(A23,MEMORIA!$A:$N,14,FALSE)</f>
        <v>6</v>
      </c>
      <c r="G23" s="5">
        <f>VLOOKUP(A23,ORCAMENTO!$A:$I,7,FALSE)</f>
        <v>513.45000000000005</v>
      </c>
      <c r="H23" s="5">
        <f>VLOOKUP(A23,ORCAMENTO!$A:$I,8,FALSE)</f>
        <v>640.99</v>
      </c>
      <c r="I23" s="5">
        <f t="shared" si="6"/>
        <v>3845.94</v>
      </c>
      <c r="J23" s="5">
        <f t="shared" si="7"/>
        <v>3845.94</v>
      </c>
      <c r="K23" s="5">
        <f t="shared" si="10"/>
        <v>6</v>
      </c>
      <c r="L23" s="25">
        <f t="shared" si="0"/>
        <v>1</v>
      </c>
      <c r="M23" s="5">
        <f t="shared" si="8"/>
        <v>0</v>
      </c>
      <c r="N23" s="5">
        <v>0</v>
      </c>
      <c r="O23" s="25">
        <f t="shared" si="1"/>
        <v>0</v>
      </c>
      <c r="P23" s="5">
        <f t="shared" si="9"/>
        <v>0</v>
      </c>
      <c r="Q23" s="5">
        <v>0</v>
      </c>
      <c r="R23" s="25">
        <f t="shared" si="2"/>
        <v>0</v>
      </c>
      <c r="S23" s="5">
        <f t="shared" si="3"/>
        <v>3845.94</v>
      </c>
      <c r="T23" s="25">
        <f t="shared" si="4"/>
        <v>1</v>
      </c>
      <c r="U23" s="25">
        <f t="shared" si="5"/>
        <v>5.2841970270116126E-3</v>
      </c>
    </row>
    <row r="24" spans="1:21" x14ac:dyDescent="0.3">
      <c r="A24" s="23" t="s">
        <v>157</v>
      </c>
      <c r="B24" s="23" t="str">
        <f>VLOOKUP(A24,MEMORIA!$A:$N,2,FALSE)</f>
        <v>COMPOS13</v>
      </c>
      <c r="C24" s="23" t="str">
        <f>VLOOKUP(A24,MEMORIA!$A:$N,3,FALSE)</f>
        <v>PRÓPRIA</v>
      </c>
      <c r="D24" s="24" t="str">
        <f>VLOOKUP(A24,MEMORIA!$A:$N,4,FALSE)</f>
        <v>TESTE VAZÃO COM BOMBA SUBMERSA</v>
      </c>
      <c r="E24" s="23" t="str">
        <f>VLOOKUP(A24,MEMORIA!$A:$N,5,FALSE)</f>
        <v>H</v>
      </c>
      <c r="F24" s="5">
        <f>VLOOKUP(A24,MEMORIA!$A:$N,14,FALSE)</f>
        <v>24</v>
      </c>
      <c r="G24" s="5">
        <f>VLOOKUP(A24,ORCAMENTO!$A:$I,7,FALSE)</f>
        <v>95.539999999999992</v>
      </c>
      <c r="H24" s="5">
        <f>VLOOKUP(A24,ORCAMENTO!$A:$I,8,FALSE)</f>
        <v>119.27</v>
      </c>
      <c r="I24" s="5">
        <f t="shared" si="6"/>
        <v>2862.48</v>
      </c>
      <c r="J24" s="5">
        <f t="shared" si="7"/>
        <v>2862.48</v>
      </c>
      <c r="K24" s="5">
        <f t="shared" si="10"/>
        <v>24</v>
      </c>
      <c r="L24" s="25">
        <f t="shared" si="0"/>
        <v>1</v>
      </c>
      <c r="M24" s="5">
        <f t="shared" si="8"/>
        <v>0</v>
      </c>
      <c r="N24" s="5">
        <v>0</v>
      </c>
      <c r="O24" s="25">
        <f t="shared" si="1"/>
        <v>0</v>
      </c>
      <c r="P24" s="5">
        <f t="shared" si="9"/>
        <v>0</v>
      </c>
      <c r="Q24" s="5">
        <v>0</v>
      </c>
      <c r="R24" s="25">
        <f t="shared" si="2"/>
        <v>0</v>
      </c>
      <c r="S24" s="5">
        <f t="shared" si="3"/>
        <v>2862.48</v>
      </c>
      <c r="T24" s="25">
        <f t="shared" si="4"/>
        <v>1</v>
      </c>
      <c r="U24" s="25">
        <f t="shared" si="5"/>
        <v>3.932954831817501E-3</v>
      </c>
    </row>
    <row r="25" spans="1:21" x14ac:dyDescent="0.3">
      <c r="A25" s="23" t="s">
        <v>158</v>
      </c>
      <c r="B25" s="23" t="str">
        <f>VLOOKUP(A25,MEMORIA!$A:$N,2,FALSE)</f>
        <v>COMPOS14</v>
      </c>
      <c r="C25" s="23" t="str">
        <f>VLOOKUP(A25,MEMORIA!$A:$N,3,FALSE)</f>
        <v>PRÓPRIA</v>
      </c>
      <c r="D25" s="24" t="str">
        <f>VLOOKUP(A25,MEMORIA!$A:$N,4,FALSE)</f>
        <v>DESINFECÇÃO</v>
      </c>
      <c r="E25" s="23" t="str">
        <f>VLOOKUP(A25,MEMORIA!$A:$N,5,FALSE)</f>
        <v>H</v>
      </c>
      <c r="F25" s="5">
        <f>VLOOKUP(A25,MEMORIA!$A:$N,14,FALSE)</f>
        <v>6</v>
      </c>
      <c r="G25" s="5">
        <f>VLOOKUP(A25,ORCAMENTO!$A:$I,7,FALSE)</f>
        <v>100.11000000000003</v>
      </c>
      <c r="H25" s="5">
        <f>VLOOKUP(A25,ORCAMENTO!$A:$I,8,FALSE)</f>
        <v>124.98000000000003</v>
      </c>
      <c r="I25" s="5">
        <f t="shared" si="6"/>
        <v>749.88</v>
      </c>
      <c r="J25" s="5">
        <f t="shared" si="7"/>
        <v>749.88</v>
      </c>
      <c r="K25" s="5">
        <f t="shared" si="10"/>
        <v>6</v>
      </c>
      <c r="L25" s="25">
        <f t="shared" si="0"/>
        <v>1</v>
      </c>
      <c r="M25" s="5">
        <f t="shared" si="8"/>
        <v>0</v>
      </c>
      <c r="N25" s="5">
        <v>0</v>
      </c>
      <c r="O25" s="25">
        <f t="shared" si="1"/>
        <v>0</v>
      </c>
      <c r="P25" s="5">
        <f t="shared" si="9"/>
        <v>0</v>
      </c>
      <c r="Q25" s="5">
        <v>0</v>
      </c>
      <c r="R25" s="25">
        <f t="shared" si="2"/>
        <v>0</v>
      </c>
      <c r="S25" s="5">
        <f t="shared" si="3"/>
        <v>749.88</v>
      </c>
      <c r="T25" s="25">
        <f t="shared" si="4"/>
        <v>1</v>
      </c>
      <c r="U25" s="25">
        <f t="shared" si="5"/>
        <v>1.0303108386026478E-3</v>
      </c>
    </row>
    <row r="26" spans="1:21" x14ac:dyDescent="0.3">
      <c r="A26" s="23" t="s">
        <v>159</v>
      </c>
      <c r="B26" s="23" t="str">
        <f>VLOOKUP(A26,MEMORIA!$A:$N,2,FALSE)</f>
        <v>COMPOS15</v>
      </c>
      <c r="C26" s="23" t="str">
        <f>VLOOKUP(A26,MEMORIA!$A:$N,3,FALSE)</f>
        <v>PRÓPRIA</v>
      </c>
      <c r="D26" s="24" t="str">
        <f>VLOOKUP(A26,MEMORIA!$A:$N,4,FALSE)</f>
        <v>RELATÓRIO TÉCNICO</v>
      </c>
      <c r="E26" s="23" t="str">
        <f>VLOOKUP(A26,MEMORIA!$A:$N,5,FALSE)</f>
        <v>UN</v>
      </c>
      <c r="F26" s="5">
        <f>VLOOKUP(A26,MEMORIA!$A:$N,14,FALSE)</f>
        <v>1</v>
      </c>
      <c r="G26" s="5">
        <f>VLOOKUP(A26,ORCAMENTO!$A:$I,7,FALSE)</f>
        <v>1110.2</v>
      </c>
      <c r="H26" s="5">
        <f>VLOOKUP(A26,ORCAMENTO!$A:$I,8,FALSE)</f>
        <v>1385.97</v>
      </c>
      <c r="I26" s="5">
        <f t="shared" si="6"/>
        <v>1385.97</v>
      </c>
      <c r="J26" s="5">
        <f t="shared" si="7"/>
        <v>1385.97</v>
      </c>
      <c r="K26" s="5">
        <f t="shared" si="10"/>
        <v>1</v>
      </c>
      <c r="L26" s="25">
        <f t="shared" si="0"/>
        <v>1</v>
      </c>
      <c r="M26" s="5">
        <f t="shared" si="8"/>
        <v>0</v>
      </c>
      <c r="N26" s="5">
        <v>0</v>
      </c>
      <c r="O26" s="25">
        <f t="shared" si="1"/>
        <v>0</v>
      </c>
      <c r="P26" s="5">
        <f t="shared" si="9"/>
        <v>0</v>
      </c>
      <c r="Q26" s="5">
        <v>0</v>
      </c>
      <c r="R26" s="25">
        <f t="shared" si="2"/>
        <v>0</v>
      </c>
      <c r="S26" s="5">
        <f t="shared" si="3"/>
        <v>1385.97</v>
      </c>
      <c r="T26" s="25">
        <f t="shared" si="4"/>
        <v>1</v>
      </c>
      <c r="U26" s="25">
        <f t="shared" si="5"/>
        <v>1.9042779017684323E-3</v>
      </c>
    </row>
    <row r="27" spans="1:21" x14ac:dyDescent="0.3">
      <c r="A27" s="23" t="s">
        <v>160</v>
      </c>
      <c r="B27" s="23" t="str">
        <f>VLOOKUP(A27,MEMORIA!$A:$N,2,FALSE)</f>
        <v>COMPOS16</v>
      </c>
      <c r="C27" s="23" t="str">
        <f>VLOOKUP(A27,MEMORIA!$A:$N,3,FALSE)</f>
        <v>PRÓPRIA</v>
      </c>
      <c r="D27" s="24" t="str">
        <f>VLOOKUP(A27,MEMORIA!$A:$N,4,FALSE)</f>
        <v>ANÁLISE FÍSICO-QUÍMICA DA ÁGUA</v>
      </c>
      <c r="E27" s="23" t="str">
        <f>VLOOKUP(A27,MEMORIA!$A:$N,5,FALSE)</f>
        <v>UN</v>
      </c>
      <c r="F27" s="5">
        <f>VLOOKUP(A27,MEMORIA!$A:$N,14,FALSE)</f>
        <v>1</v>
      </c>
      <c r="G27" s="5">
        <f>VLOOKUP(A27,ORCAMENTO!$A:$I,7,FALSE)</f>
        <v>565.21</v>
      </c>
      <c r="H27" s="5">
        <f>VLOOKUP(A27,ORCAMENTO!$A:$I,8,FALSE)</f>
        <v>705.61</v>
      </c>
      <c r="I27" s="5">
        <f t="shared" si="6"/>
        <v>705.61</v>
      </c>
      <c r="J27" s="5">
        <f t="shared" si="7"/>
        <v>705.61</v>
      </c>
      <c r="K27" s="5">
        <f t="shared" si="10"/>
        <v>1</v>
      </c>
      <c r="L27" s="25">
        <f t="shared" si="0"/>
        <v>1</v>
      </c>
      <c r="M27" s="5">
        <f t="shared" si="8"/>
        <v>0</v>
      </c>
      <c r="N27" s="5">
        <v>0</v>
      </c>
      <c r="O27" s="25">
        <f t="shared" si="1"/>
        <v>0</v>
      </c>
      <c r="P27" s="5">
        <f t="shared" si="9"/>
        <v>0</v>
      </c>
      <c r="Q27" s="5">
        <v>0</v>
      </c>
      <c r="R27" s="25">
        <f t="shared" si="2"/>
        <v>0</v>
      </c>
      <c r="S27" s="5">
        <f t="shared" si="3"/>
        <v>705.61</v>
      </c>
      <c r="T27" s="25">
        <f t="shared" si="4"/>
        <v>1</v>
      </c>
      <c r="U27" s="25">
        <f t="shared" si="5"/>
        <v>9.6948529208195234E-4</v>
      </c>
    </row>
    <row r="28" spans="1:21" x14ac:dyDescent="0.3">
      <c r="A28" s="23" t="s">
        <v>161</v>
      </c>
      <c r="B28" s="23" t="str">
        <f>VLOOKUP(A28,MEMORIA!$A:$N,2,FALSE)</f>
        <v>COMPOS1</v>
      </c>
      <c r="C28" s="23" t="str">
        <f>VLOOKUP(A28,MEMORIA!$A:$N,3,FALSE)</f>
        <v>PRÓPRIA</v>
      </c>
      <c r="D28" s="24" t="str">
        <f>VLOOKUP(A28,MEMORIA!$A:$N,4,FALSE)</f>
        <v>FORNECIMENTO E INSTALAÇÃO DE REVESTIMENTO GEOMECÂNICO STANDART DN-154-S</v>
      </c>
      <c r="E28" s="23" t="str">
        <f>VLOOKUP(A28,MEMORIA!$A:$N,5,FALSE)</f>
        <v>M</v>
      </c>
      <c r="F28" s="5">
        <f>VLOOKUP(A28,MEMORIA!$A:$N,14,FALSE)</f>
        <v>36</v>
      </c>
      <c r="G28" s="5">
        <f>VLOOKUP(A28,ORCAMENTO!$A:$I,7,FALSE)</f>
        <v>170.76</v>
      </c>
      <c r="H28" s="5">
        <f>VLOOKUP(A28,ORCAMENTO!$A:$I,8,FALSE)</f>
        <v>213.18</v>
      </c>
      <c r="I28" s="5">
        <f t="shared" si="6"/>
        <v>7674.48</v>
      </c>
      <c r="J28" s="5">
        <f t="shared" si="7"/>
        <v>7674.48</v>
      </c>
      <c r="K28" s="5">
        <f t="shared" si="10"/>
        <v>36</v>
      </c>
      <c r="L28" s="25">
        <f t="shared" si="0"/>
        <v>1</v>
      </c>
      <c r="M28" s="5">
        <f t="shared" si="8"/>
        <v>0</v>
      </c>
      <c r="N28" s="5">
        <v>0</v>
      </c>
      <c r="O28" s="25">
        <f t="shared" si="1"/>
        <v>0</v>
      </c>
      <c r="P28" s="5">
        <f t="shared" si="9"/>
        <v>0</v>
      </c>
      <c r="Q28" s="5">
        <v>0</v>
      </c>
      <c r="R28" s="25">
        <f t="shared" si="2"/>
        <v>0</v>
      </c>
      <c r="S28" s="5">
        <f t="shared" si="3"/>
        <v>7674.48</v>
      </c>
      <c r="T28" s="25">
        <f t="shared" si="4"/>
        <v>1</v>
      </c>
      <c r="U28" s="25">
        <f t="shared" si="5"/>
        <v>1.0544487017441789E-2</v>
      </c>
    </row>
    <row r="29" spans="1:21" x14ac:dyDescent="0.3">
      <c r="A29" s="23" t="s">
        <v>162</v>
      </c>
      <c r="B29" s="23" t="str">
        <f>VLOOKUP(A29,MEMORIA!$A:$N,2,FALSE)</f>
        <v>COMPOS2</v>
      </c>
      <c r="C29" s="23" t="str">
        <f>VLOOKUP(A29,MEMORIA!$A:$N,3,FALSE)</f>
        <v>PRÓPRIA</v>
      </c>
      <c r="D29" s="24" t="str">
        <f>VLOOKUP(A29,MEMORIA!$A:$N,4,FALSE)</f>
        <v>FORNECIMENTO E INSTALAÇÃO DE TAMPA PARA POÇO</v>
      </c>
      <c r="E29" s="23" t="str">
        <f>VLOOKUP(A29,MEMORIA!$A:$N,5,FALSE)</f>
        <v>UN</v>
      </c>
      <c r="F29" s="5">
        <f>VLOOKUP(A29,MEMORIA!$A:$N,14,FALSE)</f>
        <v>1</v>
      </c>
      <c r="G29" s="5">
        <f>VLOOKUP(A29,ORCAMENTO!$A:$I,7,FALSE)</f>
        <v>109.94</v>
      </c>
      <c r="H29" s="5">
        <f>VLOOKUP(A29,ORCAMENTO!$A:$I,8,FALSE)</f>
        <v>137.25</v>
      </c>
      <c r="I29" s="5">
        <f t="shared" si="6"/>
        <v>137.25</v>
      </c>
      <c r="J29" s="5">
        <f t="shared" si="7"/>
        <v>137.25</v>
      </c>
      <c r="K29" s="5">
        <f t="shared" si="10"/>
        <v>1</v>
      </c>
      <c r="L29" s="25">
        <f t="shared" si="0"/>
        <v>1</v>
      </c>
      <c r="M29" s="5">
        <f t="shared" si="8"/>
        <v>0</v>
      </c>
      <c r="N29" s="5">
        <v>0</v>
      </c>
      <c r="O29" s="25">
        <f t="shared" si="1"/>
        <v>0</v>
      </c>
      <c r="P29" s="5">
        <f t="shared" si="9"/>
        <v>0</v>
      </c>
      <c r="Q29" s="5">
        <v>0</v>
      </c>
      <c r="R29" s="25">
        <f t="shared" si="2"/>
        <v>0</v>
      </c>
      <c r="S29" s="5">
        <f t="shared" si="3"/>
        <v>137.25</v>
      </c>
      <c r="T29" s="25">
        <f t="shared" si="4"/>
        <v>1</v>
      </c>
      <c r="U29" s="25">
        <f t="shared" si="5"/>
        <v>1.8857705579321149E-4</v>
      </c>
    </row>
    <row r="30" spans="1:21" x14ac:dyDescent="0.3">
      <c r="A30" s="12" t="s">
        <v>24</v>
      </c>
      <c r="B30" s="46" t="str">
        <f>VLOOKUP(A30,MEMORIA!$A:$N,2,FALSE)</f>
        <v>AQUISIÇÃO E INSTALAÇÃO DE EQUIPAMENTOS DE BOMBEAMENTO, RECALQUE/BARRILETE E CONEXÕES PARA INTERLIGAÇÃO COM RESERVATÓRIO</v>
      </c>
      <c r="C30" s="47"/>
      <c r="D30" s="47"/>
      <c r="E30" s="47"/>
      <c r="F30" s="47"/>
      <c r="G30" s="47"/>
      <c r="H30" s="48"/>
      <c r="I30" s="13">
        <f>SUM(I$31:I$36)</f>
        <v>19625.579999999998</v>
      </c>
      <c r="J30" s="13">
        <f>SUM(J$31:J$36)</f>
        <v>19625.579999999998</v>
      </c>
      <c r="K30" s="13"/>
      <c r="L30" s="14">
        <f t="shared" si="0"/>
        <v>1</v>
      </c>
      <c r="M30" s="13">
        <f>SUM(M$31:M$36)</f>
        <v>0</v>
      </c>
      <c r="N30" s="13"/>
      <c r="O30" s="14">
        <f t="shared" si="1"/>
        <v>0</v>
      </c>
      <c r="P30" s="13">
        <f>SUM(P$31:P$36)</f>
        <v>0</v>
      </c>
      <c r="Q30" s="13"/>
      <c r="R30" s="14">
        <f t="shared" si="2"/>
        <v>0</v>
      </c>
      <c r="S30" s="13">
        <f t="shared" si="3"/>
        <v>19625.579999999998</v>
      </c>
      <c r="T30" s="14">
        <f t="shared" si="4"/>
        <v>1</v>
      </c>
      <c r="U30" s="14">
        <f t="shared" si="5"/>
        <v>2.6964911436314281E-2</v>
      </c>
    </row>
    <row r="31" spans="1:21" ht="28.8" x14ac:dyDescent="0.3">
      <c r="A31" s="23" t="s">
        <v>163</v>
      </c>
      <c r="B31" s="23" t="str">
        <f>VLOOKUP(A31,MEMORIA!$A:$N,2,FALSE)</f>
        <v>COMPOS17</v>
      </c>
      <c r="C31" s="23" t="str">
        <f>VLOOKUP(A31,MEMORIA!$A:$N,3,FALSE)</f>
        <v>PRÓPRIA</v>
      </c>
      <c r="D31" s="24" t="str">
        <f>VLOOKUP(A31,MEMORIA!$A:$N,4,FALSE)</f>
        <v>FORNECIMENTO E INSTALAÇÃO DE BOMBA SUBMERSA DE 3CV, MONOFÁSICA, 220 V, LEÃO OU SIMILAR</v>
      </c>
      <c r="E31" s="23" t="str">
        <f>VLOOKUP(A31,MEMORIA!$A:$N,5,FALSE)</f>
        <v>UN</v>
      </c>
      <c r="F31" s="5">
        <f>VLOOKUP(A31,MEMORIA!$A:$N,14,FALSE)</f>
        <v>1</v>
      </c>
      <c r="G31" s="5">
        <f>VLOOKUP(A31,ORCAMENTO!$A:$I,7,FALSE)</f>
        <v>3515.68</v>
      </c>
      <c r="H31" s="5">
        <f>VLOOKUP(A31,ORCAMENTO!$A:$I,8,FALSE)</f>
        <v>4388.9699999999993</v>
      </c>
      <c r="I31" s="5">
        <f t="shared" ref="I31:I36" si="11">ROUND(F31*H31,2)</f>
        <v>4388.97</v>
      </c>
      <c r="J31" s="5">
        <f t="shared" ref="J31:J36" si="12">ROUND(K31*$H31,2)</f>
        <v>4388.97</v>
      </c>
      <c r="K31" s="5">
        <f t="shared" si="10"/>
        <v>1</v>
      </c>
      <c r="L31" s="25">
        <f t="shared" si="0"/>
        <v>1</v>
      </c>
      <c r="M31" s="5">
        <f t="shared" ref="M31:M36" si="13">ROUND(N31*$H31,2)</f>
        <v>0</v>
      </c>
      <c r="N31" s="5">
        <v>0</v>
      </c>
      <c r="O31" s="25">
        <f t="shared" si="1"/>
        <v>0</v>
      </c>
      <c r="P31" s="5">
        <f t="shared" ref="P31:P36" si="14">ROUND(Q31*$H31,2)</f>
        <v>0</v>
      </c>
      <c r="Q31" s="5">
        <v>0</v>
      </c>
      <c r="R31" s="25">
        <f t="shared" si="2"/>
        <v>0</v>
      </c>
      <c r="S31" s="5">
        <f t="shared" si="3"/>
        <v>4388.97</v>
      </c>
      <c r="T31" s="25">
        <f t="shared" si="4"/>
        <v>1</v>
      </c>
      <c r="U31" s="25">
        <f t="shared" si="5"/>
        <v>6.0303026634953112E-3</v>
      </c>
    </row>
    <row r="32" spans="1:21" ht="28.8" x14ac:dyDescent="0.3">
      <c r="A32" s="23" t="s">
        <v>164</v>
      </c>
      <c r="B32" s="23" t="str">
        <f>VLOOKUP(A32,MEMORIA!$A:$N,2,FALSE)</f>
        <v>COMPOS29</v>
      </c>
      <c r="C32" s="23" t="str">
        <f>VLOOKUP(A32,MEMORIA!$A:$N,3,FALSE)</f>
        <v>PRÓPRIA</v>
      </c>
      <c r="D32" s="24" t="str">
        <f>VLOOKUP(A32,MEMORIA!$A:$N,4,FALSE)</f>
        <v>FORNECIMENTO E INSTALAÇÃO DE PAINEL DE COMANDO ELÉTRICO PARA BOMBA 3CV, MONOFÁSICO</v>
      </c>
      <c r="E32" s="23" t="str">
        <f>VLOOKUP(A32,MEMORIA!$A:$N,5,FALSE)</f>
        <v>UN</v>
      </c>
      <c r="F32" s="5">
        <f>VLOOKUP(A32,MEMORIA!$A:$N,14,FALSE)</f>
        <v>1</v>
      </c>
      <c r="G32" s="5">
        <f>VLOOKUP(A32,ORCAMENTO!$A:$I,7,FALSE)</f>
        <v>773.3</v>
      </c>
      <c r="H32" s="5">
        <f>VLOOKUP(A32,ORCAMENTO!$A:$I,8,FALSE)</f>
        <v>965.39</v>
      </c>
      <c r="I32" s="5">
        <f t="shared" si="11"/>
        <v>965.39</v>
      </c>
      <c r="J32" s="5">
        <f t="shared" si="12"/>
        <v>965.39</v>
      </c>
      <c r="K32" s="5">
        <f t="shared" si="10"/>
        <v>1</v>
      </c>
      <c r="L32" s="25">
        <f t="shared" si="0"/>
        <v>1</v>
      </c>
      <c r="M32" s="5">
        <f t="shared" si="13"/>
        <v>0</v>
      </c>
      <c r="N32" s="5">
        <v>0</v>
      </c>
      <c r="O32" s="25">
        <f t="shared" si="1"/>
        <v>0</v>
      </c>
      <c r="P32" s="5">
        <f t="shared" si="14"/>
        <v>0</v>
      </c>
      <c r="Q32" s="5">
        <v>0</v>
      </c>
      <c r="R32" s="25">
        <f t="shared" si="2"/>
        <v>0</v>
      </c>
      <c r="S32" s="5">
        <f t="shared" si="3"/>
        <v>965.39</v>
      </c>
      <c r="T32" s="25">
        <f t="shared" si="4"/>
        <v>1</v>
      </c>
      <c r="U32" s="25">
        <f t="shared" si="5"/>
        <v>1.3264146003075295E-3</v>
      </c>
    </row>
    <row r="33" spans="1:21" x14ac:dyDescent="0.3">
      <c r="A33" s="23" t="s">
        <v>165</v>
      </c>
      <c r="B33" s="23" t="str">
        <f>VLOOKUP(A33,MEMORIA!$A:$N,2,FALSE)</f>
        <v>COMPOS19</v>
      </c>
      <c r="C33" s="23" t="str">
        <f>VLOOKUP(A33,MEMORIA!$A:$N,3,FALSE)</f>
        <v>PRÓPRIA</v>
      </c>
      <c r="D33" s="24" t="str">
        <f>VLOOKUP(A33,MEMORIA!$A:$N,4,FALSE)</f>
        <v>FORNECIMENTO E INSTALAÇÃO DE TUBO EDUTOR DE PVC DE 1.1/2'' COM LUVA</v>
      </c>
      <c r="E33" s="23" t="str">
        <f>VLOOKUP(A33,MEMORIA!$A:$N,5,FALSE)</f>
        <v>M</v>
      </c>
      <c r="F33" s="5">
        <f>VLOOKUP(A33,MEMORIA!$A:$N,14,FALSE)</f>
        <v>110</v>
      </c>
      <c r="G33" s="5">
        <f>VLOOKUP(A33,ORCAMENTO!$A:$I,7,FALSE)</f>
        <v>46.25</v>
      </c>
      <c r="H33" s="5">
        <f>VLOOKUP(A33,ORCAMENTO!$A:$I,8,FALSE)</f>
        <v>57.74</v>
      </c>
      <c r="I33" s="5">
        <f t="shared" si="11"/>
        <v>6351.4</v>
      </c>
      <c r="J33" s="5">
        <f t="shared" si="12"/>
        <v>6351.4</v>
      </c>
      <c r="K33" s="5">
        <f t="shared" si="10"/>
        <v>110</v>
      </c>
      <c r="L33" s="25">
        <f t="shared" si="0"/>
        <v>1</v>
      </c>
      <c r="M33" s="5">
        <f t="shared" si="13"/>
        <v>0</v>
      </c>
      <c r="N33" s="5">
        <v>0</v>
      </c>
      <c r="O33" s="25">
        <f t="shared" si="1"/>
        <v>0</v>
      </c>
      <c r="P33" s="5">
        <f t="shared" si="14"/>
        <v>0</v>
      </c>
      <c r="Q33" s="5">
        <v>0</v>
      </c>
      <c r="R33" s="25">
        <f t="shared" si="2"/>
        <v>0</v>
      </c>
      <c r="S33" s="5">
        <f t="shared" si="3"/>
        <v>6351.4</v>
      </c>
      <c r="T33" s="25">
        <f t="shared" si="4"/>
        <v>1</v>
      </c>
      <c r="U33" s="25">
        <f t="shared" si="5"/>
        <v>8.726617939271427E-3</v>
      </c>
    </row>
    <row r="34" spans="1:21" x14ac:dyDescent="0.3">
      <c r="A34" s="23" t="s">
        <v>166</v>
      </c>
      <c r="B34" s="23" t="str">
        <f>VLOOKUP(A34,MEMORIA!$A:$N,2,FALSE)</f>
        <v>COMPOS24</v>
      </c>
      <c r="C34" s="23" t="str">
        <f>VLOOKUP(A34,MEMORIA!$A:$N,3,FALSE)</f>
        <v>PRÓPRIA</v>
      </c>
      <c r="D34" s="24" t="str">
        <f>VLOOKUP(A34,MEMORIA!$A:$N,4,FALSE)</f>
        <v>FORNECIMENTO E INSTALAÇÃO DE CABO CHATO SUBMERSO DE 3 X 6 MM²</v>
      </c>
      <c r="E34" s="23" t="str">
        <f>VLOOKUP(A34,MEMORIA!$A:$N,5,FALSE)</f>
        <v>M</v>
      </c>
      <c r="F34" s="5">
        <f>VLOOKUP(A34,MEMORIA!$A:$N,14,FALSE)</f>
        <v>120</v>
      </c>
      <c r="G34" s="5">
        <f>VLOOKUP(A34,ORCAMENTO!$A:$I,7,FALSE)</f>
        <v>25.98</v>
      </c>
      <c r="H34" s="5">
        <f>VLOOKUP(A34,ORCAMENTO!$A:$I,8,FALSE)</f>
        <v>32.43</v>
      </c>
      <c r="I34" s="5">
        <f t="shared" si="11"/>
        <v>3891.6</v>
      </c>
      <c r="J34" s="5">
        <f t="shared" si="12"/>
        <v>3891.6</v>
      </c>
      <c r="K34" s="5">
        <f t="shared" si="10"/>
        <v>120</v>
      </c>
      <c r="L34" s="25">
        <f t="shared" si="0"/>
        <v>1</v>
      </c>
      <c r="M34" s="5">
        <f t="shared" si="13"/>
        <v>0</v>
      </c>
      <c r="N34" s="5">
        <v>0</v>
      </c>
      <c r="O34" s="25">
        <f t="shared" si="1"/>
        <v>0</v>
      </c>
      <c r="P34" s="5">
        <f t="shared" si="14"/>
        <v>0</v>
      </c>
      <c r="Q34" s="5">
        <v>0</v>
      </c>
      <c r="R34" s="25">
        <f t="shared" si="2"/>
        <v>0</v>
      </c>
      <c r="S34" s="5">
        <f t="shared" si="3"/>
        <v>3891.6</v>
      </c>
      <c r="T34" s="25">
        <f t="shared" si="4"/>
        <v>1</v>
      </c>
      <c r="U34" s="25">
        <f t="shared" si="5"/>
        <v>5.3469323885235835E-3</v>
      </c>
    </row>
    <row r="35" spans="1:21" x14ac:dyDescent="0.3">
      <c r="A35" s="23" t="s">
        <v>167</v>
      </c>
      <c r="B35" s="23" t="str">
        <f>VLOOKUP(A35,MEMORIA!$A:$N,2,FALSE)</f>
        <v>COMPOS21</v>
      </c>
      <c r="C35" s="23" t="str">
        <f>VLOOKUP(A35,MEMORIA!$A:$N,3,FALSE)</f>
        <v>PRÓPRIA</v>
      </c>
      <c r="D35" s="24" t="str">
        <f>VLOOKUP(A35,MEMORIA!$A:$N,4,FALSE)</f>
        <v>BARRILETE (CURVAS E CONEXÕES)</v>
      </c>
      <c r="E35" s="23" t="str">
        <f>VLOOKUP(A35,MEMORIA!$A:$N,5,FALSE)</f>
        <v>UN</v>
      </c>
      <c r="F35" s="5">
        <f>VLOOKUP(A35,MEMORIA!$A:$N,14,FALSE)</f>
        <v>1</v>
      </c>
      <c r="G35" s="5">
        <f>VLOOKUP(A35,ORCAMENTO!$A:$I,7,FALSE)</f>
        <v>2135.96</v>
      </c>
      <c r="H35" s="5">
        <f>VLOOKUP(A35,ORCAMENTO!$A:$I,8,FALSE)</f>
        <v>2666.53</v>
      </c>
      <c r="I35" s="5">
        <f t="shared" si="11"/>
        <v>2666.53</v>
      </c>
      <c r="J35" s="5">
        <f t="shared" si="12"/>
        <v>2666.53</v>
      </c>
      <c r="K35" s="5">
        <f t="shared" si="10"/>
        <v>1</v>
      </c>
      <c r="L35" s="25">
        <f t="shared" si="0"/>
        <v>1</v>
      </c>
      <c r="M35" s="5">
        <f t="shared" si="13"/>
        <v>0</v>
      </c>
      <c r="N35" s="5">
        <v>0</v>
      </c>
      <c r="O35" s="25">
        <f t="shared" si="1"/>
        <v>0</v>
      </c>
      <c r="P35" s="5">
        <f t="shared" si="14"/>
        <v>0</v>
      </c>
      <c r="Q35" s="5">
        <v>0</v>
      </c>
      <c r="R35" s="25">
        <f t="shared" si="2"/>
        <v>0</v>
      </c>
      <c r="S35" s="5">
        <f t="shared" si="3"/>
        <v>2666.53</v>
      </c>
      <c r="T35" s="25">
        <f t="shared" si="4"/>
        <v>1</v>
      </c>
      <c r="U35" s="25">
        <f t="shared" si="5"/>
        <v>3.6637258767524389E-3</v>
      </c>
    </row>
    <row r="36" spans="1:21" x14ac:dyDescent="0.3">
      <c r="A36" s="23" t="s">
        <v>168</v>
      </c>
      <c r="B36" s="23" t="str">
        <f>VLOOKUP(A36,MEMORIA!$A:$N,2,FALSE)</f>
        <v>COMPOS26</v>
      </c>
      <c r="C36" s="23" t="str">
        <f>VLOOKUP(A36,MEMORIA!$A:$N,3,FALSE)</f>
        <v>PRÓPRIA</v>
      </c>
      <c r="D36" s="24" t="str">
        <f>VLOOKUP(A36,MEMORIA!$A:$N,4,FALSE)</f>
        <v>AQUISIÇÃO E INSTALAÇÃO DE DOSADOR DE CLORO</v>
      </c>
      <c r="E36" s="23" t="str">
        <f>VLOOKUP(A36,MEMORIA!$A:$N,5,FALSE)</f>
        <v>UND</v>
      </c>
      <c r="F36" s="5">
        <f>VLOOKUP(A36,MEMORIA!$A:$N,14,FALSE)</f>
        <v>1</v>
      </c>
      <c r="G36" s="5">
        <f>VLOOKUP(A36,ORCAMENTO!$A:$I,7,FALSE)</f>
        <v>1090.75</v>
      </c>
      <c r="H36" s="5">
        <f>VLOOKUP(A36,ORCAMENTO!$A:$I,8,FALSE)</f>
        <v>1361.69</v>
      </c>
      <c r="I36" s="5">
        <f t="shared" si="11"/>
        <v>1361.69</v>
      </c>
      <c r="J36" s="5">
        <f t="shared" si="12"/>
        <v>1361.69</v>
      </c>
      <c r="K36" s="5">
        <f t="shared" si="10"/>
        <v>1</v>
      </c>
      <c r="L36" s="25">
        <f t="shared" si="0"/>
        <v>1</v>
      </c>
      <c r="M36" s="5">
        <f t="shared" si="13"/>
        <v>0</v>
      </c>
      <c r="N36" s="5">
        <v>0</v>
      </c>
      <c r="O36" s="25">
        <f t="shared" si="1"/>
        <v>0</v>
      </c>
      <c r="P36" s="5">
        <f t="shared" si="14"/>
        <v>0</v>
      </c>
      <c r="Q36" s="5">
        <v>0</v>
      </c>
      <c r="R36" s="25">
        <f t="shared" si="2"/>
        <v>0</v>
      </c>
      <c r="S36" s="5">
        <f t="shared" si="3"/>
        <v>1361.69</v>
      </c>
      <c r="T36" s="25">
        <f t="shared" si="4"/>
        <v>1</v>
      </c>
      <c r="U36" s="25">
        <f t="shared" si="5"/>
        <v>1.8709179679639938E-3</v>
      </c>
    </row>
    <row r="37" spans="1:21" x14ac:dyDescent="0.3">
      <c r="A37" s="12" t="s">
        <v>25</v>
      </c>
      <c r="B37" s="46" t="str">
        <f>VLOOKUP(A37,MEMORIA!$A:$N,2,FALSE)</f>
        <v>CONSTRUÇÃO DA CASA DE COMANDO</v>
      </c>
      <c r="C37" s="47"/>
      <c r="D37" s="47"/>
      <c r="E37" s="47"/>
      <c r="F37" s="47"/>
      <c r="G37" s="47"/>
      <c r="H37" s="48"/>
      <c r="I37" s="13">
        <f>SUM(I$38,I$41,I$43,I$47,I$50,I$53,I$56,I$60,I$63,I$66,I$69,)</f>
        <v>25565.510000000002</v>
      </c>
      <c r="J37" s="13">
        <f>SUM(J$38,J$41,J$43,J$47,J$50,J$53,J$56,J$60,J$63,J$66,J$69,)</f>
        <v>25565.510000000002</v>
      </c>
      <c r="K37" s="13"/>
      <c r="L37" s="14">
        <f t="shared" si="0"/>
        <v>1</v>
      </c>
      <c r="M37" s="13">
        <f>SUM(M$38,M$41,M$43,M$47,M$50,M$53,M$56,M$60,M$63,M$66,M$69,)</f>
        <v>0</v>
      </c>
      <c r="N37" s="13"/>
      <c r="O37" s="14">
        <f t="shared" si="1"/>
        <v>0</v>
      </c>
      <c r="P37" s="13">
        <f>SUM(P$38,P$41,P$43,P$47,P$50,P$53,P$56,P$60,P$63,P$66,P$69,)</f>
        <v>0</v>
      </c>
      <c r="Q37" s="13"/>
      <c r="R37" s="14">
        <f t="shared" si="2"/>
        <v>0</v>
      </c>
      <c r="S37" s="13">
        <f t="shared" si="3"/>
        <v>25565.510000000002</v>
      </c>
      <c r="T37" s="14">
        <f t="shared" si="4"/>
        <v>1</v>
      </c>
      <c r="U37" s="14">
        <f t="shared" si="5"/>
        <v>3.5126182919139576E-2</v>
      </c>
    </row>
    <row r="38" spans="1:21" x14ac:dyDescent="0.3">
      <c r="A38" s="15" t="s">
        <v>26</v>
      </c>
      <c r="B38" s="49" t="str">
        <f>VLOOKUP(A38,MEMORIA!$A:$N,2,FALSE)</f>
        <v>SERVIÇOS PRELIMINARES</v>
      </c>
      <c r="C38" s="50"/>
      <c r="D38" s="50"/>
      <c r="E38" s="50"/>
      <c r="F38" s="50"/>
      <c r="G38" s="50"/>
      <c r="H38" s="51"/>
      <c r="I38" s="16">
        <f>SUM(I$39:I$40)</f>
        <v>3887.12</v>
      </c>
      <c r="J38" s="16">
        <f>SUM(J$39:J$40)</f>
        <v>3887.12</v>
      </c>
      <c r="K38" s="16"/>
      <c r="L38" s="17">
        <f t="shared" si="0"/>
        <v>1</v>
      </c>
      <c r="M38" s="16">
        <f>SUM(M$39:M$40)</f>
        <v>0</v>
      </c>
      <c r="N38" s="16"/>
      <c r="O38" s="17">
        <f t="shared" si="1"/>
        <v>0</v>
      </c>
      <c r="P38" s="16">
        <f>SUM(P$39:P$40)</f>
        <v>0</v>
      </c>
      <c r="Q38" s="16"/>
      <c r="R38" s="17">
        <f t="shared" si="2"/>
        <v>0</v>
      </c>
      <c r="S38" s="16">
        <f t="shared" si="3"/>
        <v>3887.12</v>
      </c>
      <c r="T38" s="17">
        <f t="shared" si="4"/>
        <v>1</v>
      </c>
      <c r="U38" s="17">
        <f t="shared" si="5"/>
        <v>5.3407770135876732E-3</v>
      </c>
    </row>
    <row r="39" spans="1:21" x14ac:dyDescent="0.3">
      <c r="A39" s="23" t="s">
        <v>169</v>
      </c>
      <c r="B39" s="23">
        <f>VLOOKUP(A39,MEMORIA!$A:$N,2,FALSE)</f>
        <v>98524</v>
      </c>
      <c r="C39" s="23" t="str">
        <f>VLOOKUP(A39,MEMORIA!$A:$N,3,FALSE)</f>
        <v>SINAPI</v>
      </c>
      <c r="D39" s="24" t="str">
        <f>VLOOKUP(A39,MEMORIA!$A:$N,4,FALSE)</f>
        <v>LIMPEZA MANUAL DE VEGETAÇÃO EM TERRENO COM ENXADA. AF_03/2024</v>
      </c>
      <c r="E39" s="23" t="str">
        <f>VLOOKUP(A39,MEMORIA!$A:$N,5,FALSE)</f>
        <v>M2</v>
      </c>
      <c r="F39" s="5">
        <f>VLOOKUP(A39,MEMORIA!$A:$N,14,FALSE)</f>
        <v>100</v>
      </c>
      <c r="G39" s="5">
        <f>VLOOKUP(A39,ORCAMENTO!$A:$I,7,FALSE)</f>
        <v>4.62</v>
      </c>
      <c r="H39" s="5">
        <f>VLOOKUP(A39,ORCAMENTO!$A:$I,8,FALSE)</f>
        <v>5.77</v>
      </c>
      <c r="I39" s="5">
        <f>ROUND(F39*H39,2)</f>
        <v>577</v>
      </c>
      <c r="J39" s="5">
        <f>ROUND(K39*$H39,2)</f>
        <v>577</v>
      </c>
      <c r="K39" s="5">
        <f t="shared" ref="K39:K42" si="15">F39</f>
        <v>100</v>
      </c>
      <c r="L39" s="25">
        <f t="shared" si="0"/>
        <v>1</v>
      </c>
      <c r="M39" s="5">
        <f>ROUND(N39*$H39,2)</f>
        <v>0</v>
      </c>
      <c r="N39" s="5">
        <v>0</v>
      </c>
      <c r="O39" s="25">
        <f t="shared" si="1"/>
        <v>0</v>
      </c>
      <c r="P39" s="5">
        <f>ROUND(Q39*$H39,2)</f>
        <v>0</v>
      </c>
      <c r="Q39" s="5">
        <v>0</v>
      </c>
      <c r="R39" s="25">
        <f t="shared" si="2"/>
        <v>0</v>
      </c>
      <c r="S39" s="5">
        <f t="shared" si="3"/>
        <v>577</v>
      </c>
      <c r="T39" s="25">
        <f t="shared" si="4"/>
        <v>1</v>
      </c>
      <c r="U39" s="25">
        <f t="shared" si="5"/>
        <v>7.9277931652228068E-4</v>
      </c>
    </row>
    <row r="40" spans="1:21" ht="28.8" x14ac:dyDescent="0.3">
      <c r="A40" s="23" t="s">
        <v>170</v>
      </c>
      <c r="B40" s="23">
        <f>VLOOKUP(A40,MEMORIA!$A:$N,2,FALSE)</f>
        <v>99059</v>
      </c>
      <c r="C40" s="23" t="str">
        <f>VLOOKUP(A40,MEMORIA!$A:$N,3,FALSE)</f>
        <v>SINAPI</v>
      </c>
      <c r="D40" s="24" t="str">
        <f>VLOOKUP(A40,MEMORIA!$A:$N,4,FALSE)</f>
        <v>LOCAÇÃO CONVENCIONAL DE OBRA, UTILIZANDO GABARITO DE TÁBUAS CORRIDAS PONTALETADAS A CADA 2,00M - 2 UTILIZAÇÕES. AF_03/2024</v>
      </c>
      <c r="E40" s="23" t="str">
        <f>VLOOKUP(A40,MEMORIA!$A:$N,5,FALSE)</f>
        <v>M</v>
      </c>
      <c r="F40" s="5">
        <f>VLOOKUP(A40,MEMORIA!$A:$N,14,FALSE)</f>
        <v>44</v>
      </c>
      <c r="G40" s="5">
        <f>VLOOKUP(A40,ORCAMENTO!$A:$I,7,FALSE)</f>
        <v>60.260000000000005</v>
      </c>
      <c r="H40" s="5">
        <f>VLOOKUP(A40,ORCAMENTO!$A:$I,8,FALSE)</f>
        <v>75.23</v>
      </c>
      <c r="I40" s="5">
        <f>ROUND(F40*H40,2)</f>
        <v>3310.12</v>
      </c>
      <c r="J40" s="5">
        <f>ROUND(K40*$H40,2)</f>
        <v>3310.12</v>
      </c>
      <c r="K40" s="5">
        <f t="shared" si="15"/>
        <v>44</v>
      </c>
      <c r="L40" s="25">
        <f t="shared" si="0"/>
        <v>1</v>
      </c>
      <c r="M40" s="5">
        <f>ROUND(N40*$H40,2)</f>
        <v>0</v>
      </c>
      <c r="N40" s="5">
        <v>0</v>
      </c>
      <c r="O40" s="25">
        <f t="shared" si="1"/>
        <v>0</v>
      </c>
      <c r="P40" s="5">
        <f>ROUND(Q40*$H40,2)</f>
        <v>0</v>
      </c>
      <c r="Q40" s="5">
        <v>0</v>
      </c>
      <c r="R40" s="25">
        <f t="shared" si="2"/>
        <v>0</v>
      </c>
      <c r="S40" s="5">
        <f t="shared" si="3"/>
        <v>3310.12</v>
      </c>
      <c r="T40" s="25">
        <f t="shared" si="4"/>
        <v>1</v>
      </c>
      <c r="U40" s="25">
        <f t="shared" si="5"/>
        <v>4.5479976970653931E-3</v>
      </c>
    </row>
    <row r="41" spans="1:21" x14ac:dyDescent="0.3">
      <c r="A41" s="15" t="s">
        <v>27</v>
      </c>
      <c r="B41" s="49" t="str">
        <f>VLOOKUP(A41,MEMORIA!$A:$N,2,FALSE)</f>
        <v>MOVIMENTO DE TERRA</v>
      </c>
      <c r="C41" s="50"/>
      <c r="D41" s="50"/>
      <c r="E41" s="50"/>
      <c r="F41" s="50"/>
      <c r="G41" s="50"/>
      <c r="H41" s="51"/>
      <c r="I41" s="16">
        <f>SUM(I$42:I$42)</f>
        <v>165.09</v>
      </c>
      <c r="J41" s="16">
        <f>SUM(J$42:J$42)</f>
        <v>165.09</v>
      </c>
      <c r="K41" s="16"/>
      <c r="L41" s="17">
        <f t="shared" si="0"/>
        <v>1</v>
      </c>
      <c r="M41" s="16">
        <f>SUM(M$42:M$42)</f>
        <v>0</v>
      </c>
      <c r="N41" s="16"/>
      <c r="O41" s="17">
        <f t="shared" si="1"/>
        <v>0</v>
      </c>
      <c r="P41" s="16">
        <f>SUM(P$42:P$42)</f>
        <v>0</v>
      </c>
      <c r="Q41" s="16"/>
      <c r="R41" s="17">
        <f t="shared" si="2"/>
        <v>0</v>
      </c>
      <c r="S41" s="16">
        <f t="shared" si="3"/>
        <v>165.09</v>
      </c>
      <c r="T41" s="17">
        <f t="shared" si="4"/>
        <v>1</v>
      </c>
      <c r="U41" s="17">
        <f t="shared" si="5"/>
        <v>2.2682831432350661E-4</v>
      </c>
    </row>
    <row r="42" spans="1:21" x14ac:dyDescent="0.3">
      <c r="A42" s="23" t="s">
        <v>171</v>
      </c>
      <c r="B42" s="23">
        <f>VLOOKUP(A42,MEMORIA!$A:$N,2,FALSE)</f>
        <v>93358</v>
      </c>
      <c r="C42" s="23" t="str">
        <f>VLOOKUP(A42,MEMORIA!$A:$N,3,FALSE)</f>
        <v>SINAPI</v>
      </c>
      <c r="D42" s="24" t="str">
        <f>VLOOKUP(A42,MEMORIA!$A:$N,4,FALSE)</f>
        <v>ESCAVAÇÃO MANUAL DE VALA. AF_09/2024</v>
      </c>
      <c r="E42" s="23" t="str">
        <f>VLOOKUP(A42,MEMORIA!$A:$N,5,FALSE)</f>
        <v>M3</v>
      </c>
      <c r="F42" s="5">
        <f>VLOOKUP(A42,MEMORIA!$A:$N,14,FALSE)</f>
        <v>1.54</v>
      </c>
      <c r="G42" s="5">
        <f>VLOOKUP(A42,ORCAMENTO!$A:$I,7,FALSE)</f>
        <v>85.87</v>
      </c>
      <c r="H42" s="5">
        <f>VLOOKUP(A42,ORCAMENTO!$A:$I,8,FALSE)</f>
        <v>107.2</v>
      </c>
      <c r="I42" s="5">
        <f>ROUND(F42*H42,2)</f>
        <v>165.09</v>
      </c>
      <c r="J42" s="5">
        <f>ROUND(K42*$H42,2)</f>
        <v>165.09</v>
      </c>
      <c r="K42" s="5">
        <f t="shared" si="15"/>
        <v>1.54</v>
      </c>
      <c r="L42" s="25">
        <f t="shared" si="0"/>
        <v>1</v>
      </c>
      <c r="M42" s="5">
        <f>ROUND(N42*$H42,2)</f>
        <v>0</v>
      </c>
      <c r="N42" s="5">
        <v>0</v>
      </c>
      <c r="O42" s="25">
        <f t="shared" si="1"/>
        <v>0</v>
      </c>
      <c r="P42" s="5">
        <f>ROUND(Q42*$H42,2)</f>
        <v>0</v>
      </c>
      <c r="Q42" s="5">
        <v>0</v>
      </c>
      <c r="R42" s="25">
        <f t="shared" si="2"/>
        <v>0</v>
      </c>
      <c r="S42" s="5">
        <f t="shared" si="3"/>
        <v>165.09</v>
      </c>
      <c r="T42" s="25">
        <f t="shared" si="4"/>
        <v>1</v>
      </c>
      <c r="U42" s="25">
        <f t="shared" si="5"/>
        <v>2.2682831432350661E-4</v>
      </c>
    </row>
    <row r="43" spans="1:21" x14ac:dyDescent="0.3">
      <c r="A43" s="15" t="s">
        <v>28</v>
      </c>
      <c r="B43" s="49" t="str">
        <f>VLOOKUP(A43,MEMORIA!$A:$N,2,FALSE)</f>
        <v>INFRAESTRUTURA</v>
      </c>
      <c r="C43" s="50"/>
      <c r="D43" s="50"/>
      <c r="E43" s="50"/>
      <c r="F43" s="50"/>
      <c r="G43" s="50"/>
      <c r="H43" s="51"/>
      <c r="I43" s="16">
        <f>SUM(I$44:I$46)</f>
        <v>1275.5</v>
      </c>
      <c r="J43" s="16">
        <f>SUM(J$44:J$46)</f>
        <v>1275.5</v>
      </c>
      <c r="K43" s="16"/>
      <c r="L43" s="17">
        <f t="shared" si="0"/>
        <v>1</v>
      </c>
      <c r="M43" s="16">
        <f>SUM(M$44:M$46)</f>
        <v>0</v>
      </c>
      <c r="N43" s="16"/>
      <c r="O43" s="17">
        <f t="shared" si="1"/>
        <v>0</v>
      </c>
      <c r="P43" s="16">
        <f>SUM(P$44:P$46)</f>
        <v>0</v>
      </c>
      <c r="Q43" s="16"/>
      <c r="R43" s="17">
        <f t="shared" si="2"/>
        <v>0</v>
      </c>
      <c r="S43" s="16">
        <f t="shared" si="3"/>
        <v>1275.5</v>
      </c>
      <c r="T43" s="17">
        <f t="shared" si="4"/>
        <v>1</v>
      </c>
      <c r="U43" s="17">
        <f t="shared" si="5"/>
        <v>1.7524956988287158E-3</v>
      </c>
    </row>
    <row r="44" spans="1:21" ht="28.8" x14ac:dyDescent="0.3">
      <c r="A44" s="23" t="s">
        <v>172</v>
      </c>
      <c r="B44" s="23">
        <f>VLOOKUP(A44,MEMORIA!$A:$N,2,FALSE)</f>
        <v>96617</v>
      </c>
      <c r="C44" s="23" t="str">
        <f>VLOOKUP(A44,MEMORIA!$A:$N,3,FALSE)</f>
        <v>SINAPI</v>
      </c>
      <c r="D44" s="24" t="str">
        <f>VLOOKUP(A44,MEMORIA!$A:$N,4,FALSE)</f>
        <v>LASTRO DE CONCRETO MAGRO, APLICADO EM BLOCOS DE COROAMENTO OU SAPATAS, ESPESSURA DE 3 CM. AF_01/2024</v>
      </c>
      <c r="E44" s="23" t="str">
        <f>VLOOKUP(A44,MEMORIA!$A:$N,5,FALSE)</f>
        <v>M2</v>
      </c>
      <c r="F44" s="5">
        <f>VLOOKUP(A44,MEMORIA!$A:$N,14,FALSE)</f>
        <v>2.58</v>
      </c>
      <c r="G44" s="5">
        <f>VLOOKUP(A44,ORCAMENTO!$A:$I,7,FALSE)</f>
        <v>23.990000000000002</v>
      </c>
      <c r="H44" s="5">
        <f>VLOOKUP(A44,ORCAMENTO!$A:$I,8,FALSE)</f>
        <v>29.950000000000003</v>
      </c>
      <c r="I44" s="5">
        <f>ROUND(F44*H44,2)</f>
        <v>77.27</v>
      </c>
      <c r="J44" s="5">
        <f>ROUND(K44*$H44,2)</f>
        <v>77.27</v>
      </c>
      <c r="K44" s="5">
        <f t="shared" ref="K44:K79" si="16">F44</f>
        <v>2.58</v>
      </c>
      <c r="L44" s="25">
        <f t="shared" si="0"/>
        <v>1</v>
      </c>
      <c r="M44" s="5">
        <f>ROUND(N44*$H44,2)</f>
        <v>0</v>
      </c>
      <c r="N44" s="5">
        <v>0</v>
      </c>
      <c r="O44" s="25">
        <f t="shared" si="1"/>
        <v>0</v>
      </c>
      <c r="P44" s="5">
        <f>ROUND(Q44*$H44,2)</f>
        <v>0</v>
      </c>
      <c r="Q44" s="5">
        <v>0</v>
      </c>
      <c r="R44" s="25">
        <f t="shared" si="2"/>
        <v>0</v>
      </c>
      <c r="S44" s="5">
        <f t="shared" si="3"/>
        <v>77.27</v>
      </c>
      <c r="T44" s="25">
        <f t="shared" si="4"/>
        <v>1</v>
      </c>
      <c r="U44" s="25">
        <f t="shared" si="5"/>
        <v>1.0616647796824372E-4</v>
      </c>
    </row>
    <row r="45" spans="1:21" ht="28.8" x14ac:dyDescent="0.3">
      <c r="A45" s="23" t="s">
        <v>173</v>
      </c>
      <c r="B45" s="23">
        <f>VLOOKUP(A45,MEMORIA!$A:$N,2,FALSE)</f>
        <v>103800</v>
      </c>
      <c r="C45" s="23" t="str">
        <f>VLOOKUP(A45,MEMORIA!$A:$N,3,FALSE)</f>
        <v>SINAPI</v>
      </c>
      <c r="D45" s="24" t="str">
        <f>VLOOKUP(A45,MEMORIA!$A:$N,4,FALSE)</f>
        <v>PEDRA ARGAMASSADA COM CIMENTO E AREIA 1:3, 40% DE ARGAMASSA EM VOLUME - AREIA E PEDRA DE MÃO COMERCIAIS - FORNECIMENTO E ASSENTAMENTO. AF_08/2022</v>
      </c>
      <c r="E45" s="23" t="str">
        <f>VLOOKUP(A45,MEMORIA!$A:$N,5,FALSE)</f>
        <v>M3</v>
      </c>
      <c r="F45" s="5">
        <f>VLOOKUP(A45,MEMORIA!$A:$N,14,FALSE)</f>
        <v>1.04</v>
      </c>
      <c r="G45" s="5">
        <f>VLOOKUP(A45,ORCAMENTO!$A:$I,7,FALSE)</f>
        <v>680.59</v>
      </c>
      <c r="H45" s="5">
        <f>VLOOKUP(A45,ORCAMENTO!$A:$I,8,FALSE)</f>
        <v>849.65000000000009</v>
      </c>
      <c r="I45" s="5">
        <f>ROUND(F45*H45,2)</f>
        <v>883.64</v>
      </c>
      <c r="J45" s="5">
        <f>ROUND(K45*$H45,2)</f>
        <v>883.64</v>
      </c>
      <c r="K45" s="5">
        <f t="shared" si="16"/>
        <v>1.04</v>
      </c>
      <c r="L45" s="25">
        <f t="shared" si="0"/>
        <v>1</v>
      </c>
      <c r="M45" s="5">
        <f>ROUND(N45*$H45,2)</f>
        <v>0</v>
      </c>
      <c r="N45" s="5">
        <v>0</v>
      </c>
      <c r="O45" s="25">
        <f t="shared" si="1"/>
        <v>0</v>
      </c>
      <c r="P45" s="5">
        <f>ROUND(Q45*$H45,2)</f>
        <v>0</v>
      </c>
      <c r="Q45" s="5">
        <v>0</v>
      </c>
      <c r="R45" s="25">
        <f t="shared" si="2"/>
        <v>0</v>
      </c>
      <c r="S45" s="5">
        <f t="shared" si="3"/>
        <v>883.64</v>
      </c>
      <c r="T45" s="25">
        <f t="shared" si="4"/>
        <v>1</v>
      </c>
      <c r="U45" s="25">
        <f t="shared" si="5"/>
        <v>1.2140927474033763E-3</v>
      </c>
    </row>
    <row r="46" spans="1:21" ht="43.2" x14ac:dyDescent="0.3">
      <c r="A46" s="23" t="s">
        <v>174</v>
      </c>
      <c r="B46" s="23">
        <f>VLOOKUP(A46,MEMORIA!$A:$N,2,FALSE)</f>
        <v>103335</v>
      </c>
      <c r="C46" s="23" t="str">
        <f>VLOOKUP(A46,MEMORIA!$A:$N,3,FALSE)</f>
        <v>SINAPI</v>
      </c>
      <c r="D46" s="24" t="str">
        <f>VLOOKUP(A46,MEMORIA!$A:$N,4,FALSE)</f>
        <v>ALVENARIA DE VEDAÇÃO DE BLOCOS CERÂMICOS FURADOS NA HORIZONTAL DE 14X9X19 CM (ESPESSURA 14 CM, BLOCO DEITADO) E ARGAMASSA DE ASSENTAMENTO COM PREPARO MANUAL. AF_12/2021</v>
      </c>
      <c r="E46" s="23" t="str">
        <f>VLOOKUP(A46,MEMORIA!$A:$N,5,FALSE)</f>
        <v>M2</v>
      </c>
      <c r="F46" s="5">
        <f>VLOOKUP(A46,MEMORIA!$A:$N,14,FALSE)</f>
        <v>1.7200000000000002</v>
      </c>
      <c r="G46" s="5">
        <f>VLOOKUP(A46,ORCAMENTO!$A:$I,7,FALSE)</f>
        <v>146.51</v>
      </c>
      <c r="H46" s="5">
        <f>VLOOKUP(A46,ORCAMENTO!$A:$I,8,FALSE)</f>
        <v>182.89999999999998</v>
      </c>
      <c r="I46" s="5">
        <f>ROUND(F46*H46,2)</f>
        <v>314.58999999999997</v>
      </c>
      <c r="J46" s="5">
        <f>ROUND(K46*$H46,2)</f>
        <v>314.58999999999997</v>
      </c>
      <c r="K46" s="5">
        <f t="shared" si="16"/>
        <v>1.7200000000000002</v>
      </c>
      <c r="L46" s="25">
        <f t="shared" si="0"/>
        <v>1</v>
      </c>
      <c r="M46" s="5">
        <f>ROUND(N46*$H46,2)</f>
        <v>0</v>
      </c>
      <c r="N46" s="5">
        <v>0</v>
      </c>
      <c r="O46" s="25">
        <f t="shared" si="1"/>
        <v>0</v>
      </c>
      <c r="P46" s="5">
        <f>ROUND(Q46*$H46,2)</f>
        <v>0</v>
      </c>
      <c r="Q46" s="5">
        <v>0</v>
      </c>
      <c r="R46" s="25">
        <f t="shared" si="2"/>
        <v>0</v>
      </c>
      <c r="S46" s="5">
        <f t="shared" si="3"/>
        <v>314.58999999999997</v>
      </c>
      <c r="T46" s="25">
        <f t="shared" si="4"/>
        <v>1</v>
      </c>
      <c r="U46" s="25">
        <f t="shared" si="5"/>
        <v>4.3223647345709575E-4</v>
      </c>
    </row>
    <row r="47" spans="1:21" x14ac:dyDescent="0.3">
      <c r="A47" s="15" t="s">
        <v>29</v>
      </c>
      <c r="B47" s="49" t="str">
        <f>VLOOKUP(A47,MEMORIA!$A:$N,2,FALSE)</f>
        <v>SUPERESTRUTURA</v>
      </c>
      <c r="C47" s="50"/>
      <c r="D47" s="50"/>
      <c r="E47" s="50"/>
      <c r="F47" s="50"/>
      <c r="G47" s="50"/>
      <c r="H47" s="51"/>
      <c r="I47" s="16">
        <f>SUM(I$48:I$49)</f>
        <v>1347.9099999999999</v>
      </c>
      <c r="J47" s="16">
        <f>SUM(J$48:J$49)</f>
        <v>1347.9099999999999</v>
      </c>
      <c r="K47" s="16"/>
      <c r="L47" s="17">
        <f t="shared" si="0"/>
        <v>1</v>
      </c>
      <c r="M47" s="16">
        <f>SUM(M$48:M$49)</f>
        <v>0</v>
      </c>
      <c r="N47" s="16"/>
      <c r="O47" s="17">
        <f t="shared" si="1"/>
        <v>0</v>
      </c>
      <c r="P47" s="16">
        <f>SUM(P$48:P$49)</f>
        <v>0</v>
      </c>
      <c r="Q47" s="16"/>
      <c r="R47" s="17">
        <f t="shared" si="2"/>
        <v>0</v>
      </c>
      <c r="S47" s="16">
        <f t="shared" si="3"/>
        <v>1347.9099999999999</v>
      </c>
      <c r="T47" s="17">
        <f t="shared" si="4"/>
        <v>1</v>
      </c>
      <c r="U47" s="17">
        <f t="shared" si="5"/>
        <v>1.8519846941655932E-3</v>
      </c>
    </row>
    <row r="48" spans="1:21" x14ac:dyDescent="0.3">
      <c r="A48" s="23" t="s">
        <v>175</v>
      </c>
      <c r="B48" s="23" t="str">
        <f>VLOOKUP(A48,MEMORIA!$A:$N,2,FALSE)</f>
        <v>COMPCOM01</v>
      </c>
      <c r="C48" s="23" t="str">
        <f>VLOOKUP(A48,MEMORIA!$A:$N,3,FALSE)</f>
        <v>PRÓPRIA</v>
      </c>
      <c r="D48" s="24" t="str">
        <f>VLOOKUP(A48,MEMORIA!$A:$N,4,FALSE)</f>
        <v>CINTA DE AMARRAÇÃO DE ALVENARIA MOLDADA IN LOCO EM CONCRETO</v>
      </c>
      <c r="E48" s="23" t="str">
        <f>VLOOKUP(A48,MEMORIA!$A:$N,5,FALSE)</f>
        <v>M</v>
      </c>
      <c r="F48" s="5">
        <f>VLOOKUP(A48,MEMORIA!$A:$N,14,FALSE)</f>
        <v>8.6</v>
      </c>
      <c r="G48" s="5">
        <f>VLOOKUP(A48,ORCAMENTO!$A:$I,7,FALSE)</f>
        <v>81.56</v>
      </c>
      <c r="H48" s="5">
        <f>VLOOKUP(A48,ORCAMENTO!$A:$I,8,FALSE)</f>
        <v>101.82000000000001</v>
      </c>
      <c r="I48" s="5">
        <f>ROUND(F48*H48,2)</f>
        <v>875.65</v>
      </c>
      <c r="J48" s="5">
        <f>ROUND(K48*$H48,2)</f>
        <v>875.65</v>
      </c>
      <c r="K48" s="5">
        <f t="shared" si="16"/>
        <v>8.6</v>
      </c>
      <c r="L48" s="25">
        <f t="shared" si="0"/>
        <v>1</v>
      </c>
      <c r="M48" s="5">
        <f>ROUND(N48*$H48,2)</f>
        <v>0</v>
      </c>
      <c r="N48" s="5">
        <v>0</v>
      </c>
      <c r="O48" s="25">
        <f t="shared" si="1"/>
        <v>0</v>
      </c>
      <c r="P48" s="5">
        <f>ROUND(Q48*$H48,2)</f>
        <v>0</v>
      </c>
      <c r="Q48" s="5">
        <v>0</v>
      </c>
      <c r="R48" s="25">
        <f t="shared" si="2"/>
        <v>0</v>
      </c>
      <c r="S48" s="5">
        <f t="shared" si="3"/>
        <v>875.65</v>
      </c>
      <c r="T48" s="25">
        <f t="shared" si="4"/>
        <v>1</v>
      </c>
      <c r="U48" s="25">
        <f t="shared" si="5"/>
        <v>1.2031147461225911E-3</v>
      </c>
    </row>
    <row r="49" spans="1:21" ht="28.8" x14ac:dyDescent="0.3">
      <c r="A49" s="23" t="s">
        <v>176</v>
      </c>
      <c r="B49" s="23" t="str">
        <f>VLOOKUP(A49,MEMORIA!$A:$N,2,FALSE)</f>
        <v>COMPCOM02</v>
      </c>
      <c r="C49" s="23" t="str">
        <f>VLOOKUP(A49,MEMORIA!$A:$N,3,FALSE)</f>
        <v>PRÓPRIA</v>
      </c>
      <c r="D49" s="24" t="str">
        <f>VLOOKUP(A49,MEMORIA!$A:$N,4,FALSE)</f>
        <v>(COMPOSIÇÃO REPRESENTATIVA) EXECUÇÃO DE ESTRUTURAS DE CONCRETO ARMADO, PARA EDIFICAÇÃO INSTITUCIONAL TÉRREA, FCK = 25 MPA</v>
      </c>
      <c r="E49" s="23" t="str">
        <f>VLOOKUP(A49,MEMORIA!$A:$N,5,FALSE)</f>
        <v>M³</v>
      </c>
      <c r="F49" s="5">
        <f>VLOOKUP(A49,MEMORIA!$A:$N,14,FALSE)</f>
        <v>0.30000000000000004</v>
      </c>
      <c r="G49" s="5">
        <f>VLOOKUP(A49,ORCAMENTO!$A:$I,7,FALSE)</f>
        <v>1260.97</v>
      </c>
      <c r="H49" s="5">
        <f>VLOOKUP(A49,ORCAMENTO!$A:$I,8,FALSE)</f>
        <v>1574.19</v>
      </c>
      <c r="I49" s="5">
        <f>ROUND(F49*H49,2)</f>
        <v>472.26</v>
      </c>
      <c r="J49" s="5">
        <f>ROUND(K49*$H49,2)</f>
        <v>472.26</v>
      </c>
      <c r="K49" s="5">
        <f t="shared" si="16"/>
        <v>0.30000000000000004</v>
      </c>
      <c r="L49" s="25">
        <f t="shared" si="0"/>
        <v>1</v>
      </c>
      <c r="M49" s="5">
        <f>ROUND(N49*$H49,2)</f>
        <v>0</v>
      </c>
      <c r="N49" s="5">
        <v>0</v>
      </c>
      <c r="O49" s="25">
        <f t="shared" si="1"/>
        <v>0</v>
      </c>
      <c r="P49" s="5">
        <f>ROUND(Q49*$H49,2)</f>
        <v>0</v>
      </c>
      <c r="Q49" s="5">
        <v>0</v>
      </c>
      <c r="R49" s="25">
        <f t="shared" si="2"/>
        <v>0</v>
      </c>
      <c r="S49" s="5">
        <f t="shared" si="3"/>
        <v>472.26</v>
      </c>
      <c r="T49" s="25">
        <f t="shared" si="4"/>
        <v>1</v>
      </c>
      <c r="U49" s="25">
        <f t="shared" si="5"/>
        <v>6.4886994804300223E-4</v>
      </c>
    </row>
    <row r="50" spans="1:21" x14ac:dyDescent="0.3">
      <c r="A50" s="15" t="s">
        <v>30</v>
      </c>
      <c r="B50" s="49" t="str">
        <f>VLOOKUP(A50,MEMORIA!$A:$N,2,FALSE)</f>
        <v>VEDAÇÃO VERTICAL</v>
      </c>
      <c r="C50" s="50"/>
      <c r="D50" s="50"/>
      <c r="E50" s="50"/>
      <c r="F50" s="50"/>
      <c r="G50" s="50"/>
      <c r="H50" s="51"/>
      <c r="I50" s="16">
        <f>SUM(I$51:I$52)</f>
        <v>2674.92</v>
      </c>
      <c r="J50" s="16">
        <f>SUM(J$51:J$52)</f>
        <v>2674.92</v>
      </c>
      <c r="K50" s="16"/>
      <c r="L50" s="17">
        <f t="shared" si="0"/>
        <v>1</v>
      </c>
      <c r="M50" s="16">
        <f>SUM(M$51:M$52)</f>
        <v>0</v>
      </c>
      <c r="N50" s="16"/>
      <c r="O50" s="17">
        <f t="shared" si="1"/>
        <v>0</v>
      </c>
      <c r="P50" s="16">
        <f>SUM(P$51:P$52)</f>
        <v>0</v>
      </c>
      <c r="Q50" s="16"/>
      <c r="R50" s="17">
        <f t="shared" si="2"/>
        <v>0</v>
      </c>
      <c r="S50" s="16">
        <f t="shared" si="3"/>
        <v>2674.92</v>
      </c>
      <c r="T50" s="17">
        <f t="shared" si="4"/>
        <v>1</v>
      </c>
      <c r="U50" s="17">
        <f t="shared" si="5"/>
        <v>3.6752534650810729E-3</v>
      </c>
    </row>
    <row r="51" spans="1:21" ht="43.2" x14ac:dyDescent="0.3">
      <c r="A51" s="23" t="s">
        <v>177</v>
      </c>
      <c r="B51" s="23">
        <f>VLOOKUP(A51,MEMORIA!$A:$N,2,FALSE)</f>
        <v>103329</v>
      </c>
      <c r="C51" s="23" t="str">
        <f>VLOOKUP(A51,MEMORIA!$A:$N,3,FALSE)</f>
        <v>SINAPI</v>
      </c>
      <c r="D51" s="24" t="str">
        <f>VLOOKUP(A51,MEMORIA!$A:$N,4,FALSE)</f>
        <v>ALVENARIA DE VEDAÇÃO DE BLOCOS CERÂMICOS FURADOS NA HORIZONTAL DE 9X19X19 CM (ESPESSURA 9 CM) E ARGAMASSA DE ASSENTAMENTO COM PREPARO MANUAL. AF_12/2021</v>
      </c>
      <c r="E51" s="23" t="str">
        <f>VLOOKUP(A51,MEMORIA!$A:$N,5,FALSE)</f>
        <v>M2</v>
      </c>
      <c r="F51" s="5">
        <f>VLOOKUP(A51,MEMORIA!$A:$N,14,FALSE)</f>
        <v>19.310000000000002</v>
      </c>
      <c r="G51" s="5">
        <f>VLOOKUP(A51,ORCAMENTO!$A:$I,7,FALSE)</f>
        <v>95.08</v>
      </c>
      <c r="H51" s="5">
        <f>VLOOKUP(A51,ORCAMENTO!$A:$I,8,FALSE)</f>
        <v>118.7</v>
      </c>
      <c r="I51" s="5">
        <f>ROUND(F51*H51,2)</f>
        <v>2292.1</v>
      </c>
      <c r="J51" s="5">
        <f>ROUND(K51*$H51,2)</f>
        <v>2292.1</v>
      </c>
      <c r="K51" s="5">
        <f t="shared" si="16"/>
        <v>19.310000000000002</v>
      </c>
      <c r="L51" s="25">
        <f t="shared" si="0"/>
        <v>1</v>
      </c>
      <c r="M51" s="5">
        <f>ROUND(N51*$H51,2)</f>
        <v>0</v>
      </c>
      <c r="N51" s="5">
        <v>0</v>
      </c>
      <c r="O51" s="25">
        <f t="shared" si="1"/>
        <v>0</v>
      </c>
      <c r="P51" s="5">
        <f>ROUND(Q51*$H51,2)</f>
        <v>0</v>
      </c>
      <c r="Q51" s="5">
        <v>0</v>
      </c>
      <c r="R51" s="25">
        <f t="shared" si="2"/>
        <v>0</v>
      </c>
      <c r="S51" s="5">
        <f t="shared" si="3"/>
        <v>2292.1</v>
      </c>
      <c r="T51" s="25">
        <f t="shared" si="4"/>
        <v>1</v>
      </c>
      <c r="U51" s="25">
        <f t="shared" si="5"/>
        <v>3.149271180937122E-3</v>
      </c>
    </row>
    <row r="52" spans="1:21" ht="43.2" x14ac:dyDescent="0.3">
      <c r="A52" s="23" t="s">
        <v>178</v>
      </c>
      <c r="B52" s="23">
        <f>VLOOKUP(A52,MEMORIA!$A:$N,2,FALSE)</f>
        <v>101161</v>
      </c>
      <c r="C52" s="23" t="str">
        <f>VLOOKUP(A52,MEMORIA!$A:$N,3,FALSE)</f>
        <v>SINAPI</v>
      </c>
      <c r="D52" s="24" t="str">
        <f>VLOOKUP(A52,MEMORIA!$A:$N,4,FALSE)</f>
        <v>ALVENARIA DE VEDAÇÃO COM ELEMENTO VAZADO DE CONCRETO (COBOGÓ) DE 7X50X50CM E ARGAMASSA DE ASSENTAMENTO COM PREPARO EM BETONEIRA. AF_05/2020</v>
      </c>
      <c r="E52" s="23" t="str">
        <f>VLOOKUP(A52,MEMORIA!$A:$N,5,FALSE)</f>
        <v>M2</v>
      </c>
      <c r="F52" s="5">
        <f>VLOOKUP(A52,MEMORIA!$A:$N,14,FALSE)</f>
        <v>1.5</v>
      </c>
      <c r="G52" s="5">
        <f>VLOOKUP(A52,ORCAMENTO!$A:$I,7,FALSE)</f>
        <v>204.43</v>
      </c>
      <c r="H52" s="5">
        <f>VLOOKUP(A52,ORCAMENTO!$A:$I,8,FALSE)</f>
        <v>255.21</v>
      </c>
      <c r="I52" s="5">
        <f>ROUND(F52*H52,2)</f>
        <v>382.82</v>
      </c>
      <c r="J52" s="5">
        <f>ROUND(K52*$H52,2)</f>
        <v>382.82</v>
      </c>
      <c r="K52" s="5">
        <f t="shared" si="16"/>
        <v>1.5</v>
      </c>
      <c r="L52" s="25">
        <f t="shared" si="0"/>
        <v>1</v>
      </c>
      <c r="M52" s="5">
        <f>ROUND(N52*$H52,2)</f>
        <v>0</v>
      </c>
      <c r="N52" s="5">
        <v>0</v>
      </c>
      <c r="O52" s="25">
        <f t="shared" si="1"/>
        <v>0</v>
      </c>
      <c r="P52" s="5">
        <f>ROUND(Q52*$H52,2)</f>
        <v>0</v>
      </c>
      <c r="Q52" s="5">
        <v>0</v>
      </c>
      <c r="R52" s="25">
        <f t="shared" si="2"/>
        <v>0</v>
      </c>
      <c r="S52" s="5">
        <f t="shared" si="3"/>
        <v>382.82</v>
      </c>
      <c r="T52" s="25">
        <f t="shared" si="4"/>
        <v>1</v>
      </c>
      <c r="U52" s="25">
        <f t="shared" si="5"/>
        <v>5.2598228414395059E-4</v>
      </c>
    </row>
    <row r="53" spans="1:21" x14ac:dyDescent="0.3">
      <c r="A53" s="15" t="s">
        <v>31</v>
      </c>
      <c r="B53" s="49" t="str">
        <f>VLOOKUP(A53,MEMORIA!$A:$N,2,FALSE)</f>
        <v>COBERTURA</v>
      </c>
      <c r="C53" s="50"/>
      <c r="D53" s="50"/>
      <c r="E53" s="50"/>
      <c r="F53" s="50"/>
      <c r="G53" s="50"/>
      <c r="H53" s="51"/>
      <c r="I53" s="16">
        <f>SUM(I$54:I$55)</f>
        <v>1332.15</v>
      </c>
      <c r="J53" s="16">
        <f>SUM(J$54:J$55)</f>
        <v>1332.15</v>
      </c>
      <c r="K53" s="16"/>
      <c r="L53" s="17">
        <f t="shared" si="0"/>
        <v>1</v>
      </c>
      <c r="M53" s="16">
        <f>SUM(M$54:M$55)</f>
        <v>0</v>
      </c>
      <c r="N53" s="16"/>
      <c r="O53" s="17">
        <f t="shared" si="1"/>
        <v>0</v>
      </c>
      <c r="P53" s="16">
        <f>SUM(P$54:P$55)</f>
        <v>0</v>
      </c>
      <c r="Q53" s="16"/>
      <c r="R53" s="17">
        <f t="shared" si="2"/>
        <v>0</v>
      </c>
      <c r="S53" s="16">
        <f t="shared" si="3"/>
        <v>1332.15</v>
      </c>
      <c r="T53" s="17">
        <f t="shared" si="4"/>
        <v>1</v>
      </c>
      <c r="U53" s="17">
        <f t="shared" si="5"/>
        <v>1.8303309644803402E-3</v>
      </c>
    </row>
    <row r="54" spans="1:21" ht="28.8" x14ac:dyDescent="0.3">
      <c r="A54" s="23" t="s">
        <v>179</v>
      </c>
      <c r="B54" s="23" t="str">
        <f>VLOOKUP(A54,MEMORIA!$A:$N,2,FALSE)</f>
        <v>COMPCOM03</v>
      </c>
      <c r="C54" s="23" t="str">
        <f>VLOOKUP(A54,MEMORIA!$A:$N,3,FALSE)</f>
        <v>PRÓPRIA</v>
      </c>
      <c r="D54" s="24" t="str">
        <f>VLOOKUP(A54,MEMORIA!$A:$N,4,FALSE)</f>
        <v>TELHAMENTO COM TELHA CERÂMICA CAPA-CANAL, TIPO COLONIAL, COM ATÉ 2 ÁGUAS, INCLUSO TRANSPORTE VERTICAL</v>
      </c>
      <c r="E54" s="23" t="str">
        <f>VLOOKUP(A54,MEMORIA!$A:$N,5,FALSE)</f>
        <v>M²</v>
      </c>
      <c r="F54" s="5">
        <f>VLOOKUP(A54,MEMORIA!$A:$N,14,FALSE)</f>
        <v>10.23</v>
      </c>
      <c r="G54" s="5">
        <f>VLOOKUP(A54,ORCAMENTO!$A:$I,7,FALSE)</f>
        <v>37.64</v>
      </c>
      <c r="H54" s="5">
        <f>VLOOKUP(A54,ORCAMENTO!$A:$I,8,FALSE)</f>
        <v>46.99</v>
      </c>
      <c r="I54" s="5">
        <f>ROUND(F54*H54,2)</f>
        <v>480.71</v>
      </c>
      <c r="J54" s="5">
        <f>ROUND(K54*$H54,2)</f>
        <v>480.71</v>
      </c>
      <c r="K54" s="5">
        <f t="shared" si="16"/>
        <v>10.23</v>
      </c>
      <c r="L54" s="25">
        <f t="shared" si="0"/>
        <v>1</v>
      </c>
      <c r="M54" s="5">
        <f>ROUND(N54*$H54,2)</f>
        <v>0</v>
      </c>
      <c r="N54" s="5">
        <v>0</v>
      </c>
      <c r="O54" s="25">
        <f t="shared" si="1"/>
        <v>0</v>
      </c>
      <c r="P54" s="5">
        <f>ROUND(Q54*$H54,2)</f>
        <v>0</v>
      </c>
      <c r="Q54" s="5">
        <v>0</v>
      </c>
      <c r="R54" s="25">
        <f t="shared" si="2"/>
        <v>0</v>
      </c>
      <c r="S54" s="5">
        <f t="shared" si="3"/>
        <v>480.71</v>
      </c>
      <c r="T54" s="25">
        <f t="shared" si="4"/>
        <v>1</v>
      </c>
      <c r="U54" s="25">
        <f t="shared" si="5"/>
        <v>6.6047997442881374E-4</v>
      </c>
    </row>
    <row r="55" spans="1:21" ht="28.8" x14ac:dyDescent="0.3">
      <c r="A55" s="23" t="s">
        <v>180</v>
      </c>
      <c r="B55" s="23" t="str">
        <f>VLOOKUP(A55,MEMORIA!$A:$N,2,FALSE)</f>
        <v>COMPCOM04</v>
      </c>
      <c r="C55" s="23" t="str">
        <f>VLOOKUP(A55,MEMORIA!$A:$N,3,FALSE)</f>
        <v>PRÓPRIA</v>
      </c>
      <c r="D55" s="24" t="str">
        <f>VLOOKUP(A55,MEMORIA!$A:$N,4,FALSE)</f>
        <v>TRAMA DE MADEIRA COMPOSTA POR RIPAS, CAIBROS E TERÇAS PARA TELHADOS DE ATÉ 2 ÁGUAS PARA TELHA CERÂMICA CAPA-CANAL, INCLUSO TRANSPORTE VERTICAL</v>
      </c>
      <c r="E55" s="23" t="str">
        <f>VLOOKUP(A55,MEMORIA!$A:$N,5,FALSE)</f>
        <v>M²</v>
      </c>
      <c r="F55" s="5">
        <f>VLOOKUP(A55,MEMORIA!$A:$N,14,FALSE)</f>
        <v>10.23</v>
      </c>
      <c r="G55" s="5">
        <f>VLOOKUP(A55,ORCAMENTO!$A:$I,7,FALSE)</f>
        <v>66.67</v>
      </c>
      <c r="H55" s="5">
        <f>VLOOKUP(A55,ORCAMENTO!$A:$I,8,FALSE)</f>
        <v>83.23</v>
      </c>
      <c r="I55" s="5">
        <f>ROUND(F55*H55,2)</f>
        <v>851.44</v>
      </c>
      <c r="J55" s="5">
        <f>ROUND(K55*$H55,2)</f>
        <v>851.44</v>
      </c>
      <c r="K55" s="5">
        <f t="shared" si="16"/>
        <v>10.23</v>
      </c>
      <c r="L55" s="25">
        <f t="shared" si="0"/>
        <v>1</v>
      </c>
      <c r="M55" s="5">
        <f>ROUND(N55*$H55,2)</f>
        <v>0</v>
      </c>
      <c r="N55" s="5">
        <v>0</v>
      </c>
      <c r="O55" s="25">
        <f t="shared" si="1"/>
        <v>0</v>
      </c>
      <c r="P55" s="5">
        <f>ROUND(Q55*$H55,2)</f>
        <v>0</v>
      </c>
      <c r="Q55" s="5">
        <v>0</v>
      </c>
      <c r="R55" s="25">
        <f t="shared" si="2"/>
        <v>0</v>
      </c>
      <c r="S55" s="5">
        <f t="shared" si="3"/>
        <v>851.44</v>
      </c>
      <c r="T55" s="25">
        <f t="shared" si="4"/>
        <v>1</v>
      </c>
      <c r="U55" s="25">
        <f t="shared" si="5"/>
        <v>1.1698509900515263E-3</v>
      </c>
    </row>
    <row r="56" spans="1:21" x14ac:dyDescent="0.3">
      <c r="A56" s="15" t="s">
        <v>32</v>
      </c>
      <c r="B56" s="49" t="str">
        <f>VLOOKUP(A56,MEMORIA!$A:$N,2,FALSE)</f>
        <v>PISO</v>
      </c>
      <c r="C56" s="50"/>
      <c r="D56" s="50"/>
      <c r="E56" s="50"/>
      <c r="F56" s="50"/>
      <c r="G56" s="50"/>
      <c r="H56" s="51"/>
      <c r="I56" s="16">
        <f>SUM(I$57:I$59)</f>
        <v>1208.82</v>
      </c>
      <c r="J56" s="16">
        <f>SUM(J$57:J$59)</f>
        <v>1208.82</v>
      </c>
      <c r="K56" s="16"/>
      <c r="L56" s="17">
        <f t="shared" si="0"/>
        <v>1</v>
      </c>
      <c r="M56" s="16">
        <f>SUM(M$57:M$59)</f>
        <v>0</v>
      </c>
      <c r="N56" s="16"/>
      <c r="O56" s="17">
        <f t="shared" si="1"/>
        <v>0</v>
      </c>
      <c r="P56" s="16">
        <f>SUM(P$57:P$59)</f>
        <v>0</v>
      </c>
      <c r="Q56" s="16"/>
      <c r="R56" s="17">
        <f t="shared" si="2"/>
        <v>0</v>
      </c>
      <c r="S56" s="16">
        <f t="shared" si="3"/>
        <v>1208.82</v>
      </c>
      <c r="T56" s="17">
        <f t="shared" si="4"/>
        <v>1</v>
      </c>
      <c r="U56" s="17">
        <f t="shared" si="5"/>
        <v>1.6608795379522761E-3</v>
      </c>
    </row>
    <row r="57" spans="1:21" ht="28.8" x14ac:dyDescent="0.3">
      <c r="A57" s="23" t="s">
        <v>181</v>
      </c>
      <c r="B57" s="23">
        <f>VLOOKUP(A57,MEMORIA!$A:$N,2,FALSE)</f>
        <v>96617</v>
      </c>
      <c r="C57" s="23" t="str">
        <f>VLOOKUP(A57,MEMORIA!$A:$N,3,FALSE)</f>
        <v>SINAPI</v>
      </c>
      <c r="D57" s="24" t="str">
        <f>VLOOKUP(A57,MEMORIA!$A:$N,4,FALSE)</f>
        <v>LASTRO DE CONCRETO MAGRO, APLICADO EM BLOCOS DE COROAMENTO OU SAPATAS, ESPESSURA DE 3 CM. AF_01/2024</v>
      </c>
      <c r="E57" s="23" t="str">
        <f>VLOOKUP(A57,MEMORIA!$A:$N,5,FALSE)</f>
        <v>M2</v>
      </c>
      <c r="F57" s="5">
        <f>VLOOKUP(A57,MEMORIA!$A:$N,14,FALSE)</f>
        <v>4</v>
      </c>
      <c r="G57" s="5">
        <f>VLOOKUP(A57,ORCAMENTO!$A:$I,7,FALSE)</f>
        <v>23.990000000000002</v>
      </c>
      <c r="H57" s="5">
        <f>VLOOKUP(A57,ORCAMENTO!$A:$I,8,FALSE)</f>
        <v>29.950000000000003</v>
      </c>
      <c r="I57" s="5">
        <f>ROUND(F57*H57,2)</f>
        <v>119.8</v>
      </c>
      <c r="J57" s="5">
        <f>ROUND(K57*$H57,2)</f>
        <v>119.8</v>
      </c>
      <c r="K57" s="5">
        <f t="shared" si="16"/>
        <v>4</v>
      </c>
      <c r="L57" s="25">
        <f t="shared" si="0"/>
        <v>1</v>
      </c>
      <c r="M57" s="5">
        <f>ROUND(N57*$H57,2)</f>
        <v>0</v>
      </c>
      <c r="N57" s="5">
        <v>0</v>
      </c>
      <c r="O57" s="25">
        <f t="shared" si="1"/>
        <v>0</v>
      </c>
      <c r="P57" s="5">
        <f>ROUND(Q57*$H57,2)</f>
        <v>0</v>
      </c>
      <c r="Q57" s="5">
        <v>0</v>
      </c>
      <c r="R57" s="25">
        <f t="shared" si="2"/>
        <v>0</v>
      </c>
      <c r="S57" s="5">
        <f t="shared" si="3"/>
        <v>119.8</v>
      </c>
      <c r="T57" s="25">
        <f t="shared" si="4"/>
        <v>1</v>
      </c>
      <c r="U57" s="25">
        <f t="shared" si="5"/>
        <v>1.6460132083079588E-4</v>
      </c>
    </row>
    <row r="58" spans="1:21" ht="28.8" x14ac:dyDescent="0.3">
      <c r="A58" s="23" t="s">
        <v>182</v>
      </c>
      <c r="B58" s="23">
        <f>VLOOKUP(A58,MEMORIA!$A:$N,2,FALSE)</f>
        <v>101749</v>
      </c>
      <c r="C58" s="23" t="str">
        <f>VLOOKUP(A58,MEMORIA!$A:$N,3,FALSE)</f>
        <v>SINAPI</v>
      </c>
      <c r="D58" s="24" t="str">
        <f>VLOOKUP(A58,MEMORIA!$A:$N,4,FALSE)</f>
        <v>PISO CIMENTADO, TRAÇO 1:3 (CIMENTO E AREIA), ACABAMENTO LISO, ESPESSURA 4,0 CM, PREPARO MECÂNICO DA ARGAMASSA. AF_09/2020</v>
      </c>
      <c r="E58" s="23" t="str">
        <f>VLOOKUP(A58,MEMORIA!$A:$N,5,FALSE)</f>
        <v>M2</v>
      </c>
      <c r="F58" s="5">
        <f>VLOOKUP(A58,MEMORIA!$A:$N,14,FALSE)</f>
        <v>4</v>
      </c>
      <c r="G58" s="5">
        <f>VLOOKUP(A58,ORCAMENTO!$A:$I,7,FALSE)</f>
        <v>64.739999999999995</v>
      </c>
      <c r="H58" s="5">
        <f>VLOOKUP(A58,ORCAMENTO!$A:$I,8,FALSE)</f>
        <v>80.819999999999993</v>
      </c>
      <c r="I58" s="5">
        <f>ROUND(F58*H58,2)</f>
        <v>323.27999999999997</v>
      </c>
      <c r="J58" s="5">
        <f>ROUND(K58*$H58,2)</f>
        <v>323.27999999999997</v>
      </c>
      <c r="K58" s="5">
        <f t="shared" si="16"/>
        <v>4</v>
      </c>
      <c r="L58" s="25">
        <f t="shared" si="0"/>
        <v>1</v>
      </c>
      <c r="M58" s="5">
        <f>ROUND(N58*$H58,2)</f>
        <v>0</v>
      </c>
      <c r="N58" s="5">
        <v>0</v>
      </c>
      <c r="O58" s="25">
        <f t="shared" si="1"/>
        <v>0</v>
      </c>
      <c r="P58" s="5">
        <f>ROUND(Q58*$H58,2)</f>
        <v>0</v>
      </c>
      <c r="Q58" s="5">
        <v>0</v>
      </c>
      <c r="R58" s="25">
        <f t="shared" si="2"/>
        <v>0</v>
      </c>
      <c r="S58" s="5">
        <f t="shared" si="3"/>
        <v>323.27999999999997</v>
      </c>
      <c r="T58" s="25">
        <f t="shared" si="4"/>
        <v>1</v>
      </c>
      <c r="U58" s="25">
        <f t="shared" si="5"/>
        <v>4.4417625207161679E-4</v>
      </c>
    </row>
    <row r="59" spans="1:21" ht="43.2" x14ac:dyDescent="0.3">
      <c r="A59" s="23" t="s">
        <v>183</v>
      </c>
      <c r="B59" s="23">
        <f>VLOOKUP(A59,MEMORIA!$A:$N,2,FALSE)</f>
        <v>94994</v>
      </c>
      <c r="C59" s="23" t="str">
        <f>VLOOKUP(A59,MEMORIA!$A:$N,3,FALSE)</f>
        <v>SINAPI</v>
      </c>
      <c r="D59" s="24" t="str">
        <f>VLOOKUP(A59,MEMORIA!$A:$N,4,FALSE)</f>
        <v>EXECUÇÃO DE PASSEIO (CALÇADA) OU PISO DE CONCRETO COM CONCRETO MOLDADO IN LOCO, FEITO EM OBRA, ACABAMENTO CONVENCIONAL, ESPESSURA 8 CM, ARMADO. AF_08/2022</v>
      </c>
      <c r="E59" s="23" t="str">
        <f>VLOOKUP(A59,MEMORIA!$A:$N,5,FALSE)</f>
        <v>M2</v>
      </c>
      <c r="F59" s="5">
        <f>VLOOKUP(A59,MEMORIA!$A:$N,14,FALSE)</f>
        <v>5.6</v>
      </c>
      <c r="G59" s="5">
        <f>VLOOKUP(A59,ORCAMENTO!$A:$I,7,FALSE)</f>
        <v>109.53000000000002</v>
      </c>
      <c r="H59" s="5">
        <f>VLOOKUP(A59,ORCAMENTO!$A:$I,8,FALSE)</f>
        <v>136.74</v>
      </c>
      <c r="I59" s="5">
        <f>ROUND(F59*H59,2)</f>
        <v>765.74</v>
      </c>
      <c r="J59" s="5">
        <f>ROUND(K59*$H59,2)</f>
        <v>765.74</v>
      </c>
      <c r="K59" s="5">
        <f t="shared" si="16"/>
        <v>5.6</v>
      </c>
      <c r="L59" s="25">
        <f t="shared" si="0"/>
        <v>1</v>
      </c>
      <c r="M59" s="5">
        <f>ROUND(N59*$H59,2)</f>
        <v>0</v>
      </c>
      <c r="N59" s="5">
        <v>0</v>
      </c>
      <c r="O59" s="25">
        <f t="shared" si="1"/>
        <v>0</v>
      </c>
      <c r="P59" s="5">
        <f>ROUND(Q59*$H59,2)</f>
        <v>0</v>
      </c>
      <c r="Q59" s="5">
        <v>0</v>
      </c>
      <c r="R59" s="25">
        <f t="shared" si="2"/>
        <v>0</v>
      </c>
      <c r="S59" s="5">
        <f t="shared" si="3"/>
        <v>765.74</v>
      </c>
      <c r="T59" s="25">
        <f t="shared" si="4"/>
        <v>1</v>
      </c>
      <c r="U59" s="25">
        <f t="shared" si="5"/>
        <v>1.0521019650498635E-3</v>
      </c>
    </row>
    <row r="60" spans="1:21" x14ac:dyDescent="0.3">
      <c r="A60" s="15" t="s">
        <v>33</v>
      </c>
      <c r="B60" s="49" t="str">
        <f>VLOOKUP(A60,MEMORIA!$A:$N,2,FALSE)</f>
        <v>REVESTIMENTO</v>
      </c>
      <c r="C60" s="50"/>
      <c r="D60" s="50"/>
      <c r="E60" s="50"/>
      <c r="F60" s="50"/>
      <c r="G60" s="50"/>
      <c r="H60" s="51"/>
      <c r="I60" s="16">
        <f>SUM(I$61:I$62)</f>
        <v>2396.75</v>
      </c>
      <c r="J60" s="16">
        <f>SUM(J$61:J$62)</f>
        <v>2396.75</v>
      </c>
      <c r="K60" s="16"/>
      <c r="L60" s="17">
        <f t="shared" si="0"/>
        <v>1</v>
      </c>
      <c r="M60" s="16">
        <f>SUM(M$61:M$62)</f>
        <v>0</v>
      </c>
      <c r="N60" s="16"/>
      <c r="O60" s="17">
        <f t="shared" si="1"/>
        <v>0</v>
      </c>
      <c r="P60" s="16">
        <f>SUM(P$61:P$62)</f>
        <v>0</v>
      </c>
      <c r="Q60" s="16"/>
      <c r="R60" s="17">
        <f t="shared" si="2"/>
        <v>0</v>
      </c>
      <c r="S60" s="16">
        <f t="shared" si="3"/>
        <v>2396.75</v>
      </c>
      <c r="T60" s="17">
        <f t="shared" si="4"/>
        <v>1</v>
      </c>
      <c r="U60" s="17">
        <f t="shared" si="5"/>
        <v>3.2930568923306347E-3</v>
      </c>
    </row>
    <row r="61" spans="1:21" ht="43.2" x14ac:dyDescent="0.3">
      <c r="A61" s="23" t="s">
        <v>184</v>
      </c>
      <c r="B61" s="23">
        <f>VLOOKUP(A61,MEMORIA!$A:$N,2,FALSE)</f>
        <v>87904</v>
      </c>
      <c r="C61" s="23" t="str">
        <f>VLOOKUP(A61,MEMORIA!$A:$N,3,FALSE)</f>
        <v>SINAPI</v>
      </c>
      <c r="D61" s="24" t="str">
        <f>VLOOKUP(A61,MEMORIA!$A:$N,4,FALSE)</f>
        <v>CHAPISCO APLICADO EM ALVENARIA (COM PRESENÇA DE VÃOS) E ESTRUTURAS DE CONCRETO DE FACHADA, COM COLHER DE PEDREIRO. ARGAMASSA TRAÇO 1:3 COM PREPARO MANUAL. AF_10/2022</v>
      </c>
      <c r="E61" s="23" t="str">
        <f>VLOOKUP(A61,MEMORIA!$A:$N,5,FALSE)</f>
        <v>M2</v>
      </c>
      <c r="F61" s="5">
        <f>VLOOKUP(A61,MEMORIA!$A:$N,14,FALSE)</f>
        <v>38.619999999999997</v>
      </c>
      <c r="G61" s="5">
        <f>VLOOKUP(A61,ORCAMENTO!$A:$I,7,FALSE)</f>
        <v>8.74</v>
      </c>
      <c r="H61" s="5">
        <f>VLOOKUP(A61,ORCAMENTO!$A:$I,8,FALSE)</f>
        <v>10.91</v>
      </c>
      <c r="I61" s="5">
        <f>ROUND(F61*H61,2)</f>
        <v>421.34</v>
      </c>
      <c r="J61" s="5">
        <f>ROUND(K61*$H61,2)</f>
        <v>421.34</v>
      </c>
      <c r="K61" s="5">
        <f t="shared" si="16"/>
        <v>38.619999999999997</v>
      </c>
      <c r="L61" s="25">
        <f t="shared" si="0"/>
        <v>1</v>
      </c>
      <c r="M61" s="5">
        <f>ROUND(N61*$H61,2)</f>
        <v>0</v>
      </c>
      <c r="N61" s="5">
        <v>0</v>
      </c>
      <c r="O61" s="25">
        <f t="shared" si="1"/>
        <v>0</v>
      </c>
      <c r="P61" s="5">
        <f>ROUND(Q61*$H61,2)</f>
        <v>0</v>
      </c>
      <c r="Q61" s="5">
        <v>0</v>
      </c>
      <c r="R61" s="25">
        <f t="shared" si="2"/>
        <v>0</v>
      </c>
      <c r="S61" s="5">
        <f t="shared" si="3"/>
        <v>421.34</v>
      </c>
      <c r="T61" s="25">
        <f t="shared" si="4"/>
        <v>1</v>
      </c>
      <c r="U61" s="25">
        <f t="shared" si="5"/>
        <v>5.7890751685181583E-4</v>
      </c>
    </row>
    <row r="62" spans="1:21" ht="43.2" x14ac:dyDescent="0.3">
      <c r="A62" s="23" t="s">
        <v>185</v>
      </c>
      <c r="B62" s="23">
        <f>VLOOKUP(A62,MEMORIA!$A:$N,2,FALSE)</f>
        <v>87530</v>
      </c>
      <c r="C62" s="23" t="str">
        <f>VLOOKUP(A62,MEMORIA!$A:$N,3,FALSE)</f>
        <v>SINAPI</v>
      </c>
      <c r="D62" s="24" t="str">
        <f>VLOOKUP(A62,MEMORIA!$A:$N,4,FALSE)</f>
        <v>MASSA ÚNICA, EM ARGAMASSA TRAÇO 1:2:8, PREPARO MANUAL, APLICADA MANUALMENTE EM PAREDES INTERNAS DE AMBIENTES COM ÁREA ENTRE 5M² E 10M², E = 17,5MM, COM TALISCAS. AF_03/2024</v>
      </c>
      <c r="E62" s="23" t="str">
        <f>VLOOKUP(A62,MEMORIA!$A:$N,5,FALSE)</f>
        <v>M2</v>
      </c>
      <c r="F62" s="5">
        <f>VLOOKUP(A62,MEMORIA!$A:$N,14,FALSE)</f>
        <v>38.619999999999997</v>
      </c>
      <c r="G62" s="5">
        <f>VLOOKUP(A62,ORCAMENTO!$A:$I,7,FALSE)</f>
        <v>40.97</v>
      </c>
      <c r="H62" s="5">
        <f>VLOOKUP(A62,ORCAMENTO!$A:$I,8,FALSE)</f>
        <v>51.15</v>
      </c>
      <c r="I62" s="5">
        <f>ROUND(F62*H62,2)</f>
        <v>1975.41</v>
      </c>
      <c r="J62" s="5">
        <f>ROUND(K62*$H62,2)</f>
        <v>1975.41</v>
      </c>
      <c r="K62" s="5">
        <f t="shared" si="16"/>
        <v>38.619999999999997</v>
      </c>
      <c r="L62" s="25">
        <f t="shared" si="0"/>
        <v>1</v>
      </c>
      <c r="M62" s="5">
        <f>ROUND(N62*$H62,2)</f>
        <v>0</v>
      </c>
      <c r="N62" s="5">
        <v>0</v>
      </c>
      <c r="O62" s="25">
        <f t="shared" si="1"/>
        <v>0</v>
      </c>
      <c r="P62" s="5">
        <f>ROUND(Q62*$H62,2)</f>
        <v>0</v>
      </c>
      <c r="Q62" s="5">
        <v>0</v>
      </c>
      <c r="R62" s="25">
        <f t="shared" si="2"/>
        <v>0</v>
      </c>
      <c r="S62" s="5">
        <f t="shared" si="3"/>
        <v>1975.41</v>
      </c>
      <c r="T62" s="25">
        <f t="shared" si="4"/>
        <v>1</v>
      </c>
      <c r="U62" s="25">
        <f t="shared" si="5"/>
        <v>2.7141493754788189E-3</v>
      </c>
    </row>
    <row r="63" spans="1:21" x14ac:dyDescent="0.3">
      <c r="A63" s="15" t="s">
        <v>34</v>
      </c>
      <c r="B63" s="49" t="str">
        <f>VLOOKUP(A63,MEMORIA!$A:$N,2,FALSE)</f>
        <v>ESQUADRIAS</v>
      </c>
      <c r="C63" s="50"/>
      <c r="D63" s="50"/>
      <c r="E63" s="50"/>
      <c r="F63" s="50"/>
      <c r="G63" s="50"/>
      <c r="H63" s="51"/>
      <c r="I63" s="16">
        <f>SUM(I$64:I$65)</f>
        <v>4550.21</v>
      </c>
      <c r="J63" s="16">
        <f>SUM(J$64:J$65)</f>
        <v>4550.21</v>
      </c>
      <c r="K63" s="16"/>
      <c r="L63" s="17">
        <f t="shared" si="0"/>
        <v>1</v>
      </c>
      <c r="M63" s="16">
        <f>SUM(M$64:M$65)</f>
        <v>0</v>
      </c>
      <c r="N63" s="16"/>
      <c r="O63" s="17">
        <f t="shared" si="1"/>
        <v>0</v>
      </c>
      <c r="P63" s="16">
        <f>SUM(P$64:P$65)</f>
        <v>0</v>
      </c>
      <c r="Q63" s="16"/>
      <c r="R63" s="17">
        <f t="shared" si="2"/>
        <v>0</v>
      </c>
      <c r="S63" s="16">
        <f t="shared" si="3"/>
        <v>4550.21</v>
      </c>
      <c r="T63" s="17">
        <f t="shared" si="4"/>
        <v>1</v>
      </c>
      <c r="U63" s="17">
        <f t="shared" si="5"/>
        <v>6.2518412024832699E-3</v>
      </c>
    </row>
    <row r="64" spans="1:21" x14ac:dyDescent="0.3">
      <c r="A64" s="23" t="s">
        <v>186</v>
      </c>
      <c r="B64" s="23">
        <f>VLOOKUP(A64,MEMORIA!$A:$N,2,FALSE)</f>
        <v>100701</v>
      </c>
      <c r="C64" s="23" t="str">
        <f>VLOOKUP(A64,MEMORIA!$A:$N,3,FALSE)</f>
        <v>SINAPI</v>
      </c>
      <c r="D64" s="24" t="str">
        <f>VLOOKUP(A64,MEMORIA!$A:$N,4,FALSE)</f>
        <v>PORTA DE FERRO, DE ABRIR, TIPO GRADE COM CHAPA, COM GUARNIÇÕES. AF_12/2019</v>
      </c>
      <c r="E64" s="23" t="str">
        <f>VLOOKUP(A64,MEMORIA!$A:$N,5,FALSE)</f>
        <v>M2</v>
      </c>
      <c r="F64" s="5">
        <f>VLOOKUP(A64,MEMORIA!$A:$N,14,FALSE)</f>
        <v>1.68</v>
      </c>
      <c r="G64" s="5">
        <f>VLOOKUP(A64,ORCAMENTO!$A:$I,7,FALSE)</f>
        <v>415.3</v>
      </c>
      <c r="H64" s="5">
        <f>VLOOKUP(A64,ORCAMENTO!$A:$I,8,FALSE)</f>
        <v>518.46</v>
      </c>
      <c r="I64" s="5">
        <f>ROUND(F64*H64,2)</f>
        <v>871.01</v>
      </c>
      <c r="J64" s="5">
        <f>ROUND(K64*$H64,2)</f>
        <v>871.01</v>
      </c>
      <c r="K64" s="5">
        <f t="shared" si="16"/>
        <v>1.68</v>
      </c>
      <c r="L64" s="25">
        <f t="shared" si="0"/>
        <v>1</v>
      </c>
      <c r="M64" s="5">
        <f>ROUND(N64*$H64,2)</f>
        <v>0</v>
      </c>
      <c r="N64" s="5">
        <v>0</v>
      </c>
      <c r="O64" s="25">
        <f t="shared" si="1"/>
        <v>0</v>
      </c>
      <c r="P64" s="5">
        <f>ROUND(Q64*$H64,2)</f>
        <v>0</v>
      </c>
      <c r="Q64" s="5">
        <v>0</v>
      </c>
      <c r="R64" s="25">
        <f t="shared" si="2"/>
        <v>0</v>
      </c>
      <c r="S64" s="5">
        <f t="shared" si="3"/>
        <v>871.01</v>
      </c>
      <c r="T64" s="25">
        <f t="shared" si="4"/>
        <v>1</v>
      </c>
      <c r="U64" s="25">
        <f t="shared" si="5"/>
        <v>1.196739536367542E-3</v>
      </c>
    </row>
    <row r="65" spans="1:21" ht="28.8" x14ac:dyDescent="0.3">
      <c r="A65" s="23" t="s">
        <v>187</v>
      </c>
      <c r="B65" s="23" t="str">
        <f>VLOOKUP(A65,MEMORIA!$A:$N,2,FALSE)</f>
        <v>C3659</v>
      </c>
      <c r="C65" s="23" t="str">
        <f>VLOOKUP(A65,MEMORIA!$A:$N,3,FALSE)</f>
        <v>SEINFRA</v>
      </c>
      <c r="D65" s="24" t="str">
        <f>VLOOKUP(A65,MEMORIA!$A:$N,4,FALSE)</f>
        <v>PORTÃO DE METALON E BARRA CHATA DE FERRO C/FECHADURA E DOBRADIÇA, INCLUS. PINTURA ESMALTE SINTÉTICO</v>
      </c>
      <c r="E65" s="23" t="str">
        <f>VLOOKUP(A65,MEMORIA!$A:$N,5,FALSE)</f>
        <v>M2</v>
      </c>
      <c r="F65" s="5">
        <f>VLOOKUP(A65,MEMORIA!$A:$N,14,FALSE)</f>
        <v>6</v>
      </c>
      <c r="G65" s="5">
        <f>VLOOKUP(A65,ORCAMENTO!$A:$I,7,FALSE)</f>
        <v>491.19000000000005</v>
      </c>
      <c r="H65" s="5">
        <f>VLOOKUP(A65,ORCAMENTO!$A:$I,8,FALSE)</f>
        <v>613.20000000000005</v>
      </c>
      <c r="I65" s="5">
        <f>ROUND(F65*H65,2)</f>
        <v>3679.2</v>
      </c>
      <c r="J65" s="5">
        <f>ROUND(K65*$H65,2)</f>
        <v>3679.2</v>
      </c>
      <c r="K65" s="5">
        <f t="shared" si="16"/>
        <v>6</v>
      </c>
      <c r="L65" s="25">
        <f t="shared" si="0"/>
        <v>1</v>
      </c>
      <c r="M65" s="5">
        <f>ROUND(N65*$H65,2)</f>
        <v>0</v>
      </c>
      <c r="N65" s="5">
        <v>0</v>
      </c>
      <c r="O65" s="25">
        <f t="shared" si="1"/>
        <v>0</v>
      </c>
      <c r="P65" s="5">
        <f>ROUND(Q65*$H65,2)</f>
        <v>0</v>
      </c>
      <c r="Q65" s="5">
        <v>0</v>
      </c>
      <c r="R65" s="25">
        <f t="shared" si="2"/>
        <v>0</v>
      </c>
      <c r="S65" s="5">
        <f t="shared" si="3"/>
        <v>3679.2</v>
      </c>
      <c r="T65" s="25">
        <f t="shared" si="4"/>
        <v>1</v>
      </c>
      <c r="U65" s="25">
        <f t="shared" si="5"/>
        <v>5.0551016661157279E-3</v>
      </c>
    </row>
    <row r="66" spans="1:21" x14ac:dyDescent="0.3">
      <c r="A66" s="15" t="s">
        <v>35</v>
      </c>
      <c r="B66" s="49" t="str">
        <f>VLOOKUP(A66,MEMORIA!$A:$N,2,FALSE)</f>
        <v>PINTURA</v>
      </c>
      <c r="C66" s="50"/>
      <c r="D66" s="50"/>
      <c r="E66" s="50"/>
      <c r="F66" s="50"/>
      <c r="G66" s="50"/>
      <c r="H66" s="51"/>
      <c r="I66" s="16">
        <f>SUM(I$67:I$68)</f>
        <v>663.11</v>
      </c>
      <c r="J66" s="16">
        <f>SUM(J$67:J$68)</f>
        <v>663.11</v>
      </c>
      <c r="K66" s="16"/>
      <c r="L66" s="17">
        <f t="shared" si="0"/>
        <v>1</v>
      </c>
      <c r="M66" s="16">
        <f>SUM(M$67:M$68)</f>
        <v>0</v>
      </c>
      <c r="N66" s="16"/>
      <c r="O66" s="17">
        <f t="shared" si="1"/>
        <v>0</v>
      </c>
      <c r="P66" s="16">
        <f>SUM(P$67:P$68)</f>
        <v>0</v>
      </c>
      <c r="Q66" s="16"/>
      <c r="R66" s="17">
        <f t="shared" si="2"/>
        <v>0</v>
      </c>
      <c r="S66" s="16">
        <f t="shared" si="3"/>
        <v>663.11</v>
      </c>
      <c r="T66" s="17">
        <f t="shared" si="4"/>
        <v>1</v>
      </c>
      <c r="U66" s="17">
        <f t="shared" si="5"/>
        <v>9.1109166824798889E-4</v>
      </c>
    </row>
    <row r="67" spans="1:21" x14ac:dyDescent="0.3">
      <c r="A67" s="23" t="s">
        <v>188</v>
      </c>
      <c r="B67" s="23" t="str">
        <f>VLOOKUP(A67,MEMORIA!$A:$N,2,FALSE)</f>
        <v>COMP205</v>
      </c>
      <c r="C67" s="23" t="str">
        <f>VLOOKUP(A67,MEMORIA!$A:$N,3,FALSE)</f>
        <v>PRÓPRIA</v>
      </c>
      <c r="D67" s="24" t="str">
        <f>VLOOKUP(A67,MEMORIA!$A:$N,4,FALSE)</f>
        <v>CAIAÇÃO EM TRES DEMÃOS EM PAREDES (REF: C0589-SEINFRA 28)</v>
      </c>
      <c r="E67" s="23" t="str">
        <f>VLOOKUP(A67,MEMORIA!$A:$N,5,FALSE)</f>
        <v>M2</v>
      </c>
      <c r="F67" s="5">
        <f>VLOOKUP(A67,MEMORIA!$A:$N,14,FALSE)</f>
        <v>38.619999999999997</v>
      </c>
      <c r="G67" s="5">
        <f>VLOOKUP(A67,ORCAMENTO!$A:$I,7,FALSE)</f>
        <v>9.3800000000000008</v>
      </c>
      <c r="H67" s="5">
        <f>VLOOKUP(A67,ORCAMENTO!$A:$I,8,FALSE)</f>
        <v>11.71</v>
      </c>
      <c r="I67" s="5">
        <f>ROUND(F67*H67,2)</f>
        <v>452.24</v>
      </c>
      <c r="J67" s="5">
        <f>ROUND(K67*$H67,2)</f>
        <v>452.24</v>
      </c>
      <c r="K67" s="5">
        <f t="shared" si="16"/>
        <v>38.619999999999997</v>
      </c>
      <c r="L67" s="25">
        <f t="shared" si="0"/>
        <v>1</v>
      </c>
      <c r="M67" s="5">
        <f>ROUND(N67*$H67,2)</f>
        <v>0</v>
      </c>
      <c r="N67" s="5">
        <v>0</v>
      </c>
      <c r="O67" s="25">
        <f t="shared" si="1"/>
        <v>0</v>
      </c>
      <c r="P67" s="5">
        <f>ROUND(Q67*$H67,2)</f>
        <v>0</v>
      </c>
      <c r="Q67" s="5">
        <v>0</v>
      </c>
      <c r="R67" s="25">
        <f t="shared" si="2"/>
        <v>0</v>
      </c>
      <c r="S67" s="5">
        <f t="shared" si="3"/>
        <v>452.24</v>
      </c>
      <c r="T67" s="25">
        <f t="shared" si="4"/>
        <v>1</v>
      </c>
      <c r="U67" s="25">
        <f t="shared" si="5"/>
        <v>6.2136311629815643E-4</v>
      </c>
    </row>
    <row r="68" spans="1:21" ht="43.2" x14ac:dyDescent="0.3">
      <c r="A68" s="23" t="s">
        <v>189</v>
      </c>
      <c r="B68" s="23">
        <f>VLOOKUP(A68,MEMORIA!$A:$N,2,FALSE)</f>
        <v>100758</v>
      </c>
      <c r="C68" s="23" t="str">
        <f>VLOOKUP(A68,MEMORIA!$A:$N,3,FALSE)</f>
        <v>SINAPI</v>
      </c>
      <c r="D68" s="24" t="str">
        <f>VLOOKUP(A68,MEMORIA!$A:$N,4,FALSE)</f>
        <v>PINTURA COM TINTA ALQUÍDICA DE ACABAMENTO (ESMALTE SINTÉTICO ACETINADO) APLICADA A ROLO OU PINCEL SOBRE SUPERFÍCIES METÁLICAS (EXCETO PERFIL) EXECUTADO EM OBRA (02 DEMÃOS). AF_01/2020</v>
      </c>
      <c r="E68" s="23" t="str">
        <f>VLOOKUP(A68,MEMORIA!$A:$N,5,FALSE)</f>
        <v>M2</v>
      </c>
      <c r="F68" s="5">
        <f>VLOOKUP(A68,MEMORIA!$A:$N,14,FALSE)</f>
        <v>3.36</v>
      </c>
      <c r="G68" s="5">
        <f>VLOOKUP(A68,ORCAMENTO!$A:$I,7,FALSE)</f>
        <v>50.269999999999996</v>
      </c>
      <c r="H68" s="5">
        <f>VLOOKUP(A68,ORCAMENTO!$A:$I,8,FALSE)</f>
        <v>62.76</v>
      </c>
      <c r="I68" s="5">
        <f>ROUND(F68*H68,2)</f>
        <v>210.87</v>
      </c>
      <c r="J68" s="5">
        <f>ROUND(K68*$H68,2)</f>
        <v>210.87</v>
      </c>
      <c r="K68" s="5">
        <f t="shared" si="16"/>
        <v>3.36</v>
      </c>
      <c r="L68" s="25">
        <f t="shared" si="0"/>
        <v>1</v>
      </c>
      <c r="M68" s="5">
        <f>ROUND(N68*$H68,2)</f>
        <v>0</v>
      </c>
      <c r="N68" s="5">
        <v>0</v>
      </c>
      <c r="O68" s="25">
        <f t="shared" si="1"/>
        <v>0</v>
      </c>
      <c r="P68" s="5">
        <f>ROUND(Q68*$H68,2)</f>
        <v>0</v>
      </c>
      <c r="Q68" s="5">
        <v>0</v>
      </c>
      <c r="R68" s="25">
        <f t="shared" si="2"/>
        <v>0</v>
      </c>
      <c r="S68" s="5">
        <f t="shared" si="3"/>
        <v>210.87</v>
      </c>
      <c r="T68" s="25">
        <f t="shared" si="4"/>
        <v>1</v>
      </c>
      <c r="U68" s="25">
        <f t="shared" si="5"/>
        <v>2.8972855194983247E-4</v>
      </c>
    </row>
    <row r="69" spans="1:21" x14ac:dyDescent="0.3">
      <c r="A69" s="15" t="s">
        <v>36</v>
      </c>
      <c r="B69" s="49" t="str">
        <f>VLOOKUP(A69,MEMORIA!$A:$N,2,FALSE)</f>
        <v>CERCAMENTO</v>
      </c>
      <c r="C69" s="50"/>
      <c r="D69" s="50"/>
      <c r="E69" s="50"/>
      <c r="F69" s="50"/>
      <c r="G69" s="50"/>
      <c r="H69" s="51"/>
      <c r="I69" s="16">
        <f>SUM(I$70:I$70)</f>
        <v>6063.93</v>
      </c>
      <c r="J69" s="16">
        <f>SUM(J$70:J$70)</f>
        <v>6063.93</v>
      </c>
      <c r="K69" s="16"/>
      <c r="L69" s="17">
        <f t="shared" si="0"/>
        <v>1</v>
      </c>
      <c r="M69" s="16">
        <f>SUM(M$70:M$70)</f>
        <v>0</v>
      </c>
      <c r="N69" s="16"/>
      <c r="O69" s="17">
        <f t="shared" si="1"/>
        <v>0</v>
      </c>
      <c r="P69" s="16">
        <f>SUM(P$70:P$70)</f>
        <v>0</v>
      </c>
      <c r="Q69" s="16"/>
      <c r="R69" s="17">
        <f t="shared" si="2"/>
        <v>0</v>
      </c>
      <c r="S69" s="16">
        <f t="shared" si="3"/>
        <v>6063.93</v>
      </c>
      <c r="T69" s="17">
        <f t="shared" si="4"/>
        <v>1</v>
      </c>
      <c r="U69" s="17">
        <f t="shared" si="5"/>
        <v>8.3316434676584984E-3</v>
      </c>
    </row>
    <row r="70" spans="1:21" ht="43.2" x14ac:dyDescent="0.3">
      <c r="A70" s="23" t="s">
        <v>190</v>
      </c>
      <c r="B70" s="23">
        <f>VLOOKUP(A70,MEMORIA!$A:$N,2,FALSE)</f>
        <v>101197</v>
      </c>
      <c r="C70" s="23" t="str">
        <f>VLOOKUP(A70,MEMORIA!$A:$N,3,FALSE)</f>
        <v>SINAPI</v>
      </c>
      <c r="D70" s="24" t="str">
        <f>VLOOKUP(A70,MEMORIA!$A:$N,4,FALSE)</f>
        <v>CERCA COM MOURÕES DE CONCRETO, SEÇÃO "T" PONTA INCLINADA, 10X10 CM, ESPAÇAMENTO DE 2,5 M, CRAVADOS 0,5 M, COM 11 FIOS DE ARAME FARPADO Nº 14 - FORNECIMENTO E INSTALAÇÃO. AF_05/2020</v>
      </c>
      <c r="E70" s="23" t="str">
        <f>VLOOKUP(A70,MEMORIA!$A:$N,5,FALSE)</f>
        <v>M</v>
      </c>
      <c r="F70" s="5">
        <f>VLOOKUP(A70,MEMORIA!$A:$N,14,FALSE)</f>
        <v>37</v>
      </c>
      <c r="G70" s="5">
        <f>VLOOKUP(A70,ORCAMENTO!$A:$I,7,FALSE)</f>
        <v>131.28</v>
      </c>
      <c r="H70" s="5">
        <f>VLOOKUP(A70,ORCAMENTO!$A:$I,8,FALSE)</f>
        <v>163.89</v>
      </c>
      <c r="I70" s="5">
        <f>ROUND(F70*H70,2)</f>
        <v>6063.93</v>
      </c>
      <c r="J70" s="5">
        <f>ROUND(K70*$H70,2)</f>
        <v>6063.93</v>
      </c>
      <c r="K70" s="5">
        <f t="shared" si="16"/>
        <v>37</v>
      </c>
      <c r="L70" s="25">
        <f t="shared" si="0"/>
        <v>1</v>
      </c>
      <c r="M70" s="5">
        <f>ROUND(N70*$H70,2)</f>
        <v>0</v>
      </c>
      <c r="N70" s="5">
        <v>0</v>
      </c>
      <c r="O70" s="25">
        <f t="shared" si="1"/>
        <v>0</v>
      </c>
      <c r="P70" s="5">
        <f>ROUND(Q70*$H70,2)</f>
        <v>0</v>
      </c>
      <c r="Q70" s="5">
        <v>0</v>
      </c>
      <c r="R70" s="25">
        <f t="shared" si="2"/>
        <v>0</v>
      </c>
      <c r="S70" s="5">
        <f t="shared" si="3"/>
        <v>6063.93</v>
      </c>
      <c r="T70" s="25">
        <f t="shared" si="4"/>
        <v>1</v>
      </c>
      <c r="U70" s="25">
        <f t="shared" si="5"/>
        <v>8.3316434676584984E-3</v>
      </c>
    </row>
    <row r="71" spans="1:21" x14ac:dyDescent="0.3">
      <c r="A71" s="12" t="s">
        <v>37</v>
      </c>
      <c r="B71" s="46" t="str">
        <f>VLOOKUP(A71,MEMORIA!$A:$N,2,FALSE)</f>
        <v>INSTALAÇÕES ELÉTRICAS</v>
      </c>
      <c r="C71" s="47"/>
      <c r="D71" s="47"/>
      <c r="E71" s="47"/>
      <c r="F71" s="47"/>
      <c r="G71" s="47"/>
      <c r="H71" s="48"/>
      <c r="I71" s="13">
        <f>SUM(I$72:I$79)</f>
        <v>1853.2700000000002</v>
      </c>
      <c r="J71" s="13">
        <f>SUM(J$72:J$79)</f>
        <v>1853.2700000000002</v>
      </c>
      <c r="K71" s="13"/>
      <c r="L71" s="14">
        <f t="shared" si="0"/>
        <v>1</v>
      </c>
      <c r="M71" s="13">
        <f>SUM(M$72:M$79)</f>
        <v>0</v>
      </c>
      <c r="N71" s="13"/>
      <c r="O71" s="14">
        <f t="shared" si="1"/>
        <v>0</v>
      </c>
      <c r="P71" s="13">
        <f>SUM(P$72:P$79)</f>
        <v>0</v>
      </c>
      <c r="Q71" s="13"/>
      <c r="R71" s="14">
        <f t="shared" si="2"/>
        <v>0</v>
      </c>
      <c r="S71" s="13">
        <f t="shared" si="3"/>
        <v>1853.2700000000002</v>
      </c>
      <c r="T71" s="14">
        <f t="shared" si="4"/>
        <v>1</v>
      </c>
      <c r="U71" s="14">
        <f t="shared" si="5"/>
        <v>2.5463329704181062E-3</v>
      </c>
    </row>
    <row r="72" spans="1:21" ht="43.2" x14ac:dyDescent="0.3">
      <c r="A72" s="23" t="s">
        <v>191</v>
      </c>
      <c r="B72" s="23" t="str">
        <f>VLOOKUP(A72,MEMORIA!$A:$N,2,FALSE)</f>
        <v>COMPINST05</v>
      </c>
      <c r="C72" s="23" t="str">
        <f>VLOOKUP(A72,MEMORIA!$A:$N,3,FALSE)</f>
        <v>PRÓPRIA</v>
      </c>
      <c r="D72" s="24" t="str">
        <f>VLOOKUP(A72,MEMORIA!$A:$N,4,FALSE)</f>
        <v>ENTRADA DE ENERGIA ELÉTRICA, AÉREA, MONOFÁSICA, COM CAIXA DE EMBUTIR, CABO DE 10 MM2 E DISJUNTOR DIN 50A (NÃO INCLUSO O POSTE DE CONCRETO). AF_07/2020_PS (REF: 101493-SINAPI-06/2025)</v>
      </c>
      <c r="E72" s="23" t="str">
        <f>VLOOKUP(A72,MEMORIA!$A:$N,5,FALSE)</f>
        <v>UN</v>
      </c>
      <c r="F72" s="5">
        <f>VLOOKUP(A72,MEMORIA!$A:$N,14,FALSE)</f>
        <v>1</v>
      </c>
      <c r="G72" s="5">
        <f>VLOOKUP(A72,ORCAMENTO!$A:$I,7,FALSE)</f>
        <v>967.24</v>
      </c>
      <c r="H72" s="5">
        <f>VLOOKUP(A72,ORCAMENTO!$A:$I,8,FALSE)</f>
        <v>1207.5</v>
      </c>
      <c r="I72" s="5">
        <f t="shared" ref="I72:I79" si="17">ROUND(F72*H72,2)</f>
        <v>1207.5</v>
      </c>
      <c r="J72" s="5">
        <f t="shared" ref="J72:J79" si="18">ROUND(K72*$H72,2)</f>
        <v>1207.5</v>
      </c>
      <c r="K72" s="5">
        <f t="shared" si="16"/>
        <v>1</v>
      </c>
      <c r="L72" s="25">
        <f t="shared" ref="L72:L135" si="19">J72/$I72</f>
        <v>1</v>
      </c>
      <c r="M72" s="5">
        <f t="shared" ref="M72:M79" si="20">ROUND(N72*$H72,2)</f>
        <v>0</v>
      </c>
      <c r="N72" s="5">
        <v>0</v>
      </c>
      <c r="O72" s="25">
        <f t="shared" ref="O72:O135" si="21">M72/$I72</f>
        <v>0</v>
      </c>
      <c r="P72" s="5">
        <f t="shared" ref="P72:P79" si="22">ROUND(Q72*$H72,2)</f>
        <v>0</v>
      </c>
      <c r="Q72" s="5">
        <v>0</v>
      </c>
      <c r="R72" s="25">
        <f t="shared" ref="R72:R135" si="23">P72/$I72</f>
        <v>0</v>
      </c>
      <c r="S72" s="5">
        <f t="shared" ref="S72:S135" si="24">SUM(J72,M72,P72,)</f>
        <v>1207.5</v>
      </c>
      <c r="T72" s="25">
        <f t="shared" ref="T72:T135" si="25">SUM(L72,O72,R72,)</f>
        <v>1</v>
      </c>
      <c r="U72" s="25">
        <f t="shared" ref="U72:U135" si="26">S72/$I$476</f>
        <v>1.6590659006943743E-3</v>
      </c>
    </row>
    <row r="73" spans="1:21" ht="28.8" x14ac:dyDescent="0.3">
      <c r="A73" s="23" t="s">
        <v>192</v>
      </c>
      <c r="B73" s="23">
        <f>VLOOKUP(A73,MEMORIA!$A:$N,2,FALSE)</f>
        <v>93656</v>
      </c>
      <c r="C73" s="23" t="str">
        <f>VLOOKUP(A73,MEMORIA!$A:$N,3,FALSE)</f>
        <v>SINAPI</v>
      </c>
      <c r="D73" s="24" t="str">
        <f>VLOOKUP(A73,MEMORIA!$A:$N,4,FALSE)</f>
        <v>DISJUNTOR MONOPOLAR TIPO DIN, CORRENTE NOMINAL DE 25A - FORNECIMENTO E INSTALAÇÃO. AF_10/2020</v>
      </c>
      <c r="E73" s="23" t="str">
        <f>VLOOKUP(A73,MEMORIA!$A:$N,5,FALSE)</f>
        <v>UN</v>
      </c>
      <c r="F73" s="5">
        <f>VLOOKUP(A73,MEMORIA!$A:$N,14,FALSE)</f>
        <v>1</v>
      </c>
      <c r="G73" s="5">
        <f>VLOOKUP(A73,ORCAMENTO!$A:$I,7,FALSE)</f>
        <v>13.33</v>
      </c>
      <c r="H73" s="5">
        <f>VLOOKUP(A73,ORCAMENTO!$A:$I,8,FALSE)</f>
        <v>16.64</v>
      </c>
      <c r="I73" s="5">
        <f t="shared" si="17"/>
        <v>16.64</v>
      </c>
      <c r="J73" s="5">
        <f t="shared" si="18"/>
        <v>16.64</v>
      </c>
      <c r="K73" s="5">
        <f t="shared" si="16"/>
        <v>1</v>
      </c>
      <c r="L73" s="25">
        <f t="shared" si="19"/>
        <v>1</v>
      </c>
      <c r="M73" s="5">
        <f t="shared" si="20"/>
        <v>0</v>
      </c>
      <c r="N73" s="5">
        <v>0</v>
      </c>
      <c r="O73" s="25">
        <f t="shared" si="21"/>
        <v>0</v>
      </c>
      <c r="P73" s="5">
        <f t="shared" si="22"/>
        <v>0</v>
      </c>
      <c r="Q73" s="5">
        <v>0</v>
      </c>
      <c r="R73" s="25">
        <f t="shared" si="23"/>
        <v>0</v>
      </c>
      <c r="S73" s="5">
        <f t="shared" si="24"/>
        <v>16.64</v>
      </c>
      <c r="T73" s="25">
        <f t="shared" si="25"/>
        <v>1</v>
      </c>
      <c r="U73" s="25">
        <f t="shared" si="26"/>
        <v>2.2862821190521232E-5</v>
      </c>
    </row>
    <row r="74" spans="1:21" ht="28.8" x14ac:dyDescent="0.3">
      <c r="A74" s="23" t="s">
        <v>193</v>
      </c>
      <c r="B74" s="23">
        <f>VLOOKUP(A74,MEMORIA!$A:$N,2,FALSE)</f>
        <v>93653</v>
      </c>
      <c r="C74" s="23" t="str">
        <f>VLOOKUP(A74,MEMORIA!$A:$N,3,FALSE)</f>
        <v>SINAPI</v>
      </c>
      <c r="D74" s="24" t="str">
        <f>VLOOKUP(A74,MEMORIA!$A:$N,4,FALSE)</f>
        <v>DISJUNTOR MONOPOLAR TIPO DIN, CORRENTE NOMINAL DE 10A - FORNECIMENTO E INSTALAÇÃO. AF_10/2020</v>
      </c>
      <c r="E74" s="23" t="str">
        <f>VLOOKUP(A74,MEMORIA!$A:$N,5,FALSE)</f>
        <v>UN</v>
      </c>
      <c r="F74" s="5">
        <f>VLOOKUP(A74,MEMORIA!$A:$N,14,FALSE)</f>
        <v>1</v>
      </c>
      <c r="G74" s="5">
        <f>VLOOKUP(A74,ORCAMENTO!$A:$I,7,FALSE)</f>
        <v>11.379999999999999</v>
      </c>
      <c r="H74" s="5">
        <f>VLOOKUP(A74,ORCAMENTO!$A:$I,8,FALSE)</f>
        <v>14.209999999999999</v>
      </c>
      <c r="I74" s="5">
        <f t="shared" si="17"/>
        <v>14.21</v>
      </c>
      <c r="J74" s="5">
        <f t="shared" si="18"/>
        <v>14.21</v>
      </c>
      <c r="K74" s="5">
        <f t="shared" si="16"/>
        <v>1</v>
      </c>
      <c r="L74" s="25">
        <f t="shared" si="19"/>
        <v>1</v>
      </c>
      <c r="M74" s="5">
        <f t="shared" si="20"/>
        <v>0</v>
      </c>
      <c r="N74" s="5">
        <v>0</v>
      </c>
      <c r="O74" s="25">
        <f t="shared" si="21"/>
        <v>0</v>
      </c>
      <c r="P74" s="5">
        <f t="shared" si="22"/>
        <v>0</v>
      </c>
      <c r="Q74" s="5">
        <v>0</v>
      </c>
      <c r="R74" s="25">
        <f t="shared" si="23"/>
        <v>0</v>
      </c>
      <c r="S74" s="5">
        <f t="shared" si="24"/>
        <v>14.21</v>
      </c>
      <c r="T74" s="25">
        <f t="shared" si="25"/>
        <v>1</v>
      </c>
      <c r="U74" s="25">
        <f t="shared" si="26"/>
        <v>1.9524079874838143E-5</v>
      </c>
    </row>
    <row r="75" spans="1:21" x14ac:dyDescent="0.3">
      <c r="A75" s="23" t="s">
        <v>194</v>
      </c>
      <c r="B75" s="23" t="str">
        <f>VLOOKUP(A75,MEMORIA!$A:$N,2,FALSE)</f>
        <v>09041/ORSE</v>
      </c>
      <c r="C75" s="23" t="str">
        <f>VLOOKUP(A75,MEMORIA!$A:$N,3,FALSE)</f>
        <v>ORSE</v>
      </c>
      <c r="D75" s="24" t="str">
        <f>VLOOKUP(A75,MEMORIA!$A:$N,4,FALSE)</f>
        <v>DISPOSITIVO DE PROTEÇÃO CONTRA SURTO DE TENSÃO DPS 60KA - 275V</v>
      </c>
      <c r="E75" s="23" t="str">
        <f>VLOOKUP(A75,MEMORIA!$A:$N,5,FALSE)</f>
        <v>UN</v>
      </c>
      <c r="F75" s="5">
        <f>VLOOKUP(A75,MEMORIA!$A:$N,14,FALSE)</f>
        <v>1</v>
      </c>
      <c r="G75" s="5">
        <f>VLOOKUP(A75,ORCAMENTO!$A:$I,7,FALSE)</f>
        <v>88.050000000000011</v>
      </c>
      <c r="H75" s="5">
        <f>VLOOKUP(A75,ORCAMENTO!$A:$I,8,FALSE)</f>
        <v>109.92000000000002</v>
      </c>
      <c r="I75" s="5">
        <f t="shared" si="17"/>
        <v>109.92</v>
      </c>
      <c r="J75" s="5">
        <f t="shared" si="18"/>
        <v>109.92</v>
      </c>
      <c r="K75" s="5">
        <f t="shared" si="16"/>
        <v>1</v>
      </c>
      <c r="L75" s="25">
        <f t="shared" si="19"/>
        <v>1</v>
      </c>
      <c r="M75" s="5">
        <f t="shared" si="20"/>
        <v>0</v>
      </c>
      <c r="N75" s="5">
        <v>0</v>
      </c>
      <c r="O75" s="25">
        <f t="shared" si="21"/>
        <v>0</v>
      </c>
      <c r="P75" s="5">
        <f t="shared" si="22"/>
        <v>0</v>
      </c>
      <c r="Q75" s="5">
        <v>0</v>
      </c>
      <c r="R75" s="25">
        <f t="shared" si="23"/>
        <v>0</v>
      </c>
      <c r="S75" s="5">
        <f t="shared" si="24"/>
        <v>109.92</v>
      </c>
      <c r="T75" s="25">
        <f t="shared" si="25"/>
        <v>1</v>
      </c>
      <c r="U75" s="25">
        <f t="shared" si="26"/>
        <v>1.510265207489239E-4</v>
      </c>
    </row>
    <row r="76" spans="1:21" ht="28.8" x14ac:dyDescent="0.3">
      <c r="A76" s="23" t="s">
        <v>195</v>
      </c>
      <c r="B76" s="23">
        <f>VLOOKUP(A76,MEMORIA!$A:$N,2,FALSE)</f>
        <v>101877</v>
      </c>
      <c r="C76" s="23" t="str">
        <f>VLOOKUP(A76,MEMORIA!$A:$N,3,FALSE)</f>
        <v>SINAPI</v>
      </c>
      <c r="D76" s="24" t="str">
        <f>VLOOKUP(A76,MEMORIA!$A:$N,4,FALSE)</f>
        <v>QUADRO DE DISTRIBUIÇÃO DE ENERGIA EM PVC, DE EMBUTIR, SEM BARRAMENTO, PARA 3 DISJUNTORES - FORNECIMENTO E INSTALAÇÃO. AF_10/2020</v>
      </c>
      <c r="E76" s="23" t="str">
        <f>VLOOKUP(A76,MEMORIA!$A:$N,5,FALSE)</f>
        <v>UN</v>
      </c>
      <c r="F76" s="5">
        <f>VLOOKUP(A76,MEMORIA!$A:$N,14,FALSE)</f>
        <v>1</v>
      </c>
      <c r="G76" s="5">
        <f>VLOOKUP(A76,ORCAMENTO!$A:$I,7,FALSE)</f>
        <v>63.51</v>
      </c>
      <c r="H76" s="5">
        <f>VLOOKUP(A76,ORCAMENTO!$A:$I,8,FALSE)</f>
        <v>79.289999999999992</v>
      </c>
      <c r="I76" s="5">
        <f t="shared" si="17"/>
        <v>79.290000000000006</v>
      </c>
      <c r="J76" s="5">
        <f t="shared" si="18"/>
        <v>79.290000000000006</v>
      </c>
      <c r="K76" s="5">
        <f t="shared" si="16"/>
        <v>1</v>
      </c>
      <c r="L76" s="25">
        <f t="shared" si="19"/>
        <v>1</v>
      </c>
      <c r="M76" s="5">
        <f t="shared" si="20"/>
        <v>0</v>
      </c>
      <c r="N76" s="5">
        <v>0</v>
      </c>
      <c r="O76" s="25">
        <f t="shared" si="21"/>
        <v>0</v>
      </c>
      <c r="P76" s="5">
        <f t="shared" si="22"/>
        <v>0</v>
      </c>
      <c r="Q76" s="5">
        <v>0</v>
      </c>
      <c r="R76" s="25">
        <f t="shared" si="23"/>
        <v>0</v>
      </c>
      <c r="S76" s="5">
        <f t="shared" si="24"/>
        <v>79.290000000000006</v>
      </c>
      <c r="T76" s="25">
        <f t="shared" si="25"/>
        <v>1</v>
      </c>
      <c r="U76" s="25">
        <f t="shared" si="26"/>
        <v>1.0894189255988153E-4</v>
      </c>
    </row>
    <row r="77" spans="1:21" ht="43.2" x14ac:dyDescent="0.3">
      <c r="A77" s="23" t="s">
        <v>196</v>
      </c>
      <c r="B77" s="23" t="str">
        <f>VLOOKUP(A77,MEMORIA!$A:$N,2,FALSE)</f>
        <v>COMPINST02</v>
      </c>
      <c r="C77" s="23" t="str">
        <f>VLOOKUP(A77,MEMORIA!$A:$N,3,FALSE)</f>
        <v>PRÓPRIA</v>
      </c>
      <c r="D77" s="24" t="str">
        <f>VLOOKUP(A77,MEMORIA!$A:$N,4,FALSE)</f>
        <v>PONTO DE ILUMINAÇÃO E TOMADA, RESIDENCIAL, INCLUINDO INTERRUPTOR SIMPLES E TOMADA 10A/250V, CAIXA ELÉTRICA, ELETRODUTO, CABO, RASGO, QUEBRA E CHUMBAMENTO (EXCLUINDO LUMINÁRIA E LÂMPADA)</v>
      </c>
      <c r="E77" s="23" t="str">
        <f>VLOOKUP(A77,MEMORIA!$A:$N,5,FALSE)</f>
        <v>UN</v>
      </c>
      <c r="F77" s="5">
        <f>VLOOKUP(A77,MEMORIA!$A:$N,14,FALSE)</f>
        <v>1</v>
      </c>
      <c r="G77" s="5">
        <f>VLOOKUP(A77,ORCAMENTO!$A:$I,7,FALSE)</f>
        <v>244.91000000000003</v>
      </c>
      <c r="H77" s="5">
        <f>VLOOKUP(A77,ORCAMENTO!$A:$I,8,FALSE)</f>
        <v>305.75</v>
      </c>
      <c r="I77" s="5">
        <f t="shared" si="17"/>
        <v>305.75</v>
      </c>
      <c r="J77" s="5">
        <f t="shared" si="18"/>
        <v>305.75</v>
      </c>
      <c r="K77" s="5">
        <f t="shared" si="16"/>
        <v>1</v>
      </c>
      <c r="L77" s="25">
        <f t="shared" si="19"/>
        <v>1</v>
      </c>
      <c r="M77" s="5">
        <f t="shared" si="20"/>
        <v>0</v>
      </c>
      <c r="N77" s="5">
        <v>0</v>
      </c>
      <c r="O77" s="25">
        <f t="shared" si="21"/>
        <v>0</v>
      </c>
      <c r="P77" s="5">
        <f t="shared" si="22"/>
        <v>0</v>
      </c>
      <c r="Q77" s="5">
        <v>0</v>
      </c>
      <c r="R77" s="25">
        <f t="shared" si="23"/>
        <v>0</v>
      </c>
      <c r="S77" s="5">
        <f t="shared" si="24"/>
        <v>305.75</v>
      </c>
      <c r="T77" s="25">
        <f t="shared" si="25"/>
        <v>1</v>
      </c>
      <c r="U77" s="25">
        <f t="shared" si="26"/>
        <v>4.200905996996314E-4</v>
      </c>
    </row>
    <row r="78" spans="1:21" ht="28.8" x14ac:dyDescent="0.3">
      <c r="A78" s="23" t="s">
        <v>197</v>
      </c>
      <c r="B78" s="23">
        <f>VLOOKUP(A78,MEMORIA!$A:$N,2,FALSE)</f>
        <v>97610</v>
      </c>
      <c r="C78" s="23" t="str">
        <f>VLOOKUP(A78,MEMORIA!$A:$N,3,FALSE)</f>
        <v>SINAPI</v>
      </c>
      <c r="D78" s="24" t="str">
        <f>VLOOKUP(A78,MEMORIA!$A:$N,4,FALSE)</f>
        <v>LÂMPADA COMPACTA DE LED 10 W, BASE E27 - FORNECIMENTO E INSTALAÇÃO. AF_09/2024</v>
      </c>
      <c r="E78" s="23" t="str">
        <f>VLOOKUP(A78,MEMORIA!$A:$N,5,FALSE)</f>
        <v>UN</v>
      </c>
      <c r="F78" s="5">
        <f>VLOOKUP(A78,MEMORIA!$A:$N,14,FALSE)</f>
        <v>1</v>
      </c>
      <c r="G78" s="5">
        <f>VLOOKUP(A78,ORCAMENTO!$A:$I,7,FALSE)</f>
        <v>13.05</v>
      </c>
      <c r="H78" s="5">
        <f>VLOOKUP(A78,ORCAMENTO!$A:$I,8,FALSE)</f>
        <v>16.29</v>
      </c>
      <c r="I78" s="5">
        <f t="shared" si="17"/>
        <v>16.29</v>
      </c>
      <c r="J78" s="5">
        <f t="shared" si="18"/>
        <v>16.29</v>
      </c>
      <c r="K78" s="5">
        <f t="shared" si="16"/>
        <v>1</v>
      </c>
      <c r="L78" s="25">
        <f t="shared" si="19"/>
        <v>1</v>
      </c>
      <c r="M78" s="5">
        <f t="shared" si="20"/>
        <v>0</v>
      </c>
      <c r="N78" s="5">
        <v>0</v>
      </c>
      <c r="O78" s="25">
        <f t="shared" si="21"/>
        <v>0</v>
      </c>
      <c r="P78" s="5">
        <f t="shared" si="22"/>
        <v>0</v>
      </c>
      <c r="Q78" s="5">
        <v>0</v>
      </c>
      <c r="R78" s="25">
        <f t="shared" si="23"/>
        <v>0</v>
      </c>
      <c r="S78" s="5">
        <f t="shared" si="24"/>
        <v>16.29</v>
      </c>
      <c r="T78" s="25">
        <f t="shared" si="25"/>
        <v>1</v>
      </c>
      <c r="U78" s="25">
        <f t="shared" si="26"/>
        <v>2.2381932523653296E-5</v>
      </c>
    </row>
    <row r="79" spans="1:21" ht="28.8" x14ac:dyDescent="0.3">
      <c r="A79" s="23" t="s">
        <v>198</v>
      </c>
      <c r="B79" s="23" t="str">
        <f>VLOOKUP(A79,MEMORIA!$A:$N,2,FALSE)</f>
        <v>COMPINST04</v>
      </c>
      <c r="C79" s="23" t="str">
        <f>VLOOKUP(A79,MEMORIA!$A:$N,3,FALSE)</f>
        <v>PRÓPRIA</v>
      </c>
      <c r="D79" s="24" t="str">
        <f>VLOOKUP(A79,MEMORIA!$A:$N,4,FALSE)</f>
        <v>LUMINÁRIA ARANDELA TIPO MEIA-LUA COM VIDRO FOSCO *30 X 15* CM, PARA 1 LÂMPADA (SINAPI ADAPTADO 97605)</v>
      </c>
      <c r="E79" s="23" t="str">
        <f>VLOOKUP(A79,MEMORIA!$A:$N,5,FALSE)</f>
        <v>UN</v>
      </c>
      <c r="F79" s="5">
        <f>VLOOKUP(A79,MEMORIA!$A:$N,14,FALSE)</f>
        <v>1</v>
      </c>
      <c r="G79" s="5">
        <f>VLOOKUP(A79,ORCAMENTO!$A:$I,7,FALSE)</f>
        <v>83.039999999999992</v>
      </c>
      <c r="H79" s="5">
        <f>VLOOKUP(A79,ORCAMENTO!$A:$I,8,FALSE)</f>
        <v>103.66999999999999</v>
      </c>
      <c r="I79" s="5">
        <f t="shared" si="17"/>
        <v>103.67</v>
      </c>
      <c r="J79" s="5">
        <f t="shared" si="18"/>
        <v>103.67</v>
      </c>
      <c r="K79" s="5">
        <f t="shared" si="16"/>
        <v>1</v>
      </c>
      <c r="L79" s="25">
        <f t="shared" si="19"/>
        <v>1</v>
      </c>
      <c r="M79" s="5">
        <f t="shared" si="20"/>
        <v>0</v>
      </c>
      <c r="N79" s="5">
        <v>0</v>
      </c>
      <c r="O79" s="25">
        <f t="shared" si="21"/>
        <v>0</v>
      </c>
      <c r="P79" s="5">
        <f t="shared" si="22"/>
        <v>0</v>
      </c>
      <c r="Q79" s="5">
        <v>0</v>
      </c>
      <c r="R79" s="25">
        <f t="shared" si="23"/>
        <v>0</v>
      </c>
      <c r="S79" s="5">
        <f t="shared" si="24"/>
        <v>103.67</v>
      </c>
      <c r="T79" s="25">
        <f t="shared" si="25"/>
        <v>1</v>
      </c>
      <c r="U79" s="25">
        <f t="shared" si="26"/>
        <v>1.4243922312628222E-4</v>
      </c>
    </row>
    <row r="80" spans="1:21" x14ac:dyDescent="0.3">
      <c r="A80" s="12" t="s">
        <v>38</v>
      </c>
      <c r="B80" s="46" t="str">
        <f>VLOOKUP(A80,MEMORIA!$A:$N,2,FALSE)</f>
        <v>ADUÇÃO</v>
      </c>
      <c r="C80" s="47"/>
      <c r="D80" s="47"/>
      <c r="E80" s="47"/>
      <c r="F80" s="47"/>
      <c r="G80" s="47"/>
      <c r="H80" s="48"/>
      <c r="I80" s="13">
        <f>SUM(I$81,I$84,I$86,)</f>
        <v>1351.72</v>
      </c>
      <c r="J80" s="13">
        <f>SUM(J$81,J$84,J$86,)</f>
        <v>1351.72</v>
      </c>
      <c r="K80" s="13"/>
      <c r="L80" s="14">
        <f t="shared" si="19"/>
        <v>1</v>
      </c>
      <c r="M80" s="13">
        <f>SUM(M$81,M$84,M$86,)</f>
        <v>0</v>
      </c>
      <c r="N80" s="13"/>
      <c r="O80" s="14">
        <f t="shared" si="21"/>
        <v>0</v>
      </c>
      <c r="P80" s="13">
        <f>SUM(P$81,P$84,P$86,)</f>
        <v>0</v>
      </c>
      <c r="Q80" s="13"/>
      <c r="R80" s="14">
        <f t="shared" si="23"/>
        <v>0</v>
      </c>
      <c r="S80" s="13">
        <f t="shared" si="24"/>
        <v>1351.72</v>
      </c>
      <c r="T80" s="14">
        <f t="shared" si="25"/>
        <v>1</v>
      </c>
      <c r="U80" s="14">
        <f t="shared" si="26"/>
        <v>1.8572195107963557E-3</v>
      </c>
    </row>
    <row r="81" spans="1:21" x14ac:dyDescent="0.3">
      <c r="A81" s="15" t="s">
        <v>39</v>
      </c>
      <c r="B81" s="49" t="str">
        <f>VLOOKUP(A81,MEMORIA!$A:$N,2,FALSE)</f>
        <v>MOVIMENTO DE TERRA</v>
      </c>
      <c r="C81" s="50"/>
      <c r="D81" s="50"/>
      <c r="E81" s="50"/>
      <c r="F81" s="50"/>
      <c r="G81" s="50"/>
      <c r="H81" s="51"/>
      <c r="I81" s="16">
        <f>SUM(I$82:I$83)</f>
        <v>423.02</v>
      </c>
      <c r="J81" s="16">
        <f>SUM(J$82:J$83)</f>
        <v>423.02</v>
      </c>
      <c r="K81" s="16"/>
      <c r="L81" s="17">
        <f t="shared" si="19"/>
        <v>1</v>
      </c>
      <c r="M81" s="16">
        <f>SUM(M$82:M$83)</f>
        <v>0</v>
      </c>
      <c r="N81" s="16"/>
      <c r="O81" s="17">
        <f t="shared" si="21"/>
        <v>0</v>
      </c>
      <c r="P81" s="16">
        <f>SUM(P$82:P$83)</f>
        <v>0</v>
      </c>
      <c r="Q81" s="16"/>
      <c r="R81" s="17">
        <f t="shared" si="23"/>
        <v>0</v>
      </c>
      <c r="S81" s="16">
        <f t="shared" si="24"/>
        <v>423.02</v>
      </c>
      <c r="T81" s="17">
        <f t="shared" si="25"/>
        <v>1</v>
      </c>
      <c r="U81" s="17">
        <f t="shared" si="26"/>
        <v>5.8121578245278187E-4</v>
      </c>
    </row>
    <row r="82" spans="1:21" x14ac:dyDescent="0.3">
      <c r="A82" s="23" t="s">
        <v>199</v>
      </c>
      <c r="B82" s="23">
        <f>VLOOKUP(A82,MEMORIA!$A:$N,2,FALSE)</f>
        <v>93358</v>
      </c>
      <c r="C82" s="23" t="str">
        <f>VLOOKUP(A82,MEMORIA!$A:$N,3,FALSE)</f>
        <v>SINAPI</v>
      </c>
      <c r="D82" s="24" t="str">
        <f>VLOOKUP(A82,MEMORIA!$A:$N,4,FALSE)</f>
        <v>ESCAVAÇÃO MANUAL DE VALA. AF_09/2024</v>
      </c>
      <c r="E82" s="23" t="str">
        <f>VLOOKUP(A82,MEMORIA!$A:$N,5,FALSE)</f>
        <v>M3</v>
      </c>
      <c r="F82" s="5">
        <f>VLOOKUP(A82,MEMORIA!$A:$N,14,FALSE)</f>
        <v>2.76</v>
      </c>
      <c r="G82" s="5">
        <f>VLOOKUP(A82,ORCAMENTO!$A:$I,7,FALSE)</f>
        <v>85.87</v>
      </c>
      <c r="H82" s="5">
        <f>VLOOKUP(A82,ORCAMENTO!$A:$I,8,FALSE)</f>
        <v>107.2</v>
      </c>
      <c r="I82" s="5">
        <f>ROUND(F82*H82,2)</f>
        <v>295.87</v>
      </c>
      <c r="J82" s="5">
        <f>ROUND(K82*$H82,2)</f>
        <v>295.87</v>
      </c>
      <c r="K82" s="5">
        <f t="shared" ref="K82:K103" si="27">F82</f>
        <v>2.76</v>
      </c>
      <c r="L82" s="25">
        <f t="shared" si="19"/>
        <v>1</v>
      </c>
      <c r="M82" s="5">
        <f>ROUND(N82*$H82,2)</f>
        <v>0</v>
      </c>
      <c r="N82" s="5">
        <v>0</v>
      </c>
      <c r="O82" s="25">
        <f t="shared" si="21"/>
        <v>0</v>
      </c>
      <c r="P82" s="5">
        <f>ROUND(Q82*$H82,2)</f>
        <v>0</v>
      </c>
      <c r="Q82" s="5">
        <v>0</v>
      </c>
      <c r="R82" s="25">
        <f t="shared" si="23"/>
        <v>0</v>
      </c>
      <c r="S82" s="5">
        <f t="shared" si="24"/>
        <v>295.87</v>
      </c>
      <c r="T82" s="25">
        <f t="shared" si="25"/>
        <v>1</v>
      </c>
      <c r="U82" s="25">
        <f t="shared" si="26"/>
        <v>4.0651579961775941E-4</v>
      </c>
    </row>
    <row r="83" spans="1:21" x14ac:dyDescent="0.3">
      <c r="A83" s="23" t="s">
        <v>200</v>
      </c>
      <c r="B83" s="23" t="str">
        <f>VLOOKUP(A83,MEMORIA!$A:$N,2,FALSE)</f>
        <v>COMPOS28</v>
      </c>
      <c r="C83" s="23" t="str">
        <f>VLOOKUP(A83,MEMORIA!$A:$N,3,FALSE)</f>
        <v>PRÓPRIA</v>
      </c>
      <c r="D83" s="24" t="str">
        <f>VLOOKUP(A83,MEMORIA!$A:$N,4,FALSE)</f>
        <v>REATERRO DE VALA COM COMPACTAÇÃO MANUAL</v>
      </c>
      <c r="E83" s="23" t="str">
        <f>VLOOKUP(A83,MEMORIA!$A:$N,5,FALSE)</f>
        <v>M³</v>
      </c>
      <c r="F83" s="5">
        <f>VLOOKUP(A83,MEMORIA!$A:$N,14,FALSE)</f>
        <v>2.76</v>
      </c>
      <c r="G83" s="5">
        <f>VLOOKUP(A83,ORCAMENTO!$A:$I,7,FALSE)</f>
        <v>36.9</v>
      </c>
      <c r="H83" s="5">
        <f>VLOOKUP(A83,ORCAMENTO!$A:$I,8,FALSE)</f>
        <v>46.07</v>
      </c>
      <c r="I83" s="5">
        <f>ROUND(F83*H83,2)</f>
        <v>127.15</v>
      </c>
      <c r="J83" s="5">
        <f>ROUND(K83*$H83,2)</f>
        <v>127.15</v>
      </c>
      <c r="K83" s="5">
        <f t="shared" si="27"/>
        <v>2.76</v>
      </c>
      <c r="L83" s="25">
        <f t="shared" si="19"/>
        <v>1</v>
      </c>
      <c r="M83" s="5">
        <f>ROUND(N83*$H83,2)</f>
        <v>0</v>
      </c>
      <c r="N83" s="5">
        <v>0</v>
      </c>
      <c r="O83" s="25">
        <f t="shared" si="21"/>
        <v>0</v>
      </c>
      <c r="P83" s="5">
        <f>ROUND(Q83*$H83,2)</f>
        <v>0</v>
      </c>
      <c r="Q83" s="5">
        <v>0</v>
      </c>
      <c r="R83" s="25">
        <f t="shared" si="23"/>
        <v>0</v>
      </c>
      <c r="S83" s="5">
        <f t="shared" si="24"/>
        <v>127.15</v>
      </c>
      <c r="T83" s="25">
        <f t="shared" si="25"/>
        <v>1</v>
      </c>
      <c r="U83" s="25">
        <f t="shared" si="26"/>
        <v>1.7469998283502252E-4</v>
      </c>
    </row>
    <row r="84" spans="1:21" x14ac:dyDescent="0.3">
      <c r="A84" s="15" t="s">
        <v>40</v>
      </c>
      <c r="B84" s="49" t="str">
        <f>VLOOKUP(A84,MEMORIA!$A:$N,2,FALSE)</f>
        <v>INFRAESTRUTURA</v>
      </c>
      <c r="C84" s="50"/>
      <c r="D84" s="50"/>
      <c r="E84" s="50"/>
      <c r="F84" s="50"/>
      <c r="G84" s="50"/>
      <c r="H84" s="51"/>
      <c r="I84" s="16">
        <f>SUM(I$85:I$85)</f>
        <v>265.19</v>
      </c>
      <c r="J84" s="16">
        <f>SUM(J$85:J$85)</f>
        <v>265.19</v>
      </c>
      <c r="K84" s="16"/>
      <c r="L84" s="17">
        <f t="shared" si="19"/>
        <v>1</v>
      </c>
      <c r="M84" s="16">
        <f>SUM(M$85:M$85)</f>
        <v>0</v>
      </c>
      <c r="N84" s="16"/>
      <c r="O84" s="17">
        <f t="shared" si="21"/>
        <v>0</v>
      </c>
      <c r="P84" s="16">
        <f>SUM(P$85:P$85)</f>
        <v>0</v>
      </c>
      <c r="Q84" s="16"/>
      <c r="R84" s="17">
        <f t="shared" si="23"/>
        <v>0</v>
      </c>
      <c r="S84" s="16">
        <f t="shared" si="24"/>
        <v>265.19</v>
      </c>
      <c r="T84" s="17">
        <f t="shared" si="25"/>
        <v>1</v>
      </c>
      <c r="U84" s="17">
        <f t="shared" si="26"/>
        <v>3.6436247304773588E-4</v>
      </c>
    </row>
    <row r="85" spans="1:21" x14ac:dyDescent="0.3">
      <c r="A85" s="23" t="s">
        <v>201</v>
      </c>
      <c r="B85" s="23" t="str">
        <f>VLOOKUP(A85,MEMORIA!$A:$N,2,FALSE)</f>
        <v>C3403</v>
      </c>
      <c r="C85" s="23" t="str">
        <f>VLOOKUP(A85,MEMORIA!$A:$N,3,FALSE)</f>
        <v>SEINFRA</v>
      </c>
      <c r="D85" s="24" t="str">
        <f>VLOOKUP(A85,MEMORIA!$A:$N,4,FALSE)</f>
        <v>BLOCO DE ANCORAGEM EM CONCRETO SIMPLES FCK=10MPa</v>
      </c>
      <c r="E85" s="23" t="str">
        <f>VLOOKUP(A85,MEMORIA!$A:$N,5,FALSE)</f>
        <v>M3</v>
      </c>
      <c r="F85" s="5">
        <f>VLOOKUP(A85,MEMORIA!$A:$N,14,FALSE)</f>
        <v>0.26</v>
      </c>
      <c r="G85" s="5">
        <f>VLOOKUP(A85,ORCAMENTO!$A:$I,7,FALSE)</f>
        <v>817.03</v>
      </c>
      <c r="H85" s="5">
        <f>VLOOKUP(A85,ORCAMENTO!$A:$I,8,FALSE)</f>
        <v>1019.98</v>
      </c>
      <c r="I85" s="5">
        <f>ROUND(F85*H85,2)</f>
        <v>265.19</v>
      </c>
      <c r="J85" s="5">
        <f>ROUND(K85*$H85,2)</f>
        <v>265.19</v>
      </c>
      <c r="K85" s="5">
        <f t="shared" si="27"/>
        <v>0.26</v>
      </c>
      <c r="L85" s="25">
        <f t="shared" si="19"/>
        <v>1</v>
      </c>
      <c r="M85" s="5">
        <f>ROUND(N85*$H85,2)</f>
        <v>0</v>
      </c>
      <c r="N85" s="5">
        <v>0</v>
      </c>
      <c r="O85" s="25">
        <f t="shared" si="21"/>
        <v>0</v>
      </c>
      <c r="P85" s="5">
        <f>ROUND(Q85*$H85,2)</f>
        <v>0</v>
      </c>
      <c r="Q85" s="5">
        <v>0</v>
      </c>
      <c r="R85" s="25">
        <f t="shared" si="23"/>
        <v>0</v>
      </c>
      <c r="S85" s="5">
        <f t="shared" si="24"/>
        <v>265.19</v>
      </c>
      <c r="T85" s="25">
        <f t="shared" si="25"/>
        <v>1</v>
      </c>
      <c r="U85" s="25">
        <f t="shared" si="26"/>
        <v>3.6436247304773588E-4</v>
      </c>
    </row>
    <row r="86" spans="1:21" x14ac:dyDescent="0.3">
      <c r="A86" s="15" t="s">
        <v>41</v>
      </c>
      <c r="B86" s="49" t="str">
        <f>VLOOKUP(A86,MEMORIA!$A:$N,2,FALSE)</f>
        <v>INSTALAÇÕES HIDRÁULICAS</v>
      </c>
      <c r="C86" s="50"/>
      <c r="D86" s="50"/>
      <c r="E86" s="50"/>
      <c r="F86" s="50"/>
      <c r="G86" s="50"/>
      <c r="H86" s="51"/>
      <c r="I86" s="16">
        <f>SUM(I$87:I$88)</f>
        <v>663.51</v>
      </c>
      <c r="J86" s="16">
        <f>SUM(J$87:J$88)</f>
        <v>663.51</v>
      </c>
      <c r="K86" s="16"/>
      <c r="L86" s="17">
        <f t="shared" si="19"/>
        <v>1</v>
      </c>
      <c r="M86" s="16">
        <f>SUM(M$87:M$88)</f>
        <v>0</v>
      </c>
      <c r="N86" s="16"/>
      <c r="O86" s="17">
        <f t="shared" si="21"/>
        <v>0</v>
      </c>
      <c r="P86" s="16">
        <f>SUM(P$87:P$88)</f>
        <v>0</v>
      </c>
      <c r="Q86" s="16"/>
      <c r="R86" s="17">
        <f t="shared" si="23"/>
        <v>0</v>
      </c>
      <c r="S86" s="16">
        <f t="shared" si="24"/>
        <v>663.51</v>
      </c>
      <c r="T86" s="17">
        <f t="shared" si="25"/>
        <v>1</v>
      </c>
      <c r="U86" s="17">
        <f t="shared" si="26"/>
        <v>9.1164125529583789E-4</v>
      </c>
    </row>
    <row r="87" spans="1:21" ht="28.8" x14ac:dyDescent="0.3">
      <c r="A87" s="23" t="s">
        <v>202</v>
      </c>
      <c r="B87" s="23" t="str">
        <f>VLOOKUP(A87,MEMORIA!$A:$N,2,FALSE)</f>
        <v>COMPOS27</v>
      </c>
      <c r="C87" s="23" t="str">
        <f>VLOOKUP(A87,MEMORIA!$A:$N,3,FALSE)</f>
        <v>PRÓPRIA</v>
      </c>
      <c r="D87" s="24" t="str">
        <f>VLOOKUP(A87,MEMORIA!$A:$N,4,FALSE)</f>
        <v>AQUISIÇÃO E ASSENTAMENTO DE TUBO RÍGIDO PVC, CLASSE 12, DN 50 MM, INCLUSO CONEXÕES</v>
      </c>
      <c r="E87" s="23" t="str">
        <f>VLOOKUP(A87,MEMORIA!$A:$N,5,FALSE)</f>
        <v>M</v>
      </c>
      <c r="F87" s="5">
        <f>VLOOKUP(A87,MEMORIA!$A:$N,14,FALSE)</f>
        <v>16</v>
      </c>
      <c r="G87" s="5">
        <f>VLOOKUP(A87,ORCAMENTO!$A:$I,7,FALSE)</f>
        <v>25.79</v>
      </c>
      <c r="H87" s="5">
        <f>VLOOKUP(A87,ORCAMENTO!$A:$I,8,FALSE)</f>
        <v>32.200000000000003</v>
      </c>
      <c r="I87" s="5">
        <f>ROUND(F87*H87,2)</f>
        <v>515.20000000000005</v>
      </c>
      <c r="J87" s="5">
        <f>ROUND(K87*$H87,2)</f>
        <v>515.20000000000005</v>
      </c>
      <c r="K87" s="5">
        <f t="shared" si="27"/>
        <v>16</v>
      </c>
      <c r="L87" s="25">
        <f t="shared" si="19"/>
        <v>1</v>
      </c>
      <c r="M87" s="5">
        <f>ROUND(N87*$H87,2)</f>
        <v>0</v>
      </c>
      <c r="N87" s="5">
        <v>0</v>
      </c>
      <c r="O87" s="25">
        <f t="shared" si="21"/>
        <v>0</v>
      </c>
      <c r="P87" s="5">
        <f>ROUND(Q87*$H87,2)</f>
        <v>0</v>
      </c>
      <c r="Q87" s="5">
        <v>0</v>
      </c>
      <c r="R87" s="25">
        <f t="shared" si="23"/>
        <v>0</v>
      </c>
      <c r="S87" s="5">
        <f t="shared" si="24"/>
        <v>515.20000000000005</v>
      </c>
      <c r="T87" s="25">
        <f t="shared" si="25"/>
        <v>1</v>
      </c>
      <c r="U87" s="25">
        <f t="shared" si="26"/>
        <v>7.078681176295997E-4</v>
      </c>
    </row>
    <row r="88" spans="1:21" ht="28.8" x14ac:dyDescent="0.3">
      <c r="A88" s="23" t="s">
        <v>203</v>
      </c>
      <c r="B88" s="23">
        <f>VLOOKUP(A88,MEMORIA!$A:$N,2,FALSE)</f>
        <v>94497</v>
      </c>
      <c r="C88" s="23" t="str">
        <f>VLOOKUP(A88,MEMORIA!$A:$N,3,FALSE)</f>
        <v>SINAPI</v>
      </c>
      <c r="D88" s="24" t="str">
        <f>VLOOKUP(A88,MEMORIA!$A:$N,4,FALSE)</f>
        <v>REGISTRO DE GAVETA BRUTO, LATÃO, ROSCÁVEL, 1 1/2" - FORNECIMENTO E INSTALAÇÃO. AF_08/2021</v>
      </c>
      <c r="E88" s="23" t="str">
        <f>VLOOKUP(A88,MEMORIA!$A:$N,5,FALSE)</f>
        <v>UN</v>
      </c>
      <c r="F88" s="5">
        <f>VLOOKUP(A88,MEMORIA!$A:$N,14,FALSE)</f>
        <v>1</v>
      </c>
      <c r="G88" s="5">
        <f>VLOOKUP(A88,ORCAMENTO!$A:$I,7,FALSE)</f>
        <v>118.80000000000001</v>
      </c>
      <c r="H88" s="5">
        <f>VLOOKUP(A88,ORCAMENTO!$A:$I,8,FALSE)</f>
        <v>148.31</v>
      </c>
      <c r="I88" s="5">
        <f>ROUND(F88*H88,2)</f>
        <v>148.31</v>
      </c>
      <c r="J88" s="5">
        <f>ROUND(K88*$H88,2)</f>
        <v>148.31</v>
      </c>
      <c r="K88" s="5">
        <f t="shared" si="27"/>
        <v>1</v>
      </c>
      <c r="L88" s="25">
        <f t="shared" si="19"/>
        <v>1</v>
      </c>
      <c r="M88" s="5">
        <f>ROUND(N88*$H88,2)</f>
        <v>0</v>
      </c>
      <c r="N88" s="5">
        <v>0</v>
      </c>
      <c r="O88" s="25">
        <f t="shared" si="21"/>
        <v>0</v>
      </c>
      <c r="P88" s="5">
        <f>ROUND(Q88*$H88,2)</f>
        <v>0</v>
      </c>
      <c r="Q88" s="5">
        <v>0</v>
      </c>
      <c r="R88" s="25">
        <f t="shared" si="23"/>
        <v>0</v>
      </c>
      <c r="S88" s="5">
        <f t="shared" si="24"/>
        <v>148.31</v>
      </c>
      <c r="T88" s="25">
        <f t="shared" si="25"/>
        <v>1</v>
      </c>
      <c r="U88" s="25">
        <f t="shared" si="26"/>
        <v>2.0377313766623822E-4</v>
      </c>
    </row>
    <row r="89" spans="1:21" x14ac:dyDescent="0.3">
      <c r="A89" s="12" t="s">
        <v>42</v>
      </c>
      <c r="B89" s="46" t="str">
        <f>VLOOKUP(A89,MEMORIA!$A:$N,2,FALSE)</f>
        <v>RESERVAÇÃO</v>
      </c>
      <c r="C89" s="47"/>
      <c r="D89" s="47"/>
      <c r="E89" s="47"/>
      <c r="F89" s="47"/>
      <c r="G89" s="47"/>
      <c r="H89" s="48"/>
      <c r="I89" s="13">
        <f>SUM(I$90:I$90)</f>
        <v>20347.62</v>
      </c>
      <c r="J89" s="13">
        <f>SUM(J$90:J$90)</f>
        <v>20347.62</v>
      </c>
      <c r="K89" s="13"/>
      <c r="L89" s="14">
        <f t="shared" si="19"/>
        <v>1</v>
      </c>
      <c r="M89" s="13">
        <f>SUM(M$90:M$90)</f>
        <v>0</v>
      </c>
      <c r="N89" s="13"/>
      <c r="O89" s="14">
        <f t="shared" si="21"/>
        <v>0</v>
      </c>
      <c r="P89" s="13">
        <f>SUM(P$90:P$90)</f>
        <v>0</v>
      </c>
      <c r="Q89" s="13"/>
      <c r="R89" s="14">
        <f t="shared" si="23"/>
        <v>0</v>
      </c>
      <c r="S89" s="13">
        <f t="shared" si="24"/>
        <v>20347.62</v>
      </c>
      <c r="T89" s="14">
        <f t="shared" si="25"/>
        <v>1</v>
      </c>
      <c r="U89" s="14">
        <f t="shared" si="26"/>
        <v>2.7956971016386636E-2</v>
      </c>
    </row>
    <row r="90" spans="1:21" ht="57.6" x14ac:dyDescent="0.3">
      <c r="A90" s="23" t="s">
        <v>204</v>
      </c>
      <c r="B90" s="23" t="str">
        <f>VLOOKUP(A90,MEMORIA!$A:$N,2,FALSE)</f>
        <v>COMPOS32</v>
      </c>
      <c r="C90" s="23" t="str">
        <f>VLOOKUP(A90,MEMORIA!$A:$N,3,FALSE)</f>
        <v>PRÓPRIA</v>
      </c>
      <c r="D90" s="24" t="str">
        <f>VLOOKUP(A90,MEMORIA!$A:$N,4,FALSE)</f>
        <v>RESERVATÓRIO ELEVADO C/ CAIXA D'AGUA EM FIBRA DE VIDRO DE 10.000 LITROS APOIADO EM ESTRUTURA PRÉ-MOLDADA EM CONCRETO, COMPOSTA DE CAPITEL P/APOIO DA CAIXA E PILAR C/ALTURA ÚTIL = 7,00M, INCLUSO FRETE E MONTAGEM NO LOCAL, EXCETO INST. HIDRÁULICA</v>
      </c>
      <c r="E90" s="23" t="str">
        <f>VLOOKUP(A90,MEMORIA!$A:$N,5,FALSE)</f>
        <v>UND</v>
      </c>
      <c r="F90" s="5">
        <f>VLOOKUP(A90,MEMORIA!$A:$N,14,FALSE)</f>
        <v>1</v>
      </c>
      <c r="G90" s="5">
        <f>VLOOKUP(A90,ORCAMENTO!$A:$I,7,FALSE)</f>
        <v>16298.96</v>
      </c>
      <c r="H90" s="5">
        <f>VLOOKUP(A90,ORCAMENTO!$A:$I,8,FALSE)</f>
        <v>20347.62</v>
      </c>
      <c r="I90" s="5">
        <f>ROUND(F90*H90,2)</f>
        <v>20347.62</v>
      </c>
      <c r="J90" s="5">
        <f>ROUND(K90*$H90,2)</f>
        <v>20347.62</v>
      </c>
      <c r="K90" s="5">
        <f t="shared" si="27"/>
        <v>1</v>
      </c>
      <c r="L90" s="25">
        <f t="shared" si="19"/>
        <v>1</v>
      </c>
      <c r="M90" s="5">
        <f>ROUND(N90*$H90,2)</f>
        <v>0</v>
      </c>
      <c r="N90" s="5">
        <v>0</v>
      </c>
      <c r="O90" s="25">
        <f t="shared" si="21"/>
        <v>0</v>
      </c>
      <c r="P90" s="5">
        <f>ROUND(Q90*$H90,2)</f>
        <v>0</v>
      </c>
      <c r="Q90" s="5">
        <v>0</v>
      </c>
      <c r="R90" s="25">
        <f t="shared" si="23"/>
        <v>0</v>
      </c>
      <c r="S90" s="5">
        <f t="shared" si="24"/>
        <v>20347.62</v>
      </c>
      <c r="T90" s="25">
        <f t="shared" si="25"/>
        <v>1</v>
      </c>
      <c r="U90" s="25">
        <f t="shared" si="26"/>
        <v>2.7956971016386636E-2</v>
      </c>
    </row>
    <row r="91" spans="1:21" x14ac:dyDescent="0.3">
      <c r="A91" s="12" t="s">
        <v>43</v>
      </c>
      <c r="B91" s="46" t="str">
        <f>VLOOKUP(A91,MEMORIA!$A:$N,2,FALSE)</f>
        <v>DISTRIBUIÇÃO (CHAFARIZ)</v>
      </c>
      <c r="C91" s="47"/>
      <c r="D91" s="47"/>
      <c r="E91" s="47"/>
      <c r="F91" s="47"/>
      <c r="G91" s="47"/>
      <c r="H91" s="48"/>
      <c r="I91" s="13">
        <f>SUM(I$92:I$103)</f>
        <v>2831.9999999999995</v>
      </c>
      <c r="J91" s="13">
        <f>SUM(J$92:J$103)</f>
        <v>2831.9999999999995</v>
      </c>
      <c r="K91" s="13"/>
      <c r="L91" s="14">
        <f t="shared" si="19"/>
        <v>1</v>
      </c>
      <c r="M91" s="13">
        <f>SUM(M$92:M$103)</f>
        <v>0</v>
      </c>
      <c r="N91" s="13"/>
      <c r="O91" s="14">
        <f t="shared" si="21"/>
        <v>0</v>
      </c>
      <c r="P91" s="13">
        <f>SUM(P$92:P$103)</f>
        <v>0</v>
      </c>
      <c r="Q91" s="13"/>
      <c r="R91" s="14">
        <f t="shared" si="23"/>
        <v>0</v>
      </c>
      <c r="S91" s="13">
        <f t="shared" si="24"/>
        <v>2831.9999999999995</v>
      </c>
      <c r="T91" s="14">
        <f t="shared" si="25"/>
        <v>1</v>
      </c>
      <c r="U91" s="14">
        <f t="shared" si="26"/>
        <v>3.8910762987714015E-3</v>
      </c>
    </row>
    <row r="92" spans="1:21" ht="28.8" x14ac:dyDescent="0.3">
      <c r="A92" s="23" t="s">
        <v>205</v>
      </c>
      <c r="B92" s="23" t="str">
        <f>VLOOKUP(A92,MEMORIA!$A:$N,2,FALSE)</f>
        <v>COMPOS27</v>
      </c>
      <c r="C92" s="23" t="str">
        <f>VLOOKUP(A92,MEMORIA!$A:$N,3,FALSE)</f>
        <v>PRÓPRIA</v>
      </c>
      <c r="D92" s="24" t="str">
        <f>VLOOKUP(A92,MEMORIA!$A:$N,4,FALSE)</f>
        <v>AQUISIÇÃO E ASSENTAMENTO DE TUBO RÍGIDO PVC, CLASSE 12, DN 50 MM, INCLUSO CONEXÕES</v>
      </c>
      <c r="E92" s="23" t="str">
        <f>VLOOKUP(A92,MEMORIA!$A:$N,5,FALSE)</f>
        <v>M</v>
      </c>
      <c r="F92" s="5">
        <f>VLOOKUP(A92,MEMORIA!$A:$N,14,FALSE)</f>
        <v>18</v>
      </c>
      <c r="G92" s="5">
        <f>VLOOKUP(A92,ORCAMENTO!$A:$I,7,FALSE)</f>
        <v>25.79</v>
      </c>
      <c r="H92" s="5">
        <f>VLOOKUP(A92,ORCAMENTO!$A:$I,8,FALSE)</f>
        <v>32.200000000000003</v>
      </c>
      <c r="I92" s="5">
        <f t="shared" ref="I92:I103" si="28">ROUND(F92*H92,2)</f>
        <v>579.6</v>
      </c>
      <c r="J92" s="5">
        <f t="shared" ref="J92:J103" si="29">ROUND(K92*$H92,2)</f>
        <v>579.6</v>
      </c>
      <c r="K92" s="5">
        <f t="shared" si="27"/>
        <v>18</v>
      </c>
      <c r="L92" s="25">
        <f t="shared" si="19"/>
        <v>1</v>
      </c>
      <c r="M92" s="5">
        <f t="shared" ref="M92:M103" si="30">ROUND(N92*$H92,2)</f>
        <v>0</v>
      </c>
      <c r="N92" s="5">
        <v>0</v>
      </c>
      <c r="O92" s="25">
        <f t="shared" si="21"/>
        <v>0</v>
      </c>
      <c r="P92" s="5">
        <f t="shared" ref="P92:P103" si="31">ROUND(Q92*$H92,2)</f>
        <v>0</v>
      </c>
      <c r="Q92" s="5">
        <v>0</v>
      </c>
      <c r="R92" s="25">
        <f t="shared" si="23"/>
        <v>0</v>
      </c>
      <c r="S92" s="5">
        <f t="shared" si="24"/>
        <v>579.6</v>
      </c>
      <c r="T92" s="25">
        <f t="shared" si="25"/>
        <v>1</v>
      </c>
      <c r="U92" s="25">
        <f t="shared" si="26"/>
        <v>7.963516323332997E-4</v>
      </c>
    </row>
    <row r="93" spans="1:21" ht="28.8" x14ac:dyDescent="0.3">
      <c r="A93" s="23" t="s">
        <v>206</v>
      </c>
      <c r="B93" s="23" t="str">
        <f>VLOOKUP(A93,MEMORIA!$A:$N,2,FALSE)</f>
        <v>06457/ORSE</v>
      </c>
      <c r="C93" s="23" t="str">
        <f>VLOOKUP(A93,MEMORIA!$A:$N,3,FALSE)</f>
        <v>ORSE</v>
      </c>
      <c r="D93" s="24" t="str">
        <f>VLOOKUP(A93,MEMORIA!$A:$N,4,FALSE)</f>
        <v>CONCRETO ARMADO FCK=15MPA FABRICADO NA OBRA, ADENSADO E LANÇADO, PARA USO GERAL, COM FORMAS PLANAS EM COMPENSADO RESINADO 12MM (05 USOS)</v>
      </c>
      <c r="E93" s="23" t="str">
        <f>VLOOKUP(A93,MEMORIA!$A:$N,5,FALSE)</f>
        <v>M3</v>
      </c>
      <c r="F93" s="5">
        <f>VLOOKUP(A93,MEMORIA!$A:$N,14,FALSE)</f>
        <v>0.26</v>
      </c>
      <c r="G93" s="5">
        <f>VLOOKUP(A93,ORCAMENTO!$A:$I,7,FALSE)</f>
        <v>2617.91</v>
      </c>
      <c r="H93" s="5">
        <f>VLOOKUP(A93,ORCAMENTO!$A:$I,8,FALSE)</f>
        <v>3268.2</v>
      </c>
      <c r="I93" s="5">
        <f t="shared" si="28"/>
        <v>849.73</v>
      </c>
      <c r="J93" s="5">
        <f t="shared" si="29"/>
        <v>849.73</v>
      </c>
      <c r="K93" s="5">
        <f t="shared" si="27"/>
        <v>0.26</v>
      </c>
      <c r="L93" s="25">
        <f t="shared" si="19"/>
        <v>1</v>
      </c>
      <c r="M93" s="5">
        <f t="shared" si="30"/>
        <v>0</v>
      </c>
      <c r="N93" s="5">
        <v>0</v>
      </c>
      <c r="O93" s="25">
        <f t="shared" si="21"/>
        <v>0</v>
      </c>
      <c r="P93" s="5">
        <f t="shared" si="31"/>
        <v>0</v>
      </c>
      <c r="Q93" s="5">
        <v>0</v>
      </c>
      <c r="R93" s="25">
        <f t="shared" si="23"/>
        <v>0</v>
      </c>
      <c r="S93" s="5">
        <f t="shared" si="24"/>
        <v>849.73</v>
      </c>
      <c r="T93" s="25">
        <f t="shared" si="25"/>
        <v>1</v>
      </c>
      <c r="U93" s="25">
        <f t="shared" si="26"/>
        <v>1.1675015054219715E-3</v>
      </c>
    </row>
    <row r="94" spans="1:21" ht="28.8" x14ac:dyDescent="0.3">
      <c r="A94" s="23" t="s">
        <v>207</v>
      </c>
      <c r="B94" s="23">
        <f>VLOOKUP(A94,MEMORIA!$A:$N,2,FALSE)</f>
        <v>86906</v>
      </c>
      <c r="C94" s="23" t="str">
        <f>VLOOKUP(A94,MEMORIA!$A:$N,3,FALSE)</f>
        <v>SINAPI</v>
      </c>
      <c r="D94" s="24" t="str">
        <f>VLOOKUP(A94,MEMORIA!$A:$N,4,FALSE)</f>
        <v>TORNEIRA CROMADA DE MESA, 1/2" OU 3/4", PARA LAVATÓRIO, PADRÃO POPULAR - FORNECIMENTO E INSTALAÇÃO. AF_01/2020</v>
      </c>
      <c r="E94" s="23" t="str">
        <f>VLOOKUP(A94,MEMORIA!$A:$N,5,FALSE)</f>
        <v>UN</v>
      </c>
      <c r="F94" s="5">
        <f>VLOOKUP(A94,MEMORIA!$A:$N,14,FALSE)</f>
        <v>4</v>
      </c>
      <c r="G94" s="5">
        <f>VLOOKUP(A94,ORCAMENTO!$A:$I,7,FALSE)</f>
        <v>81.239999999999995</v>
      </c>
      <c r="H94" s="5">
        <f>VLOOKUP(A94,ORCAMENTO!$A:$I,8,FALSE)</f>
        <v>101.41999999999999</v>
      </c>
      <c r="I94" s="5">
        <f t="shared" si="28"/>
        <v>405.68</v>
      </c>
      <c r="J94" s="5">
        <f t="shared" si="29"/>
        <v>405.68</v>
      </c>
      <c r="K94" s="5">
        <f t="shared" si="27"/>
        <v>4</v>
      </c>
      <c r="L94" s="25">
        <f t="shared" si="19"/>
        <v>1</v>
      </c>
      <c r="M94" s="5">
        <f t="shared" si="30"/>
        <v>0</v>
      </c>
      <c r="N94" s="5">
        <v>0</v>
      </c>
      <c r="O94" s="25">
        <f t="shared" si="21"/>
        <v>0</v>
      </c>
      <c r="P94" s="5">
        <f t="shared" si="31"/>
        <v>0</v>
      </c>
      <c r="Q94" s="5">
        <v>0</v>
      </c>
      <c r="R94" s="25">
        <f t="shared" si="23"/>
        <v>0</v>
      </c>
      <c r="S94" s="5">
        <f t="shared" si="24"/>
        <v>405.68</v>
      </c>
      <c r="T94" s="25">
        <f t="shared" si="25"/>
        <v>1</v>
      </c>
      <c r="U94" s="25">
        <f t="shared" si="26"/>
        <v>5.5739118392852483E-4</v>
      </c>
    </row>
    <row r="95" spans="1:21" ht="43.2" x14ac:dyDescent="0.3">
      <c r="A95" s="23" t="s">
        <v>208</v>
      </c>
      <c r="B95" s="23">
        <f>VLOOKUP(A95,MEMORIA!$A:$N,2,FALSE)</f>
        <v>92920</v>
      </c>
      <c r="C95" s="23" t="str">
        <f>VLOOKUP(A95,MEMORIA!$A:$N,3,FALSE)</f>
        <v>SINAPI</v>
      </c>
      <c r="D95" s="24" t="str">
        <f>VLOOKUP(A95,MEMORIA!$A:$N,4,FALSE)</f>
        <v>LUVA DE REDUÇÃO, EM FERRO GALVANIZADO, 1" X 3/4", CONEXÃO ROSQUEADA, INSTALADO EM REDE DE ALIMENTAÇÃO PARA HIDRANTE - FORNECIMENTO E INSTALAÇÃO. AF_10/2020</v>
      </c>
      <c r="E95" s="23" t="str">
        <f>VLOOKUP(A95,MEMORIA!$A:$N,5,FALSE)</f>
        <v>UN</v>
      </c>
      <c r="F95" s="5">
        <f>VLOOKUP(A95,MEMORIA!$A:$N,14,FALSE)</f>
        <v>4</v>
      </c>
      <c r="G95" s="5">
        <f>VLOOKUP(A95,ORCAMENTO!$A:$I,7,FALSE)</f>
        <v>35.64</v>
      </c>
      <c r="H95" s="5">
        <f>VLOOKUP(A95,ORCAMENTO!$A:$I,8,FALSE)</f>
        <v>44.49</v>
      </c>
      <c r="I95" s="5">
        <f t="shared" si="28"/>
        <v>177.96</v>
      </c>
      <c r="J95" s="5">
        <f t="shared" si="29"/>
        <v>177.96</v>
      </c>
      <c r="K95" s="5">
        <f t="shared" si="27"/>
        <v>4</v>
      </c>
      <c r="L95" s="25">
        <f t="shared" si="19"/>
        <v>1</v>
      </c>
      <c r="M95" s="5">
        <f t="shared" si="30"/>
        <v>0</v>
      </c>
      <c r="N95" s="5">
        <v>0</v>
      </c>
      <c r="O95" s="25">
        <f t="shared" si="21"/>
        <v>0</v>
      </c>
      <c r="P95" s="5">
        <f t="shared" si="31"/>
        <v>0</v>
      </c>
      <c r="Q95" s="5">
        <v>0</v>
      </c>
      <c r="R95" s="25">
        <f t="shared" si="23"/>
        <v>0</v>
      </c>
      <c r="S95" s="5">
        <f t="shared" si="24"/>
        <v>177.96</v>
      </c>
      <c r="T95" s="25">
        <f t="shared" si="25"/>
        <v>1</v>
      </c>
      <c r="U95" s="25">
        <f t="shared" si="26"/>
        <v>2.4451127758805041E-4</v>
      </c>
    </row>
    <row r="96" spans="1:21" x14ac:dyDescent="0.3">
      <c r="A96" s="23" t="s">
        <v>209</v>
      </c>
      <c r="B96" s="23" t="str">
        <f>VLOOKUP(A96,MEMORIA!$A:$N,2,FALSE)</f>
        <v>COMPCH08</v>
      </c>
      <c r="C96" s="23" t="str">
        <f>VLOOKUP(A96,MEMORIA!$A:$N,3,FALSE)</f>
        <v>PRÓPRIA</v>
      </c>
      <c r="D96" s="24" t="str">
        <f>VLOOKUP(A96,MEMORIA!$A:$N,4,FALSE)</f>
        <v>CRUZETA DE FERRO GALVANIZADO, COM ROSCA BSP, DE 1"</v>
      </c>
      <c r="E96" s="23" t="str">
        <f>VLOOKUP(A96,MEMORIA!$A:$N,5,FALSE)</f>
        <v>UN</v>
      </c>
      <c r="F96" s="5">
        <f>VLOOKUP(A96,MEMORIA!$A:$N,14,FALSE)</f>
        <v>1</v>
      </c>
      <c r="G96" s="5">
        <f>VLOOKUP(A96,ORCAMENTO!$A:$I,7,FALSE)</f>
        <v>85.84</v>
      </c>
      <c r="H96" s="5">
        <f>VLOOKUP(A96,ORCAMENTO!$A:$I,8,FALSE)</f>
        <v>107.16</v>
      </c>
      <c r="I96" s="5">
        <f t="shared" si="28"/>
        <v>107.16</v>
      </c>
      <c r="J96" s="5">
        <f t="shared" si="29"/>
        <v>107.16</v>
      </c>
      <c r="K96" s="5">
        <f t="shared" si="27"/>
        <v>1</v>
      </c>
      <c r="L96" s="25">
        <f t="shared" si="19"/>
        <v>1</v>
      </c>
      <c r="M96" s="5">
        <f t="shared" si="30"/>
        <v>0</v>
      </c>
      <c r="N96" s="5">
        <v>0</v>
      </c>
      <c r="O96" s="25">
        <f t="shared" si="21"/>
        <v>0</v>
      </c>
      <c r="P96" s="5">
        <f t="shared" si="31"/>
        <v>0</v>
      </c>
      <c r="Q96" s="5">
        <v>0</v>
      </c>
      <c r="R96" s="25">
        <f t="shared" si="23"/>
        <v>0</v>
      </c>
      <c r="S96" s="5">
        <f t="shared" si="24"/>
        <v>107.16</v>
      </c>
      <c r="T96" s="25">
        <f t="shared" si="25"/>
        <v>1</v>
      </c>
      <c r="U96" s="25">
        <f t="shared" si="26"/>
        <v>1.4723437011876533E-4</v>
      </c>
    </row>
    <row r="97" spans="1:21" ht="28.8" x14ac:dyDescent="0.3">
      <c r="A97" s="23" t="s">
        <v>210</v>
      </c>
      <c r="B97" s="23" t="str">
        <f>VLOOKUP(A97,MEMORIA!$A:$N,2,FALSE)</f>
        <v>COMPCH01</v>
      </c>
      <c r="C97" s="23" t="str">
        <f>VLOOKUP(A97,MEMORIA!$A:$N,3,FALSE)</f>
        <v>PRÓPRIA</v>
      </c>
      <c r="D97" s="24" t="str">
        <f>VLOOKUP(A97,MEMORIA!$A:$N,4,FALSE)</f>
        <v>TÊ, EM FERRO GALVANIZADO, 1", CONEXÃO ROSQUEADA, INSTALADO EM PRUMADAS - FORNECIMENTO E INSTALAÇÃO.</v>
      </c>
      <c r="E97" s="23" t="str">
        <f>VLOOKUP(A97,MEMORIA!$A:$N,5,FALSE)</f>
        <v>UN</v>
      </c>
      <c r="F97" s="5">
        <f>VLOOKUP(A97,MEMORIA!$A:$N,14,FALSE)</f>
        <v>1</v>
      </c>
      <c r="G97" s="5">
        <f>VLOOKUP(A97,ORCAMENTO!$A:$I,7,FALSE)</f>
        <v>69.28</v>
      </c>
      <c r="H97" s="5">
        <f>VLOOKUP(A97,ORCAMENTO!$A:$I,8,FALSE)</f>
        <v>86.490000000000009</v>
      </c>
      <c r="I97" s="5">
        <f t="shared" si="28"/>
        <v>86.49</v>
      </c>
      <c r="J97" s="5">
        <f t="shared" si="29"/>
        <v>86.49</v>
      </c>
      <c r="K97" s="5">
        <f t="shared" si="27"/>
        <v>1</v>
      </c>
      <c r="L97" s="25">
        <f t="shared" si="19"/>
        <v>1</v>
      </c>
      <c r="M97" s="5">
        <f t="shared" si="30"/>
        <v>0</v>
      </c>
      <c r="N97" s="5">
        <v>0</v>
      </c>
      <c r="O97" s="25">
        <f t="shared" si="21"/>
        <v>0</v>
      </c>
      <c r="P97" s="5">
        <f t="shared" si="31"/>
        <v>0</v>
      </c>
      <c r="Q97" s="5">
        <v>0</v>
      </c>
      <c r="R97" s="25">
        <f t="shared" si="23"/>
        <v>0</v>
      </c>
      <c r="S97" s="5">
        <f t="shared" si="24"/>
        <v>86.49</v>
      </c>
      <c r="T97" s="25">
        <f t="shared" si="25"/>
        <v>1</v>
      </c>
      <c r="U97" s="25">
        <f t="shared" si="26"/>
        <v>1.1883445942116473E-4</v>
      </c>
    </row>
    <row r="98" spans="1:21" x14ac:dyDescent="0.3">
      <c r="A98" s="23" t="s">
        <v>211</v>
      </c>
      <c r="B98" s="23" t="str">
        <f>VLOOKUP(A98,MEMORIA!$A:$N,2,FALSE)</f>
        <v>COMPCH02</v>
      </c>
      <c r="C98" s="23" t="str">
        <f>VLOOKUP(A98,MEMORIA!$A:$N,3,FALSE)</f>
        <v>PRÓPRIA</v>
      </c>
      <c r="D98" s="24" t="str">
        <f>VLOOKUP(A98,MEMORIA!$A:$N,4,FALSE)</f>
        <v>LUVA DE FERRO GALVANIZADO, COM ROSCA BSP, DE 1"- FORNECIMENTO E INSTALAÇÃO</v>
      </c>
      <c r="E98" s="23" t="str">
        <f>VLOOKUP(A98,MEMORIA!$A:$N,5,FALSE)</f>
        <v>UN</v>
      </c>
      <c r="F98" s="5">
        <f>VLOOKUP(A98,MEMORIA!$A:$N,14,FALSE)</f>
        <v>1</v>
      </c>
      <c r="G98" s="5">
        <f>VLOOKUP(A98,ORCAMENTO!$A:$I,7,FALSE)</f>
        <v>21.18</v>
      </c>
      <c r="H98" s="5">
        <f>VLOOKUP(A98,ORCAMENTO!$A:$I,8,FALSE)</f>
        <v>26.439999999999998</v>
      </c>
      <c r="I98" s="5">
        <f t="shared" si="28"/>
        <v>26.44</v>
      </c>
      <c r="J98" s="5">
        <f t="shared" si="29"/>
        <v>26.44</v>
      </c>
      <c r="K98" s="5">
        <f t="shared" si="27"/>
        <v>1</v>
      </c>
      <c r="L98" s="25">
        <f t="shared" si="19"/>
        <v>1</v>
      </c>
      <c r="M98" s="5">
        <f t="shared" si="30"/>
        <v>0</v>
      </c>
      <c r="N98" s="5">
        <v>0</v>
      </c>
      <c r="O98" s="25">
        <f t="shared" si="21"/>
        <v>0</v>
      </c>
      <c r="P98" s="5">
        <f t="shared" si="31"/>
        <v>0</v>
      </c>
      <c r="Q98" s="5">
        <v>0</v>
      </c>
      <c r="R98" s="25">
        <f t="shared" si="23"/>
        <v>0</v>
      </c>
      <c r="S98" s="5">
        <f t="shared" si="24"/>
        <v>26.44</v>
      </c>
      <c r="T98" s="25">
        <f t="shared" si="25"/>
        <v>1</v>
      </c>
      <c r="U98" s="25">
        <f t="shared" si="26"/>
        <v>3.6327703862823399E-5</v>
      </c>
    </row>
    <row r="99" spans="1:21" ht="28.8" x14ac:dyDescent="0.3">
      <c r="A99" s="23" t="s">
        <v>212</v>
      </c>
      <c r="B99" s="23" t="str">
        <f>VLOOKUP(A99,MEMORIA!$A:$N,2,FALSE)</f>
        <v>COMPCH03</v>
      </c>
      <c r="C99" s="23" t="str">
        <f>VLOOKUP(A99,MEMORIA!$A:$N,3,FALSE)</f>
        <v>PRÓPRIA</v>
      </c>
      <c r="D99" s="24" t="str">
        <f>VLOOKUP(A99,MEMORIA!$A:$N,4,FALSE)</f>
        <v>CURVA 90 GRAUS DE FERRO GALVANIZADO, COM ROSCA BSP FEMEA, DE 1"- FORNECIMENTO E INSTALAÇÃO</v>
      </c>
      <c r="E99" s="23" t="str">
        <f>VLOOKUP(A99,MEMORIA!$A:$N,5,FALSE)</f>
        <v>UN</v>
      </c>
      <c r="F99" s="5">
        <f>VLOOKUP(A99,MEMORIA!$A:$N,14,FALSE)</f>
        <v>1</v>
      </c>
      <c r="G99" s="5">
        <f>VLOOKUP(A99,ORCAMENTO!$A:$I,7,FALSE)</f>
        <v>55.2</v>
      </c>
      <c r="H99" s="5">
        <f>VLOOKUP(A99,ORCAMENTO!$A:$I,8,FALSE)</f>
        <v>68.91</v>
      </c>
      <c r="I99" s="5">
        <f t="shared" si="28"/>
        <v>68.91</v>
      </c>
      <c r="J99" s="5">
        <f t="shared" si="29"/>
        <v>68.91</v>
      </c>
      <c r="K99" s="5">
        <f t="shared" si="27"/>
        <v>1</v>
      </c>
      <c r="L99" s="25">
        <f t="shared" si="19"/>
        <v>1</v>
      </c>
      <c r="M99" s="5">
        <f t="shared" si="30"/>
        <v>0</v>
      </c>
      <c r="N99" s="5">
        <v>0</v>
      </c>
      <c r="O99" s="25">
        <f t="shared" si="21"/>
        <v>0</v>
      </c>
      <c r="P99" s="5">
        <f t="shared" si="31"/>
        <v>0</v>
      </c>
      <c r="Q99" s="5">
        <v>0</v>
      </c>
      <c r="R99" s="25">
        <f t="shared" si="23"/>
        <v>0</v>
      </c>
      <c r="S99" s="5">
        <f t="shared" si="24"/>
        <v>68.91</v>
      </c>
      <c r="T99" s="25">
        <f t="shared" si="25"/>
        <v>1</v>
      </c>
      <c r="U99" s="25">
        <f t="shared" si="26"/>
        <v>9.46801086681982E-5</v>
      </c>
    </row>
    <row r="100" spans="1:21" ht="28.8" x14ac:dyDescent="0.3">
      <c r="A100" s="23" t="s">
        <v>213</v>
      </c>
      <c r="B100" s="23" t="str">
        <f>VLOOKUP(A100,MEMORIA!$A:$N,2,FALSE)</f>
        <v>COMPCH04</v>
      </c>
      <c r="C100" s="23" t="str">
        <f>VLOOKUP(A100,MEMORIA!$A:$N,3,FALSE)</f>
        <v>PRÓPRIA</v>
      </c>
      <c r="D100" s="24" t="str">
        <f>VLOOKUP(A100,MEMORIA!$A:$N,4,FALSE)</f>
        <v>TUBO DE AÇO GALVANIZADO COM COSTURA 1" (25MM), INCLUSIVE CONEXOES - FORNECIMENTO E INSTALAÇÃO</v>
      </c>
      <c r="E100" s="23" t="str">
        <f>VLOOKUP(A100,MEMORIA!$A:$N,5,FALSE)</f>
        <v>M</v>
      </c>
      <c r="F100" s="5">
        <f>VLOOKUP(A100,MEMORIA!$A:$N,14,FALSE)</f>
        <v>3</v>
      </c>
      <c r="G100" s="5">
        <f>VLOOKUP(A100,ORCAMENTO!$A:$I,7,FALSE)</f>
        <v>46.050000000000004</v>
      </c>
      <c r="H100" s="5">
        <f>VLOOKUP(A100,ORCAMENTO!$A:$I,8,FALSE)</f>
        <v>57.49</v>
      </c>
      <c r="I100" s="5">
        <f t="shared" si="28"/>
        <v>172.47</v>
      </c>
      <c r="J100" s="5">
        <f t="shared" si="29"/>
        <v>172.47</v>
      </c>
      <c r="K100" s="5">
        <f t="shared" si="27"/>
        <v>3</v>
      </c>
      <c r="L100" s="25">
        <f t="shared" si="19"/>
        <v>1</v>
      </c>
      <c r="M100" s="5">
        <f t="shared" si="30"/>
        <v>0</v>
      </c>
      <c r="N100" s="5">
        <v>0</v>
      </c>
      <c r="O100" s="25">
        <f t="shared" si="21"/>
        <v>0</v>
      </c>
      <c r="P100" s="5">
        <f t="shared" si="31"/>
        <v>0</v>
      </c>
      <c r="Q100" s="5">
        <v>0</v>
      </c>
      <c r="R100" s="25">
        <f t="shared" si="23"/>
        <v>0</v>
      </c>
      <c r="S100" s="5">
        <f t="shared" si="24"/>
        <v>172.47</v>
      </c>
      <c r="T100" s="25">
        <f t="shared" si="25"/>
        <v>1</v>
      </c>
      <c r="U100" s="25">
        <f t="shared" si="26"/>
        <v>2.3696819535632194E-4</v>
      </c>
    </row>
    <row r="101" spans="1:21" ht="28.8" x14ac:dyDescent="0.3">
      <c r="A101" s="23" t="s">
        <v>214</v>
      </c>
      <c r="B101" s="23" t="str">
        <f>VLOOKUP(A101,MEMORIA!$A:$N,2,FALSE)</f>
        <v>COMPCH05</v>
      </c>
      <c r="C101" s="23" t="str">
        <f>VLOOKUP(A101,MEMORIA!$A:$N,3,FALSE)</f>
        <v>PRÓPRIA</v>
      </c>
      <c r="D101" s="24" t="str">
        <f>VLOOKUP(A101,MEMORIA!$A:$N,4,FALSE)</f>
        <v>BUCHA DE REDUCAO DE FERRO GALVANIZADO, COM ROSCA BSP, DE 1 1/2" X 1"- FORNECIMENTO E INSTALAÇÃO</v>
      </c>
      <c r="E101" s="23" t="str">
        <f>VLOOKUP(A101,MEMORIA!$A:$N,5,FALSE)</f>
        <v>UN</v>
      </c>
      <c r="F101" s="5">
        <f>VLOOKUP(A101,MEMORIA!$A:$N,14,FALSE)</f>
        <v>1</v>
      </c>
      <c r="G101" s="5">
        <f>VLOOKUP(A101,ORCAMENTO!$A:$I,7,FALSE)</f>
        <v>37.659999999999997</v>
      </c>
      <c r="H101" s="5">
        <f>VLOOKUP(A101,ORCAMENTO!$A:$I,8,FALSE)</f>
        <v>47.01</v>
      </c>
      <c r="I101" s="5">
        <f t="shared" si="28"/>
        <v>47.01</v>
      </c>
      <c r="J101" s="5">
        <f t="shared" si="29"/>
        <v>47.01</v>
      </c>
      <c r="K101" s="5">
        <f t="shared" si="27"/>
        <v>1</v>
      </c>
      <c r="L101" s="25">
        <f t="shared" si="19"/>
        <v>1</v>
      </c>
      <c r="M101" s="5">
        <f t="shared" si="30"/>
        <v>0</v>
      </c>
      <c r="N101" s="5">
        <v>0</v>
      </c>
      <c r="O101" s="25">
        <f t="shared" si="21"/>
        <v>0</v>
      </c>
      <c r="P101" s="5">
        <f t="shared" si="31"/>
        <v>0</v>
      </c>
      <c r="Q101" s="5">
        <v>0</v>
      </c>
      <c r="R101" s="25">
        <f t="shared" si="23"/>
        <v>0</v>
      </c>
      <c r="S101" s="5">
        <f t="shared" si="24"/>
        <v>47.01</v>
      </c>
      <c r="T101" s="25">
        <f t="shared" si="25"/>
        <v>1</v>
      </c>
      <c r="U101" s="25">
        <f t="shared" si="26"/>
        <v>6.4590217798461724E-5</v>
      </c>
    </row>
    <row r="102" spans="1:21" ht="28.8" x14ac:dyDescent="0.3">
      <c r="A102" s="23" t="s">
        <v>215</v>
      </c>
      <c r="B102" s="23">
        <f>VLOOKUP(A102,MEMORIA!$A:$N,2,FALSE)</f>
        <v>94497</v>
      </c>
      <c r="C102" s="23" t="str">
        <f>VLOOKUP(A102,MEMORIA!$A:$N,3,FALSE)</f>
        <v>SINAPI</v>
      </c>
      <c r="D102" s="24" t="str">
        <f>VLOOKUP(A102,MEMORIA!$A:$N,4,FALSE)</f>
        <v>REGISTRO DE GAVETA BRUTO, LATÃO, ROSCÁVEL, 1 1/2" - FORNECIMENTO E INSTALAÇÃO. AF_08/2021</v>
      </c>
      <c r="E102" s="23" t="str">
        <f>VLOOKUP(A102,MEMORIA!$A:$N,5,FALSE)</f>
        <v>UN</v>
      </c>
      <c r="F102" s="5">
        <f>VLOOKUP(A102,MEMORIA!$A:$N,14,FALSE)</f>
        <v>2</v>
      </c>
      <c r="G102" s="5">
        <f>VLOOKUP(A102,ORCAMENTO!$A:$I,7,FALSE)</f>
        <v>118.80000000000001</v>
      </c>
      <c r="H102" s="5">
        <f>VLOOKUP(A102,ORCAMENTO!$A:$I,8,FALSE)</f>
        <v>148.31</v>
      </c>
      <c r="I102" s="5">
        <f t="shared" si="28"/>
        <v>296.62</v>
      </c>
      <c r="J102" s="5">
        <f t="shared" si="29"/>
        <v>296.62</v>
      </c>
      <c r="K102" s="5">
        <f t="shared" si="27"/>
        <v>2</v>
      </c>
      <c r="L102" s="25">
        <f t="shared" si="19"/>
        <v>1</v>
      </c>
      <c r="M102" s="5">
        <f t="shared" si="30"/>
        <v>0</v>
      </c>
      <c r="N102" s="5">
        <v>0</v>
      </c>
      <c r="O102" s="25">
        <f t="shared" si="21"/>
        <v>0</v>
      </c>
      <c r="P102" s="5">
        <f t="shared" si="31"/>
        <v>0</v>
      </c>
      <c r="Q102" s="5">
        <v>0</v>
      </c>
      <c r="R102" s="25">
        <f t="shared" si="23"/>
        <v>0</v>
      </c>
      <c r="S102" s="5">
        <f t="shared" si="24"/>
        <v>296.62</v>
      </c>
      <c r="T102" s="25">
        <f t="shared" si="25"/>
        <v>1</v>
      </c>
      <c r="U102" s="25">
        <f t="shared" si="26"/>
        <v>4.0754627533247644E-4</v>
      </c>
    </row>
    <row r="103" spans="1:21" ht="28.8" x14ac:dyDescent="0.3">
      <c r="A103" s="23" t="s">
        <v>216</v>
      </c>
      <c r="B103" s="23" t="str">
        <f>VLOOKUP(A103,MEMORIA!$A:$N,2,FALSE)</f>
        <v>COMPCH07</v>
      </c>
      <c r="C103" s="23" t="str">
        <f>VLOOKUP(A103,MEMORIA!$A:$N,3,FALSE)</f>
        <v>PRÓPRIA</v>
      </c>
      <c r="D103" s="24" t="str">
        <f>VLOOKUP(A103,MEMORIA!$A:$N,4,FALSE)</f>
        <v>ADAPTADOR CURTO COM BOLSA E ROSCA PARA REGISTRO, PVC, SOLDÁVEL, DN 40MM X 1.1/2, INSTALADO EM PRUMADA DE ÁGUA - FORNECIMENTO E INSTALAÇÃO</v>
      </c>
      <c r="E103" s="23" t="str">
        <f>VLOOKUP(A103,MEMORIA!$A:$N,5,FALSE)</f>
        <v>UN</v>
      </c>
      <c r="F103" s="5">
        <f>VLOOKUP(A103,MEMORIA!$A:$N,14,FALSE)</f>
        <v>1</v>
      </c>
      <c r="G103" s="5">
        <f>VLOOKUP(A103,ORCAMENTO!$A:$I,7,FALSE)</f>
        <v>11.16</v>
      </c>
      <c r="H103" s="5">
        <f>VLOOKUP(A103,ORCAMENTO!$A:$I,8,FALSE)</f>
        <v>13.93</v>
      </c>
      <c r="I103" s="5">
        <f t="shared" si="28"/>
        <v>13.93</v>
      </c>
      <c r="J103" s="5">
        <f t="shared" si="29"/>
        <v>13.93</v>
      </c>
      <c r="K103" s="5">
        <f t="shared" si="27"/>
        <v>1</v>
      </c>
      <c r="L103" s="25">
        <f t="shared" si="19"/>
        <v>1</v>
      </c>
      <c r="M103" s="5">
        <f t="shared" si="30"/>
        <v>0</v>
      </c>
      <c r="N103" s="5">
        <v>0</v>
      </c>
      <c r="O103" s="25">
        <f t="shared" si="21"/>
        <v>0</v>
      </c>
      <c r="P103" s="5">
        <f t="shared" si="31"/>
        <v>0</v>
      </c>
      <c r="Q103" s="5">
        <v>0</v>
      </c>
      <c r="R103" s="25">
        <f t="shared" si="23"/>
        <v>0</v>
      </c>
      <c r="S103" s="5">
        <f t="shared" si="24"/>
        <v>13.93</v>
      </c>
      <c r="T103" s="25">
        <f t="shared" si="25"/>
        <v>1</v>
      </c>
      <c r="U103" s="25">
        <f t="shared" si="26"/>
        <v>1.9139368941343795E-5</v>
      </c>
    </row>
    <row r="104" spans="1:21" x14ac:dyDescent="0.3">
      <c r="A104" s="9">
        <v>3</v>
      </c>
      <c r="B104" s="52" t="str">
        <f>VLOOKUP(A104,MEMORIA!$A:$N,2,FALSE)</f>
        <v>COMUNIDADE JACAÚNA</v>
      </c>
      <c r="C104" s="53"/>
      <c r="D104" s="53"/>
      <c r="E104" s="53"/>
      <c r="F104" s="53"/>
      <c r="G104" s="53"/>
      <c r="H104" s="54"/>
      <c r="I104" s="10">
        <f>SUM(I$105,I$123,I$130,I$164,I$173,I$182,I$184,)</f>
        <v>136044.70000000001</v>
      </c>
      <c r="J104" s="10">
        <f>SUM(J$105,J$123,J$130,J$164,J$173,J$182,J$184,)</f>
        <v>136044.70000000001</v>
      </c>
      <c r="K104" s="10"/>
      <c r="L104" s="11">
        <f t="shared" si="19"/>
        <v>1</v>
      </c>
      <c r="M104" s="10">
        <f>SUM(M$105,M$123,M$130,M$164,M$173,M$182,M$184,)</f>
        <v>0</v>
      </c>
      <c r="N104" s="10"/>
      <c r="O104" s="11">
        <f t="shared" si="21"/>
        <v>0</v>
      </c>
      <c r="P104" s="10">
        <f>SUM(P$105,P$123,P$130,P$164,P$173,P$182,P$184,)</f>
        <v>0</v>
      </c>
      <c r="Q104" s="10"/>
      <c r="R104" s="11">
        <f t="shared" si="23"/>
        <v>0</v>
      </c>
      <c r="S104" s="10">
        <f t="shared" si="24"/>
        <v>136044.70000000001</v>
      </c>
      <c r="T104" s="11">
        <f t="shared" si="25"/>
        <v>1</v>
      </c>
      <c r="U104" s="11">
        <f t="shared" si="26"/>
        <v>0.1869210126212803</v>
      </c>
    </row>
    <row r="105" spans="1:21" x14ac:dyDescent="0.3">
      <c r="A105" s="12" t="s">
        <v>44</v>
      </c>
      <c r="B105" s="46" t="str">
        <f>VLOOKUP(A105,MEMORIA!$A:$N,2,FALSE)</f>
        <v>PERFURAÇÃO DE POÇO TUBULAR</v>
      </c>
      <c r="C105" s="47"/>
      <c r="D105" s="47"/>
      <c r="E105" s="47"/>
      <c r="F105" s="47"/>
      <c r="G105" s="47"/>
      <c r="H105" s="48"/>
      <c r="I105" s="13">
        <f>SUM(I$106:I$122)</f>
        <v>64469</v>
      </c>
      <c r="J105" s="13">
        <f>SUM(J$106:J$122)</f>
        <v>64469</v>
      </c>
      <c r="K105" s="13"/>
      <c r="L105" s="14">
        <f t="shared" si="19"/>
        <v>1</v>
      </c>
      <c r="M105" s="13">
        <f>SUM(M$106:M$122)</f>
        <v>0</v>
      </c>
      <c r="N105" s="13"/>
      <c r="O105" s="14">
        <f t="shared" si="21"/>
        <v>0</v>
      </c>
      <c r="P105" s="13">
        <f>SUM(P$106:P$122)</f>
        <v>0</v>
      </c>
      <c r="Q105" s="13"/>
      <c r="R105" s="14">
        <f t="shared" si="23"/>
        <v>0</v>
      </c>
      <c r="S105" s="13">
        <f t="shared" si="24"/>
        <v>64469</v>
      </c>
      <c r="T105" s="14">
        <f t="shared" si="25"/>
        <v>1</v>
      </c>
      <c r="U105" s="14">
        <f t="shared" si="26"/>
        <v>8.8578318469453923E-2</v>
      </c>
    </row>
    <row r="106" spans="1:21" x14ac:dyDescent="0.3">
      <c r="A106" s="23" t="s">
        <v>217</v>
      </c>
      <c r="B106" s="23" t="str">
        <f>VLOOKUP(A106,MEMORIA!$A:$N,2,FALSE)</f>
        <v>COMPOS3</v>
      </c>
      <c r="C106" s="23" t="str">
        <f>VLOOKUP(A106,MEMORIA!$A:$N,3,FALSE)</f>
        <v>PRÓPRIA</v>
      </c>
      <c r="D106" s="24" t="str">
        <f>VLOOKUP(A106,MEMORIA!$A:$N,4,FALSE)</f>
        <v>LOCAÇÃO DO POÇO COM ESTUDO GEOLÓGICO/HIDROGEOLÓGICO/GEOFÍSICO</v>
      </c>
      <c r="E106" s="23" t="str">
        <f>VLOOKUP(A106,MEMORIA!$A:$N,5,FALSE)</f>
        <v>UN</v>
      </c>
      <c r="F106" s="5">
        <f>VLOOKUP(A106,MEMORIA!$A:$N,14,FALSE)</f>
        <v>1</v>
      </c>
      <c r="G106" s="5">
        <f>VLOOKUP(A106,ORCAMENTO!$A:$I,7,FALSE)</f>
        <v>1692.3999999999999</v>
      </c>
      <c r="H106" s="5">
        <f>VLOOKUP(A106,ORCAMENTO!$A:$I,8,FALSE)</f>
        <v>2112.79</v>
      </c>
      <c r="I106" s="5">
        <f t="shared" ref="I106:I122" si="32">ROUND(F106*H106,2)</f>
        <v>2112.79</v>
      </c>
      <c r="J106" s="5">
        <f t="shared" ref="J106:J122" si="33">ROUND(K106*$H106,2)</f>
        <v>2112.79</v>
      </c>
      <c r="K106" s="5">
        <f>F106</f>
        <v>1</v>
      </c>
      <c r="L106" s="25">
        <f t="shared" si="19"/>
        <v>1</v>
      </c>
      <c r="M106" s="5">
        <f t="shared" ref="M106:M122" si="34">ROUND(N106*$H106,2)</f>
        <v>0</v>
      </c>
      <c r="N106" s="5">
        <v>0</v>
      </c>
      <c r="O106" s="25">
        <f t="shared" si="21"/>
        <v>0</v>
      </c>
      <c r="P106" s="5">
        <f t="shared" ref="P106:P122" si="35">ROUND(Q106*$H106,2)</f>
        <v>0</v>
      </c>
      <c r="Q106" s="5">
        <v>0</v>
      </c>
      <c r="R106" s="25">
        <f t="shared" si="23"/>
        <v>0</v>
      </c>
      <c r="S106" s="5">
        <f t="shared" si="24"/>
        <v>2112.79</v>
      </c>
      <c r="T106" s="25">
        <f t="shared" si="25"/>
        <v>1</v>
      </c>
      <c r="U106" s="25">
        <f t="shared" si="26"/>
        <v>2.9029050470625812E-3</v>
      </c>
    </row>
    <row r="107" spans="1:21" x14ac:dyDescent="0.3">
      <c r="A107" s="23" t="s">
        <v>218</v>
      </c>
      <c r="B107" s="23" t="str">
        <f>VLOOKUP(A107,MEMORIA!$A:$N,2,FALSE)</f>
        <v>COMPOS4</v>
      </c>
      <c r="C107" s="23" t="str">
        <f>VLOOKUP(A107,MEMORIA!$A:$N,3,FALSE)</f>
        <v>PRÓPRIA</v>
      </c>
      <c r="D107" s="24" t="str">
        <f>VLOOKUP(A107,MEMORIA!$A:$N,4,FALSE)</f>
        <v>TRANSPORTE DE MÁQUINAS E EQUIPAMENTOS</v>
      </c>
      <c r="E107" s="23" t="str">
        <f>VLOOKUP(A107,MEMORIA!$A:$N,5,FALSE)</f>
        <v>KM</v>
      </c>
      <c r="F107" s="5">
        <f>VLOOKUP(A107,MEMORIA!$A:$N,14,FALSE)</f>
        <v>11.1</v>
      </c>
      <c r="G107" s="5">
        <f>VLOOKUP(A107,ORCAMENTO!$A:$I,7,FALSE)</f>
        <v>5.5</v>
      </c>
      <c r="H107" s="5">
        <f>VLOOKUP(A107,ORCAMENTO!$A:$I,8,FALSE)</f>
        <v>6.87</v>
      </c>
      <c r="I107" s="5">
        <f t="shared" si="32"/>
        <v>76.260000000000005</v>
      </c>
      <c r="J107" s="5">
        <f t="shared" si="33"/>
        <v>76.260000000000005</v>
      </c>
      <c r="K107" s="5">
        <f t="shared" ref="K107:K129" si="36">F107</f>
        <v>11.1</v>
      </c>
      <c r="L107" s="25">
        <f t="shared" si="19"/>
        <v>1</v>
      </c>
      <c r="M107" s="5">
        <f t="shared" si="34"/>
        <v>0</v>
      </c>
      <c r="N107" s="5">
        <v>0</v>
      </c>
      <c r="O107" s="25">
        <f t="shared" si="21"/>
        <v>0</v>
      </c>
      <c r="P107" s="5">
        <f t="shared" si="35"/>
        <v>0</v>
      </c>
      <c r="Q107" s="5">
        <v>0</v>
      </c>
      <c r="R107" s="25">
        <f t="shared" si="23"/>
        <v>0</v>
      </c>
      <c r="S107" s="5">
        <f t="shared" si="24"/>
        <v>76.260000000000005</v>
      </c>
      <c r="T107" s="25">
        <f t="shared" si="25"/>
        <v>1</v>
      </c>
      <c r="U107" s="25">
        <f t="shared" si="26"/>
        <v>1.0477877067242484E-4</v>
      </c>
    </row>
    <row r="108" spans="1:21" x14ac:dyDescent="0.3">
      <c r="A108" s="23" t="s">
        <v>219</v>
      </c>
      <c r="B108" s="23" t="str">
        <f>VLOOKUP(A108,MEMORIA!$A:$N,2,FALSE)</f>
        <v>COMPOS4</v>
      </c>
      <c r="C108" s="23" t="str">
        <f>VLOOKUP(A108,MEMORIA!$A:$N,3,FALSE)</f>
        <v>PRÓPRIA</v>
      </c>
      <c r="D108" s="24" t="str">
        <f>VLOOKUP(A108,MEMORIA!$A:$N,4,FALSE)</f>
        <v>TRANSPORTE DE MÁQUINAS E EQUIPAMENTOS</v>
      </c>
      <c r="E108" s="23" t="str">
        <f>VLOOKUP(A108,MEMORIA!$A:$N,5,FALSE)</f>
        <v>KM</v>
      </c>
      <c r="F108" s="5">
        <f>VLOOKUP(A108,MEMORIA!$A:$N,14,FALSE)</f>
        <v>11.1</v>
      </c>
      <c r="G108" s="5">
        <f>VLOOKUP(A108,ORCAMENTO!$A:$I,7,FALSE)</f>
        <v>5.5</v>
      </c>
      <c r="H108" s="5">
        <f>VLOOKUP(A108,ORCAMENTO!$A:$I,8,FALSE)</f>
        <v>6.87</v>
      </c>
      <c r="I108" s="5">
        <f t="shared" si="32"/>
        <v>76.260000000000005</v>
      </c>
      <c r="J108" s="5">
        <f t="shared" si="33"/>
        <v>76.260000000000005</v>
      </c>
      <c r="K108" s="5">
        <f t="shared" si="36"/>
        <v>11.1</v>
      </c>
      <c r="L108" s="25">
        <f t="shared" si="19"/>
        <v>1</v>
      </c>
      <c r="M108" s="5">
        <f t="shared" si="34"/>
        <v>0</v>
      </c>
      <c r="N108" s="5">
        <v>0</v>
      </c>
      <c r="O108" s="25">
        <f t="shared" si="21"/>
        <v>0</v>
      </c>
      <c r="P108" s="5">
        <f t="shared" si="35"/>
        <v>0</v>
      </c>
      <c r="Q108" s="5">
        <v>0</v>
      </c>
      <c r="R108" s="25">
        <f t="shared" si="23"/>
        <v>0</v>
      </c>
      <c r="S108" s="5">
        <f t="shared" si="24"/>
        <v>76.260000000000005</v>
      </c>
      <c r="T108" s="25">
        <f t="shared" si="25"/>
        <v>1</v>
      </c>
      <c r="U108" s="25">
        <f t="shared" si="26"/>
        <v>1.0477877067242484E-4</v>
      </c>
    </row>
    <row r="109" spans="1:21" x14ac:dyDescent="0.3">
      <c r="A109" s="23" t="s">
        <v>220</v>
      </c>
      <c r="B109" s="23" t="str">
        <f>VLOOKUP(A109,MEMORIA!$A:$N,2,FALSE)</f>
        <v>COMPOS5</v>
      </c>
      <c r="C109" s="23" t="str">
        <f>VLOOKUP(A109,MEMORIA!$A:$N,3,FALSE)</f>
        <v>PRÓPRIA</v>
      </c>
      <c r="D109" s="24" t="str">
        <f>VLOOKUP(A109,MEMORIA!$A:$N,4,FALSE)</f>
        <v>PERFILAGEM ÓTICA</v>
      </c>
      <c r="E109" s="23" t="str">
        <f>VLOOKUP(A109,MEMORIA!$A:$N,5,FALSE)</f>
        <v>UN</v>
      </c>
      <c r="F109" s="5">
        <f>VLOOKUP(A109,MEMORIA!$A:$N,14,FALSE)</f>
        <v>1</v>
      </c>
      <c r="G109" s="5">
        <f>VLOOKUP(A109,ORCAMENTO!$A:$I,7,FALSE)</f>
        <v>2908.88</v>
      </c>
      <c r="H109" s="5">
        <f>VLOOKUP(A109,ORCAMENTO!$A:$I,8,FALSE)</f>
        <v>3631.4500000000003</v>
      </c>
      <c r="I109" s="5">
        <f t="shared" si="32"/>
        <v>3631.45</v>
      </c>
      <c r="J109" s="5">
        <f t="shared" si="33"/>
        <v>3631.45</v>
      </c>
      <c r="K109" s="5">
        <f t="shared" si="36"/>
        <v>1</v>
      </c>
      <c r="L109" s="25">
        <f t="shared" si="19"/>
        <v>1</v>
      </c>
      <c r="M109" s="5">
        <f t="shared" si="34"/>
        <v>0</v>
      </c>
      <c r="N109" s="5">
        <v>0</v>
      </c>
      <c r="O109" s="25">
        <f t="shared" si="21"/>
        <v>0</v>
      </c>
      <c r="P109" s="5">
        <f t="shared" si="35"/>
        <v>0</v>
      </c>
      <c r="Q109" s="5">
        <v>0</v>
      </c>
      <c r="R109" s="25">
        <f t="shared" si="23"/>
        <v>0</v>
      </c>
      <c r="S109" s="5">
        <f t="shared" si="24"/>
        <v>3631.45</v>
      </c>
      <c r="T109" s="25">
        <f t="shared" si="25"/>
        <v>1</v>
      </c>
      <c r="U109" s="25">
        <f t="shared" si="26"/>
        <v>4.9894947122787452E-3</v>
      </c>
    </row>
    <row r="110" spans="1:21" x14ac:dyDescent="0.3">
      <c r="A110" s="23" t="s">
        <v>221</v>
      </c>
      <c r="B110" s="23" t="str">
        <f>VLOOKUP(A110,MEMORIA!$A:$N,2,FALSE)</f>
        <v>COMPOS6</v>
      </c>
      <c r="C110" s="23" t="str">
        <f>VLOOKUP(A110,MEMORIA!$A:$N,3,FALSE)</f>
        <v>PRÓPRIA</v>
      </c>
      <c r="D110" s="24" t="str">
        <f>VLOOKUP(A110,MEMORIA!$A:$N,4,FALSE)</f>
        <v>PERFURAÇÃO EM 10'' (SEDIMENTO)</v>
      </c>
      <c r="E110" s="23" t="str">
        <f>VLOOKUP(A110,MEMORIA!$A:$N,5,FALSE)</f>
        <v>M</v>
      </c>
      <c r="F110" s="5">
        <f>VLOOKUP(A110,MEMORIA!$A:$N,14,FALSE)</f>
        <v>35</v>
      </c>
      <c r="G110" s="5">
        <f>VLOOKUP(A110,ORCAMENTO!$A:$I,7,FALSE)</f>
        <v>288.94</v>
      </c>
      <c r="H110" s="5">
        <f>VLOOKUP(A110,ORCAMENTO!$A:$I,8,FALSE)</f>
        <v>360.71</v>
      </c>
      <c r="I110" s="5">
        <f t="shared" si="32"/>
        <v>12624.85</v>
      </c>
      <c r="J110" s="5">
        <f t="shared" si="33"/>
        <v>12624.85</v>
      </c>
      <c r="K110" s="5">
        <f t="shared" si="36"/>
        <v>35</v>
      </c>
      <c r="L110" s="25">
        <f t="shared" si="19"/>
        <v>1</v>
      </c>
      <c r="M110" s="5">
        <f t="shared" si="34"/>
        <v>0</v>
      </c>
      <c r="N110" s="5">
        <v>0</v>
      </c>
      <c r="O110" s="25">
        <f t="shared" si="21"/>
        <v>0</v>
      </c>
      <c r="P110" s="5">
        <f t="shared" si="35"/>
        <v>0</v>
      </c>
      <c r="Q110" s="5">
        <v>0</v>
      </c>
      <c r="R110" s="25">
        <f t="shared" si="23"/>
        <v>0</v>
      </c>
      <c r="S110" s="5">
        <f t="shared" si="24"/>
        <v>12624.85</v>
      </c>
      <c r="T110" s="25">
        <f t="shared" si="25"/>
        <v>1</v>
      </c>
      <c r="U110" s="25">
        <f t="shared" si="26"/>
        <v>1.7346135102593269E-2</v>
      </c>
    </row>
    <row r="111" spans="1:21" x14ac:dyDescent="0.3">
      <c r="A111" s="23" t="s">
        <v>222</v>
      </c>
      <c r="B111" s="23" t="str">
        <f>VLOOKUP(A111,MEMORIA!$A:$N,2,FALSE)</f>
        <v>COMPOS7</v>
      </c>
      <c r="C111" s="23" t="str">
        <f>VLOOKUP(A111,MEMORIA!$A:$N,3,FALSE)</f>
        <v>PRÓPRIA</v>
      </c>
      <c r="D111" s="24" t="str">
        <f>VLOOKUP(A111,MEMORIA!$A:$N,4,FALSE)</f>
        <v>PERFURAÇÃO EM 8'' (ROCHA CRISTALINA)</v>
      </c>
      <c r="E111" s="23" t="str">
        <f>VLOOKUP(A111,MEMORIA!$A:$N,5,FALSE)</f>
        <v>M</v>
      </c>
      <c r="F111" s="5">
        <f>VLOOKUP(A111,MEMORIA!$A:$N,14,FALSE)</f>
        <v>0</v>
      </c>
      <c r="G111" s="5">
        <f>VLOOKUP(A111,ORCAMENTO!$A:$I,7,FALSE)</f>
        <v>368.84000000000003</v>
      </c>
      <c r="H111" s="5">
        <f>VLOOKUP(A111,ORCAMENTO!$A:$I,8,FALSE)</f>
        <v>460.46000000000004</v>
      </c>
      <c r="I111" s="5">
        <f t="shared" si="32"/>
        <v>0</v>
      </c>
      <c r="J111" s="5">
        <f t="shared" si="33"/>
        <v>0</v>
      </c>
      <c r="K111" s="5">
        <f t="shared" si="36"/>
        <v>0</v>
      </c>
      <c r="L111" s="25" t="e">
        <f t="shared" si="19"/>
        <v>#DIV/0!</v>
      </c>
      <c r="M111" s="5">
        <f t="shared" si="34"/>
        <v>0</v>
      </c>
      <c r="N111" s="5">
        <v>0</v>
      </c>
      <c r="O111" s="25" t="e">
        <f t="shared" si="21"/>
        <v>#DIV/0!</v>
      </c>
      <c r="P111" s="5">
        <f t="shared" si="35"/>
        <v>0</v>
      </c>
      <c r="Q111" s="5">
        <v>0</v>
      </c>
      <c r="R111" s="25" t="e">
        <f t="shared" si="23"/>
        <v>#DIV/0!</v>
      </c>
      <c r="S111" s="5">
        <f t="shared" si="24"/>
        <v>0</v>
      </c>
      <c r="T111" s="25" t="e">
        <f t="shared" si="25"/>
        <v>#DIV/0!</v>
      </c>
      <c r="U111" s="25">
        <f t="shared" si="26"/>
        <v>0</v>
      </c>
    </row>
    <row r="112" spans="1:21" x14ac:dyDescent="0.3">
      <c r="A112" s="23" t="s">
        <v>223</v>
      </c>
      <c r="B112" s="23" t="str">
        <f>VLOOKUP(A112,MEMORIA!$A:$N,2,FALSE)</f>
        <v>COMPOS8</v>
      </c>
      <c r="C112" s="23" t="str">
        <f>VLOOKUP(A112,MEMORIA!$A:$N,3,FALSE)</f>
        <v>PRÓPRIA</v>
      </c>
      <c r="D112" s="24" t="str">
        <f>VLOOKUP(A112,MEMORIA!$A:$N,4,FALSE)</f>
        <v>PERFURAÇÃO EM 6'' (SEDIMENTO)</v>
      </c>
      <c r="E112" s="23" t="str">
        <f>VLOOKUP(A112,MEMORIA!$A:$N,5,FALSE)</f>
        <v>M</v>
      </c>
      <c r="F112" s="5">
        <f>VLOOKUP(A112,MEMORIA!$A:$N,14,FALSE)</f>
        <v>95</v>
      </c>
      <c r="G112" s="5">
        <f>VLOOKUP(A112,ORCAMENTO!$A:$I,7,FALSE)</f>
        <v>231.16</v>
      </c>
      <c r="H112" s="5">
        <f>VLOOKUP(A112,ORCAMENTO!$A:$I,8,FALSE)</f>
        <v>288.58</v>
      </c>
      <c r="I112" s="5">
        <f t="shared" si="32"/>
        <v>27415.1</v>
      </c>
      <c r="J112" s="5">
        <f t="shared" si="33"/>
        <v>27415.1</v>
      </c>
      <c r="K112" s="5">
        <f t="shared" si="36"/>
        <v>95</v>
      </c>
      <c r="L112" s="25">
        <f t="shared" si="19"/>
        <v>1</v>
      </c>
      <c r="M112" s="5">
        <f t="shared" si="34"/>
        <v>0</v>
      </c>
      <c r="N112" s="5">
        <v>0</v>
      </c>
      <c r="O112" s="25">
        <f t="shared" si="21"/>
        <v>0</v>
      </c>
      <c r="P112" s="5">
        <f t="shared" si="35"/>
        <v>0</v>
      </c>
      <c r="Q112" s="5">
        <v>0</v>
      </c>
      <c r="R112" s="25">
        <f t="shared" si="23"/>
        <v>0</v>
      </c>
      <c r="S112" s="5">
        <f t="shared" si="24"/>
        <v>27415.1</v>
      </c>
      <c r="T112" s="25">
        <f t="shared" si="25"/>
        <v>1</v>
      </c>
      <c r="U112" s="25">
        <f t="shared" si="26"/>
        <v>3.7667459688717465E-2</v>
      </c>
    </row>
    <row r="113" spans="1:21" x14ac:dyDescent="0.3">
      <c r="A113" s="23" t="s">
        <v>224</v>
      </c>
      <c r="B113" s="23" t="str">
        <f>VLOOKUP(A113,MEMORIA!$A:$N,2,FALSE)</f>
        <v>COMPOS9</v>
      </c>
      <c r="C113" s="23" t="str">
        <f>VLOOKUP(A113,MEMORIA!$A:$N,3,FALSE)</f>
        <v>PRÓPRIA</v>
      </c>
      <c r="D113" s="24" t="str">
        <f>VLOOKUP(A113,MEMORIA!$A:$N,4,FALSE)</f>
        <v>PERFURAÇÃO EM 6'' (ROCHA CRISTALINA)</v>
      </c>
      <c r="E113" s="23" t="str">
        <f>VLOOKUP(A113,MEMORIA!$A:$N,5,FALSE)</f>
        <v>M</v>
      </c>
      <c r="F113" s="5">
        <f>VLOOKUP(A113,MEMORIA!$A:$N,14,FALSE)</f>
        <v>0</v>
      </c>
      <c r="G113" s="5">
        <f>VLOOKUP(A113,ORCAMENTO!$A:$I,7,FALSE)</f>
        <v>330.20000000000005</v>
      </c>
      <c r="H113" s="5">
        <f>VLOOKUP(A113,ORCAMENTO!$A:$I,8,FALSE)</f>
        <v>412.22</v>
      </c>
      <c r="I113" s="5">
        <f t="shared" si="32"/>
        <v>0</v>
      </c>
      <c r="J113" s="5">
        <f t="shared" si="33"/>
        <v>0</v>
      </c>
      <c r="K113" s="5">
        <f t="shared" si="36"/>
        <v>0</v>
      </c>
      <c r="L113" s="25" t="e">
        <f t="shared" si="19"/>
        <v>#DIV/0!</v>
      </c>
      <c r="M113" s="5">
        <f t="shared" si="34"/>
        <v>0</v>
      </c>
      <c r="N113" s="5">
        <v>0</v>
      </c>
      <c r="O113" s="25" t="e">
        <f t="shared" si="21"/>
        <v>#DIV/0!</v>
      </c>
      <c r="P113" s="5">
        <f t="shared" si="35"/>
        <v>0</v>
      </c>
      <c r="Q113" s="5">
        <v>0</v>
      </c>
      <c r="R113" s="25" t="e">
        <f t="shared" si="23"/>
        <v>#DIV/0!</v>
      </c>
      <c r="S113" s="5">
        <f t="shared" si="24"/>
        <v>0</v>
      </c>
      <c r="T113" s="25" t="e">
        <f t="shared" si="25"/>
        <v>#DIV/0!</v>
      </c>
      <c r="U113" s="25">
        <f t="shared" si="26"/>
        <v>0</v>
      </c>
    </row>
    <row r="114" spans="1:21" x14ac:dyDescent="0.3">
      <c r="A114" s="23" t="s">
        <v>225</v>
      </c>
      <c r="B114" s="23" t="str">
        <f>VLOOKUP(A114,MEMORIA!$A:$N,2,FALSE)</f>
        <v>COMPOS10</v>
      </c>
      <c r="C114" s="23" t="str">
        <f>VLOOKUP(A114,MEMORIA!$A:$N,3,FALSE)</f>
        <v>PRÓPRIA</v>
      </c>
      <c r="D114" s="24" t="str">
        <f>VLOOKUP(A114,MEMORIA!$A:$N,4,FALSE)</f>
        <v>CIMENTAÇÃO SANITÁRIA</v>
      </c>
      <c r="E114" s="23" t="str">
        <f>VLOOKUP(A114,MEMORIA!$A:$N,5,FALSE)</f>
        <v>M³</v>
      </c>
      <c r="F114" s="5">
        <f>VLOOKUP(A114,MEMORIA!$A:$N,14,FALSE)</f>
        <v>4.55</v>
      </c>
      <c r="G114" s="5">
        <f>VLOOKUP(A114,ORCAMENTO!$A:$I,7,FALSE)</f>
        <v>164.58999999999997</v>
      </c>
      <c r="H114" s="5">
        <f>VLOOKUP(A114,ORCAMENTO!$A:$I,8,FALSE)</f>
        <v>205.46999999999997</v>
      </c>
      <c r="I114" s="5">
        <f t="shared" si="32"/>
        <v>934.89</v>
      </c>
      <c r="J114" s="5">
        <f t="shared" si="33"/>
        <v>934.89</v>
      </c>
      <c r="K114" s="5">
        <f t="shared" si="36"/>
        <v>4.55</v>
      </c>
      <c r="L114" s="25">
        <f t="shared" si="19"/>
        <v>1</v>
      </c>
      <c r="M114" s="5">
        <f t="shared" si="34"/>
        <v>0</v>
      </c>
      <c r="N114" s="5">
        <v>0</v>
      </c>
      <c r="O114" s="25">
        <f t="shared" si="21"/>
        <v>0</v>
      </c>
      <c r="P114" s="5">
        <f t="shared" si="35"/>
        <v>0</v>
      </c>
      <c r="Q114" s="5">
        <v>0</v>
      </c>
      <c r="R114" s="25">
        <f t="shared" si="23"/>
        <v>0</v>
      </c>
      <c r="S114" s="5">
        <f t="shared" si="24"/>
        <v>934.89</v>
      </c>
      <c r="T114" s="25">
        <f t="shared" si="25"/>
        <v>1</v>
      </c>
      <c r="U114" s="25">
        <f t="shared" si="26"/>
        <v>1.284508587909038E-3</v>
      </c>
    </row>
    <row r="115" spans="1:21" x14ac:dyDescent="0.3">
      <c r="A115" s="23" t="s">
        <v>226</v>
      </c>
      <c r="B115" s="23" t="str">
        <f>VLOOKUP(A115,MEMORIA!$A:$N,2,FALSE)</f>
        <v>COMPOS11</v>
      </c>
      <c r="C115" s="23" t="str">
        <f>VLOOKUP(A115,MEMORIA!$A:$N,3,FALSE)</f>
        <v>PRÓPRIA</v>
      </c>
      <c r="D115" s="24" t="str">
        <f>VLOOKUP(A115,MEMORIA!$A:$N,4,FALSE)</f>
        <v>LAJE DE PROTEÇÃO EM CONCRETO (1,0 M X 1,0 M X 0,15 M)</v>
      </c>
      <c r="E115" s="23" t="str">
        <f>VLOOKUP(A115,MEMORIA!$A:$N,5,FALSE)</f>
        <v>M³</v>
      </c>
      <c r="F115" s="5">
        <f>VLOOKUP(A115,MEMORIA!$A:$N,14,FALSE)</f>
        <v>0.15</v>
      </c>
      <c r="G115" s="5">
        <f>VLOOKUP(A115,ORCAMENTO!$A:$I,7,FALSE)</f>
        <v>1259.1399999999999</v>
      </c>
      <c r="H115" s="5">
        <f>VLOOKUP(A115,ORCAMENTO!$A:$I,8,FALSE)</f>
        <v>1571.9099999999999</v>
      </c>
      <c r="I115" s="5">
        <f t="shared" si="32"/>
        <v>235.79</v>
      </c>
      <c r="J115" s="5">
        <f t="shared" si="33"/>
        <v>235.79</v>
      </c>
      <c r="K115" s="5">
        <f t="shared" si="36"/>
        <v>0.15</v>
      </c>
      <c r="L115" s="25">
        <f t="shared" si="19"/>
        <v>1</v>
      </c>
      <c r="M115" s="5">
        <f t="shared" si="34"/>
        <v>0</v>
      </c>
      <c r="N115" s="5">
        <v>0</v>
      </c>
      <c r="O115" s="25">
        <f t="shared" si="21"/>
        <v>0</v>
      </c>
      <c r="P115" s="5">
        <f t="shared" si="35"/>
        <v>0</v>
      </c>
      <c r="Q115" s="5">
        <v>0</v>
      </c>
      <c r="R115" s="25">
        <f t="shared" si="23"/>
        <v>0</v>
      </c>
      <c r="S115" s="5">
        <f t="shared" si="24"/>
        <v>235.79</v>
      </c>
      <c r="T115" s="25">
        <f t="shared" si="25"/>
        <v>1</v>
      </c>
      <c r="U115" s="25">
        <f t="shared" si="26"/>
        <v>3.2396782503082939E-4</v>
      </c>
    </row>
    <row r="116" spans="1:21" x14ac:dyDescent="0.3">
      <c r="A116" s="23" t="s">
        <v>227</v>
      </c>
      <c r="B116" s="23" t="str">
        <f>VLOOKUP(A116,MEMORIA!$A:$N,2,FALSE)</f>
        <v>COMPOS12</v>
      </c>
      <c r="C116" s="23" t="str">
        <f>VLOOKUP(A116,MEMORIA!$A:$N,3,FALSE)</f>
        <v>PRÓPRIA</v>
      </c>
      <c r="D116" s="24" t="str">
        <f>VLOOKUP(A116,MEMORIA!$A:$N,4,FALSE)</f>
        <v>DESENVOLVIMENTO COM BOMBA SUBMERSA</v>
      </c>
      <c r="E116" s="23" t="str">
        <f>VLOOKUP(A116,MEMORIA!$A:$N,5,FALSE)</f>
        <v>H</v>
      </c>
      <c r="F116" s="5">
        <f>VLOOKUP(A116,MEMORIA!$A:$N,14,FALSE)</f>
        <v>6</v>
      </c>
      <c r="G116" s="5">
        <f>VLOOKUP(A116,ORCAMENTO!$A:$I,7,FALSE)</f>
        <v>513.45000000000005</v>
      </c>
      <c r="H116" s="5">
        <f>VLOOKUP(A116,ORCAMENTO!$A:$I,8,FALSE)</f>
        <v>640.99</v>
      </c>
      <c r="I116" s="5">
        <f t="shared" si="32"/>
        <v>3845.94</v>
      </c>
      <c r="J116" s="5">
        <f t="shared" si="33"/>
        <v>3845.94</v>
      </c>
      <c r="K116" s="5">
        <f t="shared" si="36"/>
        <v>6</v>
      </c>
      <c r="L116" s="25">
        <f t="shared" si="19"/>
        <v>1</v>
      </c>
      <c r="M116" s="5">
        <f t="shared" si="34"/>
        <v>0</v>
      </c>
      <c r="N116" s="5">
        <v>0</v>
      </c>
      <c r="O116" s="25">
        <f t="shared" si="21"/>
        <v>0</v>
      </c>
      <c r="P116" s="5">
        <f t="shared" si="35"/>
        <v>0</v>
      </c>
      <c r="Q116" s="5">
        <v>0</v>
      </c>
      <c r="R116" s="25">
        <f t="shared" si="23"/>
        <v>0</v>
      </c>
      <c r="S116" s="5">
        <f t="shared" si="24"/>
        <v>3845.94</v>
      </c>
      <c r="T116" s="25">
        <f t="shared" si="25"/>
        <v>1</v>
      </c>
      <c r="U116" s="25">
        <f t="shared" si="26"/>
        <v>5.2841970270116126E-3</v>
      </c>
    </row>
    <row r="117" spans="1:21" x14ac:dyDescent="0.3">
      <c r="A117" s="23" t="s">
        <v>228</v>
      </c>
      <c r="B117" s="23" t="str">
        <f>VLOOKUP(A117,MEMORIA!$A:$N,2,FALSE)</f>
        <v>COMPOS13</v>
      </c>
      <c r="C117" s="23" t="str">
        <f>VLOOKUP(A117,MEMORIA!$A:$N,3,FALSE)</f>
        <v>PRÓPRIA</v>
      </c>
      <c r="D117" s="24" t="str">
        <f>VLOOKUP(A117,MEMORIA!$A:$N,4,FALSE)</f>
        <v>TESTE VAZÃO COM BOMBA SUBMERSA</v>
      </c>
      <c r="E117" s="23" t="str">
        <f>VLOOKUP(A117,MEMORIA!$A:$N,5,FALSE)</f>
        <v>H</v>
      </c>
      <c r="F117" s="5">
        <f>VLOOKUP(A117,MEMORIA!$A:$N,14,FALSE)</f>
        <v>24</v>
      </c>
      <c r="G117" s="5">
        <f>VLOOKUP(A117,ORCAMENTO!$A:$I,7,FALSE)</f>
        <v>95.539999999999992</v>
      </c>
      <c r="H117" s="5">
        <f>VLOOKUP(A117,ORCAMENTO!$A:$I,8,FALSE)</f>
        <v>119.27</v>
      </c>
      <c r="I117" s="5">
        <f t="shared" si="32"/>
        <v>2862.48</v>
      </c>
      <c r="J117" s="5">
        <f t="shared" si="33"/>
        <v>2862.48</v>
      </c>
      <c r="K117" s="5">
        <f t="shared" si="36"/>
        <v>24</v>
      </c>
      <c r="L117" s="25">
        <f t="shared" si="19"/>
        <v>1</v>
      </c>
      <c r="M117" s="5">
        <f t="shared" si="34"/>
        <v>0</v>
      </c>
      <c r="N117" s="5">
        <v>0</v>
      </c>
      <c r="O117" s="25">
        <f t="shared" si="21"/>
        <v>0</v>
      </c>
      <c r="P117" s="5">
        <f t="shared" si="35"/>
        <v>0</v>
      </c>
      <c r="Q117" s="5">
        <v>0</v>
      </c>
      <c r="R117" s="25">
        <f t="shared" si="23"/>
        <v>0</v>
      </c>
      <c r="S117" s="5">
        <f t="shared" si="24"/>
        <v>2862.48</v>
      </c>
      <c r="T117" s="25">
        <f t="shared" si="25"/>
        <v>1</v>
      </c>
      <c r="U117" s="25">
        <f t="shared" si="26"/>
        <v>3.932954831817501E-3</v>
      </c>
    </row>
    <row r="118" spans="1:21" x14ac:dyDescent="0.3">
      <c r="A118" s="23" t="s">
        <v>229</v>
      </c>
      <c r="B118" s="23" t="str">
        <f>VLOOKUP(A118,MEMORIA!$A:$N,2,FALSE)</f>
        <v>COMPOS14</v>
      </c>
      <c r="C118" s="23" t="str">
        <f>VLOOKUP(A118,MEMORIA!$A:$N,3,FALSE)</f>
        <v>PRÓPRIA</v>
      </c>
      <c r="D118" s="24" t="str">
        <f>VLOOKUP(A118,MEMORIA!$A:$N,4,FALSE)</f>
        <v>DESINFECÇÃO</v>
      </c>
      <c r="E118" s="23" t="str">
        <f>VLOOKUP(A118,MEMORIA!$A:$N,5,FALSE)</f>
        <v>H</v>
      </c>
      <c r="F118" s="5">
        <f>VLOOKUP(A118,MEMORIA!$A:$N,14,FALSE)</f>
        <v>6</v>
      </c>
      <c r="G118" s="5">
        <f>VLOOKUP(A118,ORCAMENTO!$A:$I,7,FALSE)</f>
        <v>100.11000000000003</v>
      </c>
      <c r="H118" s="5">
        <f>VLOOKUP(A118,ORCAMENTO!$A:$I,8,FALSE)</f>
        <v>124.98000000000003</v>
      </c>
      <c r="I118" s="5">
        <f t="shared" si="32"/>
        <v>749.88</v>
      </c>
      <c r="J118" s="5">
        <f t="shared" si="33"/>
        <v>749.88</v>
      </c>
      <c r="K118" s="5">
        <f t="shared" si="36"/>
        <v>6</v>
      </c>
      <c r="L118" s="25">
        <f t="shared" si="19"/>
        <v>1</v>
      </c>
      <c r="M118" s="5">
        <f t="shared" si="34"/>
        <v>0</v>
      </c>
      <c r="N118" s="5">
        <v>0</v>
      </c>
      <c r="O118" s="25">
        <f t="shared" si="21"/>
        <v>0</v>
      </c>
      <c r="P118" s="5">
        <f t="shared" si="35"/>
        <v>0</v>
      </c>
      <c r="Q118" s="5">
        <v>0</v>
      </c>
      <c r="R118" s="25">
        <f t="shared" si="23"/>
        <v>0</v>
      </c>
      <c r="S118" s="5">
        <f t="shared" si="24"/>
        <v>749.88</v>
      </c>
      <c r="T118" s="25">
        <f t="shared" si="25"/>
        <v>1</v>
      </c>
      <c r="U118" s="25">
        <f t="shared" si="26"/>
        <v>1.0303108386026478E-3</v>
      </c>
    </row>
    <row r="119" spans="1:21" x14ac:dyDescent="0.3">
      <c r="A119" s="23" t="s">
        <v>230</v>
      </c>
      <c r="B119" s="23" t="str">
        <f>VLOOKUP(A119,MEMORIA!$A:$N,2,FALSE)</f>
        <v>COMPOS15</v>
      </c>
      <c r="C119" s="23" t="str">
        <f>VLOOKUP(A119,MEMORIA!$A:$N,3,FALSE)</f>
        <v>PRÓPRIA</v>
      </c>
      <c r="D119" s="24" t="str">
        <f>VLOOKUP(A119,MEMORIA!$A:$N,4,FALSE)</f>
        <v>RELATÓRIO TÉCNICO</v>
      </c>
      <c r="E119" s="23" t="str">
        <f>VLOOKUP(A119,MEMORIA!$A:$N,5,FALSE)</f>
        <v>UN</v>
      </c>
      <c r="F119" s="5">
        <f>VLOOKUP(A119,MEMORIA!$A:$N,14,FALSE)</f>
        <v>1</v>
      </c>
      <c r="G119" s="5">
        <f>VLOOKUP(A119,ORCAMENTO!$A:$I,7,FALSE)</f>
        <v>1110.2</v>
      </c>
      <c r="H119" s="5">
        <f>VLOOKUP(A119,ORCAMENTO!$A:$I,8,FALSE)</f>
        <v>1385.97</v>
      </c>
      <c r="I119" s="5">
        <f t="shared" si="32"/>
        <v>1385.97</v>
      </c>
      <c r="J119" s="5">
        <f t="shared" si="33"/>
        <v>1385.97</v>
      </c>
      <c r="K119" s="5">
        <f t="shared" si="36"/>
        <v>1</v>
      </c>
      <c r="L119" s="25">
        <f t="shared" si="19"/>
        <v>1</v>
      </c>
      <c r="M119" s="5">
        <f t="shared" si="34"/>
        <v>0</v>
      </c>
      <c r="N119" s="5">
        <v>0</v>
      </c>
      <c r="O119" s="25">
        <f t="shared" si="21"/>
        <v>0</v>
      </c>
      <c r="P119" s="5">
        <f t="shared" si="35"/>
        <v>0</v>
      </c>
      <c r="Q119" s="5">
        <v>0</v>
      </c>
      <c r="R119" s="25">
        <f t="shared" si="23"/>
        <v>0</v>
      </c>
      <c r="S119" s="5">
        <f t="shared" si="24"/>
        <v>1385.97</v>
      </c>
      <c r="T119" s="25">
        <f t="shared" si="25"/>
        <v>1</v>
      </c>
      <c r="U119" s="25">
        <f t="shared" si="26"/>
        <v>1.9042779017684323E-3</v>
      </c>
    </row>
    <row r="120" spans="1:21" x14ac:dyDescent="0.3">
      <c r="A120" s="23" t="s">
        <v>231</v>
      </c>
      <c r="B120" s="23" t="str">
        <f>VLOOKUP(A120,MEMORIA!$A:$N,2,FALSE)</f>
        <v>COMPOS16</v>
      </c>
      <c r="C120" s="23" t="str">
        <f>VLOOKUP(A120,MEMORIA!$A:$N,3,FALSE)</f>
        <v>PRÓPRIA</v>
      </c>
      <c r="D120" s="24" t="str">
        <f>VLOOKUP(A120,MEMORIA!$A:$N,4,FALSE)</f>
        <v>ANÁLISE FÍSICO-QUÍMICA DA ÁGUA</v>
      </c>
      <c r="E120" s="23" t="str">
        <f>VLOOKUP(A120,MEMORIA!$A:$N,5,FALSE)</f>
        <v>UN</v>
      </c>
      <c r="F120" s="5">
        <f>VLOOKUP(A120,MEMORIA!$A:$N,14,FALSE)</f>
        <v>1</v>
      </c>
      <c r="G120" s="5">
        <f>VLOOKUP(A120,ORCAMENTO!$A:$I,7,FALSE)</f>
        <v>565.21</v>
      </c>
      <c r="H120" s="5">
        <f>VLOOKUP(A120,ORCAMENTO!$A:$I,8,FALSE)</f>
        <v>705.61</v>
      </c>
      <c r="I120" s="5">
        <f t="shared" si="32"/>
        <v>705.61</v>
      </c>
      <c r="J120" s="5">
        <f t="shared" si="33"/>
        <v>705.61</v>
      </c>
      <c r="K120" s="5">
        <f t="shared" si="36"/>
        <v>1</v>
      </c>
      <c r="L120" s="25">
        <f t="shared" si="19"/>
        <v>1</v>
      </c>
      <c r="M120" s="5">
        <f t="shared" si="34"/>
        <v>0</v>
      </c>
      <c r="N120" s="5">
        <v>0</v>
      </c>
      <c r="O120" s="25">
        <f t="shared" si="21"/>
        <v>0</v>
      </c>
      <c r="P120" s="5">
        <f t="shared" si="35"/>
        <v>0</v>
      </c>
      <c r="Q120" s="5">
        <v>0</v>
      </c>
      <c r="R120" s="25">
        <f t="shared" si="23"/>
        <v>0</v>
      </c>
      <c r="S120" s="5">
        <f t="shared" si="24"/>
        <v>705.61</v>
      </c>
      <c r="T120" s="25">
        <f t="shared" si="25"/>
        <v>1</v>
      </c>
      <c r="U120" s="25">
        <f t="shared" si="26"/>
        <v>9.6948529208195234E-4</v>
      </c>
    </row>
    <row r="121" spans="1:21" x14ac:dyDescent="0.3">
      <c r="A121" s="23" t="s">
        <v>232</v>
      </c>
      <c r="B121" s="23" t="str">
        <f>VLOOKUP(A121,MEMORIA!$A:$N,2,FALSE)</f>
        <v>COMPOS1</v>
      </c>
      <c r="C121" s="23" t="str">
        <f>VLOOKUP(A121,MEMORIA!$A:$N,3,FALSE)</f>
        <v>PRÓPRIA</v>
      </c>
      <c r="D121" s="24" t="str">
        <f>VLOOKUP(A121,MEMORIA!$A:$N,4,FALSE)</f>
        <v>FORNECIMENTO E INSTALAÇÃO DE REVESTIMENTO GEOMECÂNICO STANDART DN-154-S</v>
      </c>
      <c r="E121" s="23" t="str">
        <f>VLOOKUP(A121,MEMORIA!$A:$N,5,FALSE)</f>
        <v>M</v>
      </c>
      <c r="F121" s="5">
        <f>VLOOKUP(A121,MEMORIA!$A:$N,14,FALSE)</f>
        <v>36</v>
      </c>
      <c r="G121" s="5">
        <f>VLOOKUP(A121,ORCAMENTO!$A:$I,7,FALSE)</f>
        <v>170.76</v>
      </c>
      <c r="H121" s="5">
        <f>VLOOKUP(A121,ORCAMENTO!$A:$I,8,FALSE)</f>
        <v>213.18</v>
      </c>
      <c r="I121" s="5">
        <f t="shared" si="32"/>
        <v>7674.48</v>
      </c>
      <c r="J121" s="5">
        <f t="shared" si="33"/>
        <v>7674.48</v>
      </c>
      <c r="K121" s="5">
        <f t="shared" si="36"/>
        <v>36</v>
      </c>
      <c r="L121" s="25">
        <f t="shared" si="19"/>
        <v>1</v>
      </c>
      <c r="M121" s="5">
        <f t="shared" si="34"/>
        <v>0</v>
      </c>
      <c r="N121" s="5">
        <v>0</v>
      </c>
      <c r="O121" s="25">
        <f t="shared" si="21"/>
        <v>0</v>
      </c>
      <c r="P121" s="5">
        <f t="shared" si="35"/>
        <v>0</v>
      </c>
      <c r="Q121" s="5">
        <v>0</v>
      </c>
      <c r="R121" s="25">
        <f t="shared" si="23"/>
        <v>0</v>
      </c>
      <c r="S121" s="5">
        <f t="shared" si="24"/>
        <v>7674.48</v>
      </c>
      <c r="T121" s="25">
        <f t="shared" si="25"/>
        <v>1</v>
      </c>
      <c r="U121" s="25">
        <f t="shared" si="26"/>
        <v>1.0544487017441789E-2</v>
      </c>
    </row>
    <row r="122" spans="1:21" x14ac:dyDescent="0.3">
      <c r="A122" s="23" t="s">
        <v>233</v>
      </c>
      <c r="B122" s="23" t="str">
        <f>VLOOKUP(A122,MEMORIA!$A:$N,2,FALSE)</f>
        <v>COMPOS2</v>
      </c>
      <c r="C122" s="23" t="str">
        <f>VLOOKUP(A122,MEMORIA!$A:$N,3,FALSE)</f>
        <v>PRÓPRIA</v>
      </c>
      <c r="D122" s="24" t="str">
        <f>VLOOKUP(A122,MEMORIA!$A:$N,4,FALSE)</f>
        <v>FORNECIMENTO E INSTALAÇÃO DE TAMPA PARA POÇO</v>
      </c>
      <c r="E122" s="23" t="str">
        <f>VLOOKUP(A122,MEMORIA!$A:$N,5,FALSE)</f>
        <v>UN</v>
      </c>
      <c r="F122" s="5">
        <f>VLOOKUP(A122,MEMORIA!$A:$N,14,FALSE)</f>
        <v>1</v>
      </c>
      <c r="G122" s="5">
        <f>VLOOKUP(A122,ORCAMENTO!$A:$I,7,FALSE)</f>
        <v>109.94</v>
      </c>
      <c r="H122" s="5">
        <f>VLOOKUP(A122,ORCAMENTO!$A:$I,8,FALSE)</f>
        <v>137.25</v>
      </c>
      <c r="I122" s="5">
        <f t="shared" si="32"/>
        <v>137.25</v>
      </c>
      <c r="J122" s="5">
        <f t="shared" si="33"/>
        <v>137.25</v>
      </c>
      <c r="K122" s="5">
        <f t="shared" si="36"/>
        <v>1</v>
      </c>
      <c r="L122" s="25">
        <f t="shared" si="19"/>
        <v>1</v>
      </c>
      <c r="M122" s="5">
        <f t="shared" si="34"/>
        <v>0</v>
      </c>
      <c r="N122" s="5">
        <v>0</v>
      </c>
      <c r="O122" s="25">
        <f t="shared" si="21"/>
        <v>0</v>
      </c>
      <c r="P122" s="5">
        <f t="shared" si="35"/>
        <v>0</v>
      </c>
      <c r="Q122" s="5">
        <v>0</v>
      </c>
      <c r="R122" s="25">
        <f t="shared" si="23"/>
        <v>0</v>
      </c>
      <c r="S122" s="5">
        <f t="shared" si="24"/>
        <v>137.25</v>
      </c>
      <c r="T122" s="25">
        <f t="shared" si="25"/>
        <v>1</v>
      </c>
      <c r="U122" s="25">
        <f t="shared" si="26"/>
        <v>1.8857705579321149E-4</v>
      </c>
    </row>
    <row r="123" spans="1:21" x14ac:dyDescent="0.3">
      <c r="A123" s="12" t="s">
        <v>45</v>
      </c>
      <c r="B123" s="46" t="str">
        <f>VLOOKUP(A123,MEMORIA!$A:$N,2,FALSE)</f>
        <v>AQUISIÇÃO E INSTALAÇÃO DE EQUIPAMENTOS DE BOMBEAMENTO, RECALQUE/BARRILETE E CONEXÕES PARA INTERLIGAÇÃO COM RESERVATÓRIO</v>
      </c>
      <c r="C123" s="47"/>
      <c r="D123" s="47"/>
      <c r="E123" s="47"/>
      <c r="F123" s="47"/>
      <c r="G123" s="47"/>
      <c r="H123" s="48"/>
      <c r="I123" s="13">
        <f>SUM(I$124:I$129)</f>
        <v>19625.579999999998</v>
      </c>
      <c r="J123" s="13">
        <f>SUM(J$124:J$129)</f>
        <v>19625.579999999998</v>
      </c>
      <c r="K123" s="13"/>
      <c r="L123" s="14">
        <f t="shared" si="19"/>
        <v>1</v>
      </c>
      <c r="M123" s="13">
        <f>SUM(M$124:M$129)</f>
        <v>0</v>
      </c>
      <c r="N123" s="13"/>
      <c r="O123" s="14">
        <f t="shared" si="21"/>
        <v>0</v>
      </c>
      <c r="P123" s="13">
        <f>SUM(P$124:P$129)</f>
        <v>0</v>
      </c>
      <c r="Q123" s="13"/>
      <c r="R123" s="14">
        <f t="shared" si="23"/>
        <v>0</v>
      </c>
      <c r="S123" s="13">
        <f t="shared" si="24"/>
        <v>19625.579999999998</v>
      </c>
      <c r="T123" s="14">
        <f t="shared" si="25"/>
        <v>1</v>
      </c>
      <c r="U123" s="14">
        <f t="shared" si="26"/>
        <v>2.6964911436314281E-2</v>
      </c>
    </row>
    <row r="124" spans="1:21" ht="28.8" x14ac:dyDescent="0.3">
      <c r="A124" s="23" t="s">
        <v>234</v>
      </c>
      <c r="B124" s="23" t="str">
        <f>VLOOKUP(A124,MEMORIA!$A:$N,2,FALSE)</f>
        <v>COMPOS17</v>
      </c>
      <c r="C124" s="23" t="str">
        <f>VLOOKUP(A124,MEMORIA!$A:$N,3,FALSE)</f>
        <v>PRÓPRIA</v>
      </c>
      <c r="D124" s="24" t="str">
        <f>VLOOKUP(A124,MEMORIA!$A:$N,4,FALSE)</f>
        <v>FORNECIMENTO E INSTALAÇÃO DE BOMBA SUBMERSA DE 3CV, MONOFÁSICA, 220 V, LEÃO OU SIMILAR</v>
      </c>
      <c r="E124" s="23" t="str">
        <f>VLOOKUP(A124,MEMORIA!$A:$N,5,FALSE)</f>
        <v>UN</v>
      </c>
      <c r="F124" s="5">
        <f>VLOOKUP(A124,MEMORIA!$A:$N,14,FALSE)</f>
        <v>1</v>
      </c>
      <c r="G124" s="5">
        <f>VLOOKUP(A124,ORCAMENTO!$A:$I,7,FALSE)</f>
        <v>3515.68</v>
      </c>
      <c r="H124" s="5">
        <f>VLOOKUP(A124,ORCAMENTO!$A:$I,8,FALSE)</f>
        <v>4388.9699999999993</v>
      </c>
      <c r="I124" s="5">
        <f t="shared" ref="I124:I129" si="37">ROUND(F124*H124,2)</f>
        <v>4388.97</v>
      </c>
      <c r="J124" s="5">
        <f t="shared" ref="J124:J129" si="38">ROUND(K124*$H124,2)</f>
        <v>4388.97</v>
      </c>
      <c r="K124" s="5">
        <f t="shared" si="36"/>
        <v>1</v>
      </c>
      <c r="L124" s="25">
        <f t="shared" si="19"/>
        <v>1</v>
      </c>
      <c r="M124" s="5">
        <f t="shared" ref="M124:M129" si="39">ROUND(N124*$H124,2)</f>
        <v>0</v>
      </c>
      <c r="N124" s="5">
        <v>0</v>
      </c>
      <c r="O124" s="25">
        <f t="shared" si="21"/>
        <v>0</v>
      </c>
      <c r="P124" s="5">
        <f t="shared" ref="P124:P129" si="40">ROUND(Q124*$H124,2)</f>
        <v>0</v>
      </c>
      <c r="Q124" s="5">
        <v>0</v>
      </c>
      <c r="R124" s="25">
        <f t="shared" si="23"/>
        <v>0</v>
      </c>
      <c r="S124" s="5">
        <f t="shared" si="24"/>
        <v>4388.97</v>
      </c>
      <c r="T124" s="25">
        <f t="shared" si="25"/>
        <v>1</v>
      </c>
      <c r="U124" s="25">
        <f t="shared" si="26"/>
        <v>6.0303026634953112E-3</v>
      </c>
    </row>
    <row r="125" spans="1:21" ht="28.8" x14ac:dyDescent="0.3">
      <c r="A125" s="23" t="s">
        <v>235</v>
      </c>
      <c r="B125" s="23" t="str">
        <f>VLOOKUP(A125,MEMORIA!$A:$N,2,FALSE)</f>
        <v>COMPOS29</v>
      </c>
      <c r="C125" s="23" t="str">
        <f>VLOOKUP(A125,MEMORIA!$A:$N,3,FALSE)</f>
        <v>PRÓPRIA</v>
      </c>
      <c r="D125" s="24" t="str">
        <f>VLOOKUP(A125,MEMORIA!$A:$N,4,FALSE)</f>
        <v>FORNECIMENTO E INSTALAÇÃO DE PAINEL DE COMANDO ELÉTRICO PARA BOMBA 3CV, MONOFÁSICO</v>
      </c>
      <c r="E125" s="23" t="str">
        <f>VLOOKUP(A125,MEMORIA!$A:$N,5,FALSE)</f>
        <v>UN</v>
      </c>
      <c r="F125" s="5">
        <f>VLOOKUP(A125,MEMORIA!$A:$N,14,FALSE)</f>
        <v>1</v>
      </c>
      <c r="G125" s="5">
        <f>VLOOKUP(A125,ORCAMENTO!$A:$I,7,FALSE)</f>
        <v>773.3</v>
      </c>
      <c r="H125" s="5">
        <f>VLOOKUP(A125,ORCAMENTO!$A:$I,8,FALSE)</f>
        <v>965.39</v>
      </c>
      <c r="I125" s="5">
        <f t="shared" si="37"/>
        <v>965.39</v>
      </c>
      <c r="J125" s="5">
        <f t="shared" si="38"/>
        <v>965.39</v>
      </c>
      <c r="K125" s="5">
        <f t="shared" si="36"/>
        <v>1</v>
      </c>
      <c r="L125" s="25">
        <f t="shared" si="19"/>
        <v>1</v>
      </c>
      <c r="M125" s="5">
        <f t="shared" si="39"/>
        <v>0</v>
      </c>
      <c r="N125" s="5">
        <v>0</v>
      </c>
      <c r="O125" s="25">
        <f t="shared" si="21"/>
        <v>0</v>
      </c>
      <c r="P125" s="5">
        <f t="shared" si="40"/>
        <v>0</v>
      </c>
      <c r="Q125" s="5">
        <v>0</v>
      </c>
      <c r="R125" s="25">
        <f t="shared" si="23"/>
        <v>0</v>
      </c>
      <c r="S125" s="5">
        <f t="shared" si="24"/>
        <v>965.39</v>
      </c>
      <c r="T125" s="25">
        <f t="shared" si="25"/>
        <v>1</v>
      </c>
      <c r="U125" s="25">
        <f t="shared" si="26"/>
        <v>1.3264146003075295E-3</v>
      </c>
    </row>
    <row r="126" spans="1:21" x14ac:dyDescent="0.3">
      <c r="A126" s="23" t="s">
        <v>236</v>
      </c>
      <c r="B126" s="23" t="str">
        <f>VLOOKUP(A126,MEMORIA!$A:$N,2,FALSE)</f>
        <v>COMPOS19</v>
      </c>
      <c r="C126" s="23" t="str">
        <f>VLOOKUP(A126,MEMORIA!$A:$N,3,FALSE)</f>
        <v>PRÓPRIA</v>
      </c>
      <c r="D126" s="24" t="str">
        <f>VLOOKUP(A126,MEMORIA!$A:$N,4,FALSE)</f>
        <v>FORNECIMENTO E INSTALAÇÃO DE TUBO EDUTOR DE PVC DE 1.1/2'' COM LUVA</v>
      </c>
      <c r="E126" s="23" t="str">
        <f>VLOOKUP(A126,MEMORIA!$A:$N,5,FALSE)</f>
        <v>M</v>
      </c>
      <c r="F126" s="5">
        <f>VLOOKUP(A126,MEMORIA!$A:$N,14,FALSE)</f>
        <v>110</v>
      </c>
      <c r="G126" s="5">
        <f>VLOOKUP(A126,ORCAMENTO!$A:$I,7,FALSE)</f>
        <v>46.25</v>
      </c>
      <c r="H126" s="5">
        <f>VLOOKUP(A126,ORCAMENTO!$A:$I,8,FALSE)</f>
        <v>57.74</v>
      </c>
      <c r="I126" s="5">
        <f t="shared" si="37"/>
        <v>6351.4</v>
      </c>
      <c r="J126" s="5">
        <f t="shared" si="38"/>
        <v>6351.4</v>
      </c>
      <c r="K126" s="5">
        <f t="shared" si="36"/>
        <v>110</v>
      </c>
      <c r="L126" s="25">
        <f t="shared" si="19"/>
        <v>1</v>
      </c>
      <c r="M126" s="5">
        <f t="shared" si="39"/>
        <v>0</v>
      </c>
      <c r="N126" s="5">
        <v>0</v>
      </c>
      <c r="O126" s="25">
        <f t="shared" si="21"/>
        <v>0</v>
      </c>
      <c r="P126" s="5">
        <f t="shared" si="40"/>
        <v>0</v>
      </c>
      <c r="Q126" s="5">
        <v>0</v>
      </c>
      <c r="R126" s="25">
        <f t="shared" si="23"/>
        <v>0</v>
      </c>
      <c r="S126" s="5">
        <f t="shared" si="24"/>
        <v>6351.4</v>
      </c>
      <c r="T126" s="25">
        <f t="shared" si="25"/>
        <v>1</v>
      </c>
      <c r="U126" s="25">
        <f t="shared" si="26"/>
        <v>8.726617939271427E-3</v>
      </c>
    </row>
    <row r="127" spans="1:21" x14ac:dyDescent="0.3">
      <c r="A127" s="23" t="s">
        <v>237</v>
      </c>
      <c r="B127" s="23" t="str">
        <f>VLOOKUP(A127,MEMORIA!$A:$N,2,FALSE)</f>
        <v>COMPOS24</v>
      </c>
      <c r="C127" s="23" t="str">
        <f>VLOOKUP(A127,MEMORIA!$A:$N,3,FALSE)</f>
        <v>PRÓPRIA</v>
      </c>
      <c r="D127" s="24" t="str">
        <f>VLOOKUP(A127,MEMORIA!$A:$N,4,FALSE)</f>
        <v>FORNECIMENTO E INSTALAÇÃO DE CABO CHATO SUBMERSO DE 3 X 6 MM²</v>
      </c>
      <c r="E127" s="23" t="str">
        <f>VLOOKUP(A127,MEMORIA!$A:$N,5,FALSE)</f>
        <v>M</v>
      </c>
      <c r="F127" s="5">
        <f>VLOOKUP(A127,MEMORIA!$A:$N,14,FALSE)</f>
        <v>120</v>
      </c>
      <c r="G127" s="5">
        <f>VLOOKUP(A127,ORCAMENTO!$A:$I,7,FALSE)</f>
        <v>25.98</v>
      </c>
      <c r="H127" s="5">
        <f>VLOOKUP(A127,ORCAMENTO!$A:$I,8,FALSE)</f>
        <v>32.43</v>
      </c>
      <c r="I127" s="5">
        <f t="shared" si="37"/>
        <v>3891.6</v>
      </c>
      <c r="J127" s="5">
        <f t="shared" si="38"/>
        <v>3891.6</v>
      </c>
      <c r="K127" s="5">
        <f t="shared" si="36"/>
        <v>120</v>
      </c>
      <c r="L127" s="25">
        <f t="shared" si="19"/>
        <v>1</v>
      </c>
      <c r="M127" s="5">
        <f t="shared" si="39"/>
        <v>0</v>
      </c>
      <c r="N127" s="5">
        <v>0</v>
      </c>
      <c r="O127" s="25">
        <f t="shared" si="21"/>
        <v>0</v>
      </c>
      <c r="P127" s="5">
        <f t="shared" si="40"/>
        <v>0</v>
      </c>
      <c r="Q127" s="5">
        <v>0</v>
      </c>
      <c r="R127" s="25">
        <f t="shared" si="23"/>
        <v>0</v>
      </c>
      <c r="S127" s="5">
        <f t="shared" si="24"/>
        <v>3891.6</v>
      </c>
      <c r="T127" s="25">
        <f t="shared" si="25"/>
        <v>1</v>
      </c>
      <c r="U127" s="25">
        <f t="shared" si="26"/>
        <v>5.3469323885235835E-3</v>
      </c>
    </row>
    <row r="128" spans="1:21" x14ac:dyDescent="0.3">
      <c r="A128" s="23" t="s">
        <v>238</v>
      </c>
      <c r="B128" s="23" t="str">
        <f>VLOOKUP(A128,MEMORIA!$A:$N,2,FALSE)</f>
        <v>COMPOS21</v>
      </c>
      <c r="C128" s="23" t="str">
        <f>VLOOKUP(A128,MEMORIA!$A:$N,3,FALSE)</f>
        <v>PRÓPRIA</v>
      </c>
      <c r="D128" s="24" t="str">
        <f>VLOOKUP(A128,MEMORIA!$A:$N,4,FALSE)</f>
        <v>BARRILETE (CURVAS E CONEXÕES)</v>
      </c>
      <c r="E128" s="23" t="str">
        <f>VLOOKUP(A128,MEMORIA!$A:$N,5,FALSE)</f>
        <v>UN</v>
      </c>
      <c r="F128" s="5">
        <f>VLOOKUP(A128,MEMORIA!$A:$N,14,FALSE)</f>
        <v>1</v>
      </c>
      <c r="G128" s="5">
        <f>VLOOKUP(A128,ORCAMENTO!$A:$I,7,FALSE)</f>
        <v>2135.96</v>
      </c>
      <c r="H128" s="5">
        <f>VLOOKUP(A128,ORCAMENTO!$A:$I,8,FALSE)</f>
        <v>2666.53</v>
      </c>
      <c r="I128" s="5">
        <f t="shared" si="37"/>
        <v>2666.53</v>
      </c>
      <c r="J128" s="5">
        <f t="shared" si="38"/>
        <v>2666.53</v>
      </c>
      <c r="K128" s="5">
        <f t="shared" si="36"/>
        <v>1</v>
      </c>
      <c r="L128" s="25">
        <f t="shared" si="19"/>
        <v>1</v>
      </c>
      <c r="M128" s="5">
        <f t="shared" si="39"/>
        <v>0</v>
      </c>
      <c r="N128" s="5">
        <v>0</v>
      </c>
      <c r="O128" s="25">
        <f t="shared" si="21"/>
        <v>0</v>
      </c>
      <c r="P128" s="5">
        <f t="shared" si="40"/>
        <v>0</v>
      </c>
      <c r="Q128" s="5">
        <v>0</v>
      </c>
      <c r="R128" s="25">
        <f t="shared" si="23"/>
        <v>0</v>
      </c>
      <c r="S128" s="5">
        <f t="shared" si="24"/>
        <v>2666.53</v>
      </c>
      <c r="T128" s="25">
        <f t="shared" si="25"/>
        <v>1</v>
      </c>
      <c r="U128" s="25">
        <f t="shared" si="26"/>
        <v>3.6637258767524389E-3</v>
      </c>
    </row>
    <row r="129" spans="1:21" x14ac:dyDescent="0.3">
      <c r="A129" s="23" t="s">
        <v>239</v>
      </c>
      <c r="B129" s="23" t="str">
        <f>VLOOKUP(A129,MEMORIA!$A:$N,2,FALSE)</f>
        <v>COMPOS26</v>
      </c>
      <c r="C129" s="23" t="str">
        <f>VLOOKUP(A129,MEMORIA!$A:$N,3,FALSE)</f>
        <v>PRÓPRIA</v>
      </c>
      <c r="D129" s="24" t="str">
        <f>VLOOKUP(A129,MEMORIA!$A:$N,4,FALSE)</f>
        <v>AQUISIÇÃO E INSTALAÇÃO DE DOSADOR DE CLORO</v>
      </c>
      <c r="E129" s="23" t="str">
        <f>VLOOKUP(A129,MEMORIA!$A:$N,5,FALSE)</f>
        <v>UND</v>
      </c>
      <c r="F129" s="5">
        <f>VLOOKUP(A129,MEMORIA!$A:$N,14,FALSE)</f>
        <v>1</v>
      </c>
      <c r="G129" s="5">
        <f>VLOOKUP(A129,ORCAMENTO!$A:$I,7,FALSE)</f>
        <v>1090.75</v>
      </c>
      <c r="H129" s="5">
        <f>VLOOKUP(A129,ORCAMENTO!$A:$I,8,FALSE)</f>
        <v>1361.69</v>
      </c>
      <c r="I129" s="5">
        <f t="shared" si="37"/>
        <v>1361.69</v>
      </c>
      <c r="J129" s="5">
        <f t="shared" si="38"/>
        <v>1361.69</v>
      </c>
      <c r="K129" s="5">
        <f t="shared" si="36"/>
        <v>1</v>
      </c>
      <c r="L129" s="25">
        <f t="shared" si="19"/>
        <v>1</v>
      </c>
      <c r="M129" s="5">
        <f t="shared" si="39"/>
        <v>0</v>
      </c>
      <c r="N129" s="5">
        <v>0</v>
      </c>
      <c r="O129" s="25">
        <f t="shared" si="21"/>
        <v>0</v>
      </c>
      <c r="P129" s="5">
        <f t="shared" si="40"/>
        <v>0</v>
      </c>
      <c r="Q129" s="5">
        <v>0</v>
      </c>
      <c r="R129" s="25">
        <f t="shared" si="23"/>
        <v>0</v>
      </c>
      <c r="S129" s="5">
        <f t="shared" si="24"/>
        <v>1361.69</v>
      </c>
      <c r="T129" s="25">
        <f t="shared" si="25"/>
        <v>1</v>
      </c>
      <c r="U129" s="25">
        <f t="shared" si="26"/>
        <v>1.8709179679639938E-3</v>
      </c>
    </row>
    <row r="130" spans="1:21" x14ac:dyDescent="0.3">
      <c r="A130" s="12" t="s">
        <v>46</v>
      </c>
      <c r="B130" s="46" t="str">
        <f>VLOOKUP(A130,MEMORIA!$A:$N,2,FALSE)</f>
        <v>CONSTRUÇÃO DA CASA DE COMANDO</v>
      </c>
      <c r="C130" s="47"/>
      <c r="D130" s="47"/>
      <c r="E130" s="47"/>
      <c r="F130" s="47"/>
      <c r="G130" s="47"/>
      <c r="H130" s="48"/>
      <c r="I130" s="13">
        <f>SUM(I$131,I$134,I$136,I$140,I$143,I$146,I$149,I$153,I$156,I$159,I$162,)</f>
        <v>25565.510000000002</v>
      </c>
      <c r="J130" s="13">
        <f>SUM(J$131,J$134,J$136,J$140,J$143,J$146,J$149,J$153,J$156,J$159,J$162,)</f>
        <v>25565.510000000002</v>
      </c>
      <c r="K130" s="13"/>
      <c r="L130" s="14">
        <f t="shared" si="19"/>
        <v>1</v>
      </c>
      <c r="M130" s="13">
        <f>SUM(M$131,M$134,M$136,M$140,M$143,M$146,M$149,M$153,M$156,M$159,M$162,)</f>
        <v>0</v>
      </c>
      <c r="N130" s="13"/>
      <c r="O130" s="14">
        <f t="shared" si="21"/>
        <v>0</v>
      </c>
      <c r="P130" s="13">
        <f>SUM(P$131,P$134,P$136,P$140,P$143,P$146,P$149,P$153,P$156,P$159,P$162,)</f>
        <v>0</v>
      </c>
      <c r="Q130" s="13"/>
      <c r="R130" s="14">
        <f t="shared" si="23"/>
        <v>0</v>
      </c>
      <c r="S130" s="13">
        <f t="shared" si="24"/>
        <v>25565.510000000002</v>
      </c>
      <c r="T130" s="14">
        <f t="shared" si="25"/>
        <v>1</v>
      </c>
      <c r="U130" s="14">
        <f t="shared" si="26"/>
        <v>3.5126182919139576E-2</v>
      </c>
    </row>
    <row r="131" spans="1:21" x14ac:dyDescent="0.3">
      <c r="A131" s="15" t="s">
        <v>47</v>
      </c>
      <c r="B131" s="49" t="str">
        <f>VLOOKUP(A131,MEMORIA!$A:$N,2,FALSE)</f>
        <v>SERVIÇOS PRELIMINARES</v>
      </c>
      <c r="C131" s="50"/>
      <c r="D131" s="50"/>
      <c r="E131" s="50"/>
      <c r="F131" s="50"/>
      <c r="G131" s="50"/>
      <c r="H131" s="51"/>
      <c r="I131" s="16">
        <f>SUM(I$132:I$133)</f>
        <v>3887.12</v>
      </c>
      <c r="J131" s="16">
        <f>SUM(J$132:J$133)</f>
        <v>3887.12</v>
      </c>
      <c r="K131" s="16"/>
      <c r="L131" s="17">
        <f t="shared" si="19"/>
        <v>1</v>
      </c>
      <c r="M131" s="16">
        <f>SUM(M$132:M$133)</f>
        <v>0</v>
      </c>
      <c r="N131" s="16"/>
      <c r="O131" s="17">
        <f t="shared" si="21"/>
        <v>0</v>
      </c>
      <c r="P131" s="16">
        <f>SUM(P$132:P$133)</f>
        <v>0</v>
      </c>
      <c r="Q131" s="16"/>
      <c r="R131" s="17">
        <f t="shared" si="23"/>
        <v>0</v>
      </c>
      <c r="S131" s="16">
        <f t="shared" si="24"/>
        <v>3887.12</v>
      </c>
      <c r="T131" s="17">
        <f t="shared" si="25"/>
        <v>1</v>
      </c>
      <c r="U131" s="17">
        <f t="shared" si="26"/>
        <v>5.3407770135876732E-3</v>
      </c>
    </row>
    <row r="132" spans="1:21" x14ac:dyDescent="0.3">
      <c r="A132" s="23" t="s">
        <v>240</v>
      </c>
      <c r="B132" s="23">
        <f>VLOOKUP(A132,MEMORIA!$A:$N,2,FALSE)</f>
        <v>98524</v>
      </c>
      <c r="C132" s="23" t="str">
        <f>VLOOKUP(A132,MEMORIA!$A:$N,3,FALSE)</f>
        <v>SINAPI</v>
      </c>
      <c r="D132" s="24" t="str">
        <f>VLOOKUP(A132,MEMORIA!$A:$N,4,FALSE)</f>
        <v>LIMPEZA MANUAL DE VEGETAÇÃO EM TERRENO COM ENXADA. AF_03/2024</v>
      </c>
      <c r="E132" s="23" t="str">
        <f>VLOOKUP(A132,MEMORIA!$A:$N,5,FALSE)</f>
        <v>M2</v>
      </c>
      <c r="F132" s="5">
        <f>VLOOKUP(A132,MEMORIA!$A:$N,14,FALSE)</f>
        <v>100</v>
      </c>
      <c r="G132" s="5">
        <f>VLOOKUP(A132,ORCAMENTO!$A:$I,7,FALSE)</f>
        <v>4.62</v>
      </c>
      <c r="H132" s="5">
        <f>VLOOKUP(A132,ORCAMENTO!$A:$I,8,FALSE)</f>
        <v>5.77</v>
      </c>
      <c r="I132" s="5">
        <f>ROUND(F132*H132,2)</f>
        <v>577</v>
      </c>
      <c r="J132" s="5">
        <f>ROUND(K132*$H132,2)</f>
        <v>577</v>
      </c>
      <c r="K132" s="5">
        <f t="shared" ref="K132:K135" si="41">F132</f>
        <v>100</v>
      </c>
      <c r="L132" s="25">
        <f t="shared" si="19"/>
        <v>1</v>
      </c>
      <c r="M132" s="5">
        <f>ROUND(N132*$H132,2)</f>
        <v>0</v>
      </c>
      <c r="N132" s="5">
        <v>0</v>
      </c>
      <c r="O132" s="25">
        <f t="shared" si="21"/>
        <v>0</v>
      </c>
      <c r="P132" s="5">
        <f>ROUND(Q132*$H132,2)</f>
        <v>0</v>
      </c>
      <c r="Q132" s="5">
        <v>0</v>
      </c>
      <c r="R132" s="25">
        <f t="shared" si="23"/>
        <v>0</v>
      </c>
      <c r="S132" s="5">
        <f t="shared" si="24"/>
        <v>577</v>
      </c>
      <c r="T132" s="25">
        <f t="shared" si="25"/>
        <v>1</v>
      </c>
      <c r="U132" s="25">
        <f t="shared" si="26"/>
        <v>7.9277931652228068E-4</v>
      </c>
    </row>
    <row r="133" spans="1:21" ht="28.8" x14ac:dyDescent="0.3">
      <c r="A133" s="23" t="s">
        <v>241</v>
      </c>
      <c r="B133" s="23">
        <f>VLOOKUP(A133,MEMORIA!$A:$N,2,FALSE)</f>
        <v>99059</v>
      </c>
      <c r="C133" s="23" t="str">
        <f>VLOOKUP(A133,MEMORIA!$A:$N,3,FALSE)</f>
        <v>SINAPI</v>
      </c>
      <c r="D133" s="24" t="str">
        <f>VLOOKUP(A133,MEMORIA!$A:$N,4,FALSE)</f>
        <v>LOCAÇÃO CONVENCIONAL DE OBRA, UTILIZANDO GABARITO DE TÁBUAS CORRIDAS PONTALETADAS A CADA 2,00M - 2 UTILIZAÇÕES. AF_03/2024</v>
      </c>
      <c r="E133" s="23" t="str">
        <f>VLOOKUP(A133,MEMORIA!$A:$N,5,FALSE)</f>
        <v>M</v>
      </c>
      <c r="F133" s="5">
        <f>VLOOKUP(A133,MEMORIA!$A:$N,14,FALSE)</f>
        <v>44</v>
      </c>
      <c r="G133" s="5">
        <f>VLOOKUP(A133,ORCAMENTO!$A:$I,7,FALSE)</f>
        <v>60.260000000000005</v>
      </c>
      <c r="H133" s="5">
        <f>VLOOKUP(A133,ORCAMENTO!$A:$I,8,FALSE)</f>
        <v>75.23</v>
      </c>
      <c r="I133" s="5">
        <f>ROUND(F133*H133,2)</f>
        <v>3310.12</v>
      </c>
      <c r="J133" s="5">
        <f>ROUND(K133*$H133,2)</f>
        <v>3310.12</v>
      </c>
      <c r="K133" s="5">
        <f t="shared" si="41"/>
        <v>44</v>
      </c>
      <c r="L133" s="25">
        <f t="shared" si="19"/>
        <v>1</v>
      </c>
      <c r="M133" s="5">
        <f>ROUND(N133*$H133,2)</f>
        <v>0</v>
      </c>
      <c r="N133" s="5">
        <v>0</v>
      </c>
      <c r="O133" s="25">
        <f t="shared" si="21"/>
        <v>0</v>
      </c>
      <c r="P133" s="5">
        <f>ROUND(Q133*$H133,2)</f>
        <v>0</v>
      </c>
      <c r="Q133" s="5">
        <v>0</v>
      </c>
      <c r="R133" s="25">
        <f t="shared" si="23"/>
        <v>0</v>
      </c>
      <c r="S133" s="5">
        <f t="shared" si="24"/>
        <v>3310.12</v>
      </c>
      <c r="T133" s="25">
        <f t="shared" si="25"/>
        <v>1</v>
      </c>
      <c r="U133" s="25">
        <f t="shared" si="26"/>
        <v>4.5479976970653931E-3</v>
      </c>
    </row>
    <row r="134" spans="1:21" x14ac:dyDescent="0.3">
      <c r="A134" s="15" t="s">
        <v>48</v>
      </c>
      <c r="B134" s="49" t="str">
        <f>VLOOKUP(A134,MEMORIA!$A:$N,2,FALSE)</f>
        <v>MOVIMENTO DE TERRA</v>
      </c>
      <c r="C134" s="50"/>
      <c r="D134" s="50"/>
      <c r="E134" s="50"/>
      <c r="F134" s="50"/>
      <c r="G134" s="50"/>
      <c r="H134" s="51"/>
      <c r="I134" s="16">
        <f>SUM(I$135:I$135)</f>
        <v>165.09</v>
      </c>
      <c r="J134" s="16">
        <f>SUM(J$135:J$135)</f>
        <v>165.09</v>
      </c>
      <c r="K134" s="16"/>
      <c r="L134" s="17">
        <f t="shared" si="19"/>
        <v>1</v>
      </c>
      <c r="M134" s="16">
        <f>SUM(M$135:M$135)</f>
        <v>0</v>
      </c>
      <c r="N134" s="16"/>
      <c r="O134" s="17">
        <f t="shared" si="21"/>
        <v>0</v>
      </c>
      <c r="P134" s="16">
        <f>SUM(P$135:P$135)</f>
        <v>0</v>
      </c>
      <c r="Q134" s="16"/>
      <c r="R134" s="17">
        <f t="shared" si="23"/>
        <v>0</v>
      </c>
      <c r="S134" s="16">
        <f t="shared" si="24"/>
        <v>165.09</v>
      </c>
      <c r="T134" s="17">
        <f t="shared" si="25"/>
        <v>1</v>
      </c>
      <c r="U134" s="17">
        <f t="shared" si="26"/>
        <v>2.2682831432350661E-4</v>
      </c>
    </row>
    <row r="135" spans="1:21" x14ac:dyDescent="0.3">
      <c r="A135" s="23" t="s">
        <v>242</v>
      </c>
      <c r="B135" s="23">
        <f>VLOOKUP(A135,MEMORIA!$A:$N,2,FALSE)</f>
        <v>93358</v>
      </c>
      <c r="C135" s="23" t="str">
        <f>VLOOKUP(A135,MEMORIA!$A:$N,3,FALSE)</f>
        <v>SINAPI</v>
      </c>
      <c r="D135" s="24" t="str">
        <f>VLOOKUP(A135,MEMORIA!$A:$N,4,FALSE)</f>
        <v>ESCAVAÇÃO MANUAL DE VALA. AF_09/2024</v>
      </c>
      <c r="E135" s="23" t="str">
        <f>VLOOKUP(A135,MEMORIA!$A:$N,5,FALSE)</f>
        <v>M3</v>
      </c>
      <c r="F135" s="5">
        <f>VLOOKUP(A135,MEMORIA!$A:$N,14,FALSE)</f>
        <v>1.54</v>
      </c>
      <c r="G135" s="5">
        <f>VLOOKUP(A135,ORCAMENTO!$A:$I,7,FALSE)</f>
        <v>85.87</v>
      </c>
      <c r="H135" s="5">
        <f>VLOOKUP(A135,ORCAMENTO!$A:$I,8,FALSE)</f>
        <v>107.2</v>
      </c>
      <c r="I135" s="5">
        <f>ROUND(F135*H135,2)</f>
        <v>165.09</v>
      </c>
      <c r="J135" s="5">
        <f>ROUND(K135*$H135,2)</f>
        <v>165.09</v>
      </c>
      <c r="K135" s="5">
        <f t="shared" si="41"/>
        <v>1.54</v>
      </c>
      <c r="L135" s="25">
        <f t="shared" si="19"/>
        <v>1</v>
      </c>
      <c r="M135" s="5">
        <f>ROUND(N135*$H135,2)</f>
        <v>0</v>
      </c>
      <c r="N135" s="5">
        <v>0</v>
      </c>
      <c r="O135" s="25">
        <f t="shared" si="21"/>
        <v>0</v>
      </c>
      <c r="P135" s="5">
        <f>ROUND(Q135*$H135,2)</f>
        <v>0</v>
      </c>
      <c r="Q135" s="5">
        <v>0</v>
      </c>
      <c r="R135" s="25">
        <f t="shared" si="23"/>
        <v>0</v>
      </c>
      <c r="S135" s="5">
        <f t="shared" si="24"/>
        <v>165.09</v>
      </c>
      <c r="T135" s="25">
        <f t="shared" si="25"/>
        <v>1</v>
      </c>
      <c r="U135" s="25">
        <f t="shared" si="26"/>
        <v>2.2682831432350661E-4</v>
      </c>
    </row>
    <row r="136" spans="1:21" x14ac:dyDescent="0.3">
      <c r="A136" s="15" t="s">
        <v>49</v>
      </c>
      <c r="B136" s="49" t="str">
        <f>VLOOKUP(A136,MEMORIA!$A:$N,2,FALSE)</f>
        <v>INFRAESTRUTURA</v>
      </c>
      <c r="C136" s="50"/>
      <c r="D136" s="50"/>
      <c r="E136" s="50"/>
      <c r="F136" s="50"/>
      <c r="G136" s="50"/>
      <c r="H136" s="51"/>
      <c r="I136" s="16">
        <f>SUM(I$137:I$139)</f>
        <v>1275.5</v>
      </c>
      <c r="J136" s="16">
        <f>SUM(J$137:J$139)</f>
        <v>1275.5</v>
      </c>
      <c r="K136" s="16"/>
      <c r="L136" s="17">
        <f t="shared" ref="L136:L199" si="42">J136/$I136</f>
        <v>1</v>
      </c>
      <c r="M136" s="16">
        <f>SUM(M$137:M$139)</f>
        <v>0</v>
      </c>
      <c r="N136" s="16"/>
      <c r="O136" s="17">
        <f t="shared" ref="O136:O199" si="43">M136/$I136</f>
        <v>0</v>
      </c>
      <c r="P136" s="16">
        <f>SUM(P$137:P$139)</f>
        <v>0</v>
      </c>
      <c r="Q136" s="16"/>
      <c r="R136" s="17">
        <f t="shared" ref="R136:R199" si="44">P136/$I136</f>
        <v>0</v>
      </c>
      <c r="S136" s="16">
        <f t="shared" ref="S136:S199" si="45">SUM(J136,M136,P136,)</f>
        <v>1275.5</v>
      </c>
      <c r="T136" s="17">
        <f t="shared" ref="T136:T199" si="46">SUM(L136,O136,R136,)</f>
        <v>1</v>
      </c>
      <c r="U136" s="17">
        <f t="shared" ref="U136:U199" si="47">S136/$I$476</f>
        <v>1.7524956988287158E-3</v>
      </c>
    </row>
    <row r="137" spans="1:21" ht="28.8" x14ac:dyDescent="0.3">
      <c r="A137" s="23" t="s">
        <v>243</v>
      </c>
      <c r="B137" s="23">
        <f>VLOOKUP(A137,MEMORIA!$A:$N,2,FALSE)</f>
        <v>96617</v>
      </c>
      <c r="C137" s="23" t="str">
        <f>VLOOKUP(A137,MEMORIA!$A:$N,3,FALSE)</f>
        <v>SINAPI</v>
      </c>
      <c r="D137" s="24" t="str">
        <f>VLOOKUP(A137,MEMORIA!$A:$N,4,FALSE)</f>
        <v>LASTRO DE CONCRETO MAGRO, APLICADO EM BLOCOS DE COROAMENTO OU SAPATAS, ESPESSURA DE 3 CM. AF_01/2024</v>
      </c>
      <c r="E137" s="23" t="str">
        <f>VLOOKUP(A137,MEMORIA!$A:$N,5,FALSE)</f>
        <v>M2</v>
      </c>
      <c r="F137" s="5">
        <f>VLOOKUP(A137,MEMORIA!$A:$N,14,FALSE)</f>
        <v>2.58</v>
      </c>
      <c r="G137" s="5">
        <f>VLOOKUP(A137,ORCAMENTO!$A:$I,7,FALSE)</f>
        <v>23.990000000000002</v>
      </c>
      <c r="H137" s="5">
        <f>VLOOKUP(A137,ORCAMENTO!$A:$I,8,FALSE)</f>
        <v>29.950000000000003</v>
      </c>
      <c r="I137" s="5">
        <f>ROUND(F137*H137,2)</f>
        <v>77.27</v>
      </c>
      <c r="J137" s="5">
        <f>ROUND(K137*$H137,2)</f>
        <v>77.27</v>
      </c>
      <c r="K137" s="5">
        <f t="shared" ref="K137:K172" si="48">F137</f>
        <v>2.58</v>
      </c>
      <c r="L137" s="25">
        <f t="shared" si="42"/>
        <v>1</v>
      </c>
      <c r="M137" s="5">
        <f>ROUND(N137*$H137,2)</f>
        <v>0</v>
      </c>
      <c r="N137" s="5">
        <v>0</v>
      </c>
      <c r="O137" s="25">
        <f t="shared" si="43"/>
        <v>0</v>
      </c>
      <c r="P137" s="5">
        <f>ROUND(Q137*$H137,2)</f>
        <v>0</v>
      </c>
      <c r="Q137" s="5">
        <v>0</v>
      </c>
      <c r="R137" s="25">
        <f t="shared" si="44"/>
        <v>0</v>
      </c>
      <c r="S137" s="5">
        <f t="shared" si="45"/>
        <v>77.27</v>
      </c>
      <c r="T137" s="25">
        <f t="shared" si="46"/>
        <v>1</v>
      </c>
      <c r="U137" s="25">
        <f t="shared" si="47"/>
        <v>1.0616647796824372E-4</v>
      </c>
    </row>
    <row r="138" spans="1:21" ht="28.8" x14ac:dyDescent="0.3">
      <c r="A138" s="23" t="s">
        <v>244</v>
      </c>
      <c r="B138" s="23">
        <f>VLOOKUP(A138,MEMORIA!$A:$N,2,FALSE)</f>
        <v>103800</v>
      </c>
      <c r="C138" s="23" t="str">
        <f>VLOOKUP(A138,MEMORIA!$A:$N,3,FALSE)</f>
        <v>SINAPI</v>
      </c>
      <c r="D138" s="24" t="str">
        <f>VLOOKUP(A138,MEMORIA!$A:$N,4,FALSE)</f>
        <v>PEDRA ARGAMASSADA COM CIMENTO E AREIA 1:3, 40% DE ARGAMASSA EM VOLUME - AREIA E PEDRA DE MÃO COMERCIAIS - FORNECIMENTO E ASSENTAMENTO. AF_08/2022</v>
      </c>
      <c r="E138" s="23" t="str">
        <f>VLOOKUP(A138,MEMORIA!$A:$N,5,FALSE)</f>
        <v>M3</v>
      </c>
      <c r="F138" s="5">
        <f>VLOOKUP(A138,MEMORIA!$A:$N,14,FALSE)</f>
        <v>1.04</v>
      </c>
      <c r="G138" s="5">
        <f>VLOOKUP(A138,ORCAMENTO!$A:$I,7,FALSE)</f>
        <v>680.59</v>
      </c>
      <c r="H138" s="5">
        <f>VLOOKUP(A138,ORCAMENTO!$A:$I,8,FALSE)</f>
        <v>849.65000000000009</v>
      </c>
      <c r="I138" s="5">
        <f>ROUND(F138*H138,2)</f>
        <v>883.64</v>
      </c>
      <c r="J138" s="5">
        <f>ROUND(K138*$H138,2)</f>
        <v>883.64</v>
      </c>
      <c r="K138" s="5">
        <f t="shared" si="48"/>
        <v>1.04</v>
      </c>
      <c r="L138" s="25">
        <f t="shared" si="42"/>
        <v>1</v>
      </c>
      <c r="M138" s="5">
        <f>ROUND(N138*$H138,2)</f>
        <v>0</v>
      </c>
      <c r="N138" s="5">
        <v>0</v>
      </c>
      <c r="O138" s="25">
        <f t="shared" si="43"/>
        <v>0</v>
      </c>
      <c r="P138" s="5">
        <f>ROUND(Q138*$H138,2)</f>
        <v>0</v>
      </c>
      <c r="Q138" s="5">
        <v>0</v>
      </c>
      <c r="R138" s="25">
        <f t="shared" si="44"/>
        <v>0</v>
      </c>
      <c r="S138" s="5">
        <f t="shared" si="45"/>
        <v>883.64</v>
      </c>
      <c r="T138" s="25">
        <f t="shared" si="46"/>
        <v>1</v>
      </c>
      <c r="U138" s="25">
        <f t="shared" si="47"/>
        <v>1.2140927474033763E-3</v>
      </c>
    </row>
    <row r="139" spans="1:21" ht="43.2" x14ac:dyDescent="0.3">
      <c r="A139" s="23" t="s">
        <v>245</v>
      </c>
      <c r="B139" s="23">
        <f>VLOOKUP(A139,MEMORIA!$A:$N,2,FALSE)</f>
        <v>103335</v>
      </c>
      <c r="C139" s="23" t="str">
        <f>VLOOKUP(A139,MEMORIA!$A:$N,3,FALSE)</f>
        <v>SINAPI</v>
      </c>
      <c r="D139" s="24" t="str">
        <f>VLOOKUP(A139,MEMORIA!$A:$N,4,FALSE)</f>
        <v>ALVENARIA DE VEDAÇÃO DE BLOCOS CERÂMICOS FURADOS NA HORIZONTAL DE 14X9X19 CM (ESPESSURA 14 CM, BLOCO DEITADO) E ARGAMASSA DE ASSENTAMENTO COM PREPARO MANUAL. AF_12/2021</v>
      </c>
      <c r="E139" s="23" t="str">
        <f>VLOOKUP(A139,MEMORIA!$A:$N,5,FALSE)</f>
        <v>M2</v>
      </c>
      <c r="F139" s="5">
        <f>VLOOKUP(A139,MEMORIA!$A:$N,14,FALSE)</f>
        <v>1.7200000000000002</v>
      </c>
      <c r="G139" s="5">
        <f>VLOOKUP(A139,ORCAMENTO!$A:$I,7,FALSE)</f>
        <v>146.51</v>
      </c>
      <c r="H139" s="5">
        <f>VLOOKUP(A139,ORCAMENTO!$A:$I,8,FALSE)</f>
        <v>182.89999999999998</v>
      </c>
      <c r="I139" s="5">
        <f>ROUND(F139*H139,2)</f>
        <v>314.58999999999997</v>
      </c>
      <c r="J139" s="5">
        <f>ROUND(K139*$H139,2)</f>
        <v>314.58999999999997</v>
      </c>
      <c r="K139" s="5">
        <f t="shared" si="48"/>
        <v>1.7200000000000002</v>
      </c>
      <c r="L139" s="25">
        <f t="shared" si="42"/>
        <v>1</v>
      </c>
      <c r="M139" s="5">
        <f>ROUND(N139*$H139,2)</f>
        <v>0</v>
      </c>
      <c r="N139" s="5">
        <v>0</v>
      </c>
      <c r="O139" s="25">
        <f t="shared" si="43"/>
        <v>0</v>
      </c>
      <c r="P139" s="5">
        <f>ROUND(Q139*$H139,2)</f>
        <v>0</v>
      </c>
      <c r="Q139" s="5">
        <v>0</v>
      </c>
      <c r="R139" s="25">
        <f t="shared" si="44"/>
        <v>0</v>
      </c>
      <c r="S139" s="5">
        <f t="shared" si="45"/>
        <v>314.58999999999997</v>
      </c>
      <c r="T139" s="25">
        <f t="shared" si="46"/>
        <v>1</v>
      </c>
      <c r="U139" s="25">
        <f t="shared" si="47"/>
        <v>4.3223647345709575E-4</v>
      </c>
    </row>
    <row r="140" spans="1:21" x14ac:dyDescent="0.3">
      <c r="A140" s="15" t="s">
        <v>50</v>
      </c>
      <c r="B140" s="49" t="str">
        <f>VLOOKUP(A140,MEMORIA!$A:$N,2,FALSE)</f>
        <v>SUPERESTRUTURA</v>
      </c>
      <c r="C140" s="50"/>
      <c r="D140" s="50"/>
      <c r="E140" s="50"/>
      <c r="F140" s="50"/>
      <c r="G140" s="50"/>
      <c r="H140" s="51"/>
      <c r="I140" s="16">
        <f>SUM(I$141:I$142)</f>
        <v>1347.9099999999999</v>
      </c>
      <c r="J140" s="16">
        <f>SUM(J$141:J$142)</f>
        <v>1347.9099999999999</v>
      </c>
      <c r="K140" s="16"/>
      <c r="L140" s="17">
        <f t="shared" si="42"/>
        <v>1</v>
      </c>
      <c r="M140" s="16">
        <f>SUM(M$141:M$142)</f>
        <v>0</v>
      </c>
      <c r="N140" s="16"/>
      <c r="O140" s="17">
        <f t="shared" si="43"/>
        <v>0</v>
      </c>
      <c r="P140" s="16">
        <f>SUM(P$141:P$142)</f>
        <v>0</v>
      </c>
      <c r="Q140" s="16"/>
      <c r="R140" s="17">
        <f t="shared" si="44"/>
        <v>0</v>
      </c>
      <c r="S140" s="16">
        <f t="shared" si="45"/>
        <v>1347.9099999999999</v>
      </c>
      <c r="T140" s="17">
        <f t="shared" si="46"/>
        <v>1</v>
      </c>
      <c r="U140" s="17">
        <f t="shared" si="47"/>
        <v>1.8519846941655932E-3</v>
      </c>
    </row>
    <row r="141" spans="1:21" x14ac:dyDescent="0.3">
      <c r="A141" s="23" t="s">
        <v>246</v>
      </c>
      <c r="B141" s="23" t="str">
        <f>VLOOKUP(A141,MEMORIA!$A:$N,2,FALSE)</f>
        <v>COMPCOM01</v>
      </c>
      <c r="C141" s="23" t="str">
        <f>VLOOKUP(A141,MEMORIA!$A:$N,3,FALSE)</f>
        <v>PRÓPRIA</v>
      </c>
      <c r="D141" s="24" t="str">
        <f>VLOOKUP(A141,MEMORIA!$A:$N,4,FALSE)</f>
        <v>CINTA DE AMARRAÇÃO DE ALVENARIA MOLDADA IN LOCO EM CONCRETO</v>
      </c>
      <c r="E141" s="23" t="str">
        <f>VLOOKUP(A141,MEMORIA!$A:$N,5,FALSE)</f>
        <v>M</v>
      </c>
      <c r="F141" s="5">
        <f>VLOOKUP(A141,MEMORIA!$A:$N,14,FALSE)</f>
        <v>8.6</v>
      </c>
      <c r="G141" s="5">
        <f>VLOOKUP(A141,ORCAMENTO!$A:$I,7,FALSE)</f>
        <v>81.56</v>
      </c>
      <c r="H141" s="5">
        <f>VLOOKUP(A141,ORCAMENTO!$A:$I,8,FALSE)</f>
        <v>101.82000000000001</v>
      </c>
      <c r="I141" s="5">
        <f>ROUND(F141*H141,2)</f>
        <v>875.65</v>
      </c>
      <c r="J141" s="5">
        <f>ROUND(K141*$H141,2)</f>
        <v>875.65</v>
      </c>
      <c r="K141" s="5">
        <f t="shared" si="48"/>
        <v>8.6</v>
      </c>
      <c r="L141" s="25">
        <f t="shared" si="42"/>
        <v>1</v>
      </c>
      <c r="M141" s="5">
        <f>ROUND(N141*$H141,2)</f>
        <v>0</v>
      </c>
      <c r="N141" s="5">
        <v>0</v>
      </c>
      <c r="O141" s="25">
        <f t="shared" si="43"/>
        <v>0</v>
      </c>
      <c r="P141" s="5">
        <f>ROUND(Q141*$H141,2)</f>
        <v>0</v>
      </c>
      <c r="Q141" s="5">
        <v>0</v>
      </c>
      <c r="R141" s="25">
        <f t="shared" si="44"/>
        <v>0</v>
      </c>
      <c r="S141" s="5">
        <f t="shared" si="45"/>
        <v>875.65</v>
      </c>
      <c r="T141" s="25">
        <f t="shared" si="46"/>
        <v>1</v>
      </c>
      <c r="U141" s="25">
        <f t="shared" si="47"/>
        <v>1.2031147461225911E-3</v>
      </c>
    </row>
    <row r="142" spans="1:21" ht="28.8" x14ac:dyDescent="0.3">
      <c r="A142" s="23" t="s">
        <v>247</v>
      </c>
      <c r="B142" s="23" t="str">
        <f>VLOOKUP(A142,MEMORIA!$A:$N,2,FALSE)</f>
        <v>COMPCOM02</v>
      </c>
      <c r="C142" s="23" t="str">
        <f>VLOOKUP(A142,MEMORIA!$A:$N,3,FALSE)</f>
        <v>PRÓPRIA</v>
      </c>
      <c r="D142" s="24" t="str">
        <f>VLOOKUP(A142,MEMORIA!$A:$N,4,FALSE)</f>
        <v>(COMPOSIÇÃO REPRESENTATIVA) EXECUÇÃO DE ESTRUTURAS DE CONCRETO ARMADO, PARA EDIFICAÇÃO INSTITUCIONAL TÉRREA, FCK = 25 MPA</v>
      </c>
      <c r="E142" s="23" t="str">
        <f>VLOOKUP(A142,MEMORIA!$A:$N,5,FALSE)</f>
        <v>M³</v>
      </c>
      <c r="F142" s="5">
        <f>VLOOKUP(A142,MEMORIA!$A:$N,14,FALSE)</f>
        <v>0.30000000000000004</v>
      </c>
      <c r="G142" s="5">
        <f>VLOOKUP(A142,ORCAMENTO!$A:$I,7,FALSE)</f>
        <v>1260.97</v>
      </c>
      <c r="H142" s="5">
        <f>VLOOKUP(A142,ORCAMENTO!$A:$I,8,FALSE)</f>
        <v>1574.19</v>
      </c>
      <c r="I142" s="5">
        <f>ROUND(F142*H142,2)</f>
        <v>472.26</v>
      </c>
      <c r="J142" s="5">
        <f>ROUND(K142*$H142,2)</f>
        <v>472.26</v>
      </c>
      <c r="K142" s="5">
        <f t="shared" si="48"/>
        <v>0.30000000000000004</v>
      </c>
      <c r="L142" s="25">
        <f t="shared" si="42"/>
        <v>1</v>
      </c>
      <c r="M142" s="5">
        <f>ROUND(N142*$H142,2)</f>
        <v>0</v>
      </c>
      <c r="N142" s="5">
        <v>0</v>
      </c>
      <c r="O142" s="25">
        <f t="shared" si="43"/>
        <v>0</v>
      </c>
      <c r="P142" s="5">
        <f>ROUND(Q142*$H142,2)</f>
        <v>0</v>
      </c>
      <c r="Q142" s="5">
        <v>0</v>
      </c>
      <c r="R142" s="25">
        <f t="shared" si="44"/>
        <v>0</v>
      </c>
      <c r="S142" s="5">
        <f t="shared" si="45"/>
        <v>472.26</v>
      </c>
      <c r="T142" s="25">
        <f t="shared" si="46"/>
        <v>1</v>
      </c>
      <c r="U142" s="25">
        <f t="shared" si="47"/>
        <v>6.4886994804300223E-4</v>
      </c>
    </row>
    <row r="143" spans="1:21" x14ac:dyDescent="0.3">
      <c r="A143" s="15" t="s">
        <v>51</v>
      </c>
      <c r="B143" s="49" t="str">
        <f>VLOOKUP(A143,MEMORIA!$A:$N,2,FALSE)</f>
        <v>VEDAÇÃO VERTICAL</v>
      </c>
      <c r="C143" s="50"/>
      <c r="D143" s="50"/>
      <c r="E143" s="50"/>
      <c r="F143" s="50"/>
      <c r="G143" s="50"/>
      <c r="H143" s="51"/>
      <c r="I143" s="16">
        <f>SUM(I$144:I$145)</f>
        <v>2674.92</v>
      </c>
      <c r="J143" s="16">
        <f>SUM(J$144:J$145)</f>
        <v>2674.92</v>
      </c>
      <c r="K143" s="16"/>
      <c r="L143" s="17">
        <f t="shared" si="42"/>
        <v>1</v>
      </c>
      <c r="M143" s="16">
        <f>SUM(M$144:M$145)</f>
        <v>0</v>
      </c>
      <c r="N143" s="16"/>
      <c r="O143" s="17">
        <f t="shared" si="43"/>
        <v>0</v>
      </c>
      <c r="P143" s="16">
        <f>SUM(P$144:P$145)</f>
        <v>0</v>
      </c>
      <c r="Q143" s="16"/>
      <c r="R143" s="17">
        <f t="shared" si="44"/>
        <v>0</v>
      </c>
      <c r="S143" s="16">
        <f t="shared" si="45"/>
        <v>2674.92</v>
      </c>
      <c r="T143" s="17">
        <f t="shared" si="46"/>
        <v>1</v>
      </c>
      <c r="U143" s="17">
        <f t="shared" si="47"/>
        <v>3.6752534650810729E-3</v>
      </c>
    </row>
    <row r="144" spans="1:21" ht="43.2" x14ac:dyDescent="0.3">
      <c r="A144" s="23" t="s">
        <v>248</v>
      </c>
      <c r="B144" s="23">
        <f>VLOOKUP(A144,MEMORIA!$A:$N,2,FALSE)</f>
        <v>103329</v>
      </c>
      <c r="C144" s="23" t="str">
        <f>VLOOKUP(A144,MEMORIA!$A:$N,3,FALSE)</f>
        <v>SINAPI</v>
      </c>
      <c r="D144" s="24" t="str">
        <f>VLOOKUP(A144,MEMORIA!$A:$N,4,FALSE)</f>
        <v>ALVENARIA DE VEDAÇÃO DE BLOCOS CERÂMICOS FURADOS NA HORIZONTAL DE 9X19X19 CM (ESPESSURA 9 CM) E ARGAMASSA DE ASSENTAMENTO COM PREPARO MANUAL. AF_12/2021</v>
      </c>
      <c r="E144" s="23" t="str">
        <f>VLOOKUP(A144,MEMORIA!$A:$N,5,FALSE)</f>
        <v>M2</v>
      </c>
      <c r="F144" s="5">
        <f>VLOOKUP(A144,MEMORIA!$A:$N,14,FALSE)</f>
        <v>19.310000000000002</v>
      </c>
      <c r="G144" s="5">
        <f>VLOOKUP(A144,ORCAMENTO!$A:$I,7,FALSE)</f>
        <v>95.08</v>
      </c>
      <c r="H144" s="5">
        <f>VLOOKUP(A144,ORCAMENTO!$A:$I,8,FALSE)</f>
        <v>118.7</v>
      </c>
      <c r="I144" s="5">
        <f>ROUND(F144*H144,2)</f>
        <v>2292.1</v>
      </c>
      <c r="J144" s="5">
        <f>ROUND(K144*$H144,2)</f>
        <v>2292.1</v>
      </c>
      <c r="K144" s="5">
        <f t="shared" si="48"/>
        <v>19.310000000000002</v>
      </c>
      <c r="L144" s="25">
        <f t="shared" si="42"/>
        <v>1</v>
      </c>
      <c r="M144" s="5">
        <f>ROUND(N144*$H144,2)</f>
        <v>0</v>
      </c>
      <c r="N144" s="5">
        <v>0</v>
      </c>
      <c r="O144" s="25">
        <f t="shared" si="43"/>
        <v>0</v>
      </c>
      <c r="P144" s="5">
        <f>ROUND(Q144*$H144,2)</f>
        <v>0</v>
      </c>
      <c r="Q144" s="5">
        <v>0</v>
      </c>
      <c r="R144" s="25">
        <f t="shared" si="44"/>
        <v>0</v>
      </c>
      <c r="S144" s="5">
        <f t="shared" si="45"/>
        <v>2292.1</v>
      </c>
      <c r="T144" s="25">
        <f t="shared" si="46"/>
        <v>1</v>
      </c>
      <c r="U144" s="25">
        <f t="shared" si="47"/>
        <v>3.149271180937122E-3</v>
      </c>
    </row>
    <row r="145" spans="1:21" ht="43.2" x14ac:dyDescent="0.3">
      <c r="A145" s="23" t="s">
        <v>249</v>
      </c>
      <c r="B145" s="23">
        <f>VLOOKUP(A145,MEMORIA!$A:$N,2,FALSE)</f>
        <v>101161</v>
      </c>
      <c r="C145" s="23" t="str">
        <f>VLOOKUP(A145,MEMORIA!$A:$N,3,FALSE)</f>
        <v>SINAPI</v>
      </c>
      <c r="D145" s="24" t="str">
        <f>VLOOKUP(A145,MEMORIA!$A:$N,4,FALSE)</f>
        <v>ALVENARIA DE VEDAÇÃO COM ELEMENTO VAZADO DE CONCRETO (COBOGÓ) DE 7X50X50CM E ARGAMASSA DE ASSENTAMENTO COM PREPARO EM BETONEIRA. AF_05/2020</v>
      </c>
      <c r="E145" s="23" t="str">
        <f>VLOOKUP(A145,MEMORIA!$A:$N,5,FALSE)</f>
        <v>M2</v>
      </c>
      <c r="F145" s="5">
        <f>VLOOKUP(A145,MEMORIA!$A:$N,14,FALSE)</f>
        <v>1.5</v>
      </c>
      <c r="G145" s="5">
        <f>VLOOKUP(A145,ORCAMENTO!$A:$I,7,FALSE)</f>
        <v>204.43</v>
      </c>
      <c r="H145" s="5">
        <f>VLOOKUP(A145,ORCAMENTO!$A:$I,8,FALSE)</f>
        <v>255.21</v>
      </c>
      <c r="I145" s="5">
        <f>ROUND(F145*H145,2)</f>
        <v>382.82</v>
      </c>
      <c r="J145" s="5">
        <f>ROUND(K145*$H145,2)</f>
        <v>382.82</v>
      </c>
      <c r="K145" s="5">
        <f t="shared" si="48"/>
        <v>1.5</v>
      </c>
      <c r="L145" s="25">
        <f t="shared" si="42"/>
        <v>1</v>
      </c>
      <c r="M145" s="5">
        <f>ROUND(N145*$H145,2)</f>
        <v>0</v>
      </c>
      <c r="N145" s="5">
        <v>0</v>
      </c>
      <c r="O145" s="25">
        <f t="shared" si="43"/>
        <v>0</v>
      </c>
      <c r="P145" s="5">
        <f>ROUND(Q145*$H145,2)</f>
        <v>0</v>
      </c>
      <c r="Q145" s="5">
        <v>0</v>
      </c>
      <c r="R145" s="25">
        <f t="shared" si="44"/>
        <v>0</v>
      </c>
      <c r="S145" s="5">
        <f t="shared" si="45"/>
        <v>382.82</v>
      </c>
      <c r="T145" s="25">
        <f t="shared" si="46"/>
        <v>1</v>
      </c>
      <c r="U145" s="25">
        <f t="shared" si="47"/>
        <v>5.2598228414395059E-4</v>
      </c>
    </row>
    <row r="146" spans="1:21" x14ac:dyDescent="0.3">
      <c r="A146" s="15" t="s">
        <v>52</v>
      </c>
      <c r="B146" s="49" t="str">
        <f>VLOOKUP(A146,MEMORIA!$A:$N,2,FALSE)</f>
        <v>COBERTURA</v>
      </c>
      <c r="C146" s="50"/>
      <c r="D146" s="50"/>
      <c r="E146" s="50"/>
      <c r="F146" s="50"/>
      <c r="G146" s="50"/>
      <c r="H146" s="51"/>
      <c r="I146" s="16">
        <f>SUM(I$147:I$148)</f>
        <v>1332.15</v>
      </c>
      <c r="J146" s="16">
        <f>SUM(J$147:J$148)</f>
        <v>1332.15</v>
      </c>
      <c r="K146" s="16"/>
      <c r="L146" s="17">
        <f t="shared" si="42"/>
        <v>1</v>
      </c>
      <c r="M146" s="16">
        <f>SUM(M$147:M$148)</f>
        <v>0</v>
      </c>
      <c r="N146" s="16"/>
      <c r="O146" s="17">
        <f t="shared" si="43"/>
        <v>0</v>
      </c>
      <c r="P146" s="16">
        <f>SUM(P$147:P$148)</f>
        <v>0</v>
      </c>
      <c r="Q146" s="16"/>
      <c r="R146" s="17">
        <f t="shared" si="44"/>
        <v>0</v>
      </c>
      <c r="S146" s="16">
        <f t="shared" si="45"/>
        <v>1332.15</v>
      </c>
      <c r="T146" s="17">
        <f t="shared" si="46"/>
        <v>1</v>
      </c>
      <c r="U146" s="17">
        <f t="shared" si="47"/>
        <v>1.8303309644803402E-3</v>
      </c>
    </row>
    <row r="147" spans="1:21" ht="28.8" x14ac:dyDescent="0.3">
      <c r="A147" s="23" t="s">
        <v>250</v>
      </c>
      <c r="B147" s="23" t="str">
        <f>VLOOKUP(A147,MEMORIA!$A:$N,2,FALSE)</f>
        <v>COMPCOM03</v>
      </c>
      <c r="C147" s="23" t="str">
        <f>VLOOKUP(A147,MEMORIA!$A:$N,3,FALSE)</f>
        <v>PRÓPRIA</v>
      </c>
      <c r="D147" s="24" t="str">
        <f>VLOOKUP(A147,MEMORIA!$A:$N,4,FALSE)</f>
        <v>TELHAMENTO COM TELHA CERÂMICA CAPA-CANAL, TIPO COLONIAL, COM ATÉ 2 ÁGUAS, INCLUSO TRANSPORTE VERTICAL</v>
      </c>
      <c r="E147" s="23" t="str">
        <f>VLOOKUP(A147,MEMORIA!$A:$N,5,FALSE)</f>
        <v>M²</v>
      </c>
      <c r="F147" s="5">
        <f>VLOOKUP(A147,MEMORIA!$A:$N,14,FALSE)</f>
        <v>10.23</v>
      </c>
      <c r="G147" s="5">
        <f>VLOOKUP(A147,ORCAMENTO!$A:$I,7,FALSE)</f>
        <v>37.64</v>
      </c>
      <c r="H147" s="5">
        <f>VLOOKUP(A147,ORCAMENTO!$A:$I,8,FALSE)</f>
        <v>46.99</v>
      </c>
      <c r="I147" s="5">
        <f>ROUND(F147*H147,2)</f>
        <v>480.71</v>
      </c>
      <c r="J147" s="5">
        <f>ROUND(K147*$H147,2)</f>
        <v>480.71</v>
      </c>
      <c r="K147" s="5">
        <f t="shared" si="48"/>
        <v>10.23</v>
      </c>
      <c r="L147" s="25">
        <f t="shared" si="42"/>
        <v>1</v>
      </c>
      <c r="M147" s="5">
        <f>ROUND(N147*$H147,2)</f>
        <v>0</v>
      </c>
      <c r="N147" s="5">
        <v>0</v>
      </c>
      <c r="O147" s="25">
        <f t="shared" si="43"/>
        <v>0</v>
      </c>
      <c r="P147" s="5">
        <f>ROUND(Q147*$H147,2)</f>
        <v>0</v>
      </c>
      <c r="Q147" s="5">
        <v>0</v>
      </c>
      <c r="R147" s="25">
        <f t="shared" si="44"/>
        <v>0</v>
      </c>
      <c r="S147" s="5">
        <f t="shared" si="45"/>
        <v>480.71</v>
      </c>
      <c r="T147" s="25">
        <f t="shared" si="46"/>
        <v>1</v>
      </c>
      <c r="U147" s="25">
        <f t="shared" si="47"/>
        <v>6.6047997442881374E-4</v>
      </c>
    </row>
    <row r="148" spans="1:21" ht="28.8" x14ac:dyDescent="0.3">
      <c r="A148" s="23" t="s">
        <v>251</v>
      </c>
      <c r="B148" s="23" t="str">
        <f>VLOOKUP(A148,MEMORIA!$A:$N,2,FALSE)</f>
        <v>COMPCOM04</v>
      </c>
      <c r="C148" s="23" t="str">
        <f>VLOOKUP(A148,MEMORIA!$A:$N,3,FALSE)</f>
        <v>PRÓPRIA</v>
      </c>
      <c r="D148" s="24" t="str">
        <f>VLOOKUP(A148,MEMORIA!$A:$N,4,FALSE)</f>
        <v>TRAMA DE MADEIRA COMPOSTA POR RIPAS, CAIBROS E TERÇAS PARA TELHADOS DE ATÉ 2 ÁGUAS PARA TELHA CERÂMICA CAPA-CANAL, INCLUSO TRANSPORTE VERTICAL</v>
      </c>
      <c r="E148" s="23" t="str">
        <f>VLOOKUP(A148,MEMORIA!$A:$N,5,FALSE)</f>
        <v>M²</v>
      </c>
      <c r="F148" s="5">
        <f>VLOOKUP(A148,MEMORIA!$A:$N,14,FALSE)</f>
        <v>10.23</v>
      </c>
      <c r="G148" s="5">
        <f>VLOOKUP(A148,ORCAMENTO!$A:$I,7,FALSE)</f>
        <v>66.67</v>
      </c>
      <c r="H148" s="5">
        <f>VLOOKUP(A148,ORCAMENTO!$A:$I,8,FALSE)</f>
        <v>83.23</v>
      </c>
      <c r="I148" s="5">
        <f>ROUND(F148*H148,2)</f>
        <v>851.44</v>
      </c>
      <c r="J148" s="5">
        <f>ROUND(K148*$H148,2)</f>
        <v>851.44</v>
      </c>
      <c r="K148" s="5">
        <f t="shared" si="48"/>
        <v>10.23</v>
      </c>
      <c r="L148" s="25">
        <f t="shared" si="42"/>
        <v>1</v>
      </c>
      <c r="M148" s="5">
        <f>ROUND(N148*$H148,2)</f>
        <v>0</v>
      </c>
      <c r="N148" s="5">
        <v>0</v>
      </c>
      <c r="O148" s="25">
        <f t="shared" si="43"/>
        <v>0</v>
      </c>
      <c r="P148" s="5">
        <f>ROUND(Q148*$H148,2)</f>
        <v>0</v>
      </c>
      <c r="Q148" s="5">
        <v>0</v>
      </c>
      <c r="R148" s="25">
        <f t="shared" si="44"/>
        <v>0</v>
      </c>
      <c r="S148" s="5">
        <f t="shared" si="45"/>
        <v>851.44</v>
      </c>
      <c r="T148" s="25">
        <f t="shared" si="46"/>
        <v>1</v>
      </c>
      <c r="U148" s="25">
        <f t="shared" si="47"/>
        <v>1.1698509900515263E-3</v>
      </c>
    </row>
    <row r="149" spans="1:21" x14ac:dyDescent="0.3">
      <c r="A149" s="15" t="s">
        <v>53</v>
      </c>
      <c r="B149" s="49" t="str">
        <f>VLOOKUP(A149,MEMORIA!$A:$N,2,FALSE)</f>
        <v>PISO</v>
      </c>
      <c r="C149" s="50"/>
      <c r="D149" s="50"/>
      <c r="E149" s="50"/>
      <c r="F149" s="50"/>
      <c r="G149" s="50"/>
      <c r="H149" s="51"/>
      <c r="I149" s="16">
        <f>SUM(I$150:I$152)</f>
        <v>1208.82</v>
      </c>
      <c r="J149" s="16">
        <f>SUM(J$150:J$152)</f>
        <v>1208.82</v>
      </c>
      <c r="K149" s="16"/>
      <c r="L149" s="17">
        <f t="shared" si="42"/>
        <v>1</v>
      </c>
      <c r="M149" s="16">
        <f>SUM(M$150:M$152)</f>
        <v>0</v>
      </c>
      <c r="N149" s="16"/>
      <c r="O149" s="17">
        <f t="shared" si="43"/>
        <v>0</v>
      </c>
      <c r="P149" s="16">
        <f>SUM(P$150:P$152)</f>
        <v>0</v>
      </c>
      <c r="Q149" s="16"/>
      <c r="R149" s="17">
        <f t="shared" si="44"/>
        <v>0</v>
      </c>
      <c r="S149" s="16">
        <f t="shared" si="45"/>
        <v>1208.82</v>
      </c>
      <c r="T149" s="17">
        <f t="shared" si="46"/>
        <v>1</v>
      </c>
      <c r="U149" s="17">
        <f t="shared" si="47"/>
        <v>1.6608795379522761E-3</v>
      </c>
    </row>
    <row r="150" spans="1:21" ht="28.8" x14ac:dyDescent="0.3">
      <c r="A150" s="23" t="s">
        <v>252</v>
      </c>
      <c r="B150" s="23">
        <f>VLOOKUP(A150,MEMORIA!$A:$N,2,FALSE)</f>
        <v>96617</v>
      </c>
      <c r="C150" s="23" t="str">
        <f>VLOOKUP(A150,MEMORIA!$A:$N,3,FALSE)</f>
        <v>SINAPI</v>
      </c>
      <c r="D150" s="24" t="str">
        <f>VLOOKUP(A150,MEMORIA!$A:$N,4,FALSE)</f>
        <v>LASTRO DE CONCRETO MAGRO, APLICADO EM BLOCOS DE COROAMENTO OU SAPATAS, ESPESSURA DE 3 CM. AF_01/2024</v>
      </c>
      <c r="E150" s="23" t="str">
        <f>VLOOKUP(A150,MEMORIA!$A:$N,5,FALSE)</f>
        <v>M2</v>
      </c>
      <c r="F150" s="5">
        <f>VLOOKUP(A150,MEMORIA!$A:$N,14,FALSE)</f>
        <v>4</v>
      </c>
      <c r="G150" s="5">
        <f>VLOOKUP(A150,ORCAMENTO!$A:$I,7,FALSE)</f>
        <v>23.990000000000002</v>
      </c>
      <c r="H150" s="5">
        <f>VLOOKUP(A150,ORCAMENTO!$A:$I,8,FALSE)</f>
        <v>29.950000000000003</v>
      </c>
      <c r="I150" s="5">
        <f>ROUND(F150*H150,2)</f>
        <v>119.8</v>
      </c>
      <c r="J150" s="5">
        <f>ROUND(K150*$H150,2)</f>
        <v>119.8</v>
      </c>
      <c r="K150" s="5">
        <f t="shared" si="48"/>
        <v>4</v>
      </c>
      <c r="L150" s="25">
        <f t="shared" si="42"/>
        <v>1</v>
      </c>
      <c r="M150" s="5">
        <f>ROUND(N150*$H150,2)</f>
        <v>0</v>
      </c>
      <c r="N150" s="5">
        <v>0</v>
      </c>
      <c r="O150" s="25">
        <f t="shared" si="43"/>
        <v>0</v>
      </c>
      <c r="P150" s="5">
        <f>ROUND(Q150*$H150,2)</f>
        <v>0</v>
      </c>
      <c r="Q150" s="5">
        <v>0</v>
      </c>
      <c r="R150" s="25">
        <f t="shared" si="44"/>
        <v>0</v>
      </c>
      <c r="S150" s="5">
        <f t="shared" si="45"/>
        <v>119.8</v>
      </c>
      <c r="T150" s="25">
        <f t="shared" si="46"/>
        <v>1</v>
      </c>
      <c r="U150" s="25">
        <f t="shared" si="47"/>
        <v>1.6460132083079588E-4</v>
      </c>
    </row>
    <row r="151" spans="1:21" ht="28.8" x14ac:dyDescent="0.3">
      <c r="A151" s="23" t="s">
        <v>253</v>
      </c>
      <c r="B151" s="23">
        <f>VLOOKUP(A151,MEMORIA!$A:$N,2,FALSE)</f>
        <v>101749</v>
      </c>
      <c r="C151" s="23" t="str">
        <f>VLOOKUP(A151,MEMORIA!$A:$N,3,FALSE)</f>
        <v>SINAPI</v>
      </c>
      <c r="D151" s="24" t="str">
        <f>VLOOKUP(A151,MEMORIA!$A:$N,4,FALSE)</f>
        <v>PISO CIMENTADO, TRAÇO 1:3 (CIMENTO E AREIA), ACABAMENTO LISO, ESPESSURA 4,0 CM, PREPARO MECÂNICO DA ARGAMASSA. AF_09/2020</v>
      </c>
      <c r="E151" s="23" t="str">
        <f>VLOOKUP(A151,MEMORIA!$A:$N,5,FALSE)</f>
        <v>M2</v>
      </c>
      <c r="F151" s="5">
        <f>VLOOKUP(A151,MEMORIA!$A:$N,14,FALSE)</f>
        <v>4</v>
      </c>
      <c r="G151" s="5">
        <f>VLOOKUP(A151,ORCAMENTO!$A:$I,7,FALSE)</f>
        <v>64.739999999999995</v>
      </c>
      <c r="H151" s="5">
        <f>VLOOKUP(A151,ORCAMENTO!$A:$I,8,FALSE)</f>
        <v>80.819999999999993</v>
      </c>
      <c r="I151" s="5">
        <f>ROUND(F151*H151,2)</f>
        <v>323.27999999999997</v>
      </c>
      <c r="J151" s="5">
        <f>ROUND(K151*$H151,2)</f>
        <v>323.27999999999997</v>
      </c>
      <c r="K151" s="5">
        <f t="shared" si="48"/>
        <v>4</v>
      </c>
      <c r="L151" s="25">
        <f t="shared" si="42"/>
        <v>1</v>
      </c>
      <c r="M151" s="5">
        <f>ROUND(N151*$H151,2)</f>
        <v>0</v>
      </c>
      <c r="N151" s="5">
        <v>0</v>
      </c>
      <c r="O151" s="25">
        <f t="shared" si="43"/>
        <v>0</v>
      </c>
      <c r="P151" s="5">
        <f>ROUND(Q151*$H151,2)</f>
        <v>0</v>
      </c>
      <c r="Q151" s="5">
        <v>0</v>
      </c>
      <c r="R151" s="25">
        <f t="shared" si="44"/>
        <v>0</v>
      </c>
      <c r="S151" s="5">
        <f t="shared" si="45"/>
        <v>323.27999999999997</v>
      </c>
      <c r="T151" s="25">
        <f t="shared" si="46"/>
        <v>1</v>
      </c>
      <c r="U151" s="25">
        <f t="shared" si="47"/>
        <v>4.4417625207161679E-4</v>
      </c>
    </row>
    <row r="152" spans="1:21" ht="43.2" x14ac:dyDescent="0.3">
      <c r="A152" s="23" t="s">
        <v>254</v>
      </c>
      <c r="B152" s="23">
        <f>VLOOKUP(A152,MEMORIA!$A:$N,2,FALSE)</f>
        <v>94994</v>
      </c>
      <c r="C152" s="23" t="str">
        <f>VLOOKUP(A152,MEMORIA!$A:$N,3,FALSE)</f>
        <v>SINAPI</v>
      </c>
      <c r="D152" s="24" t="str">
        <f>VLOOKUP(A152,MEMORIA!$A:$N,4,FALSE)</f>
        <v>EXECUÇÃO DE PASSEIO (CALÇADA) OU PISO DE CONCRETO COM CONCRETO MOLDADO IN LOCO, FEITO EM OBRA, ACABAMENTO CONVENCIONAL, ESPESSURA 8 CM, ARMADO. AF_08/2022</v>
      </c>
      <c r="E152" s="23" t="str">
        <f>VLOOKUP(A152,MEMORIA!$A:$N,5,FALSE)</f>
        <v>M2</v>
      </c>
      <c r="F152" s="5">
        <f>VLOOKUP(A152,MEMORIA!$A:$N,14,FALSE)</f>
        <v>5.6</v>
      </c>
      <c r="G152" s="5">
        <f>VLOOKUP(A152,ORCAMENTO!$A:$I,7,FALSE)</f>
        <v>109.53000000000002</v>
      </c>
      <c r="H152" s="5">
        <f>VLOOKUP(A152,ORCAMENTO!$A:$I,8,FALSE)</f>
        <v>136.74</v>
      </c>
      <c r="I152" s="5">
        <f>ROUND(F152*H152,2)</f>
        <v>765.74</v>
      </c>
      <c r="J152" s="5">
        <f>ROUND(K152*$H152,2)</f>
        <v>765.74</v>
      </c>
      <c r="K152" s="5">
        <f t="shared" si="48"/>
        <v>5.6</v>
      </c>
      <c r="L152" s="25">
        <f t="shared" si="42"/>
        <v>1</v>
      </c>
      <c r="M152" s="5">
        <f>ROUND(N152*$H152,2)</f>
        <v>0</v>
      </c>
      <c r="N152" s="5">
        <v>0</v>
      </c>
      <c r="O152" s="25">
        <f t="shared" si="43"/>
        <v>0</v>
      </c>
      <c r="P152" s="5">
        <f>ROUND(Q152*$H152,2)</f>
        <v>0</v>
      </c>
      <c r="Q152" s="5">
        <v>0</v>
      </c>
      <c r="R152" s="25">
        <f t="shared" si="44"/>
        <v>0</v>
      </c>
      <c r="S152" s="5">
        <f t="shared" si="45"/>
        <v>765.74</v>
      </c>
      <c r="T152" s="25">
        <f t="shared" si="46"/>
        <v>1</v>
      </c>
      <c r="U152" s="25">
        <f t="shared" si="47"/>
        <v>1.0521019650498635E-3</v>
      </c>
    </row>
    <row r="153" spans="1:21" x14ac:dyDescent="0.3">
      <c r="A153" s="15" t="s">
        <v>54</v>
      </c>
      <c r="B153" s="49" t="str">
        <f>VLOOKUP(A153,MEMORIA!$A:$N,2,FALSE)</f>
        <v>REVESTIMENTO</v>
      </c>
      <c r="C153" s="50"/>
      <c r="D153" s="50"/>
      <c r="E153" s="50"/>
      <c r="F153" s="50"/>
      <c r="G153" s="50"/>
      <c r="H153" s="51"/>
      <c r="I153" s="16">
        <f>SUM(I$154:I$155)</f>
        <v>2396.75</v>
      </c>
      <c r="J153" s="16">
        <f>SUM(J$154:J$155)</f>
        <v>2396.75</v>
      </c>
      <c r="K153" s="16"/>
      <c r="L153" s="17">
        <f t="shared" si="42"/>
        <v>1</v>
      </c>
      <c r="M153" s="16">
        <f>SUM(M$154:M$155)</f>
        <v>0</v>
      </c>
      <c r="N153" s="16"/>
      <c r="O153" s="17">
        <f t="shared" si="43"/>
        <v>0</v>
      </c>
      <c r="P153" s="16">
        <f>SUM(P$154:P$155)</f>
        <v>0</v>
      </c>
      <c r="Q153" s="16"/>
      <c r="R153" s="17">
        <f t="shared" si="44"/>
        <v>0</v>
      </c>
      <c r="S153" s="16">
        <f t="shared" si="45"/>
        <v>2396.75</v>
      </c>
      <c r="T153" s="17">
        <f t="shared" si="46"/>
        <v>1</v>
      </c>
      <c r="U153" s="17">
        <f t="shared" si="47"/>
        <v>3.2930568923306347E-3</v>
      </c>
    </row>
    <row r="154" spans="1:21" ht="43.2" x14ac:dyDescent="0.3">
      <c r="A154" s="23" t="s">
        <v>255</v>
      </c>
      <c r="B154" s="23">
        <f>VLOOKUP(A154,MEMORIA!$A:$N,2,FALSE)</f>
        <v>87904</v>
      </c>
      <c r="C154" s="23" t="str">
        <f>VLOOKUP(A154,MEMORIA!$A:$N,3,FALSE)</f>
        <v>SINAPI</v>
      </c>
      <c r="D154" s="24" t="str">
        <f>VLOOKUP(A154,MEMORIA!$A:$N,4,FALSE)</f>
        <v>CHAPISCO APLICADO EM ALVENARIA (COM PRESENÇA DE VÃOS) E ESTRUTURAS DE CONCRETO DE FACHADA, COM COLHER DE PEDREIRO. ARGAMASSA TRAÇO 1:3 COM PREPARO MANUAL. AF_10/2022</v>
      </c>
      <c r="E154" s="23" t="str">
        <f>VLOOKUP(A154,MEMORIA!$A:$N,5,FALSE)</f>
        <v>M2</v>
      </c>
      <c r="F154" s="5">
        <f>VLOOKUP(A154,MEMORIA!$A:$N,14,FALSE)</f>
        <v>38.619999999999997</v>
      </c>
      <c r="G154" s="5">
        <f>VLOOKUP(A154,ORCAMENTO!$A:$I,7,FALSE)</f>
        <v>8.74</v>
      </c>
      <c r="H154" s="5">
        <f>VLOOKUP(A154,ORCAMENTO!$A:$I,8,FALSE)</f>
        <v>10.91</v>
      </c>
      <c r="I154" s="5">
        <f>ROUND(F154*H154,2)</f>
        <v>421.34</v>
      </c>
      <c r="J154" s="5">
        <f>ROUND(K154*$H154,2)</f>
        <v>421.34</v>
      </c>
      <c r="K154" s="5">
        <f t="shared" si="48"/>
        <v>38.619999999999997</v>
      </c>
      <c r="L154" s="25">
        <f t="shared" si="42"/>
        <v>1</v>
      </c>
      <c r="M154" s="5">
        <f>ROUND(N154*$H154,2)</f>
        <v>0</v>
      </c>
      <c r="N154" s="5">
        <v>0</v>
      </c>
      <c r="O154" s="25">
        <f t="shared" si="43"/>
        <v>0</v>
      </c>
      <c r="P154" s="5">
        <f>ROUND(Q154*$H154,2)</f>
        <v>0</v>
      </c>
      <c r="Q154" s="5">
        <v>0</v>
      </c>
      <c r="R154" s="25">
        <f t="shared" si="44"/>
        <v>0</v>
      </c>
      <c r="S154" s="5">
        <f t="shared" si="45"/>
        <v>421.34</v>
      </c>
      <c r="T154" s="25">
        <f t="shared" si="46"/>
        <v>1</v>
      </c>
      <c r="U154" s="25">
        <f t="shared" si="47"/>
        <v>5.7890751685181583E-4</v>
      </c>
    </row>
    <row r="155" spans="1:21" ht="43.2" x14ac:dyDescent="0.3">
      <c r="A155" s="23" t="s">
        <v>256</v>
      </c>
      <c r="B155" s="23">
        <f>VLOOKUP(A155,MEMORIA!$A:$N,2,FALSE)</f>
        <v>87530</v>
      </c>
      <c r="C155" s="23" t="str">
        <f>VLOOKUP(A155,MEMORIA!$A:$N,3,FALSE)</f>
        <v>SINAPI</v>
      </c>
      <c r="D155" s="24" t="str">
        <f>VLOOKUP(A155,MEMORIA!$A:$N,4,FALSE)</f>
        <v>MASSA ÚNICA, EM ARGAMASSA TRAÇO 1:2:8, PREPARO MANUAL, APLICADA MANUALMENTE EM PAREDES INTERNAS DE AMBIENTES COM ÁREA ENTRE 5M² E 10M², E = 17,5MM, COM TALISCAS. AF_03/2024</v>
      </c>
      <c r="E155" s="23" t="str">
        <f>VLOOKUP(A155,MEMORIA!$A:$N,5,FALSE)</f>
        <v>M2</v>
      </c>
      <c r="F155" s="5">
        <f>VLOOKUP(A155,MEMORIA!$A:$N,14,FALSE)</f>
        <v>38.619999999999997</v>
      </c>
      <c r="G155" s="5">
        <f>VLOOKUP(A155,ORCAMENTO!$A:$I,7,FALSE)</f>
        <v>40.97</v>
      </c>
      <c r="H155" s="5">
        <f>VLOOKUP(A155,ORCAMENTO!$A:$I,8,FALSE)</f>
        <v>51.15</v>
      </c>
      <c r="I155" s="5">
        <f>ROUND(F155*H155,2)</f>
        <v>1975.41</v>
      </c>
      <c r="J155" s="5">
        <f>ROUND(K155*$H155,2)</f>
        <v>1975.41</v>
      </c>
      <c r="K155" s="5">
        <f t="shared" si="48"/>
        <v>38.619999999999997</v>
      </c>
      <c r="L155" s="25">
        <f t="shared" si="42"/>
        <v>1</v>
      </c>
      <c r="M155" s="5">
        <f>ROUND(N155*$H155,2)</f>
        <v>0</v>
      </c>
      <c r="N155" s="5">
        <v>0</v>
      </c>
      <c r="O155" s="25">
        <f t="shared" si="43"/>
        <v>0</v>
      </c>
      <c r="P155" s="5">
        <f>ROUND(Q155*$H155,2)</f>
        <v>0</v>
      </c>
      <c r="Q155" s="5">
        <v>0</v>
      </c>
      <c r="R155" s="25">
        <f t="shared" si="44"/>
        <v>0</v>
      </c>
      <c r="S155" s="5">
        <f t="shared" si="45"/>
        <v>1975.41</v>
      </c>
      <c r="T155" s="25">
        <f t="shared" si="46"/>
        <v>1</v>
      </c>
      <c r="U155" s="25">
        <f t="shared" si="47"/>
        <v>2.7141493754788189E-3</v>
      </c>
    </row>
    <row r="156" spans="1:21" x14ac:dyDescent="0.3">
      <c r="A156" s="15" t="s">
        <v>55</v>
      </c>
      <c r="B156" s="49" t="str">
        <f>VLOOKUP(A156,MEMORIA!$A:$N,2,FALSE)</f>
        <v>ESQUADRIAS</v>
      </c>
      <c r="C156" s="50"/>
      <c r="D156" s="50"/>
      <c r="E156" s="50"/>
      <c r="F156" s="50"/>
      <c r="G156" s="50"/>
      <c r="H156" s="51"/>
      <c r="I156" s="16">
        <f>SUM(I$157:I$158)</f>
        <v>4550.21</v>
      </c>
      <c r="J156" s="16">
        <f>SUM(J$157:J$158)</f>
        <v>4550.21</v>
      </c>
      <c r="K156" s="16"/>
      <c r="L156" s="17">
        <f t="shared" si="42"/>
        <v>1</v>
      </c>
      <c r="M156" s="16">
        <f>SUM(M$157:M$158)</f>
        <v>0</v>
      </c>
      <c r="N156" s="16"/>
      <c r="O156" s="17">
        <f t="shared" si="43"/>
        <v>0</v>
      </c>
      <c r="P156" s="16">
        <f>SUM(P$157:P$158)</f>
        <v>0</v>
      </c>
      <c r="Q156" s="16"/>
      <c r="R156" s="17">
        <f t="shared" si="44"/>
        <v>0</v>
      </c>
      <c r="S156" s="16">
        <f t="shared" si="45"/>
        <v>4550.21</v>
      </c>
      <c r="T156" s="17">
        <f t="shared" si="46"/>
        <v>1</v>
      </c>
      <c r="U156" s="17">
        <f t="shared" si="47"/>
        <v>6.2518412024832699E-3</v>
      </c>
    </row>
    <row r="157" spans="1:21" x14ac:dyDescent="0.3">
      <c r="A157" s="23" t="s">
        <v>257</v>
      </c>
      <c r="B157" s="23">
        <f>VLOOKUP(A157,MEMORIA!$A:$N,2,FALSE)</f>
        <v>100701</v>
      </c>
      <c r="C157" s="23" t="str">
        <f>VLOOKUP(A157,MEMORIA!$A:$N,3,FALSE)</f>
        <v>SINAPI</v>
      </c>
      <c r="D157" s="24" t="str">
        <f>VLOOKUP(A157,MEMORIA!$A:$N,4,FALSE)</f>
        <v>PORTA DE FERRO, DE ABRIR, TIPO GRADE COM CHAPA, COM GUARNIÇÕES. AF_12/2019</v>
      </c>
      <c r="E157" s="23" t="str">
        <f>VLOOKUP(A157,MEMORIA!$A:$N,5,FALSE)</f>
        <v>M2</v>
      </c>
      <c r="F157" s="5">
        <f>VLOOKUP(A157,MEMORIA!$A:$N,14,FALSE)</f>
        <v>1.68</v>
      </c>
      <c r="G157" s="5">
        <f>VLOOKUP(A157,ORCAMENTO!$A:$I,7,FALSE)</f>
        <v>415.3</v>
      </c>
      <c r="H157" s="5">
        <f>VLOOKUP(A157,ORCAMENTO!$A:$I,8,FALSE)</f>
        <v>518.46</v>
      </c>
      <c r="I157" s="5">
        <f>ROUND(F157*H157,2)</f>
        <v>871.01</v>
      </c>
      <c r="J157" s="5">
        <f>ROUND(K157*$H157,2)</f>
        <v>871.01</v>
      </c>
      <c r="K157" s="5">
        <f t="shared" si="48"/>
        <v>1.68</v>
      </c>
      <c r="L157" s="25">
        <f t="shared" si="42"/>
        <v>1</v>
      </c>
      <c r="M157" s="5">
        <f>ROUND(N157*$H157,2)</f>
        <v>0</v>
      </c>
      <c r="N157" s="5">
        <v>0</v>
      </c>
      <c r="O157" s="25">
        <f t="shared" si="43"/>
        <v>0</v>
      </c>
      <c r="P157" s="5">
        <f>ROUND(Q157*$H157,2)</f>
        <v>0</v>
      </c>
      <c r="Q157" s="5">
        <v>0</v>
      </c>
      <c r="R157" s="25">
        <f t="shared" si="44"/>
        <v>0</v>
      </c>
      <c r="S157" s="5">
        <f t="shared" si="45"/>
        <v>871.01</v>
      </c>
      <c r="T157" s="25">
        <f t="shared" si="46"/>
        <v>1</v>
      </c>
      <c r="U157" s="25">
        <f t="shared" si="47"/>
        <v>1.196739536367542E-3</v>
      </c>
    </row>
    <row r="158" spans="1:21" ht="28.8" x14ac:dyDescent="0.3">
      <c r="A158" s="23" t="s">
        <v>258</v>
      </c>
      <c r="B158" s="23" t="str">
        <f>VLOOKUP(A158,MEMORIA!$A:$N,2,FALSE)</f>
        <v>C3659</v>
      </c>
      <c r="C158" s="23" t="str">
        <f>VLOOKUP(A158,MEMORIA!$A:$N,3,FALSE)</f>
        <v>SEINFRA</v>
      </c>
      <c r="D158" s="24" t="str">
        <f>VLOOKUP(A158,MEMORIA!$A:$N,4,FALSE)</f>
        <v>PORTÃO DE METALON E BARRA CHATA DE FERRO C/FECHADURA E DOBRADIÇA, INCLUS. PINTURA ESMALTE SINTÉTICO</v>
      </c>
      <c r="E158" s="23" t="str">
        <f>VLOOKUP(A158,MEMORIA!$A:$N,5,FALSE)</f>
        <v>M2</v>
      </c>
      <c r="F158" s="5">
        <f>VLOOKUP(A158,MEMORIA!$A:$N,14,FALSE)</f>
        <v>6</v>
      </c>
      <c r="G158" s="5">
        <f>VLOOKUP(A158,ORCAMENTO!$A:$I,7,FALSE)</f>
        <v>491.19000000000005</v>
      </c>
      <c r="H158" s="5">
        <f>VLOOKUP(A158,ORCAMENTO!$A:$I,8,FALSE)</f>
        <v>613.20000000000005</v>
      </c>
      <c r="I158" s="5">
        <f>ROUND(F158*H158,2)</f>
        <v>3679.2</v>
      </c>
      <c r="J158" s="5">
        <f>ROUND(K158*$H158,2)</f>
        <v>3679.2</v>
      </c>
      <c r="K158" s="5">
        <f t="shared" si="48"/>
        <v>6</v>
      </c>
      <c r="L158" s="25">
        <f t="shared" si="42"/>
        <v>1</v>
      </c>
      <c r="M158" s="5">
        <f>ROUND(N158*$H158,2)</f>
        <v>0</v>
      </c>
      <c r="N158" s="5">
        <v>0</v>
      </c>
      <c r="O158" s="25">
        <f t="shared" si="43"/>
        <v>0</v>
      </c>
      <c r="P158" s="5">
        <f>ROUND(Q158*$H158,2)</f>
        <v>0</v>
      </c>
      <c r="Q158" s="5">
        <v>0</v>
      </c>
      <c r="R158" s="25">
        <f t="shared" si="44"/>
        <v>0</v>
      </c>
      <c r="S158" s="5">
        <f t="shared" si="45"/>
        <v>3679.2</v>
      </c>
      <c r="T158" s="25">
        <f t="shared" si="46"/>
        <v>1</v>
      </c>
      <c r="U158" s="25">
        <f t="shared" si="47"/>
        <v>5.0551016661157279E-3</v>
      </c>
    </row>
    <row r="159" spans="1:21" x14ac:dyDescent="0.3">
      <c r="A159" s="15" t="s">
        <v>56</v>
      </c>
      <c r="B159" s="49" t="str">
        <f>VLOOKUP(A159,MEMORIA!$A:$N,2,FALSE)</f>
        <v>PINTURA</v>
      </c>
      <c r="C159" s="50"/>
      <c r="D159" s="50"/>
      <c r="E159" s="50"/>
      <c r="F159" s="50"/>
      <c r="G159" s="50"/>
      <c r="H159" s="51"/>
      <c r="I159" s="16">
        <f>SUM(I$160:I$161)</f>
        <v>663.11</v>
      </c>
      <c r="J159" s="16">
        <f>SUM(J$160:J$161)</f>
        <v>663.11</v>
      </c>
      <c r="K159" s="16"/>
      <c r="L159" s="17">
        <f t="shared" si="42"/>
        <v>1</v>
      </c>
      <c r="M159" s="16">
        <f>SUM(M$160:M$161)</f>
        <v>0</v>
      </c>
      <c r="N159" s="16"/>
      <c r="O159" s="17">
        <f t="shared" si="43"/>
        <v>0</v>
      </c>
      <c r="P159" s="16">
        <f>SUM(P$160:P$161)</f>
        <v>0</v>
      </c>
      <c r="Q159" s="16"/>
      <c r="R159" s="17">
        <f t="shared" si="44"/>
        <v>0</v>
      </c>
      <c r="S159" s="16">
        <f t="shared" si="45"/>
        <v>663.11</v>
      </c>
      <c r="T159" s="17">
        <f t="shared" si="46"/>
        <v>1</v>
      </c>
      <c r="U159" s="17">
        <f t="shared" si="47"/>
        <v>9.1109166824798889E-4</v>
      </c>
    </row>
    <row r="160" spans="1:21" x14ac:dyDescent="0.3">
      <c r="A160" s="23" t="s">
        <v>259</v>
      </c>
      <c r="B160" s="23" t="str">
        <f>VLOOKUP(A160,MEMORIA!$A:$N,2,FALSE)</f>
        <v>COMP205</v>
      </c>
      <c r="C160" s="23" t="str">
        <f>VLOOKUP(A160,MEMORIA!$A:$N,3,FALSE)</f>
        <v>PRÓPRIA</v>
      </c>
      <c r="D160" s="24" t="str">
        <f>VLOOKUP(A160,MEMORIA!$A:$N,4,FALSE)</f>
        <v>CAIAÇÃO EM TRES DEMÃOS EM PAREDES (REF: C0589-SEINFRA 28)</v>
      </c>
      <c r="E160" s="23" t="str">
        <f>VLOOKUP(A160,MEMORIA!$A:$N,5,FALSE)</f>
        <v>M2</v>
      </c>
      <c r="F160" s="5">
        <f>VLOOKUP(A160,MEMORIA!$A:$N,14,FALSE)</f>
        <v>38.619999999999997</v>
      </c>
      <c r="G160" s="5">
        <f>VLOOKUP(A160,ORCAMENTO!$A:$I,7,FALSE)</f>
        <v>9.3800000000000008</v>
      </c>
      <c r="H160" s="5">
        <f>VLOOKUP(A160,ORCAMENTO!$A:$I,8,FALSE)</f>
        <v>11.71</v>
      </c>
      <c r="I160" s="5">
        <f>ROUND(F160*H160,2)</f>
        <v>452.24</v>
      </c>
      <c r="J160" s="5">
        <f>ROUND(K160*$H160,2)</f>
        <v>452.24</v>
      </c>
      <c r="K160" s="5">
        <f t="shared" si="48"/>
        <v>38.619999999999997</v>
      </c>
      <c r="L160" s="25">
        <f t="shared" si="42"/>
        <v>1</v>
      </c>
      <c r="M160" s="5">
        <f>ROUND(N160*$H160,2)</f>
        <v>0</v>
      </c>
      <c r="N160" s="5">
        <v>0</v>
      </c>
      <c r="O160" s="25">
        <f t="shared" si="43"/>
        <v>0</v>
      </c>
      <c r="P160" s="5">
        <f>ROUND(Q160*$H160,2)</f>
        <v>0</v>
      </c>
      <c r="Q160" s="5">
        <v>0</v>
      </c>
      <c r="R160" s="25">
        <f t="shared" si="44"/>
        <v>0</v>
      </c>
      <c r="S160" s="5">
        <f t="shared" si="45"/>
        <v>452.24</v>
      </c>
      <c r="T160" s="25">
        <f t="shared" si="46"/>
        <v>1</v>
      </c>
      <c r="U160" s="25">
        <f t="shared" si="47"/>
        <v>6.2136311629815643E-4</v>
      </c>
    </row>
    <row r="161" spans="1:21" ht="43.2" x14ac:dyDescent="0.3">
      <c r="A161" s="23" t="s">
        <v>260</v>
      </c>
      <c r="B161" s="23">
        <f>VLOOKUP(A161,MEMORIA!$A:$N,2,FALSE)</f>
        <v>100758</v>
      </c>
      <c r="C161" s="23" t="str">
        <f>VLOOKUP(A161,MEMORIA!$A:$N,3,FALSE)</f>
        <v>SINAPI</v>
      </c>
      <c r="D161" s="24" t="str">
        <f>VLOOKUP(A161,MEMORIA!$A:$N,4,FALSE)</f>
        <v>PINTURA COM TINTA ALQUÍDICA DE ACABAMENTO (ESMALTE SINTÉTICO ACETINADO) APLICADA A ROLO OU PINCEL SOBRE SUPERFÍCIES METÁLICAS (EXCETO PERFIL) EXECUTADO EM OBRA (02 DEMÃOS). AF_01/2020</v>
      </c>
      <c r="E161" s="23" t="str">
        <f>VLOOKUP(A161,MEMORIA!$A:$N,5,FALSE)</f>
        <v>M2</v>
      </c>
      <c r="F161" s="5">
        <f>VLOOKUP(A161,MEMORIA!$A:$N,14,FALSE)</f>
        <v>3.36</v>
      </c>
      <c r="G161" s="5">
        <f>VLOOKUP(A161,ORCAMENTO!$A:$I,7,FALSE)</f>
        <v>50.269999999999996</v>
      </c>
      <c r="H161" s="5">
        <f>VLOOKUP(A161,ORCAMENTO!$A:$I,8,FALSE)</f>
        <v>62.76</v>
      </c>
      <c r="I161" s="5">
        <f>ROUND(F161*H161,2)</f>
        <v>210.87</v>
      </c>
      <c r="J161" s="5">
        <f>ROUND(K161*$H161,2)</f>
        <v>210.87</v>
      </c>
      <c r="K161" s="5">
        <f t="shared" si="48"/>
        <v>3.36</v>
      </c>
      <c r="L161" s="25">
        <f t="shared" si="42"/>
        <v>1</v>
      </c>
      <c r="M161" s="5">
        <f>ROUND(N161*$H161,2)</f>
        <v>0</v>
      </c>
      <c r="N161" s="5">
        <v>0</v>
      </c>
      <c r="O161" s="25">
        <f t="shared" si="43"/>
        <v>0</v>
      </c>
      <c r="P161" s="5">
        <f>ROUND(Q161*$H161,2)</f>
        <v>0</v>
      </c>
      <c r="Q161" s="5">
        <v>0</v>
      </c>
      <c r="R161" s="25">
        <f t="shared" si="44"/>
        <v>0</v>
      </c>
      <c r="S161" s="5">
        <f t="shared" si="45"/>
        <v>210.87</v>
      </c>
      <c r="T161" s="25">
        <f t="shared" si="46"/>
        <v>1</v>
      </c>
      <c r="U161" s="25">
        <f t="shared" si="47"/>
        <v>2.8972855194983247E-4</v>
      </c>
    </row>
    <row r="162" spans="1:21" x14ac:dyDescent="0.3">
      <c r="A162" s="15" t="s">
        <v>57</v>
      </c>
      <c r="B162" s="49" t="str">
        <f>VLOOKUP(A162,MEMORIA!$A:$N,2,FALSE)</f>
        <v>CERCAMENTO</v>
      </c>
      <c r="C162" s="50"/>
      <c r="D162" s="50"/>
      <c r="E162" s="50"/>
      <c r="F162" s="50"/>
      <c r="G162" s="50"/>
      <c r="H162" s="51"/>
      <c r="I162" s="16">
        <f>SUM(I$163:I$163)</f>
        <v>6063.93</v>
      </c>
      <c r="J162" s="16">
        <f>SUM(J$163:J$163)</f>
        <v>6063.93</v>
      </c>
      <c r="K162" s="16"/>
      <c r="L162" s="17">
        <f t="shared" si="42"/>
        <v>1</v>
      </c>
      <c r="M162" s="16">
        <f>SUM(M$163:M$163)</f>
        <v>0</v>
      </c>
      <c r="N162" s="16"/>
      <c r="O162" s="17">
        <f t="shared" si="43"/>
        <v>0</v>
      </c>
      <c r="P162" s="16">
        <f>SUM(P$163:P$163)</f>
        <v>0</v>
      </c>
      <c r="Q162" s="16"/>
      <c r="R162" s="17">
        <f t="shared" si="44"/>
        <v>0</v>
      </c>
      <c r="S162" s="16">
        <f t="shared" si="45"/>
        <v>6063.93</v>
      </c>
      <c r="T162" s="17">
        <f t="shared" si="46"/>
        <v>1</v>
      </c>
      <c r="U162" s="17">
        <f t="shared" si="47"/>
        <v>8.3316434676584984E-3</v>
      </c>
    </row>
    <row r="163" spans="1:21" ht="43.2" x14ac:dyDescent="0.3">
      <c r="A163" s="23" t="s">
        <v>261</v>
      </c>
      <c r="B163" s="23">
        <f>VLOOKUP(A163,MEMORIA!$A:$N,2,FALSE)</f>
        <v>101197</v>
      </c>
      <c r="C163" s="23" t="str">
        <f>VLOOKUP(A163,MEMORIA!$A:$N,3,FALSE)</f>
        <v>SINAPI</v>
      </c>
      <c r="D163" s="24" t="str">
        <f>VLOOKUP(A163,MEMORIA!$A:$N,4,FALSE)</f>
        <v>CERCA COM MOURÕES DE CONCRETO, SEÇÃO "T" PONTA INCLINADA, 10X10 CM, ESPAÇAMENTO DE 2,5 M, CRAVADOS 0,5 M, COM 11 FIOS DE ARAME FARPADO Nº 14 - FORNECIMENTO E INSTALAÇÃO. AF_05/2020</v>
      </c>
      <c r="E163" s="23" t="str">
        <f>VLOOKUP(A163,MEMORIA!$A:$N,5,FALSE)</f>
        <v>M</v>
      </c>
      <c r="F163" s="5">
        <f>VLOOKUP(A163,MEMORIA!$A:$N,14,FALSE)</f>
        <v>37</v>
      </c>
      <c r="G163" s="5">
        <f>VLOOKUP(A163,ORCAMENTO!$A:$I,7,FALSE)</f>
        <v>131.28</v>
      </c>
      <c r="H163" s="5">
        <f>VLOOKUP(A163,ORCAMENTO!$A:$I,8,FALSE)</f>
        <v>163.89</v>
      </c>
      <c r="I163" s="5">
        <f>ROUND(F163*H163,2)</f>
        <v>6063.93</v>
      </c>
      <c r="J163" s="5">
        <f>ROUND(K163*$H163,2)</f>
        <v>6063.93</v>
      </c>
      <c r="K163" s="5">
        <f t="shared" si="48"/>
        <v>37</v>
      </c>
      <c r="L163" s="25">
        <f t="shared" si="42"/>
        <v>1</v>
      </c>
      <c r="M163" s="5">
        <f>ROUND(N163*$H163,2)</f>
        <v>0</v>
      </c>
      <c r="N163" s="5">
        <v>0</v>
      </c>
      <c r="O163" s="25">
        <f t="shared" si="43"/>
        <v>0</v>
      </c>
      <c r="P163" s="5">
        <f>ROUND(Q163*$H163,2)</f>
        <v>0</v>
      </c>
      <c r="Q163" s="5">
        <v>0</v>
      </c>
      <c r="R163" s="25">
        <f t="shared" si="44"/>
        <v>0</v>
      </c>
      <c r="S163" s="5">
        <f t="shared" si="45"/>
        <v>6063.93</v>
      </c>
      <c r="T163" s="25">
        <f t="shared" si="46"/>
        <v>1</v>
      </c>
      <c r="U163" s="25">
        <f t="shared" si="47"/>
        <v>8.3316434676584984E-3</v>
      </c>
    </row>
    <row r="164" spans="1:21" x14ac:dyDescent="0.3">
      <c r="A164" s="12" t="s">
        <v>58</v>
      </c>
      <c r="B164" s="46" t="str">
        <f>VLOOKUP(A164,MEMORIA!$A:$N,2,FALSE)</f>
        <v>INSTALAÇÕES ELÉTRICAS</v>
      </c>
      <c r="C164" s="47"/>
      <c r="D164" s="47"/>
      <c r="E164" s="47"/>
      <c r="F164" s="47"/>
      <c r="G164" s="47"/>
      <c r="H164" s="48"/>
      <c r="I164" s="13">
        <f>SUM(I$165:I$172)</f>
        <v>1853.2700000000002</v>
      </c>
      <c r="J164" s="13">
        <f>SUM(J$165:J$172)</f>
        <v>1853.2700000000002</v>
      </c>
      <c r="K164" s="13"/>
      <c r="L164" s="14">
        <f t="shared" si="42"/>
        <v>1</v>
      </c>
      <c r="M164" s="13">
        <f>SUM(M$165:M$172)</f>
        <v>0</v>
      </c>
      <c r="N164" s="13"/>
      <c r="O164" s="14">
        <f t="shared" si="43"/>
        <v>0</v>
      </c>
      <c r="P164" s="13">
        <f>SUM(P$165:P$172)</f>
        <v>0</v>
      </c>
      <c r="Q164" s="13"/>
      <c r="R164" s="14">
        <f t="shared" si="44"/>
        <v>0</v>
      </c>
      <c r="S164" s="13">
        <f t="shared" si="45"/>
        <v>1853.2700000000002</v>
      </c>
      <c r="T164" s="14">
        <f t="shared" si="46"/>
        <v>1</v>
      </c>
      <c r="U164" s="14">
        <f t="shared" si="47"/>
        <v>2.5463329704181062E-3</v>
      </c>
    </row>
    <row r="165" spans="1:21" ht="43.2" x14ac:dyDescent="0.3">
      <c r="A165" s="23" t="s">
        <v>262</v>
      </c>
      <c r="B165" s="23" t="str">
        <f>VLOOKUP(A165,MEMORIA!$A:$N,2,FALSE)</f>
        <v>COMPINST05</v>
      </c>
      <c r="C165" s="23" t="str">
        <f>VLOOKUP(A165,MEMORIA!$A:$N,3,FALSE)</f>
        <v>PRÓPRIA</v>
      </c>
      <c r="D165" s="24" t="str">
        <f>VLOOKUP(A165,MEMORIA!$A:$N,4,FALSE)</f>
        <v>ENTRADA DE ENERGIA ELÉTRICA, AÉREA, MONOFÁSICA, COM CAIXA DE EMBUTIR, CABO DE 10 MM2 E DISJUNTOR DIN 50A (NÃO INCLUSO O POSTE DE CONCRETO). AF_07/2020_PS (REF: 101493-SINAPI-06/2025)</v>
      </c>
      <c r="E165" s="23" t="str">
        <f>VLOOKUP(A165,MEMORIA!$A:$N,5,FALSE)</f>
        <v>UN</v>
      </c>
      <c r="F165" s="5">
        <f>VLOOKUP(A165,MEMORIA!$A:$N,14,FALSE)</f>
        <v>1</v>
      </c>
      <c r="G165" s="5">
        <f>VLOOKUP(A165,ORCAMENTO!$A:$I,7,FALSE)</f>
        <v>967.24</v>
      </c>
      <c r="H165" s="5">
        <f>VLOOKUP(A165,ORCAMENTO!$A:$I,8,FALSE)</f>
        <v>1207.5</v>
      </c>
      <c r="I165" s="5">
        <f t="shared" ref="I165:I172" si="49">ROUND(F165*H165,2)</f>
        <v>1207.5</v>
      </c>
      <c r="J165" s="5">
        <f t="shared" ref="J165:J172" si="50">ROUND(K165*$H165,2)</f>
        <v>1207.5</v>
      </c>
      <c r="K165" s="5">
        <f t="shared" si="48"/>
        <v>1</v>
      </c>
      <c r="L165" s="25">
        <f t="shared" si="42"/>
        <v>1</v>
      </c>
      <c r="M165" s="5">
        <f t="shared" ref="M165:M172" si="51">ROUND(N165*$H165,2)</f>
        <v>0</v>
      </c>
      <c r="N165" s="5">
        <v>0</v>
      </c>
      <c r="O165" s="25">
        <f t="shared" si="43"/>
        <v>0</v>
      </c>
      <c r="P165" s="5">
        <f t="shared" ref="P165:P172" si="52">ROUND(Q165*$H165,2)</f>
        <v>0</v>
      </c>
      <c r="Q165" s="5">
        <v>0</v>
      </c>
      <c r="R165" s="25">
        <f t="shared" si="44"/>
        <v>0</v>
      </c>
      <c r="S165" s="5">
        <f t="shared" si="45"/>
        <v>1207.5</v>
      </c>
      <c r="T165" s="25">
        <f t="shared" si="46"/>
        <v>1</v>
      </c>
      <c r="U165" s="25">
        <f t="shared" si="47"/>
        <v>1.6590659006943743E-3</v>
      </c>
    </row>
    <row r="166" spans="1:21" ht="28.8" x14ac:dyDescent="0.3">
      <c r="A166" s="23" t="s">
        <v>263</v>
      </c>
      <c r="B166" s="23">
        <f>VLOOKUP(A166,MEMORIA!$A:$N,2,FALSE)</f>
        <v>93656</v>
      </c>
      <c r="C166" s="23" t="str">
        <f>VLOOKUP(A166,MEMORIA!$A:$N,3,FALSE)</f>
        <v>SINAPI</v>
      </c>
      <c r="D166" s="24" t="str">
        <f>VLOOKUP(A166,MEMORIA!$A:$N,4,FALSE)</f>
        <v>DISJUNTOR MONOPOLAR TIPO DIN, CORRENTE NOMINAL DE 25A - FORNECIMENTO E INSTALAÇÃO. AF_10/2020</v>
      </c>
      <c r="E166" s="23" t="str">
        <f>VLOOKUP(A166,MEMORIA!$A:$N,5,FALSE)</f>
        <v>UN</v>
      </c>
      <c r="F166" s="5">
        <f>VLOOKUP(A166,MEMORIA!$A:$N,14,FALSE)</f>
        <v>1</v>
      </c>
      <c r="G166" s="5">
        <f>VLOOKUP(A166,ORCAMENTO!$A:$I,7,FALSE)</f>
        <v>13.33</v>
      </c>
      <c r="H166" s="5">
        <f>VLOOKUP(A166,ORCAMENTO!$A:$I,8,FALSE)</f>
        <v>16.64</v>
      </c>
      <c r="I166" s="5">
        <f t="shared" si="49"/>
        <v>16.64</v>
      </c>
      <c r="J166" s="5">
        <f t="shared" si="50"/>
        <v>16.64</v>
      </c>
      <c r="K166" s="5">
        <f t="shared" si="48"/>
        <v>1</v>
      </c>
      <c r="L166" s="25">
        <f t="shared" si="42"/>
        <v>1</v>
      </c>
      <c r="M166" s="5">
        <f t="shared" si="51"/>
        <v>0</v>
      </c>
      <c r="N166" s="5">
        <v>0</v>
      </c>
      <c r="O166" s="25">
        <f t="shared" si="43"/>
        <v>0</v>
      </c>
      <c r="P166" s="5">
        <f t="shared" si="52"/>
        <v>0</v>
      </c>
      <c r="Q166" s="5">
        <v>0</v>
      </c>
      <c r="R166" s="25">
        <f t="shared" si="44"/>
        <v>0</v>
      </c>
      <c r="S166" s="5">
        <f t="shared" si="45"/>
        <v>16.64</v>
      </c>
      <c r="T166" s="25">
        <f t="shared" si="46"/>
        <v>1</v>
      </c>
      <c r="U166" s="25">
        <f t="shared" si="47"/>
        <v>2.2862821190521232E-5</v>
      </c>
    </row>
    <row r="167" spans="1:21" ht="28.8" x14ac:dyDescent="0.3">
      <c r="A167" s="23" t="s">
        <v>264</v>
      </c>
      <c r="B167" s="23">
        <f>VLOOKUP(A167,MEMORIA!$A:$N,2,FALSE)</f>
        <v>93653</v>
      </c>
      <c r="C167" s="23" t="str">
        <f>VLOOKUP(A167,MEMORIA!$A:$N,3,FALSE)</f>
        <v>SINAPI</v>
      </c>
      <c r="D167" s="24" t="str">
        <f>VLOOKUP(A167,MEMORIA!$A:$N,4,FALSE)</f>
        <v>DISJUNTOR MONOPOLAR TIPO DIN, CORRENTE NOMINAL DE 10A - FORNECIMENTO E INSTALAÇÃO. AF_10/2020</v>
      </c>
      <c r="E167" s="23" t="str">
        <f>VLOOKUP(A167,MEMORIA!$A:$N,5,FALSE)</f>
        <v>UN</v>
      </c>
      <c r="F167" s="5">
        <f>VLOOKUP(A167,MEMORIA!$A:$N,14,FALSE)</f>
        <v>1</v>
      </c>
      <c r="G167" s="5">
        <f>VLOOKUP(A167,ORCAMENTO!$A:$I,7,FALSE)</f>
        <v>11.379999999999999</v>
      </c>
      <c r="H167" s="5">
        <f>VLOOKUP(A167,ORCAMENTO!$A:$I,8,FALSE)</f>
        <v>14.209999999999999</v>
      </c>
      <c r="I167" s="5">
        <f t="shared" si="49"/>
        <v>14.21</v>
      </c>
      <c r="J167" s="5">
        <f t="shared" si="50"/>
        <v>14.21</v>
      </c>
      <c r="K167" s="5">
        <f t="shared" si="48"/>
        <v>1</v>
      </c>
      <c r="L167" s="25">
        <f t="shared" si="42"/>
        <v>1</v>
      </c>
      <c r="M167" s="5">
        <f t="shared" si="51"/>
        <v>0</v>
      </c>
      <c r="N167" s="5">
        <v>0</v>
      </c>
      <c r="O167" s="25">
        <f t="shared" si="43"/>
        <v>0</v>
      </c>
      <c r="P167" s="5">
        <f t="shared" si="52"/>
        <v>0</v>
      </c>
      <c r="Q167" s="5">
        <v>0</v>
      </c>
      <c r="R167" s="25">
        <f t="shared" si="44"/>
        <v>0</v>
      </c>
      <c r="S167" s="5">
        <f t="shared" si="45"/>
        <v>14.21</v>
      </c>
      <c r="T167" s="25">
        <f t="shared" si="46"/>
        <v>1</v>
      </c>
      <c r="U167" s="25">
        <f t="shared" si="47"/>
        <v>1.9524079874838143E-5</v>
      </c>
    </row>
    <row r="168" spans="1:21" x14ac:dyDescent="0.3">
      <c r="A168" s="23" t="s">
        <v>265</v>
      </c>
      <c r="B168" s="23" t="str">
        <f>VLOOKUP(A168,MEMORIA!$A:$N,2,FALSE)</f>
        <v>09041/ORSE</v>
      </c>
      <c r="C168" s="23" t="str">
        <f>VLOOKUP(A168,MEMORIA!$A:$N,3,FALSE)</f>
        <v>ORSE</v>
      </c>
      <c r="D168" s="24" t="str">
        <f>VLOOKUP(A168,MEMORIA!$A:$N,4,FALSE)</f>
        <v>DISPOSITIVO DE PROTEÇÃO CONTRA SURTO DE TENSÃO DPS 60KA - 275V</v>
      </c>
      <c r="E168" s="23" t="str">
        <f>VLOOKUP(A168,MEMORIA!$A:$N,5,FALSE)</f>
        <v>UN</v>
      </c>
      <c r="F168" s="5">
        <f>VLOOKUP(A168,MEMORIA!$A:$N,14,FALSE)</f>
        <v>1</v>
      </c>
      <c r="G168" s="5">
        <f>VLOOKUP(A168,ORCAMENTO!$A:$I,7,FALSE)</f>
        <v>88.050000000000011</v>
      </c>
      <c r="H168" s="5">
        <f>VLOOKUP(A168,ORCAMENTO!$A:$I,8,FALSE)</f>
        <v>109.92000000000002</v>
      </c>
      <c r="I168" s="5">
        <f t="shared" si="49"/>
        <v>109.92</v>
      </c>
      <c r="J168" s="5">
        <f t="shared" si="50"/>
        <v>109.92</v>
      </c>
      <c r="K168" s="5">
        <f t="shared" si="48"/>
        <v>1</v>
      </c>
      <c r="L168" s="25">
        <f t="shared" si="42"/>
        <v>1</v>
      </c>
      <c r="M168" s="5">
        <f t="shared" si="51"/>
        <v>0</v>
      </c>
      <c r="N168" s="5">
        <v>0</v>
      </c>
      <c r="O168" s="25">
        <f t="shared" si="43"/>
        <v>0</v>
      </c>
      <c r="P168" s="5">
        <f t="shared" si="52"/>
        <v>0</v>
      </c>
      <c r="Q168" s="5">
        <v>0</v>
      </c>
      <c r="R168" s="25">
        <f t="shared" si="44"/>
        <v>0</v>
      </c>
      <c r="S168" s="5">
        <f t="shared" si="45"/>
        <v>109.92</v>
      </c>
      <c r="T168" s="25">
        <f t="shared" si="46"/>
        <v>1</v>
      </c>
      <c r="U168" s="25">
        <f t="shared" si="47"/>
        <v>1.510265207489239E-4</v>
      </c>
    </row>
    <row r="169" spans="1:21" ht="28.8" x14ac:dyDescent="0.3">
      <c r="A169" s="23" t="s">
        <v>266</v>
      </c>
      <c r="B169" s="23">
        <f>VLOOKUP(A169,MEMORIA!$A:$N,2,FALSE)</f>
        <v>101877</v>
      </c>
      <c r="C169" s="23" t="str">
        <f>VLOOKUP(A169,MEMORIA!$A:$N,3,FALSE)</f>
        <v>SINAPI</v>
      </c>
      <c r="D169" s="24" t="str">
        <f>VLOOKUP(A169,MEMORIA!$A:$N,4,FALSE)</f>
        <v>QUADRO DE DISTRIBUIÇÃO DE ENERGIA EM PVC, DE EMBUTIR, SEM BARRAMENTO, PARA 3 DISJUNTORES - FORNECIMENTO E INSTALAÇÃO. AF_10/2020</v>
      </c>
      <c r="E169" s="23" t="str">
        <f>VLOOKUP(A169,MEMORIA!$A:$N,5,FALSE)</f>
        <v>UN</v>
      </c>
      <c r="F169" s="5">
        <f>VLOOKUP(A169,MEMORIA!$A:$N,14,FALSE)</f>
        <v>1</v>
      </c>
      <c r="G169" s="5">
        <f>VLOOKUP(A169,ORCAMENTO!$A:$I,7,FALSE)</f>
        <v>63.51</v>
      </c>
      <c r="H169" s="5">
        <f>VLOOKUP(A169,ORCAMENTO!$A:$I,8,FALSE)</f>
        <v>79.289999999999992</v>
      </c>
      <c r="I169" s="5">
        <f t="shared" si="49"/>
        <v>79.290000000000006</v>
      </c>
      <c r="J169" s="5">
        <f t="shared" si="50"/>
        <v>79.290000000000006</v>
      </c>
      <c r="K169" s="5">
        <f t="shared" si="48"/>
        <v>1</v>
      </c>
      <c r="L169" s="25">
        <f t="shared" si="42"/>
        <v>1</v>
      </c>
      <c r="M169" s="5">
        <f t="shared" si="51"/>
        <v>0</v>
      </c>
      <c r="N169" s="5">
        <v>0</v>
      </c>
      <c r="O169" s="25">
        <f t="shared" si="43"/>
        <v>0</v>
      </c>
      <c r="P169" s="5">
        <f t="shared" si="52"/>
        <v>0</v>
      </c>
      <c r="Q169" s="5">
        <v>0</v>
      </c>
      <c r="R169" s="25">
        <f t="shared" si="44"/>
        <v>0</v>
      </c>
      <c r="S169" s="5">
        <f t="shared" si="45"/>
        <v>79.290000000000006</v>
      </c>
      <c r="T169" s="25">
        <f t="shared" si="46"/>
        <v>1</v>
      </c>
      <c r="U169" s="25">
        <f t="shared" si="47"/>
        <v>1.0894189255988153E-4</v>
      </c>
    </row>
    <row r="170" spans="1:21" ht="43.2" x14ac:dyDescent="0.3">
      <c r="A170" s="23" t="s">
        <v>267</v>
      </c>
      <c r="B170" s="23" t="str">
        <f>VLOOKUP(A170,MEMORIA!$A:$N,2,FALSE)</f>
        <v>COMPINST02</v>
      </c>
      <c r="C170" s="23" t="str">
        <f>VLOOKUP(A170,MEMORIA!$A:$N,3,FALSE)</f>
        <v>PRÓPRIA</v>
      </c>
      <c r="D170" s="24" t="str">
        <f>VLOOKUP(A170,MEMORIA!$A:$N,4,FALSE)</f>
        <v>PONTO DE ILUMINAÇÃO E TOMADA, RESIDENCIAL, INCLUINDO INTERRUPTOR SIMPLES E TOMADA 10A/250V, CAIXA ELÉTRICA, ELETRODUTO, CABO, RASGO, QUEBRA E CHUMBAMENTO (EXCLUINDO LUMINÁRIA E LÂMPADA)</v>
      </c>
      <c r="E170" s="23" t="str">
        <f>VLOOKUP(A170,MEMORIA!$A:$N,5,FALSE)</f>
        <v>UN</v>
      </c>
      <c r="F170" s="5">
        <f>VLOOKUP(A170,MEMORIA!$A:$N,14,FALSE)</f>
        <v>1</v>
      </c>
      <c r="G170" s="5">
        <f>VLOOKUP(A170,ORCAMENTO!$A:$I,7,FALSE)</f>
        <v>244.91000000000003</v>
      </c>
      <c r="H170" s="5">
        <f>VLOOKUP(A170,ORCAMENTO!$A:$I,8,FALSE)</f>
        <v>305.75</v>
      </c>
      <c r="I170" s="5">
        <f t="shared" si="49"/>
        <v>305.75</v>
      </c>
      <c r="J170" s="5">
        <f t="shared" si="50"/>
        <v>305.75</v>
      </c>
      <c r="K170" s="5">
        <f t="shared" si="48"/>
        <v>1</v>
      </c>
      <c r="L170" s="25">
        <f t="shared" si="42"/>
        <v>1</v>
      </c>
      <c r="M170" s="5">
        <f t="shared" si="51"/>
        <v>0</v>
      </c>
      <c r="N170" s="5">
        <v>0</v>
      </c>
      <c r="O170" s="25">
        <f t="shared" si="43"/>
        <v>0</v>
      </c>
      <c r="P170" s="5">
        <f t="shared" si="52"/>
        <v>0</v>
      </c>
      <c r="Q170" s="5">
        <v>0</v>
      </c>
      <c r="R170" s="25">
        <f t="shared" si="44"/>
        <v>0</v>
      </c>
      <c r="S170" s="5">
        <f t="shared" si="45"/>
        <v>305.75</v>
      </c>
      <c r="T170" s="25">
        <f t="shared" si="46"/>
        <v>1</v>
      </c>
      <c r="U170" s="25">
        <f t="shared" si="47"/>
        <v>4.200905996996314E-4</v>
      </c>
    </row>
    <row r="171" spans="1:21" ht="28.8" x14ac:dyDescent="0.3">
      <c r="A171" s="23" t="s">
        <v>268</v>
      </c>
      <c r="B171" s="23">
        <f>VLOOKUP(A171,MEMORIA!$A:$N,2,FALSE)</f>
        <v>97610</v>
      </c>
      <c r="C171" s="23" t="str">
        <f>VLOOKUP(A171,MEMORIA!$A:$N,3,FALSE)</f>
        <v>SINAPI</v>
      </c>
      <c r="D171" s="24" t="str">
        <f>VLOOKUP(A171,MEMORIA!$A:$N,4,FALSE)</f>
        <v>LÂMPADA COMPACTA DE LED 10 W, BASE E27 - FORNECIMENTO E INSTALAÇÃO. AF_09/2024</v>
      </c>
      <c r="E171" s="23" t="str">
        <f>VLOOKUP(A171,MEMORIA!$A:$N,5,FALSE)</f>
        <v>UN</v>
      </c>
      <c r="F171" s="5">
        <f>VLOOKUP(A171,MEMORIA!$A:$N,14,FALSE)</f>
        <v>1</v>
      </c>
      <c r="G171" s="5">
        <f>VLOOKUP(A171,ORCAMENTO!$A:$I,7,FALSE)</f>
        <v>13.05</v>
      </c>
      <c r="H171" s="5">
        <f>VLOOKUP(A171,ORCAMENTO!$A:$I,8,FALSE)</f>
        <v>16.29</v>
      </c>
      <c r="I171" s="5">
        <f t="shared" si="49"/>
        <v>16.29</v>
      </c>
      <c r="J171" s="5">
        <f t="shared" si="50"/>
        <v>16.29</v>
      </c>
      <c r="K171" s="5">
        <f t="shared" si="48"/>
        <v>1</v>
      </c>
      <c r="L171" s="25">
        <f t="shared" si="42"/>
        <v>1</v>
      </c>
      <c r="M171" s="5">
        <f t="shared" si="51"/>
        <v>0</v>
      </c>
      <c r="N171" s="5">
        <v>0</v>
      </c>
      <c r="O171" s="25">
        <f t="shared" si="43"/>
        <v>0</v>
      </c>
      <c r="P171" s="5">
        <f t="shared" si="52"/>
        <v>0</v>
      </c>
      <c r="Q171" s="5">
        <v>0</v>
      </c>
      <c r="R171" s="25">
        <f t="shared" si="44"/>
        <v>0</v>
      </c>
      <c r="S171" s="5">
        <f t="shared" si="45"/>
        <v>16.29</v>
      </c>
      <c r="T171" s="25">
        <f t="shared" si="46"/>
        <v>1</v>
      </c>
      <c r="U171" s="25">
        <f t="shared" si="47"/>
        <v>2.2381932523653296E-5</v>
      </c>
    </row>
    <row r="172" spans="1:21" ht="28.8" x14ac:dyDescent="0.3">
      <c r="A172" s="23" t="s">
        <v>269</v>
      </c>
      <c r="B172" s="23" t="str">
        <f>VLOOKUP(A172,MEMORIA!$A:$N,2,FALSE)</f>
        <v>COMPINST04</v>
      </c>
      <c r="C172" s="23" t="str">
        <f>VLOOKUP(A172,MEMORIA!$A:$N,3,FALSE)</f>
        <v>PRÓPRIA</v>
      </c>
      <c r="D172" s="24" t="str">
        <f>VLOOKUP(A172,MEMORIA!$A:$N,4,FALSE)</f>
        <v>LUMINÁRIA ARANDELA TIPO MEIA-LUA COM VIDRO FOSCO *30 X 15* CM, PARA 1 LÂMPADA (SINAPI ADAPTADO 97605)</v>
      </c>
      <c r="E172" s="23" t="str">
        <f>VLOOKUP(A172,MEMORIA!$A:$N,5,FALSE)</f>
        <v>UN</v>
      </c>
      <c r="F172" s="5">
        <f>VLOOKUP(A172,MEMORIA!$A:$N,14,FALSE)</f>
        <v>1</v>
      </c>
      <c r="G172" s="5">
        <f>VLOOKUP(A172,ORCAMENTO!$A:$I,7,FALSE)</f>
        <v>83.039999999999992</v>
      </c>
      <c r="H172" s="5">
        <f>VLOOKUP(A172,ORCAMENTO!$A:$I,8,FALSE)</f>
        <v>103.66999999999999</v>
      </c>
      <c r="I172" s="5">
        <f t="shared" si="49"/>
        <v>103.67</v>
      </c>
      <c r="J172" s="5">
        <f t="shared" si="50"/>
        <v>103.67</v>
      </c>
      <c r="K172" s="5">
        <f t="shared" si="48"/>
        <v>1</v>
      </c>
      <c r="L172" s="25">
        <f t="shared" si="42"/>
        <v>1</v>
      </c>
      <c r="M172" s="5">
        <f t="shared" si="51"/>
        <v>0</v>
      </c>
      <c r="N172" s="5">
        <v>0</v>
      </c>
      <c r="O172" s="25">
        <f t="shared" si="43"/>
        <v>0</v>
      </c>
      <c r="P172" s="5">
        <f t="shared" si="52"/>
        <v>0</v>
      </c>
      <c r="Q172" s="5">
        <v>0</v>
      </c>
      <c r="R172" s="25">
        <f t="shared" si="44"/>
        <v>0</v>
      </c>
      <c r="S172" s="5">
        <f t="shared" si="45"/>
        <v>103.67</v>
      </c>
      <c r="T172" s="25">
        <f t="shared" si="46"/>
        <v>1</v>
      </c>
      <c r="U172" s="25">
        <f t="shared" si="47"/>
        <v>1.4243922312628222E-4</v>
      </c>
    </row>
    <row r="173" spans="1:21" x14ac:dyDescent="0.3">
      <c r="A173" s="12" t="s">
        <v>59</v>
      </c>
      <c r="B173" s="46" t="str">
        <f>VLOOKUP(A173,MEMORIA!$A:$N,2,FALSE)</f>
        <v>ADUÇÃO</v>
      </c>
      <c r="C173" s="47"/>
      <c r="D173" s="47"/>
      <c r="E173" s="47"/>
      <c r="F173" s="47"/>
      <c r="G173" s="47"/>
      <c r="H173" s="48"/>
      <c r="I173" s="13">
        <f>SUM(I$174,I$177,I$179,)</f>
        <v>1351.72</v>
      </c>
      <c r="J173" s="13">
        <f>SUM(J$174,J$177,J$179,)</f>
        <v>1351.72</v>
      </c>
      <c r="K173" s="13"/>
      <c r="L173" s="14">
        <f t="shared" si="42"/>
        <v>1</v>
      </c>
      <c r="M173" s="13">
        <f>SUM(M$174,M$177,M$179,)</f>
        <v>0</v>
      </c>
      <c r="N173" s="13"/>
      <c r="O173" s="14">
        <f t="shared" si="43"/>
        <v>0</v>
      </c>
      <c r="P173" s="13">
        <f>SUM(P$174,P$177,P$179,)</f>
        <v>0</v>
      </c>
      <c r="Q173" s="13"/>
      <c r="R173" s="14">
        <f t="shared" si="44"/>
        <v>0</v>
      </c>
      <c r="S173" s="13">
        <f t="shared" si="45"/>
        <v>1351.72</v>
      </c>
      <c r="T173" s="14">
        <f t="shared" si="46"/>
        <v>1</v>
      </c>
      <c r="U173" s="14">
        <f t="shared" si="47"/>
        <v>1.8572195107963557E-3</v>
      </c>
    </row>
    <row r="174" spans="1:21" x14ac:dyDescent="0.3">
      <c r="A174" s="15" t="s">
        <v>60</v>
      </c>
      <c r="B174" s="49" t="str">
        <f>VLOOKUP(A174,MEMORIA!$A:$N,2,FALSE)</f>
        <v>MOVIMENTO DE TERRA</v>
      </c>
      <c r="C174" s="50"/>
      <c r="D174" s="50"/>
      <c r="E174" s="50"/>
      <c r="F174" s="50"/>
      <c r="G174" s="50"/>
      <c r="H174" s="51"/>
      <c r="I174" s="16">
        <f>SUM(I$175:I$176)</f>
        <v>423.02</v>
      </c>
      <c r="J174" s="16">
        <f>SUM(J$175:J$176)</f>
        <v>423.02</v>
      </c>
      <c r="K174" s="16"/>
      <c r="L174" s="17">
        <f t="shared" si="42"/>
        <v>1</v>
      </c>
      <c r="M174" s="16">
        <f>SUM(M$175:M$176)</f>
        <v>0</v>
      </c>
      <c r="N174" s="16"/>
      <c r="O174" s="17">
        <f t="shared" si="43"/>
        <v>0</v>
      </c>
      <c r="P174" s="16">
        <f>SUM(P$175:P$176)</f>
        <v>0</v>
      </c>
      <c r="Q174" s="16"/>
      <c r="R174" s="17">
        <f t="shared" si="44"/>
        <v>0</v>
      </c>
      <c r="S174" s="16">
        <f t="shared" si="45"/>
        <v>423.02</v>
      </c>
      <c r="T174" s="17">
        <f t="shared" si="46"/>
        <v>1</v>
      </c>
      <c r="U174" s="17">
        <f t="shared" si="47"/>
        <v>5.8121578245278187E-4</v>
      </c>
    </row>
    <row r="175" spans="1:21" x14ac:dyDescent="0.3">
      <c r="A175" s="23" t="s">
        <v>270</v>
      </c>
      <c r="B175" s="23">
        <f>VLOOKUP(A175,MEMORIA!$A:$N,2,FALSE)</f>
        <v>93358</v>
      </c>
      <c r="C175" s="23" t="str">
        <f>VLOOKUP(A175,MEMORIA!$A:$N,3,FALSE)</f>
        <v>SINAPI</v>
      </c>
      <c r="D175" s="24" t="str">
        <f>VLOOKUP(A175,MEMORIA!$A:$N,4,FALSE)</f>
        <v>ESCAVAÇÃO MANUAL DE VALA. AF_09/2024</v>
      </c>
      <c r="E175" s="23" t="str">
        <f>VLOOKUP(A175,MEMORIA!$A:$N,5,FALSE)</f>
        <v>M3</v>
      </c>
      <c r="F175" s="5">
        <f>VLOOKUP(A175,MEMORIA!$A:$N,14,FALSE)</f>
        <v>2.76</v>
      </c>
      <c r="G175" s="5">
        <f>VLOOKUP(A175,ORCAMENTO!$A:$I,7,FALSE)</f>
        <v>85.87</v>
      </c>
      <c r="H175" s="5">
        <f>VLOOKUP(A175,ORCAMENTO!$A:$I,8,FALSE)</f>
        <v>107.2</v>
      </c>
      <c r="I175" s="5">
        <f>ROUND(F175*H175,2)</f>
        <v>295.87</v>
      </c>
      <c r="J175" s="5">
        <f>ROUND(K175*$H175,2)</f>
        <v>295.87</v>
      </c>
      <c r="K175" s="5">
        <f t="shared" ref="K175:K196" si="53">F175</f>
        <v>2.76</v>
      </c>
      <c r="L175" s="25">
        <f t="shared" si="42"/>
        <v>1</v>
      </c>
      <c r="M175" s="5">
        <f>ROUND(N175*$H175,2)</f>
        <v>0</v>
      </c>
      <c r="N175" s="5">
        <v>0</v>
      </c>
      <c r="O175" s="25">
        <f t="shared" si="43"/>
        <v>0</v>
      </c>
      <c r="P175" s="5">
        <f>ROUND(Q175*$H175,2)</f>
        <v>0</v>
      </c>
      <c r="Q175" s="5">
        <v>0</v>
      </c>
      <c r="R175" s="25">
        <f t="shared" si="44"/>
        <v>0</v>
      </c>
      <c r="S175" s="5">
        <f t="shared" si="45"/>
        <v>295.87</v>
      </c>
      <c r="T175" s="25">
        <f t="shared" si="46"/>
        <v>1</v>
      </c>
      <c r="U175" s="25">
        <f t="shared" si="47"/>
        <v>4.0651579961775941E-4</v>
      </c>
    </row>
    <row r="176" spans="1:21" x14ac:dyDescent="0.3">
      <c r="A176" s="23" t="s">
        <v>271</v>
      </c>
      <c r="B176" s="23" t="str">
        <f>VLOOKUP(A176,MEMORIA!$A:$N,2,FALSE)</f>
        <v>COMPOS28</v>
      </c>
      <c r="C176" s="23" t="str">
        <f>VLOOKUP(A176,MEMORIA!$A:$N,3,FALSE)</f>
        <v>PRÓPRIA</v>
      </c>
      <c r="D176" s="24" t="str">
        <f>VLOOKUP(A176,MEMORIA!$A:$N,4,FALSE)</f>
        <v>REATERRO DE VALA COM COMPACTAÇÃO MANUAL</v>
      </c>
      <c r="E176" s="23" t="str">
        <f>VLOOKUP(A176,MEMORIA!$A:$N,5,FALSE)</f>
        <v>M³</v>
      </c>
      <c r="F176" s="5">
        <f>VLOOKUP(A176,MEMORIA!$A:$N,14,FALSE)</f>
        <v>2.76</v>
      </c>
      <c r="G176" s="5">
        <f>VLOOKUP(A176,ORCAMENTO!$A:$I,7,FALSE)</f>
        <v>36.9</v>
      </c>
      <c r="H176" s="5">
        <f>VLOOKUP(A176,ORCAMENTO!$A:$I,8,FALSE)</f>
        <v>46.07</v>
      </c>
      <c r="I176" s="5">
        <f>ROUND(F176*H176,2)</f>
        <v>127.15</v>
      </c>
      <c r="J176" s="5">
        <f>ROUND(K176*$H176,2)</f>
        <v>127.15</v>
      </c>
      <c r="K176" s="5">
        <f t="shared" si="53"/>
        <v>2.76</v>
      </c>
      <c r="L176" s="25">
        <f t="shared" si="42"/>
        <v>1</v>
      </c>
      <c r="M176" s="5">
        <f>ROUND(N176*$H176,2)</f>
        <v>0</v>
      </c>
      <c r="N176" s="5">
        <v>0</v>
      </c>
      <c r="O176" s="25">
        <f t="shared" si="43"/>
        <v>0</v>
      </c>
      <c r="P176" s="5">
        <f>ROUND(Q176*$H176,2)</f>
        <v>0</v>
      </c>
      <c r="Q176" s="5">
        <v>0</v>
      </c>
      <c r="R176" s="25">
        <f t="shared" si="44"/>
        <v>0</v>
      </c>
      <c r="S176" s="5">
        <f t="shared" si="45"/>
        <v>127.15</v>
      </c>
      <c r="T176" s="25">
        <f t="shared" si="46"/>
        <v>1</v>
      </c>
      <c r="U176" s="25">
        <f t="shared" si="47"/>
        <v>1.7469998283502252E-4</v>
      </c>
    </row>
    <row r="177" spans="1:21" x14ac:dyDescent="0.3">
      <c r="A177" s="15" t="s">
        <v>61</v>
      </c>
      <c r="B177" s="49" t="str">
        <f>VLOOKUP(A177,MEMORIA!$A:$N,2,FALSE)</f>
        <v>INFRAESTRUTURA</v>
      </c>
      <c r="C177" s="50"/>
      <c r="D177" s="50"/>
      <c r="E177" s="50"/>
      <c r="F177" s="50"/>
      <c r="G177" s="50"/>
      <c r="H177" s="51"/>
      <c r="I177" s="16">
        <f>SUM(I$178:I$178)</f>
        <v>265.19</v>
      </c>
      <c r="J177" s="16">
        <f>SUM(J$178:J$178)</f>
        <v>265.19</v>
      </c>
      <c r="K177" s="16"/>
      <c r="L177" s="17">
        <f t="shared" si="42"/>
        <v>1</v>
      </c>
      <c r="M177" s="16">
        <f>SUM(M$178:M$178)</f>
        <v>0</v>
      </c>
      <c r="N177" s="16"/>
      <c r="O177" s="17">
        <f t="shared" si="43"/>
        <v>0</v>
      </c>
      <c r="P177" s="16">
        <f>SUM(P$178:P$178)</f>
        <v>0</v>
      </c>
      <c r="Q177" s="16"/>
      <c r="R177" s="17">
        <f t="shared" si="44"/>
        <v>0</v>
      </c>
      <c r="S177" s="16">
        <f t="shared" si="45"/>
        <v>265.19</v>
      </c>
      <c r="T177" s="17">
        <f t="shared" si="46"/>
        <v>1</v>
      </c>
      <c r="U177" s="17">
        <f t="shared" si="47"/>
        <v>3.6436247304773588E-4</v>
      </c>
    </row>
    <row r="178" spans="1:21" x14ac:dyDescent="0.3">
      <c r="A178" s="23" t="s">
        <v>272</v>
      </c>
      <c r="B178" s="23" t="str">
        <f>VLOOKUP(A178,MEMORIA!$A:$N,2,FALSE)</f>
        <v>C3403</v>
      </c>
      <c r="C178" s="23" t="str">
        <f>VLOOKUP(A178,MEMORIA!$A:$N,3,FALSE)</f>
        <v>SEINFRA</v>
      </c>
      <c r="D178" s="24" t="str">
        <f>VLOOKUP(A178,MEMORIA!$A:$N,4,FALSE)</f>
        <v>BLOCO DE ANCORAGEM EM CONCRETO SIMPLES FCK=10MPa</v>
      </c>
      <c r="E178" s="23" t="str">
        <f>VLOOKUP(A178,MEMORIA!$A:$N,5,FALSE)</f>
        <v>M3</v>
      </c>
      <c r="F178" s="5">
        <f>VLOOKUP(A178,MEMORIA!$A:$N,14,FALSE)</f>
        <v>0.26</v>
      </c>
      <c r="G178" s="5">
        <f>VLOOKUP(A178,ORCAMENTO!$A:$I,7,FALSE)</f>
        <v>817.03</v>
      </c>
      <c r="H178" s="5">
        <f>VLOOKUP(A178,ORCAMENTO!$A:$I,8,FALSE)</f>
        <v>1019.98</v>
      </c>
      <c r="I178" s="5">
        <f>ROUND(F178*H178,2)</f>
        <v>265.19</v>
      </c>
      <c r="J178" s="5">
        <f>ROUND(K178*$H178,2)</f>
        <v>265.19</v>
      </c>
      <c r="K178" s="5">
        <f t="shared" si="53"/>
        <v>0.26</v>
      </c>
      <c r="L178" s="25">
        <f t="shared" si="42"/>
        <v>1</v>
      </c>
      <c r="M178" s="5">
        <f>ROUND(N178*$H178,2)</f>
        <v>0</v>
      </c>
      <c r="N178" s="5">
        <v>0</v>
      </c>
      <c r="O178" s="25">
        <f t="shared" si="43"/>
        <v>0</v>
      </c>
      <c r="P178" s="5">
        <f>ROUND(Q178*$H178,2)</f>
        <v>0</v>
      </c>
      <c r="Q178" s="5">
        <v>0</v>
      </c>
      <c r="R178" s="25">
        <f t="shared" si="44"/>
        <v>0</v>
      </c>
      <c r="S178" s="5">
        <f t="shared" si="45"/>
        <v>265.19</v>
      </c>
      <c r="T178" s="25">
        <f t="shared" si="46"/>
        <v>1</v>
      </c>
      <c r="U178" s="25">
        <f t="shared" si="47"/>
        <v>3.6436247304773588E-4</v>
      </c>
    </row>
    <row r="179" spans="1:21" x14ac:dyDescent="0.3">
      <c r="A179" s="15" t="s">
        <v>62</v>
      </c>
      <c r="B179" s="49" t="str">
        <f>VLOOKUP(A179,MEMORIA!$A:$N,2,FALSE)</f>
        <v>INSTALAÇÕES HIDRÁULICAS</v>
      </c>
      <c r="C179" s="50"/>
      <c r="D179" s="50"/>
      <c r="E179" s="50"/>
      <c r="F179" s="50"/>
      <c r="G179" s="50"/>
      <c r="H179" s="51"/>
      <c r="I179" s="16">
        <f>SUM(I$180:I$181)</f>
        <v>663.51</v>
      </c>
      <c r="J179" s="16">
        <f>SUM(J$180:J$181)</f>
        <v>663.51</v>
      </c>
      <c r="K179" s="16"/>
      <c r="L179" s="17">
        <f t="shared" si="42"/>
        <v>1</v>
      </c>
      <c r="M179" s="16">
        <f>SUM(M$180:M$181)</f>
        <v>0</v>
      </c>
      <c r="N179" s="16"/>
      <c r="O179" s="17">
        <f t="shared" si="43"/>
        <v>0</v>
      </c>
      <c r="P179" s="16">
        <f>SUM(P$180:P$181)</f>
        <v>0</v>
      </c>
      <c r="Q179" s="16"/>
      <c r="R179" s="17">
        <f t="shared" si="44"/>
        <v>0</v>
      </c>
      <c r="S179" s="16">
        <f t="shared" si="45"/>
        <v>663.51</v>
      </c>
      <c r="T179" s="17">
        <f t="shared" si="46"/>
        <v>1</v>
      </c>
      <c r="U179" s="17">
        <f t="shared" si="47"/>
        <v>9.1164125529583789E-4</v>
      </c>
    </row>
    <row r="180" spans="1:21" ht="28.8" x14ac:dyDescent="0.3">
      <c r="A180" s="23" t="s">
        <v>273</v>
      </c>
      <c r="B180" s="23" t="str">
        <f>VLOOKUP(A180,MEMORIA!$A:$N,2,FALSE)</f>
        <v>COMPOS27</v>
      </c>
      <c r="C180" s="23" t="str">
        <f>VLOOKUP(A180,MEMORIA!$A:$N,3,FALSE)</f>
        <v>PRÓPRIA</v>
      </c>
      <c r="D180" s="24" t="str">
        <f>VLOOKUP(A180,MEMORIA!$A:$N,4,FALSE)</f>
        <v>AQUISIÇÃO E ASSENTAMENTO DE TUBO RÍGIDO PVC, CLASSE 12, DN 50 MM, INCLUSO CONEXÕES</v>
      </c>
      <c r="E180" s="23" t="str">
        <f>VLOOKUP(A180,MEMORIA!$A:$N,5,FALSE)</f>
        <v>M</v>
      </c>
      <c r="F180" s="5">
        <f>VLOOKUP(A180,MEMORIA!$A:$N,14,FALSE)</f>
        <v>16</v>
      </c>
      <c r="G180" s="5">
        <f>VLOOKUP(A180,ORCAMENTO!$A:$I,7,FALSE)</f>
        <v>25.79</v>
      </c>
      <c r="H180" s="5">
        <f>VLOOKUP(A180,ORCAMENTO!$A:$I,8,FALSE)</f>
        <v>32.200000000000003</v>
      </c>
      <c r="I180" s="5">
        <f>ROUND(F180*H180,2)</f>
        <v>515.20000000000005</v>
      </c>
      <c r="J180" s="5">
        <f>ROUND(K180*$H180,2)</f>
        <v>515.20000000000005</v>
      </c>
      <c r="K180" s="5">
        <f t="shared" si="53"/>
        <v>16</v>
      </c>
      <c r="L180" s="25">
        <f t="shared" si="42"/>
        <v>1</v>
      </c>
      <c r="M180" s="5">
        <f>ROUND(N180*$H180,2)</f>
        <v>0</v>
      </c>
      <c r="N180" s="5">
        <v>0</v>
      </c>
      <c r="O180" s="25">
        <f t="shared" si="43"/>
        <v>0</v>
      </c>
      <c r="P180" s="5">
        <f>ROUND(Q180*$H180,2)</f>
        <v>0</v>
      </c>
      <c r="Q180" s="5">
        <v>0</v>
      </c>
      <c r="R180" s="25">
        <f t="shared" si="44"/>
        <v>0</v>
      </c>
      <c r="S180" s="5">
        <f t="shared" si="45"/>
        <v>515.20000000000005</v>
      </c>
      <c r="T180" s="25">
        <f t="shared" si="46"/>
        <v>1</v>
      </c>
      <c r="U180" s="25">
        <f t="shared" si="47"/>
        <v>7.078681176295997E-4</v>
      </c>
    </row>
    <row r="181" spans="1:21" ht="28.8" x14ac:dyDescent="0.3">
      <c r="A181" s="23" t="s">
        <v>274</v>
      </c>
      <c r="B181" s="23">
        <f>VLOOKUP(A181,MEMORIA!$A:$N,2,FALSE)</f>
        <v>94497</v>
      </c>
      <c r="C181" s="23" t="str">
        <f>VLOOKUP(A181,MEMORIA!$A:$N,3,FALSE)</f>
        <v>SINAPI</v>
      </c>
      <c r="D181" s="24" t="str">
        <f>VLOOKUP(A181,MEMORIA!$A:$N,4,FALSE)</f>
        <v>REGISTRO DE GAVETA BRUTO, LATÃO, ROSCÁVEL, 1 1/2" - FORNECIMENTO E INSTALAÇÃO. AF_08/2021</v>
      </c>
      <c r="E181" s="23" t="str">
        <f>VLOOKUP(A181,MEMORIA!$A:$N,5,FALSE)</f>
        <v>UN</v>
      </c>
      <c r="F181" s="5">
        <f>VLOOKUP(A181,MEMORIA!$A:$N,14,FALSE)</f>
        <v>1</v>
      </c>
      <c r="G181" s="5">
        <f>VLOOKUP(A181,ORCAMENTO!$A:$I,7,FALSE)</f>
        <v>118.80000000000001</v>
      </c>
      <c r="H181" s="5">
        <f>VLOOKUP(A181,ORCAMENTO!$A:$I,8,FALSE)</f>
        <v>148.31</v>
      </c>
      <c r="I181" s="5">
        <f>ROUND(F181*H181,2)</f>
        <v>148.31</v>
      </c>
      <c r="J181" s="5">
        <f>ROUND(K181*$H181,2)</f>
        <v>148.31</v>
      </c>
      <c r="K181" s="5">
        <f t="shared" si="53"/>
        <v>1</v>
      </c>
      <c r="L181" s="25">
        <f t="shared" si="42"/>
        <v>1</v>
      </c>
      <c r="M181" s="5">
        <f>ROUND(N181*$H181,2)</f>
        <v>0</v>
      </c>
      <c r="N181" s="5">
        <v>0</v>
      </c>
      <c r="O181" s="25">
        <f t="shared" si="43"/>
        <v>0</v>
      </c>
      <c r="P181" s="5">
        <f>ROUND(Q181*$H181,2)</f>
        <v>0</v>
      </c>
      <c r="Q181" s="5">
        <v>0</v>
      </c>
      <c r="R181" s="25">
        <f t="shared" si="44"/>
        <v>0</v>
      </c>
      <c r="S181" s="5">
        <f t="shared" si="45"/>
        <v>148.31</v>
      </c>
      <c r="T181" s="25">
        <f t="shared" si="46"/>
        <v>1</v>
      </c>
      <c r="U181" s="25">
        <f t="shared" si="47"/>
        <v>2.0377313766623822E-4</v>
      </c>
    </row>
    <row r="182" spans="1:21" x14ac:dyDescent="0.3">
      <c r="A182" s="12" t="s">
        <v>63</v>
      </c>
      <c r="B182" s="46" t="str">
        <f>VLOOKUP(A182,MEMORIA!$A:$N,2,FALSE)</f>
        <v>RESERVAÇÃO</v>
      </c>
      <c r="C182" s="47"/>
      <c r="D182" s="47"/>
      <c r="E182" s="47"/>
      <c r="F182" s="47"/>
      <c r="G182" s="47"/>
      <c r="H182" s="48"/>
      <c r="I182" s="13">
        <f>SUM(I$183:I$183)</f>
        <v>20347.62</v>
      </c>
      <c r="J182" s="13">
        <f>SUM(J$183:J$183)</f>
        <v>20347.62</v>
      </c>
      <c r="K182" s="13"/>
      <c r="L182" s="14">
        <f t="shared" si="42"/>
        <v>1</v>
      </c>
      <c r="M182" s="13">
        <f>SUM(M$183:M$183)</f>
        <v>0</v>
      </c>
      <c r="N182" s="13"/>
      <c r="O182" s="14">
        <f t="shared" si="43"/>
        <v>0</v>
      </c>
      <c r="P182" s="13">
        <f>SUM(P$183:P$183)</f>
        <v>0</v>
      </c>
      <c r="Q182" s="13"/>
      <c r="R182" s="14">
        <f t="shared" si="44"/>
        <v>0</v>
      </c>
      <c r="S182" s="13">
        <f t="shared" si="45"/>
        <v>20347.62</v>
      </c>
      <c r="T182" s="14">
        <f t="shared" si="46"/>
        <v>1</v>
      </c>
      <c r="U182" s="14">
        <f t="shared" si="47"/>
        <v>2.7956971016386636E-2</v>
      </c>
    </row>
    <row r="183" spans="1:21" ht="57.6" x14ac:dyDescent="0.3">
      <c r="A183" s="23" t="s">
        <v>275</v>
      </c>
      <c r="B183" s="23" t="str">
        <f>VLOOKUP(A183,MEMORIA!$A:$N,2,FALSE)</f>
        <v>COMPOS32</v>
      </c>
      <c r="C183" s="23" t="str">
        <f>VLOOKUP(A183,MEMORIA!$A:$N,3,FALSE)</f>
        <v>PRÓPRIA</v>
      </c>
      <c r="D183" s="24" t="str">
        <f>VLOOKUP(A183,MEMORIA!$A:$N,4,FALSE)</f>
        <v>RESERVATÓRIO ELEVADO C/ CAIXA D'AGUA EM FIBRA DE VIDRO DE 10.000 LITROS APOIADO EM ESTRUTURA PRÉ-MOLDADA EM CONCRETO, COMPOSTA DE CAPITEL P/APOIO DA CAIXA E PILAR C/ALTURA ÚTIL = 7,00M, INCLUSO FRETE E MONTAGEM NO LOCAL, EXCETO INST. HIDRÁULICA</v>
      </c>
      <c r="E183" s="23" t="str">
        <f>VLOOKUP(A183,MEMORIA!$A:$N,5,FALSE)</f>
        <v>UND</v>
      </c>
      <c r="F183" s="5">
        <f>VLOOKUP(A183,MEMORIA!$A:$N,14,FALSE)</f>
        <v>1</v>
      </c>
      <c r="G183" s="5">
        <f>VLOOKUP(A183,ORCAMENTO!$A:$I,7,FALSE)</f>
        <v>16298.96</v>
      </c>
      <c r="H183" s="5">
        <f>VLOOKUP(A183,ORCAMENTO!$A:$I,8,FALSE)</f>
        <v>20347.62</v>
      </c>
      <c r="I183" s="5">
        <f>ROUND(F183*H183,2)</f>
        <v>20347.62</v>
      </c>
      <c r="J183" s="5">
        <f>ROUND(K183*$H183,2)</f>
        <v>20347.62</v>
      </c>
      <c r="K183" s="5">
        <f t="shared" si="53"/>
        <v>1</v>
      </c>
      <c r="L183" s="25">
        <f t="shared" si="42"/>
        <v>1</v>
      </c>
      <c r="M183" s="5">
        <f>ROUND(N183*$H183,2)</f>
        <v>0</v>
      </c>
      <c r="N183" s="5">
        <v>0</v>
      </c>
      <c r="O183" s="25">
        <f t="shared" si="43"/>
        <v>0</v>
      </c>
      <c r="P183" s="5">
        <f>ROUND(Q183*$H183,2)</f>
        <v>0</v>
      </c>
      <c r="Q183" s="5">
        <v>0</v>
      </c>
      <c r="R183" s="25">
        <f t="shared" si="44"/>
        <v>0</v>
      </c>
      <c r="S183" s="5">
        <f t="shared" si="45"/>
        <v>20347.62</v>
      </c>
      <c r="T183" s="25">
        <f t="shared" si="46"/>
        <v>1</v>
      </c>
      <c r="U183" s="25">
        <f t="shared" si="47"/>
        <v>2.7956971016386636E-2</v>
      </c>
    </row>
    <row r="184" spans="1:21" x14ac:dyDescent="0.3">
      <c r="A184" s="12" t="s">
        <v>64</v>
      </c>
      <c r="B184" s="46" t="str">
        <f>VLOOKUP(A184,MEMORIA!$A:$N,2,FALSE)</f>
        <v>DISTRIBUIÇÃO (CHAFARIZ)</v>
      </c>
      <c r="C184" s="47"/>
      <c r="D184" s="47"/>
      <c r="E184" s="47"/>
      <c r="F184" s="47"/>
      <c r="G184" s="47"/>
      <c r="H184" s="48"/>
      <c r="I184" s="13">
        <f>SUM(I$185:I$196)</f>
        <v>2831.9999999999995</v>
      </c>
      <c r="J184" s="13">
        <f>SUM(J$185:J$196)</f>
        <v>2831.9999999999995</v>
      </c>
      <c r="K184" s="13"/>
      <c r="L184" s="14">
        <f t="shared" si="42"/>
        <v>1</v>
      </c>
      <c r="M184" s="13">
        <f>SUM(M$185:M$196)</f>
        <v>0</v>
      </c>
      <c r="N184" s="13"/>
      <c r="O184" s="14">
        <f t="shared" si="43"/>
        <v>0</v>
      </c>
      <c r="P184" s="13">
        <f>SUM(P$185:P$196)</f>
        <v>0</v>
      </c>
      <c r="Q184" s="13"/>
      <c r="R184" s="14">
        <f t="shared" si="44"/>
        <v>0</v>
      </c>
      <c r="S184" s="13">
        <f t="shared" si="45"/>
        <v>2831.9999999999995</v>
      </c>
      <c r="T184" s="14">
        <f t="shared" si="46"/>
        <v>1</v>
      </c>
      <c r="U184" s="14">
        <f t="shared" si="47"/>
        <v>3.8910762987714015E-3</v>
      </c>
    </row>
    <row r="185" spans="1:21" ht="28.8" x14ac:dyDescent="0.3">
      <c r="A185" s="23" t="s">
        <v>276</v>
      </c>
      <c r="B185" s="23" t="str">
        <f>VLOOKUP(A185,MEMORIA!$A:$N,2,FALSE)</f>
        <v>COMPOS27</v>
      </c>
      <c r="C185" s="23" t="str">
        <f>VLOOKUP(A185,MEMORIA!$A:$N,3,FALSE)</f>
        <v>PRÓPRIA</v>
      </c>
      <c r="D185" s="24" t="str">
        <f>VLOOKUP(A185,MEMORIA!$A:$N,4,FALSE)</f>
        <v>AQUISIÇÃO E ASSENTAMENTO DE TUBO RÍGIDO PVC, CLASSE 12, DN 50 MM, INCLUSO CONEXÕES</v>
      </c>
      <c r="E185" s="23" t="str">
        <f>VLOOKUP(A185,MEMORIA!$A:$N,5,FALSE)</f>
        <v>M</v>
      </c>
      <c r="F185" s="5">
        <f>VLOOKUP(A185,MEMORIA!$A:$N,14,FALSE)</f>
        <v>18</v>
      </c>
      <c r="G185" s="5">
        <f>VLOOKUP(A185,ORCAMENTO!$A:$I,7,FALSE)</f>
        <v>25.79</v>
      </c>
      <c r="H185" s="5">
        <f>VLOOKUP(A185,ORCAMENTO!$A:$I,8,FALSE)</f>
        <v>32.200000000000003</v>
      </c>
      <c r="I185" s="5">
        <f t="shared" ref="I185:I196" si="54">ROUND(F185*H185,2)</f>
        <v>579.6</v>
      </c>
      <c r="J185" s="5">
        <f t="shared" ref="J185:J196" si="55">ROUND(K185*$H185,2)</f>
        <v>579.6</v>
      </c>
      <c r="K185" s="5">
        <f t="shared" si="53"/>
        <v>18</v>
      </c>
      <c r="L185" s="25">
        <f t="shared" si="42"/>
        <v>1</v>
      </c>
      <c r="M185" s="5">
        <f t="shared" ref="M185:M196" si="56">ROUND(N185*$H185,2)</f>
        <v>0</v>
      </c>
      <c r="N185" s="5">
        <v>0</v>
      </c>
      <c r="O185" s="25">
        <f t="shared" si="43"/>
        <v>0</v>
      </c>
      <c r="P185" s="5">
        <f t="shared" ref="P185:P196" si="57">ROUND(Q185*$H185,2)</f>
        <v>0</v>
      </c>
      <c r="Q185" s="5">
        <v>0</v>
      </c>
      <c r="R185" s="25">
        <f t="shared" si="44"/>
        <v>0</v>
      </c>
      <c r="S185" s="5">
        <f t="shared" si="45"/>
        <v>579.6</v>
      </c>
      <c r="T185" s="25">
        <f t="shared" si="46"/>
        <v>1</v>
      </c>
      <c r="U185" s="25">
        <f t="shared" si="47"/>
        <v>7.963516323332997E-4</v>
      </c>
    </row>
    <row r="186" spans="1:21" ht="28.8" x14ac:dyDescent="0.3">
      <c r="A186" s="23" t="s">
        <v>277</v>
      </c>
      <c r="B186" s="23" t="str">
        <f>VLOOKUP(A186,MEMORIA!$A:$N,2,FALSE)</f>
        <v>06457/ORSE</v>
      </c>
      <c r="C186" s="23" t="str">
        <f>VLOOKUP(A186,MEMORIA!$A:$N,3,FALSE)</f>
        <v>ORSE</v>
      </c>
      <c r="D186" s="24" t="str">
        <f>VLOOKUP(A186,MEMORIA!$A:$N,4,FALSE)</f>
        <v>CONCRETO ARMADO FCK=15MPA FABRICADO NA OBRA, ADENSADO E LANÇADO, PARA USO GERAL, COM FORMAS PLANAS EM COMPENSADO RESINADO 12MM (05 USOS)</v>
      </c>
      <c r="E186" s="23" t="str">
        <f>VLOOKUP(A186,MEMORIA!$A:$N,5,FALSE)</f>
        <v>M3</v>
      </c>
      <c r="F186" s="5">
        <f>VLOOKUP(A186,MEMORIA!$A:$N,14,FALSE)</f>
        <v>0.26</v>
      </c>
      <c r="G186" s="5">
        <f>VLOOKUP(A186,ORCAMENTO!$A:$I,7,FALSE)</f>
        <v>2617.91</v>
      </c>
      <c r="H186" s="5">
        <f>VLOOKUP(A186,ORCAMENTO!$A:$I,8,FALSE)</f>
        <v>3268.2</v>
      </c>
      <c r="I186" s="5">
        <f t="shared" si="54"/>
        <v>849.73</v>
      </c>
      <c r="J186" s="5">
        <f t="shared" si="55"/>
        <v>849.73</v>
      </c>
      <c r="K186" s="5">
        <f t="shared" si="53"/>
        <v>0.26</v>
      </c>
      <c r="L186" s="25">
        <f t="shared" si="42"/>
        <v>1</v>
      </c>
      <c r="M186" s="5">
        <f t="shared" si="56"/>
        <v>0</v>
      </c>
      <c r="N186" s="5">
        <v>0</v>
      </c>
      <c r="O186" s="25">
        <f t="shared" si="43"/>
        <v>0</v>
      </c>
      <c r="P186" s="5">
        <f t="shared" si="57"/>
        <v>0</v>
      </c>
      <c r="Q186" s="5">
        <v>0</v>
      </c>
      <c r="R186" s="25">
        <f t="shared" si="44"/>
        <v>0</v>
      </c>
      <c r="S186" s="5">
        <f t="shared" si="45"/>
        <v>849.73</v>
      </c>
      <c r="T186" s="25">
        <f t="shared" si="46"/>
        <v>1</v>
      </c>
      <c r="U186" s="25">
        <f t="shared" si="47"/>
        <v>1.1675015054219715E-3</v>
      </c>
    </row>
    <row r="187" spans="1:21" ht="28.8" x14ac:dyDescent="0.3">
      <c r="A187" s="23" t="s">
        <v>278</v>
      </c>
      <c r="B187" s="23">
        <f>VLOOKUP(A187,MEMORIA!$A:$N,2,FALSE)</f>
        <v>86906</v>
      </c>
      <c r="C187" s="23" t="str">
        <f>VLOOKUP(A187,MEMORIA!$A:$N,3,FALSE)</f>
        <v>SINAPI</v>
      </c>
      <c r="D187" s="24" t="str">
        <f>VLOOKUP(A187,MEMORIA!$A:$N,4,FALSE)</f>
        <v>TORNEIRA CROMADA DE MESA, 1/2" OU 3/4", PARA LAVATÓRIO, PADRÃO POPULAR - FORNECIMENTO E INSTALAÇÃO. AF_01/2020</v>
      </c>
      <c r="E187" s="23" t="str">
        <f>VLOOKUP(A187,MEMORIA!$A:$N,5,FALSE)</f>
        <v>UN</v>
      </c>
      <c r="F187" s="5">
        <f>VLOOKUP(A187,MEMORIA!$A:$N,14,FALSE)</f>
        <v>4</v>
      </c>
      <c r="G187" s="5">
        <f>VLOOKUP(A187,ORCAMENTO!$A:$I,7,FALSE)</f>
        <v>81.239999999999995</v>
      </c>
      <c r="H187" s="5">
        <f>VLOOKUP(A187,ORCAMENTO!$A:$I,8,FALSE)</f>
        <v>101.41999999999999</v>
      </c>
      <c r="I187" s="5">
        <f t="shared" si="54"/>
        <v>405.68</v>
      </c>
      <c r="J187" s="5">
        <f t="shared" si="55"/>
        <v>405.68</v>
      </c>
      <c r="K187" s="5">
        <f t="shared" si="53"/>
        <v>4</v>
      </c>
      <c r="L187" s="25">
        <f t="shared" si="42"/>
        <v>1</v>
      </c>
      <c r="M187" s="5">
        <f t="shared" si="56"/>
        <v>0</v>
      </c>
      <c r="N187" s="5">
        <v>0</v>
      </c>
      <c r="O187" s="25">
        <f t="shared" si="43"/>
        <v>0</v>
      </c>
      <c r="P187" s="5">
        <f t="shared" si="57"/>
        <v>0</v>
      </c>
      <c r="Q187" s="5">
        <v>0</v>
      </c>
      <c r="R187" s="25">
        <f t="shared" si="44"/>
        <v>0</v>
      </c>
      <c r="S187" s="5">
        <f t="shared" si="45"/>
        <v>405.68</v>
      </c>
      <c r="T187" s="25">
        <f t="shared" si="46"/>
        <v>1</v>
      </c>
      <c r="U187" s="25">
        <f t="shared" si="47"/>
        <v>5.5739118392852483E-4</v>
      </c>
    </row>
    <row r="188" spans="1:21" ht="43.2" x14ac:dyDescent="0.3">
      <c r="A188" s="23" t="s">
        <v>279</v>
      </c>
      <c r="B188" s="23">
        <f>VLOOKUP(A188,MEMORIA!$A:$N,2,FALSE)</f>
        <v>92920</v>
      </c>
      <c r="C188" s="23" t="str">
        <f>VLOOKUP(A188,MEMORIA!$A:$N,3,FALSE)</f>
        <v>SINAPI</v>
      </c>
      <c r="D188" s="24" t="str">
        <f>VLOOKUP(A188,MEMORIA!$A:$N,4,FALSE)</f>
        <v>LUVA DE REDUÇÃO, EM FERRO GALVANIZADO, 1" X 3/4", CONEXÃO ROSQUEADA, INSTALADO EM REDE DE ALIMENTAÇÃO PARA HIDRANTE - FORNECIMENTO E INSTALAÇÃO. AF_10/2020</v>
      </c>
      <c r="E188" s="23" t="str">
        <f>VLOOKUP(A188,MEMORIA!$A:$N,5,FALSE)</f>
        <v>UN</v>
      </c>
      <c r="F188" s="5">
        <f>VLOOKUP(A188,MEMORIA!$A:$N,14,FALSE)</f>
        <v>4</v>
      </c>
      <c r="G188" s="5">
        <f>VLOOKUP(A188,ORCAMENTO!$A:$I,7,FALSE)</f>
        <v>35.64</v>
      </c>
      <c r="H188" s="5">
        <f>VLOOKUP(A188,ORCAMENTO!$A:$I,8,FALSE)</f>
        <v>44.49</v>
      </c>
      <c r="I188" s="5">
        <f t="shared" si="54"/>
        <v>177.96</v>
      </c>
      <c r="J188" s="5">
        <f t="shared" si="55"/>
        <v>177.96</v>
      </c>
      <c r="K188" s="5">
        <f t="shared" si="53"/>
        <v>4</v>
      </c>
      <c r="L188" s="25">
        <f t="shared" si="42"/>
        <v>1</v>
      </c>
      <c r="M188" s="5">
        <f t="shared" si="56"/>
        <v>0</v>
      </c>
      <c r="N188" s="5">
        <v>0</v>
      </c>
      <c r="O188" s="25">
        <f t="shared" si="43"/>
        <v>0</v>
      </c>
      <c r="P188" s="5">
        <f t="shared" si="57"/>
        <v>0</v>
      </c>
      <c r="Q188" s="5">
        <v>0</v>
      </c>
      <c r="R188" s="25">
        <f t="shared" si="44"/>
        <v>0</v>
      </c>
      <c r="S188" s="5">
        <f t="shared" si="45"/>
        <v>177.96</v>
      </c>
      <c r="T188" s="25">
        <f t="shared" si="46"/>
        <v>1</v>
      </c>
      <c r="U188" s="25">
        <f t="shared" si="47"/>
        <v>2.4451127758805041E-4</v>
      </c>
    </row>
    <row r="189" spans="1:21" x14ac:dyDescent="0.3">
      <c r="A189" s="23" t="s">
        <v>280</v>
      </c>
      <c r="B189" s="23" t="str">
        <f>VLOOKUP(A189,MEMORIA!$A:$N,2,FALSE)</f>
        <v>COMPCH08</v>
      </c>
      <c r="C189" s="23" t="str">
        <f>VLOOKUP(A189,MEMORIA!$A:$N,3,FALSE)</f>
        <v>PRÓPRIA</v>
      </c>
      <c r="D189" s="24" t="str">
        <f>VLOOKUP(A189,MEMORIA!$A:$N,4,FALSE)</f>
        <v>CRUZETA DE FERRO GALVANIZADO, COM ROSCA BSP, DE 1"</v>
      </c>
      <c r="E189" s="23" t="str">
        <f>VLOOKUP(A189,MEMORIA!$A:$N,5,FALSE)</f>
        <v>UN</v>
      </c>
      <c r="F189" s="5">
        <f>VLOOKUP(A189,MEMORIA!$A:$N,14,FALSE)</f>
        <v>1</v>
      </c>
      <c r="G189" s="5">
        <f>VLOOKUP(A189,ORCAMENTO!$A:$I,7,FALSE)</f>
        <v>85.84</v>
      </c>
      <c r="H189" s="5">
        <f>VLOOKUP(A189,ORCAMENTO!$A:$I,8,FALSE)</f>
        <v>107.16</v>
      </c>
      <c r="I189" s="5">
        <f t="shared" si="54"/>
        <v>107.16</v>
      </c>
      <c r="J189" s="5">
        <f t="shared" si="55"/>
        <v>107.16</v>
      </c>
      <c r="K189" s="5">
        <f t="shared" si="53"/>
        <v>1</v>
      </c>
      <c r="L189" s="25">
        <f t="shared" si="42"/>
        <v>1</v>
      </c>
      <c r="M189" s="5">
        <f t="shared" si="56"/>
        <v>0</v>
      </c>
      <c r="N189" s="5">
        <v>0</v>
      </c>
      <c r="O189" s="25">
        <f t="shared" si="43"/>
        <v>0</v>
      </c>
      <c r="P189" s="5">
        <f t="shared" si="57"/>
        <v>0</v>
      </c>
      <c r="Q189" s="5">
        <v>0</v>
      </c>
      <c r="R189" s="25">
        <f t="shared" si="44"/>
        <v>0</v>
      </c>
      <c r="S189" s="5">
        <f t="shared" si="45"/>
        <v>107.16</v>
      </c>
      <c r="T189" s="25">
        <f t="shared" si="46"/>
        <v>1</v>
      </c>
      <c r="U189" s="25">
        <f t="shared" si="47"/>
        <v>1.4723437011876533E-4</v>
      </c>
    </row>
    <row r="190" spans="1:21" ht="28.8" x14ac:dyDescent="0.3">
      <c r="A190" s="23" t="s">
        <v>281</v>
      </c>
      <c r="B190" s="23" t="str">
        <f>VLOOKUP(A190,MEMORIA!$A:$N,2,FALSE)</f>
        <v>COMPCH01</v>
      </c>
      <c r="C190" s="23" t="str">
        <f>VLOOKUP(A190,MEMORIA!$A:$N,3,FALSE)</f>
        <v>PRÓPRIA</v>
      </c>
      <c r="D190" s="24" t="str">
        <f>VLOOKUP(A190,MEMORIA!$A:$N,4,FALSE)</f>
        <v>TÊ, EM FERRO GALVANIZADO, 1", CONEXÃO ROSQUEADA, INSTALADO EM PRUMADAS - FORNECIMENTO E INSTALAÇÃO.</v>
      </c>
      <c r="E190" s="23" t="str">
        <f>VLOOKUP(A190,MEMORIA!$A:$N,5,FALSE)</f>
        <v>UN</v>
      </c>
      <c r="F190" s="5">
        <f>VLOOKUP(A190,MEMORIA!$A:$N,14,FALSE)</f>
        <v>1</v>
      </c>
      <c r="G190" s="5">
        <f>VLOOKUP(A190,ORCAMENTO!$A:$I,7,FALSE)</f>
        <v>69.28</v>
      </c>
      <c r="H190" s="5">
        <f>VLOOKUP(A190,ORCAMENTO!$A:$I,8,FALSE)</f>
        <v>86.490000000000009</v>
      </c>
      <c r="I190" s="5">
        <f t="shared" si="54"/>
        <v>86.49</v>
      </c>
      <c r="J190" s="5">
        <f t="shared" si="55"/>
        <v>86.49</v>
      </c>
      <c r="K190" s="5">
        <f t="shared" si="53"/>
        <v>1</v>
      </c>
      <c r="L190" s="25">
        <f t="shared" si="42"/>
        <v>1</v>
      </c>
      <c r="M190" s="5">
        <f t="shared" si="56"/>
        <v>0</v>
      </c>
      <c r="N190" s="5">
        <v>0</v>
      </c>
      <c r="O190" s="25">
        <f t="shared" si="43"/>
        <v>0</v>
      </c>
      <c r="P190" s="5">
        <f t="shared" si="57"/>
        <v>0</v>
      </c>
      <c r="Q190" s="5">
        <v>0</v>
      </c>
      <c r="R190" s="25">
        <f t="shared" si="44"/>
        <v>0</v>
      </c>
      <c r="S190" s="5">
        <f t="shared" si="45"/>
        <v>86.49</v>
      </c>
      <c r="T190" s="25">
        <f t="shared" si="46"/>
        <v>1</v>
      </c>
      <c r="U190" s="25">
        <f t="shared" si="47"/>
        <v>1.1883445942116473E-4</v>
      </c>
    </row>
    <row r="191" spans="1:21" x14ac:dyDescent="0.3">
      <c r="A191" s="23" t="s">
        <v>282</v>
      </c>
      <c r="B191" s="23" t="str">
        <f>VLOOKUP(A191,MEMORIA!$A:$N,2,FALSE)</f>
        <v>COMPCH02</v>
      </c>
      <c r="C191" s="23" t="str">
        <f>VLOOKUP(A191,MEMORIA!$A:$N,3,FALSE)</f>
        <v>PRÓPRIA</v>
      </c>
      <c r="D191" s="24" t="str">
        <f>VLOOKUP(A191,MEMORIA!$A:$N,4,FALSE)</f>
        <v>LUVA DE FERRO GALVANIZADO, COM ROSCA BSP, DE 1"- FORNECIMENTO E INSTALAÇÃO</v>
      </c>
      <c r="E191" s="23" t="str">
        <f>VLOOKUP(A191,MEMORIA!$A:$N,5,FALSE)</f>
        <v>UN</v>
      </c>
      <c r="F191" s="5">
        <f>VLOOKUP(A191,MEMORIA!$A:$N,14,FALSE)</f>
        <v>1</v>
      </c>
      <c r="G191" s="5">
        <f>VLOOKUP(A191,ORCAMENTO!$A:$I,7,FALSE)</f>
        <v>21.18</v>
      </c>
      <c r="H191" s="5">
        <f>VLOOKUP(A191,ORCAMENTO!$A:$I,8,FALSE)</f>
        <v>26.439999999999998</v>
      </c>
      <c r="I191" s="5">
        <f t="shared" si="54"/>
        <v>26.44</v>
      </c>
      <c r="J191" s="5">
        <f t="shared" si="55"/>
        <v>26.44</v>
      </c>
      <c r="K191" s="5">
        <f t="shared" si="53"/>
        <v>1</v>
      </c>
      <c r="L191" s="25">
        <f t="shared" si="42"/>
        <v>1</v>
      </c>
      <c r="M191" s="5">
        <f t="shared" si="56"/>
        <v>0</v>
      </c>
      <c r="N191" s="5">
        <v>0</v>
      </c>
      <c r="O191" s="25">
        <f t="shared" si="43"/>
        <v>0</v>
      </c>
      <c r="P191" s="5">
        <f t="shared" si="57"/>
        <v>0</v>
      </c>
      <c r="Q191" s="5">
        <v>0</v>
      </c>
      <c r="R191" s="25">
        <f t="shared" si="44"/>
        <v>0</v>
      </c>
      <c r="S191" s="5">
        <f t="shared" si="45"/>
        <v>26.44</v>
      </c>
      <c r="T191" s="25">
        <f t="shared" si="46"/>
        <v>1</v>
      </c>
      <c r="U191" s="25">
        <f t="shared" si="47"/>
        <v>3.6327703862823399E-5</v>
      </c>
    </row>
    <row r="192" spans="1:21" ht="28.8" x14ac:dyDescent="0.3">
      <c r="A192" s="23" t="s">
        <v>283</v>
      </c>
      <c r="B192" s="23" t="str">
        <f>VLOOKUP(A192,MEMORIA!$A:$N,2,FALSE)</f>
        <v>COMPCH03</v>
      </c>
      <c r="C192" s="23" t="str">
        <f>VLOOKUP(A192,MEMORIA!$A:$N,3,FALSE)</f>
        <v>PRÓPRIA</v>
      </c>
      <c r="D192" s="24" t="str">
        <f>VLOOKUP(A192,MEMORIA!$A:$N,4,FALSE)</f>
        <v>CURVA 90 GRAUS DE FERRO GALVANIZADO, COM ROSCA BSP FEMEA, DE 1"- FORNECIMENTO E INSTALAÇÃO</v>
      </c>
      <c r="E192" s="23" t="str">
        <f>VLOOKUP(A192,MEMORIA!$A:$N,5,FALSE)</f>
        <v>UN</v>
      </c>
      <c r="F192" s="5">
        <f>VLOOKUP(A192,MEMORIA!$A:$N,14,FALSE)</f>
        <v>1</v>
      </c>
      <c r="G192" s="5">
        <f>VLOOKUP(A192,ORCAMENTO!$A:$I,7,FALSE)</f>
        <v>55.2</v>
      </c>
      <c r="H192" s="5">
        <f>VLOOKUP(A192,ORCAMENTO!$A:$I,8,FALSE)</f>
        <v>68.91</v>
      </c>
      <c r="I192" s="5">
        <f t="shared" si="54"/>
        <v>68.91</v>
      </c>
      <c r="J192" s="5">
        <f t="shared" si="55"/>
        <v>68.91</v>
      </c>
      <c r="K192" s="5">
        <f t="shared" si="53"/>
        <v>1</v>
      </c>
      <c r="L192" s="25">
        <f t="shared" si="42"/>
        <v>1</v>
      </c>
      <c r="M192" s="5">
        <f t="shared" si="56"/>
        <v>0</v>
      </c>
      <c r="N192" s="5">
        <v>0</v>
      </c>
      <c r="O192" s="25">
        <f t="shared" si="43"/>
        <v>0</v>
      </c>
      <c r="P192" s="5">
        <f t="shared" si="57"/>
        <v>0</v>
      </c>
      <c r="Q192" s="5">
        <v>0</v>
      </c>
      <c r="R192" s="25">
        <f t="shared" si="44"/>
        <v>0</v>
      </c>
      <c r="S192" s="5">
        <f t="shared" si="45"/>
        <v>68.91</v>
      </c>
      <c r="T192" s="25">
        <f t="shared" si="46"/>
        <v>1</v>
      </c>
      <c r="U192" s="25">
        <f t="shared" si="47"/>
        <v>9.46801086681982E-5</v>
      </c>
    </row>
    <row r="193" spans="1:21" ht="28.8" x14ac:dyDescent="0.3">
      <c r="A193" s="23" t="s">
        <v>284</v>
      </c>
      <c r="B193" s="23" t="str">
        <f>VLOOKUP(A193,MEMORIA!$A:$N,2,FALSE)</f>
        <v>COMPCH04</v>
      </c>
      <c r="C193" s="23" t="str">
        <f>VLOOKUP(A193,MEMORIA!$A:$N,3,FALSE)</f>
        <v>PRÓPRIA</v>
      </c>
      <c r="D193" s="24" t="str">
        <f>VLOOKUP(A193,MEMORIA!$A:$N,4,FALSE)</f>
        <v>TUBO DE AÇO GALVANIZADO COM COSTURA 1" (25MM), INCLUSIVE CONEXOES - FORNECIMENTO E INSTALAÇÃO</v>
      </c>
      <c r="E193" s="23" t="str">
        <f>VLOOKUP(A193,MEMORIA!$A:$N,5,FALSE)</f>
        <v>M</v>
      </c>
      <c r="F193" s="5">
        <f>VLOOKUP(A193,MEMORIA!$A:$N,14,FALSE)</f>
        <v>3</v>
      </c>
      <c r="G193" s="5">
        <f>VLOOKUP(A193,ORCAMENTO!$A:$I,7,FALSE)</f>
        <v>46.050000000000004</v>
      </c>
      <c r="H193" s="5">
        <f>VLOOKUP(A193,ORCAMENTO!$A:$I,8,FALSE)</f>
        <v>57.49</v>
      </c>
      <c r="I193" s="5">
        <f t="shared" si="54"/>
        <v>172.47</v>
      </c>
      <c r="J193" s="5">
        <f t="shared" si="55"/>
        <v>172.47</v>
      </c>
      <c r="K193" s="5">
        <f t="shared" si="53"/>
        <v>3</v>
      </c>
      <c r="L193" s="25">
        <f t="shared" si="42"/>
        <v>1</v>
      </c>
      <c r="M193" s="5">
        <f t="shared" si="56"/>
        <v>0</v>
      </c>
      <c r="N193" s="5">
        <v>0</v>
      </c>
      <c r="O193" s="25">
        <f t="shared" si="43"/>
        <v>0</v>
      </c>
      <c r="P193" s="5">
        <f t="shared" si="57"/>
        <v>0</v>
      </c>
      <c r="Q193" s="5">
        <v>0</v>
      </c>
      <c r="R193" s="25">
        <f t="shared" si="44"/>
        <v>0</v>
      </c>
      <c r="S193" s="5">
        <f t="shared" si="45"/>
        <v>172.47</v>
      </c>
      <c r="T193" s="25">
        <f t="shared" si="46"/>
        <v>1</v>
      </c>
      <c r="U193" s="25">
        <f t="shared" si="47"/>
        <v>2.3696819535632194E-4</v>
      </c>
    </row>
    <row r="194" spans="1:21" ht="28.8" x14ac:dyDescent="0.3">
      <c r="A194" s="23" t="s">
        <v>285</v>
      </c>
      <c r="B194" s="23" t="str">
        <f>VLOOKUP(A194,MEMORIA!$A:$N,2,FALSE)</f>
        <v>COMPCH05</v>
      </c>
      <c r="C194" s="23" t="str">
        <f>VLOOKUP(A194,MEMORIA!$A:$N,3,FALSE)</f>
        <v>PRÓPRIA</v>
      </c>
      <c r="D194" s="24" t="str">
        <f>VLOOKUP(A194,MEMORIA!$A:$N,4,FALSE)</f>
        <v>BUCHA DE REDUCAO DE FERRO GALVANIZADO, COM ROSCA BSP, DE 1 1/2" X 1"- FORNECIMENTO E INSTALAÇÃO</v>
      </c>
      <c r="E194" s="23" t="str">
        <f>VLOOKUP(A194,MEMORIA!$A:$N,5,FALSE)</f>
        <v>UN</v>
      </c>
      <c r="F194" s="5">
        <f>VLOOKUP(A194,MEMORIA!$A:$N,14,FALSE)</f>
        <v>1</v>
      </c>
      <c r="G194" s="5">
        <f>VLOOKUP(A194,ORCAMENTO!$A:$I,7,FALSE)</f>
        <v>37.659999999999997</v>
      </c>
      <c r="H194" s="5">
        <f>VLOOKUP(A194,ORCAMENTO!$A:$I,8,FALSE)</f>
        <v>47.01</v>
      </c>
      <c r="I194" s="5">
        <f t="shared" si="54"/>
        <v>47.01</v>
      </c>
      <c r="J194" s="5">
        <f t="shared" si="55"/>
        <v>47.01</v>
      </c>
      <c r="K194" s="5">
        <f t="shared" si="53"/>
        <v>1</v>
      </c>
      <c r="L194" s="25">
        <f t="shared" si="42"/>
        <v>1</v>
      </c>
      <c r="M194" s="5">
        <f t="shared" si="56"/>
        <v>0</v>
      </c>
      <c r="N194" s="5">
        <v>0</v>
      </c>
      <c r="O194" s="25">
        <f t="shared" si="43"/>
        <v>0</v>
      </c>
      <c r="P194" s="5">
        <f t="shared" si="57"/>
        <v>0</v>
      </c>
      <c r="Q194" s="5">
        <v>0</v>
      </c>
      <c r="R194" s="25">
        <f t="shared" si="44"/>
        <v>0</v>
      </c>
      <c r="S194" s="5">
        <f t="shared" si="45"/>
        <v>47.01</v>
      </c>
      <c r="T194" s="25">
        <f t="shared" si="46"/>
        <v>1</v>
      </c>
      <c r="U194" s="25">
        <f t="shared" si="47"/>
        <v>6.4590217798461724E-5</v>
      </c>
    </row>
    <row r="195" spans="1:21" ht="28.8" x14ac:dyDescent="0.3">
      <c r="A195" s="23" t="s">
        <v>286</v>
      </c>
      <c r="B195" s="23">
        <f>VLOOKUP(A195,MEMORIA!$A:$N,2,FALSE)</f>
        <v>94497</v>
      </c>
      <c r="C195" s="23" t="str">
        <f>VLOOKUP(A195,MEMORIA!$A:$N,3,FALSE)</f>
        <v>SINAPI</v>
      </c>
      <c r="D195" s="24" t="str">
        <f>VLOOKUP(A195,MEMORIA!$A:$N,4,FALSE)</f>
        <v>REGISTRO DE GAVETA BRUTO, LATÃO, ROSCÁVEL, 1 1/2" - FORNECIMENTO E INSTALAÇÃO. AF_08/2021</v>
      </c>
      <c r="E195" s="23" t="str">
        <f>VLOOKUP(A195,MEMORIA!$A:$N,5,FALSE)</f>
        <v>UN</v>
      </c>
      <c r="F195" s="5">
        <f>VLOOKUP(A195,MEMORIA!$A:$N,14,FALSE)</f>
        <v>2</v>
      </c>
      <c r="G195" s="5">
        <f>VLOOKUP(A195,ORCAMENTO!$A:$I,7,FALSE)</f>
        <v>118.80000000000001</v>
      </c>
      <c r="H195" s="5">
        <f>VLOOKUP(A195,ORCAMENTO!$A:$I,8,FALSE)</f>
        <v>148.31</v>
      </c>
      <c r="I195" s="5">
        <f t="shared" si="54"/>
        <v>296.62</v>
      </c>
      <c r="J195" s="5">
        <f t="shared" si="55"/>
        <v>296.62</v>
      </c>
      <c r="K195" s="5">
        <f t="shared" si="53"/>
        <v>2</v>
      </c>
      <c r="L195" s="25">
        <f t="shared" si="42"/>
        <v>1</v>
      </c>
      <c r="M195" s="5">
        <f t="shared" si="56"/>
        <v>0</v>
      </c>
      <c r="N195" s="5">
        <v>0</v>
      </c>
      <c r="O195" s="25">
        <f t="shared" si="43"/>
        <v>0</v>
      </c>
      <c r="P195" s="5">
        <f t="shared" si="57"/>
        <v>0</v>
      </c>
      <c r="Q195" s="5">
        <v>0</v>
      </c>
      <c r="R195" s="25">
        <f t="shared" si="44"/>
        <v>0</v>
      </c>
      <c r="S195" s="5">
        <f t="shared" si="45"/>
        <v>296.62</v>
      </c>
      <c r="T195" s="25">
        <f t="shared" si="46"/>
        <v>1</v>
      </c>
      <c r="U195" s="25">
        <f t="shared" si="47"/>
        <v>4.0754627533247644E-4</v>
      </c>
    </row>
    <row r="196" spans="1:21" ht="28.8" x14ac:dyDescent="0.3">
      <c r="A196" s="23" t="s">
        <v>287</v>
      </c>
      <c r="B196" s="23" t="str">
        <f>VLOOKUP(A196,MEMORIA!$A:$N,2,FALSE)</f>
        <v>COMPCH07</v>
      </c>
      <c r="C196" s="23" t="str">
        <f>VLOOKUP(A196,MEMORIA!$A:$N,3,FALSE)</f>
        <v>PRÓPRIA</v>
      </c>
      <c r="D196" s="24" t="str">
        <f>VLOOKUP(A196,MEMORIA!$A:$N,4,FALSE)</f>
        <v>ADAPTADOR CURTO COM BOLSA E ROSCA PARA REGISTRO, PVC, SOLDÁVEL, DN 40MM X 1.1/2, INSTALADO EM PRUMADA DE ÁGUA - FORNECIMENTO E INSTALAÇÃO</v>
      </c>
      <c r="E196" s="23" t="str">
        <f>VLOOKUP(A196,MEMORIA!$A:$N,5,FALSE)</f>
        <v>UN</v>
      </c>
      <c r="F196" s="5">
        <f>VLOOKUP(A196,MEMORIA!$A:$N,14,FALSE)</f>
        <v>1</v>
      </c>
      <c r="G196" s="5">
        <f>VLOOKUP(A196,ORCAMENTO!$A:$I,7,FALSE)</f>
        <v>11.16</v>
      </c>
      <c r="H196" s="5">
        <f>VLOOKUP(A196,ORCAMENTO!$A:$I,8,FALSE)</f>
        <v>13.93</v>
      </c>
      <c r="I196" s="5">
        <f t="shared" si="54"/>
        <v>13.93</v>
      </c>
      <c r="J196" s="5">
        <f t="shared" si="55"/>
        <v>13.93</v>
      </c>
      <c r="K196" s="5">
        <f t="shared" si="53"/>
        <v>1</v>
      </c>
      <c r="L196" s="25">
        <f t="shared" si="42"/>
        <v>1</v>
      </c>
      <c r="M196" s="5">
        <f t="shared" si="56"/>
        <v>0</v>
      </c>
      <c r="N196" s="5">
        <v>0</v>
      </c>
      <c r="O196" s="25">
        <f t="shared" si="43"/>
        <v>0</v>
      </c>
      <c r="P196" s="5">
        <f t="shared" si="57"/>
        <v>0</v>
      </c>
      <c r="Q196" s="5">
        <v>0</v>
      </c>
      <c r="R196" s="25">
        <f t="shared" si="44"/>
        <v>0</v>
      </c>
      <c r="S196" s="5">
        <f t="shared" si="45"/>
        <v>13.93</v>
      </c>
      <c r="T196" s="25">
        <f t="shared" si="46"/>
        <v>1</v>
      </c>
      <c r="U196" s="25">
        <f t="shared" si="47"/>
        <v>1.9139368941343795E-5</v>
      </c>
    </row>
    <row r="197" spans="1:21" x14ac:dyDescent="0.3">
      <c r="A197" s="9">
        <v>4</v>
      </c>
      <c r="B197" s="52" t="str">
        <f>VLOOKUP(A197,MEMORIA!$A:$N,2,FALSE)</f>
        <v>COMUNIDADE LAGOA DOURADA</v>
      </c>
      <c r="C197" s="53"/>
      <c r="D197" s="53"/>
      <c r="E197" s="53"/>
      <c r="F197" s="53"/>
      <c r="G197" s="53"/>
      <c r="H197" s="54"/>
      <c r="I197" s="10">
        <f>SUM(I$198,I$216,I$223,I$257,I$266,I$275,I$277,)</f>
        <v>136162.86000000002</v>
      </c>
      <c r="J197" s="10">
        <f>SUM(J$198,J$216,J$223,J$257,J$266,J$275,J$277,)</f>
        <v>0</v>
      </c>
      <c r="K197" s="10"/>
      <c r="L197" s="11">
        <f t="shared" si="42"/>
        <v>0</v>
      </c>
      <c r="M197" s="10">
        <f>SUM(M$198,M$216,M$223,M$257,M$266,M$275,M$277,)</f>
        <v>136162.86000000002</v>
      </c>
      <c r="N197" s="10"/>
      <c r="O197" s="11">
        <f t="shared" si="43"/>
        <v>1</v>
      </c>
      <c r="P197" s="10">
        <f>SUM(P$198,P$216,P$223,P$257,P$266,P$275,P$277,)</f>
        <v>0</v>
      </c>
      <c r="Q197" s="10"/>
      <c r="R197" s="11">
        <f t="shared" si="44"/>
        <v>0</v>
      </c>
      <c r="S197" s="10">
        <f t="shared" si="45"/>
        <v>136162.86000000002</v>
      </c>
      <c r="T197" s="11">
        <f t="shared" si="46"/>
        <v>1</v>
      </c>
      <c r="U197" s="11">
        <f t="shared" si="47"/>
        <v>0.18708336063521491</v>
      </c>
    </row>
    <row r="198" spans="1:21" x14ac:dyDescent="0.3">
      <c r="A198" s="12" t="s">
        <v>65</v>
      </c>
      <c r="B198" s="46" t="str">
        <f>VLOOKUP(A198,MEMORIA!$A:$N,2,FALSE)</f>
        <v>PERFURAÇÃO DE POÇO TUBULAR</v>
      </c>
      <c r="C198" s="47"/>
      <c r="D198" s="47"/>
      <c r="E198" s="47"/>
      <c r="F198" s="47"/>
      <c r="G198" s="47"/>
      <c r="H198" s="48"/>
      <c r="I198" s="13">
        <f>SUM(I$199:I$215)</f>
        <v>64587.16</v>
      </c>
      <c r="J198" s="13">
        <f>SUM(J$199:J$215)</f>
        <v>0</v>
      </c>
      <c r="K198" s="13"/>
      <c r="L198" s="14">
        <f t="shared" si="42"/>
        <v>0</v>
      </c>
      <c r="M198" s="13">
        <f>SUM(M$199:M$215)</f>
        <v>64587.16</v>
      </c>
      <c r="N198" s="13"/>
      <c r="O198" s="14">
        <f t="shared" si="43"/>
        <v>1</v>
      </c>
      <c r="P198" s="13">
        <f>SUM(P$199:P$215)</f>
        <v>0</v>
      </c>
      <c r="Q198" s="13"/>
      <c r="R198" s="14">
        <f t="shared" si="44"/>
        <v>0</v>
      </c>
      <c r="S198" s="13">
        <f t="shared" si="45"/>
        <v>64587.16</v>
      </c>
      <c r="T198" s="14">
        <f t="shared" si="46"/>
        <v>1</v>
      </c>
      <c r="U198" s="14">
        <f t="shared" si="47"/>
        <v>8.8740666483388547E-2</v>
      </c>
    </row>
    <row r="199" spans="1:21" x14ac:dyDescent="0.3">
      <c r="A199" s="23" t="s">
        <v>288</v>
      </c>
      <c r="B199" s="23" t="str">
        <f>VLOOKUP(A199,MEMORIA!$A:$N,2,FALSE)</f>
        <v>COMPOS3</v>
      </c>
      <c r="C199" s="23" t="str">
        <f>VLOOKUP(A199,MEMORIA!$A:$N,3,FALSE)</f>
        <v>PRÓPRIA</v>
      </c>
      <c r="D199" s="24" t="str">
        <f>VLOOKUP(A199,MEMORIA!$A:$N,4,FALSE)</f>
        <v>LOCAÇÃO DO POÇO COM ESTUDO GEOLÓGICO/HIDROGEOLÓGICO/GEOFÍSICO</v>
      </c>
      <c r="E199" s="23" t="str">
        <f>VLOOKUP(A199,MEMORIA!$A:$N,5,FALSE)</f>
        <v>UN</v>
      </c>
      <c r="F199" s="5">
        <f>VLOOKUP(A199,MEMORIA!$A:$N,14,FALSE)</f>
        <v>1</v>
      </c>
      <c r="G199" s="5">
        <f>VLOOKUP(A199,ORCAMENTO!$A:$I,7,FALSE)</f>
        <v>1692.3999999999999</v>
      </c>
      <c r="H199" s="5">
        <f>VLOOKUP(A199,ORCAMENTO!$A:$I,8,FALSE)</f>
        <v>2112.79</v>
      </c>
      <c r="I199" s="5">
        <f t="shared" ref="I199:I215" si="58">ROUND(F199*H199,2)</f>
        <v>2112.79</v>
      </c>
      <c r="J199" s="5">
        <f t="shared" ref="J199:J215" si="59">ROUND(K199*$H199,2)</f>
        <v>0</v>
      </c>
      <c r="K199" s="5">
        <v>0</v>
      </c>
      <c r="L199" s="25">
        <f t="shared" si="42"/>
        <v>0</v>
      </c>
      <c r="M199" s="5">
        <f t="shared" ref="M199:M215" si="60">ROUND(N199*$H199,2)</f>
        <v>2112.79</v>
      </c>
      <c r="N199" s="5">
        <f>F199</f>
        <v>1</v>
      </c>
      <c r="O199" s="25">
        <f t="shared" si="43"/>
        <v>1</v>
      </c>
      <c r="P199" s="5">
        <f t="shared" ref="P199:P215" si="61">ROUND(Q199*$H199,2)</f>
        <v>0</v>
      </c>
      <c r="Q199" s="5">
        <v>0</v>
      </c>
      <c r="R199" s="25">
        <f t="shared" si="44"/>
        <v>0</v>
      </c>
      <c r="S199" s="5">
        <f t="shared" si="45"/>
        <v>2112.79</v>
      </c>
      <c r="T199" s="25">
        <f t="shared" si="46"/>
        <v>1</v>
      </c>
      <c r="U199" s="25">
        <f t="shared" si="47"/>
        <v>2.9029050470625812E-3</v>
      </c>
    </row>
    <row r="200" spans="1:21" x14ac:dyDescent="0.3">
      <c r="A200" s="23" t="s">
        <v>289</v>
      </c>
      <c r="B200" s="23" t="str">
        <f>VLOOKUP(A200,MEMORIA!$A:$N,2,FALSE)</f>
        <v>COMPOS4</v>
      </c>
      <c r="C200" s="23" t="str">
        <f>VLOOKUP(A200,MEMORIA!$A:$N,3,FALSE)</f>
        <v>PRÓPRIA</v>
      </c>
      <c r="D200" s="24" t="str">
        <f>VLOOKUP(A200,MEMORIA!$A:$N,4,FALSE)</f>
        <v>TRANSPORTE DE MÁQUINAS E EQUIPAMENTOS</v>
      </c>
      <c r="E200" s="23" t="str">
        <f>VLOOKUP(A200,MEMORIA!$A:$N,5,FALSE)</f>
        <v>KM</v>
      </c>
      <c r="F200" s="5">
        <f>VLOOKUP(A200,MEMORIA!$A:$N,14,FALSE)</f>
        <v>19.7</v>
      </c>
      <c r="G200" s="5">
        <f>VLOOKUP(A200,ORCAMENTO!$A:$I,7,FALSE)</f>
        <v>5.5</v>
      </c>
      <c r="H200" s="5">
        <f>VLOOKUP(A200,ORCAMENTO!$A:$I,8,FALSE)</f>
        <v>6.87</v>
      </c>
      <c r="I200" s="5">
        <f t="shared" si="58"/>
        <v>135.34</v>
      </c>
      <c r="J200" s="5">
        <f t="shared" si="59"/>
        <v>0</v>
      </c>
      <c r="K200" s="5">
        <v>0</v>
      </c>
      <c r="L200" s="25">
        <f t="shared" ref="L200:L263" si="62">J200/$I200</f>
        <v>0</v>
      </c>
      <c r="M200" s="5">
        <f t="shared" si="60"/>
        <v>135.34</v>
      </c>
      <c r="N200" s="5">
        <f t="shared" ref="N200:N222" si="63">F200</f>
        <v>19.7</v>
      </c>
      <c r="O200" s="25">
        <f t="shared" ref="O200:O263" si="64">M200/$I200</f>
        <v>1</v>
      </c>
      <c r="P200" s="5">
        <f t="shared" si="61"/>
        <v>0</v>
      </c>
      <c r="Q200" s="5">
        <v>0</v>
      </c>
      <c r="R200" s="25">
        <f t="shared" ref="R200:R263" si="65">P200/$I200</f>
        <v>0</v>
      </c>
      <c r="S200" s="5">
        <f t="shared" ref="S200:S263" si="66">SUM(J200,M200,P200,)</f>
        <v>135.34</v>
      </c>
      <c r="T200" s="25">
        <f t="shared" ref="T200:T263" si="67">SUM(L200,O200,R200,)</f>
        <v>1</v>
      </c>
      <c r="U200" s="25">
        <f t="shared" ref="U200:U263" si="68">S200/$I$476</f>
        <v>1.8595277763973217E-4</v>
      </c>
    </row>
    <row r="201" spans="1:21" x14ac:dyDescent="0.3">
      <c r="A201" s="23" t="s">
        <v>290</v>
      </c>
      <c r="B201" s="23" t="str">
        <f>VLOOKUP(A201,MEMORIA!$A:$N,2,FALSE)</f>
        <v>COMPOS4</v>
      </c>
      <c r="C201" s="23" t="str">
        <f>VLOOKUP(A201,MEMORIA!$A:$N,3,FALSE)</f>
        <v>PRÓPRIA</v>
      </c>
      <c r="D201" s="24" t="str">
        <f>VLOOKUP(A201,MEMORIA!$A:$N,4,FALSE)</f>
        <v>TRANSPORTE DE MÁQUINAS E EQUIPAMENTOS</v>
      </c>
      <c r="E201" s="23" t="str">
        <f>VLOOKUP(A201,MEMORIA!$A:$N,5,FALSE)</f>
        <v>KM</v>
      </c>
      <c r="F201" s="5">
        <f>VLOOKUP(A201,MEMORIA!$A:$N,14,FALSE)</f>
        <v>19.7</v>
      </c>
      <c r="G201" s="5">
        <f>VLOOKUP(A201,ORCAMENTO!$A:$I,7,FALSE)</f>
        <v>5.5</v>
      </c>
      <c r="H201" s="5">
        <f>VLOOKUP(A201,ORCAMENTO!$A:$I,8,FALSE)</f>
        <v>6.87</v>
      </c>
      <c r="I201" s="5">
        <f t="shared" si="58"/>
        <v>135.34</v>
      </c>
      <c r="J201" s="5">
        <f t="shared" si="59"/>
        <v>0</v>
      </c>
      <c r="K201" s="5">
        <v>0</v>
      </c>
      <c r="L201" s="25">
        <f t="shared" si="62"/>
        <v>0</v>
      </c>
      <c r="M201" s="5">
        <f t="shared" si="60"/>
        <v>135.34</v>
      </c>
      <c r="N201" s="5">
        <f t="shared" si="63"/>
        <v>19.7</v>
      </c>
      <c r="O201" s="25">
        <f t="shared" si="64"/>
        <v>1</v>
      </c>
      <c r="P201" s="5">
        <f t="shared" si="61"/>
        <v>0</v>
      </c>
      <c r="Q201" s="5">
        <v>0</v>
      </c>
      <c r="R201" s="25">
        <f t="shared" si="65"/>
        <v>0</v>
      </c>
      <c r="S201" s="5">
        <f t="shared" si="66"/>
        <v>135.34</v>
      </c>
      <c r="T201" s="25">
        <f t="shared" si="67"/>
        <v>1</v>
      </c>
      <c r="U201" s="25">
        <f t="shared" si="68"/>
        <v>1.8595277763973217E-4</v>
      </c>
    </row>
    <row r="202" spans="1:21" x14ac:dyDescent="0.3">
      <c r="A202" s="23" t="s">
        <v>291</v>
      </c>
      <c r="B202" s="23" t="str">
        <f>VLOOKUP(A202,MEMORIA!$A:$N,2,FALSE)</f>
        <v>COMPOS5</v>
      </c>
      <c r="C202" s="23" t="str">
        <f>VLOOKUP(A202,MEMORIA!$A:$N,3,FALSE)</f>
        <v>PRÓPRIA</v>
      </c>
      <c r="D202" s="24" t="str">
        <f>VLOOKUP(A202,MEMORIA!$A:$N,4,FALSE)</f>
        <v>PERFILAGEM ÓTICA</v>
      </c>
      <c r="E202" s="23" t="str">
        <f>VLOOKUP(A202,MEMORIA!$A:$N,5,FALSE)</f>
        <v>UN</v>
      </c>
      <c r="F202" s="5">
        <f>VLOOKUP(A202,MEMORIA!$A:$N,14,FALSE)</f>
        <v>1</v>
      </c>
      <c r="G202" s="5">
        <f>VLOOKUP(A202,ORCAMENTO!$A:$I,7,FALSE)</f>
        <v>2908.88</v>
      </c>
      <c r="H202" s="5">
        <f>VLOOKUP(A202,ORCAMENTO!$A:$I,8,FALSE)</f>
        <v>3631.4500000000003</v>
      </c>
      <c r="I202" s="5">
        <f t="shared" si="58"/>
        <v>3631.45</v>
      </c>
      <c r="J202" s="5">
        <f t="shared" si="59"/>
        <v>0</v>
      </c>
      <c r="K202" s="5">
        <v>0</v>
      </c>
      <c r="L202" s="25">
        <f t="shared" si="62"/>
        <v>0</v>
      </c>
      <c r="M202" s="5">
        <f t="shared" si="60"/>
        <v>3631.45</v>
      </c>
      <c r="N202" s="5">
        <f t="shared" si="63"/>
        <v>1</v>
      </c>
      <c r="O202" s="25">
        <f t="shared" si="64"/>
        <v>1</v>
      </c>
      <c r="P202" s="5">
        <f t="shared" si="61"/>
        <v>0</v>
      </c>
      <c r="Q202" s="5">
        <v>0</v>
      </c>
      <c r="R202" s="25">
        <f t="shared" si="65"/>
        <v>0</v>
      </c>
      <c r="S202" s="5">
        <f t="shared" si="66"/>
        <v>3631.45</v>
      </c>
      <c r="T202" s="25">
        <f t="shared" si="67"/>
        <v>1</v>
      </c>
      <c r="U202" s="25">
        <f t="shared" si="68"/>
        <v>4.9894947122787452E-3</v>
      </c>
    </row>
    <row r="203" spans="1:21" x14ac:dyDescent="0.3">
      <c r="A203" s="23" t="s">
        <v>292</v>
      </c>
      <c r="B203" s="23" t="str">
        <f>VLOOKUP(A203,MEMORIA!$A:$N,2,FALSE)</f>
        <v>COMPOS6</v>
      </c>
      <c r="C203" s="23" t="str">
        <f>VLOOKUP(A203,MEMORIA!$A:$N,3,FALSE)</f>
        <v>PRÓPRIA</v>
      </c>
      <c r="D203" s="24" t="str">
        <f>VLOOKUP(A203,MEMORIA!$A:$N,4,FALSE)</f>
        <v>PERFURAÇÃO EM 10'' (SEDIMENTO)</v>
      </c>
      <c r="E203" s="23" t="str">
        <f>VLOOKUP(A203,MEMORIA!$A:$N,5,FALSE)</f>
        <v>M</v>
      </c>
      <c r="F203" s="5">
        <f>VLOOKUP(A203,MEMORIA!$A:$N,14,FALSE)</f>
        <v>35</v>
      </c>
      <c r="G203" s="5">
        <f>VLOOKUP(A203,ORCAMENTO!$A:$I,7,FALSE)</f>
        <v>288.94</v>
      </c>
      <c r="H203" s="5">
        <f>VLOOKUP(A203,ORCAMENTO!$A:$I,8,FALSE)</f>
        <v>360.71</v>
      </c>
      <c r="I203" s="5">
        <f t="shared" si="58"/>
        <v>12624.85</v>
      </c>
      <c r="J203" s="5">
        <f t="shared" si="59"/>
        <v>0</v>
      </c>
      <c r="K203" s="5">
        <v>0</v>
      </c>
      <c r="L203" s="25">
        <f t="shared" si="62"/>
        <v>0</v>
      </c>
      <c r="M203" s="5">
        <f t="shared" si="60"/>
        <v>12624.85</v>
      </c>
      <c r="N203" s="5">
        <f t="shared" si="63"/>
        <v>35</v>
      </c>
      <c r="O203" s="25">
        <f t="shared" si="64"/>
        <v>1</v>
      </c>
      <c r="P203" s="5">
        <f t="shared" si="61"/>
        <v>0</v>
      </c>
      <c r="Q203" s="5">
        <v>0</v>
      </c>
      <c r="R203" s="25">
        <f t="shared" si="65"/>
        <v>0</v>
      </c>
      <c r="S203" s="5">
        <f t="shared" si="66"/>
        <v>12624.85</v>
      </c>
      <c r="T203" s="25">
        <f t="shared" si="67"/>
        <v>1</v>
      </c>
      <c r="U203" s="25">
        <f t="shared" si="68"/>
        <v>1.7346135102593269E-2</v>
      </c>
    </row>
    <row r="204" spans="1:21" x14ac:dyDescent="0.3">
      <c r="A204" s="23" t="s">
        <v>293</v>
      </c>
      <c r="B204" s="23" t="str">
        <f>VLOOKUP(A204,MEMORIA!$A:$N,2,FALSE)</f>
        <v>COMPOS7</v>
      </c>
      <c r="C204" s="23" t="str">
        <f>VLOOKUP(A204,MEMORIA!$A:$N,3,FALSE)</f>
        <v>PRÓPRIA</v>
      </c>
      <c r="D204" s="24" t="str">
        <f>VLOOKUP(A204,MEMORIA!$A:$N,4,FALSE)</f>
        <v>PERFURAÇÃO EM 8'' (ROCHA CRISTALINA)</v>
      </c>
      <c r="E204" s="23" t="str">
        <f>VLOOKUP(A204,MEMORIA!$A:$N,5,FALSE)</f>
        <v>M</v>
      </c>
      <c r="F204" s="5">
        <f>VLOOKUP(A204,MEMORIA!$A:$N,14,FALSE)</f>
        <v>0</v>
      </c>
      <c r="G204" s="5">
        <f>VLOOKUP(A204,ORCAMENTO!$A:$I,7,FALSE)</f>
        <v>368.84000000000003</v>
      </c>
      <c r="H204" s="5">
        <f>VLOOKUP(A204,ORCAMENTO!$A:$I,8,FALSE)</f>
        <v>460.46000000000004</v>
      </c>
      <c r="I204" s="5">
        <f t="shared" si="58"/>
        <v>0</v>
      </c>
      <c r="J204" s="5">
        <f t="shared" si="59"/>
        <v>0</v>
      </c>
      <c r="K204" s="5">
        <v>0</v>
      </c>
      <c r="L204" s="25" t="e">
        <f t="shared" si="62"/>
        <v>#DIV/0!</v>
      </c>
      <c r="M204" s="5">
        <f t="shared" si="60"/>
        <v>0</v>
      </c>
      <c r="N204" s="5">
        <f t="shared" si="63"/>
        <v>0</v>
      </c>
      <c r="O204" s="25" t="e">
        <f t="shared" si="64"/>
        <v>#DIV/0!</v>
      </c>
      <c r="P204" s="5">
        <f t="shared" si="61"/>
        <v>0</v>
      </c>
      <c r="Q204" s="5">
        <v>0</v>
      </c>
      <c r="R204" s="25" t="e">
        <f t="shared" si="65"/>
        <v>#DIV/0!</v>
      </c>
      <c r="S204" s="5">
        <f t="shared" si="66"/>
        <v>0</v>
      </c>
      <c r="T204" s="25" t="e">
        <f t="shared" si="67"/>
        <v>#DIV/0!</v>
      </c>
      <c r="U204" s="25">
        <f t="shared" si="68"/>
        <v>0</v>
      </c>
    </row>
    <row r="205" spans="1:21" x14ac:dyDescent="0.3">
      <c r="A205" s="23" t="s">
        <v>294</v>
      </c>
      <c r="B205" s="23" t="str">
        <f>VLOOKUP(A205,MEMORIA!$A:$N,2,FALSE)</f>
        <v>COMPOS8</v>
      </c>
      <c r="C205" s="23" t="str">
        <f>VLOOKUP(A205,MEMORIA!$A:$N,3,FALSE)</f>
        <v>PRÓPRIA</v>
      </c>
      <c r="D205" s="24" t="str">
        <f>VLOOKUP(A205,MEMORIA!$A:$N,4,FALSE)</f>
        <v>PERFURAÇÃO EM 6'' (SEDIMENTO)</v>
      </c>
      <c r="E205" s="23" t="str">
        <f>VLOOKUP(A205,MEMORIA!$A:$N,5,FALSE)</f>
        <v>M</v>
      </c>
      <c r="F205" s="5">
        <f>VLOOKUP(A205,MEMORIA!$A:$N,14,FALSE)</f>
        <v>95</v>
      </c>
      <c r="G205" s="5">
        <f>VLOOKUP(A205,ORCAMENTO!$A:$I,7,FALSE)</f>
        <v>231.16</v>
      </c>
      <c r="H205" s="5">
        <f>VLOOKUP(A205,ORCAMENTO!$A:$I,8,FALSE)</f>
        <v>288.58</v>
      </c>
      <c r="I205" s="5">
        <f t="shared" si="58"/>
        <v>27415.1</v>
      </c>
      <c r="J205" s="5">
        <f t="shared" si="59"/>
        <v>0</v>
      </c>
      <c r="K205" s="5">
        <v>0</v>
      </c>
      <c r="L205" s="25">
        <f t="shared" si="62"/>
        <v>0</v>
      </c>
      <c r="M205" s="5">
        <f t="shared" si="60"/>
        <v>27415.1</v>
      </c>
      <c r="N205" s="5">
        <f t="shared" si="63"/>
        <v>95</v>
      </c>
      <c r="O205" s="25">
        <f t="shared" si="64"/>
        <v>1</v>
      </c>
      <c r="P205" s="5">
        <f t="shared" si="61"/>
        <v>0</v>
      </c>
      <c r="Q205" s="5">
        <v>0</v>
      </c>
      <c r="R205" s="25">
        <f t="shared" si="65"/>
        <v>0</v>
      </c>
      <c r="S205" s="5">
        <f t="shared" si="66"/>
        <v>27415.1</v>
      </c>
      <c r="T205" s="25">
        <f t="shared" si="67"/>
        <v>1</v>
      </c>
      <c r="U205" s="25">
        <f t="shared" si="68"/>
        <v>3.7667459688717465E-2</v>
      </c>
    </row>
    <row r="206" spans="1:21" x14ac:dyDescent="0.3">
      <c r="A206" s="23" t="s">
        <v>295</v>
      </c>
      <c r="B206" s="23" t="str">
        <f>VLOOKUP(A206,MEMORIA!$A:$N,2,FALSE)</f>
        <v>COMPOS9</v>
      </c>
      <c r="C206" s="23" t="str">
        <f>VLOOKUP(A206,MEMORIA!$A:$N,3,FALSE)</f>
        <v>PRÓPRIA</v>
      </c>
      <c r="D206" s="24" t="str">
        <f>VLOOKUP(A206,MEMORIA!$A:$N,4,FALSE)</f>
        <v>PERFURAÇÃO EM 6'' (ROCHA CRISTALINA)</v>
      </c>
      <c r="E206" s="23" t="str">
        <f>VLOOKUP(A206,MEMORIA!$A:$N,5,FALSE)</f>
        <v>M</v>
      </c>
      <c r="F206" s="5">
        <f>VLOOKUP(A206,MEMORIA!$A:$N,14,FALSE)</f>
        <v>0</v>
      </c>
      <c r="G206" s="5">
        <f>VLOOKUP(A206,ORCAMENTO!$A:$I,7,FALSE)</f>
        <v>330.20000000000005</v>
      </c>
      <c r="H206" s="5">
        <f>VLOOKUP(A206,ORCAMENTO!$A:$I,8,FALSE)</f>
        <v>412.22</v>
      </c>
      <c r="I206" s="5">
        <f t="shared" si="58"/>
        <v>0</v>
      </c>
      <c r="J206" s="5">
        <f t="shared" si="59"/>
        <v>0</v>
      </c>
      <c r="K206" s="5">
        <v>0</v>
      </c>
      <c r="L206" s="25" t="e">
        <f t="shared" si="62"/>
        <v>#DIV/0!</v>
      </c>
      <c r="M206" s="5">
        <f t="shared" si="60"/>
        <v>0</v>
      </c>
      <c r="N206" s="5">
        <f t="shared" si="63"/>
        <v>0</v>
      </c>
      <c r="O206" s="25" t="e">
        <f t="shared" si="64"/>
        <v>#DIV/0!</v>
      </c>
      <c r="P206" s="5">
        <f t="shared" si="61"/>
        <v>0</v>
      </c>
      <c r="Q206" s="5">
        <v>0</v>
      </c>
      <c r="R206" s="25" t="e">
        <f t="shared" si="65"/>
        <v>#DIV/0!</v>
      </c>
      <c r="S206" s="5">
        <f t="shared" si="66"/>
        <v>0</v>
      </c>
      <c r="T206" s="25" t="e">
        <f t="shared" si="67"/>
        <v>#DIV/0!</v>
      </c>
      <c r="U206" s="25">
        <f t="shared" si="68"/>
        <v>0</v>
      </c>
    </row>
    <row r="207" spans="1:21" x14ac:dyDescent="0.3">
      <c r="A207" s="23" t="s">
        <v>296</v>
      </c>
      <c r="B207" s="23" t="str">
        <f>VLOOKUP(A207,MEMORIA!$A:$N,2,FALSE)</f>
        <v>COMPOS10</v>
      </c>
      <c r="C207" s="23" t="str">
        <f>VLOOKUP(A207,MEMORIA!$A:$N,3,FALSE)</f>
        <v>PRÓPRIA</v>
      </c>
      <c r="D207" s="24" t="str">
        <f>VLOOKUP(A207,MEMORIA!$A:$N,4,FALSE)</f>
        <v>CIMENTAÇÃO SANITÁRIA</v>
      </c>
      <c r="E207" s="23" t="str">
        <f>VLOOKUP(A207,MEMORIA!$A:$N,5,FALSE)</f>
        <v>M³</v>
      </c>
      <c r="F207" s="5">
        <f>VLOOKUP(A207,MEMORIA!$A:$N,14,FALSE)</f>
        <v>4.55</v>
      </c>
      <c r="G207" s="5">
        <f>VLOOKUP(A207,ORCAMENTO!$A:$I,7,FALSE)</f>
        <v>164.58999999999997</v>
      </c>
      <c r="H207" s="5">
        <f>VLOOKUP(A207,ORCAMENTO!$A:$I,8,FALSE)</f>
        <v>205.46999999999997</v>
      </c>
      <c r="I207" s="5">
        <f t="shared" si="58"/>
        <v>934.89</v>
      </c>
      <c r="J207" s="5">
        <f t="shared" si="59"/>
        <v>0</v>
      </c>
      <c r="K207" s="5">
        <v>0</v>
      </c>
      <c r="L207" s="25">
        <f t="shared" si="62"/>
        <v>0</v>
      </c>
      <c r="M207" s="5">
        <f t="shared" si="60"/>
        <v>934.89</v>
      </c>
      <c r="N207" s="5">
        <f t="shared" si="63"/>
        <v>4.55</v>
      </c>
      <c r="O207" s="25">
        <f t="shared" si="64"/>
        <v>1</v>
      </c>
      <c r="P207" s="5">
        <f t="shared" si="61"/>
        <v>0</v>
      </c>
      <c r="Q207" s="5">
        <v>0</v>
      </c>
      <c r="R207" s="25">
        <f t="shared" si="65"/>
        <v>0</v>
      </c>
      <c r="S207" s="5">
        <f t="shared" si="66"/>
        <v>934.89</v>
      </c>
      <c r="T207" s="25">
        <f t="shared" si="67"/>
        <v>1</v>
      </c>
      <c r="U207" s="25">
        <f t="shared" si="68"/>
        <v>1.284508587909038E-3</v>
      </c>
    </row>
    <row r="208" spans="1:21" x14ac:dyDescent="0.3">
      <c r="A208" s="23" t="s">
        <v>297</v>
      </c>
      <c r="B208" s="23" t="str">
        <f>VLOOKUP(A208,MEMORIA!$A:$N,2,FALSE)</f>
        <v>COMPOS11</v>
      </c>
      <c r="C208" s="23" t="str">
        <f>VLOOKUP(A208,MEMORIA!$A:$N,3,FALSE)</f>
        <v>PRÓPRIA</v>
      </c>
      <c r="D208" s="24" t="str">
        <f>VLOOKUP(A208,MEMORIA!$A:$N,4,FALSE)</f>
        <v>LAJE DE PROTEÇÃO EM CONCRETO (1,0 M X 1,0 M X 0,15 M)</v>
      </c>
      <c r="E208" s="23" t="str">
        <f>VLOOKUP(A208,MEMORIA!$A:$N,5,FALSE)</f>
        <v>M³</v>
      </c>
      <c r="F208" s="5">
        <f>VLOOKUP(A208,MEMORIA!$A:$N,14,FALSE)</f>
        <v>0.15</v>
      </c>
      <c r="G208" s="5">
        <f>VLOOKUP(A208,ORCAMENTO!$A:$I,7,FALSE)</f>
        <v>1259.1399999999999</v>
      </c>
      <c r="H208" s="5">
        <f>VLOOKUP(A208,ORCAMENTO!$A:$I,8,FALSE)</f>
        <v>1571.9099999999999</v>
      </c>
      <c r="I208" s="5">
        <f t="shared" si="58"/>
        <v>235.79</v>
      </c>
      <c r="J208" s="5">
        <f t="shared" si="59"/>
        <v>0</v>
      </c>
      <c r="K208" s="5">
        <v>0</v>
      </c>
      <c r="L208" s="25">
        <f t="shared" si="62"/>
        <v>0</v>
      </c>
      <c r="M208" s="5">
        <f t="shared" si="60"/>
        <v>235.79</v>
      </c>
      <c r="N208" s="5">
        <f t="shared" si="63"/>
        <v>0.15</v>
      </c>
      <c r="O208" s="25">
        <f t="shared" si="64"/>
        <v>1</v>
      </c>
      <c r="P208" s="5">
        <f t="shared" si="61"/>
        <v>0</v>
      </c>
      <c r="Q208" s="5">
        <v>0</v>
      </c>
      <c r="R208" s="25">
        <f t="shared" si="65"/>
        <v>0</v>
      </c>
      <c r="S208" s="5">
        <f t="shared" si="66"/>
        <v>235.79</v>
      </c>
      <c r="T208" s="25">
        <f t="shared" si="67"/>
        <v>1</v>
      </c>
      <c r="U208" s="25">
        <f t="shared" si="68"/>
        <v>3.2396782503082939E-4</v>
      </c>
    </row>
    <row r="209" spans="1:21" x14ac:dyDescent="0.3">
      <c r="A209" s="23" t="s">
        <v>298</v>
      </c>
      <c r="B209" s="23" t="str">
        <f>VLOOKUP(A209,MEMORIA!$A:$N,2,FALSE)</f>
        <v>COMPOS12</v>
      </c>
      <c r="C209" s="23" t="str">
        <f>VLOOKUP(A209,MEMORIA!$A:$N,3,FALSE)</f>
        <v>PRÓPRIA</v>
      </c>
      <c r="D209" s="24" t="str">
        <f>VLOOKUP(A209,MEMORIA!$A:$N,4,FALSE)</f>
        <v>DESENVOLVIMENTO COM BOMBA SUBMERSA</v>
      </c>
      <c r="E209" s="23" t="str">
        <f>VLOOKUP(A209,MEMORIA!$A:$N,5,FALSE)</f>
        <v>H</v>
      </c>
      <c r="F209" s="5">
        <f>VLOOKUP(A209,MEMORIA!$A:$N,14,FALSE)</f>
        <v>6</v>
      </c>
      <c r="G209" s="5">
        <f>VLOOKUP(A209,ORCAMENTO!$A:$I,7,FALSE)</f>
        <v>513.45000000000005</v>
      </c>
      <c r="H209" s="5">
        <f>VLOOKUP(A209,ORCAMENTO!$A:$I,8,FALSE)</f>
        <v>640.99</v>
      </c>
      <c r="I209" s="5">
        <f t="shared" si="58"/>
        <v>3845.94</v>
      </c>
      <c r="J209" s="5">
        <f t="shared" si="59"/>
        <v>0</v>
      </c>
      <c r="K209" s="5">
        <v>0</v>
      </c>
      <c r="L209" s="25">
        <f t="shared" si="62"/>
        <v>0</v>
      </c>
      <c r="M209" s="5">
        <f t="shared" si="60"/>
        <v>3845.94</v>
      </c>
      <c r="N209" s="5">
        <f t="shared" si="63"/>
        <v>6</v>
      </c>
      <c r="O209" s="25">
        <f t="shared" si="64"/>
        <v>1</v>
      </c>
      <c r="P209" s="5">
        <f t="shared" si="61"/>
        <v>0</v>
      </c>
      <c r="Q209" s="5">
        <v>0</v>
      </c>
      <c r="R209" s="25">
        <f t="shared" si="65"/>
        <v>0</v>
      </c>
      <c r="S209" s="5">
        <f t="shared" si="66"/>
        <v>3845.94</v>
      </c>
      <c r="T209" s="25">
        <f t="shared" si="67"/>
        <v>1</v>
      </c>
      <c r="U209" s="25">
        <f t="shared" si="68"/>
        <v>5.2841970270116126E-3</v>
      </c>
    </row>
    <row r="210" spans="1:21" x14ac:dyDescent="0.3">
      <c r="A210" s="23" t="s">
        <v>299</v>
      </c>
      <c r="B210" s="23" t="str">
        <f>VLOOKUP(A210,MEMORIA!$A:$N,2,FALSE)</f>
        <v>COMPOS13</v>
      </c>
      <c r="C210" s="23" t="str">
        <f>VLOOKUP(A210,MEMORIA!$A:$N,3,FALSE)</f>
        <v>PRÓPRIA</v>
      </c>
      <c r="D210" s="24" t="str">
        <f>VLOOKUP(A210,MEMORIA!$A:$N,4,FALSE)</f>
        <v>TESTE VAZÃO COM BOMBA SUBMERSA</v>
      </c>
      <c r="E210" s="23" t="str">
        <f>VLOOKUP(A210,MEMORIA!$A:$N,5,FALSE)</f>
        <v>H</v>
      </c>
      <c r="F210" s="5">
        <f>VLOOKUP(A210,MEMORIA!$A:$N,14,FALSE)</f>
        <v>24</v>
      </c>
      <c r="G210" s="5">
        <f>VLOOKUP(A210,ORCAMENTO!$A:$I,7,FALSE)</f>
        <v>95.539999999999992</v>
      </c>
      <c r="H210" s="5">
        <f>VLOOKUP(A210,ORCAMENTO!$A:$I,8,FALSE)</f>
        <v>119.27</v>
      </c>
      <c r="I210" s="5">
        <f t="shared" si="58"/>
        <v>2862.48</v>
      </c>
      <c r="J210" s="5">
        <f t="shared" si="59"/>
        <v>0</v>
      </c>
      <c r="K210" s="5">
        <v>0</v>
      </c>
      <c r="L210" s="25">
        <f t="shared" si="62"/>
        <v>0</v>
      </c>
      <c r="M210" s="5">
        <f t="shared" si="60"/>
        <v>2862.48</v>
      </c>
      <c r="N210" s="5">
        <f t="shared" si="63"/>
        <v>24</v>
      </c>
      <c r="O210" s="25">
        <f t="shared" si="64"/>
        <v>1</v>
      </c>
      <c r="P210" s="5">
        <f t="shared" si="61"/>
        <v>0</v>
      </c>
      <c r="Q210" s="5">
        <v>0</v>
      </c>
      <c r="R210" s="25">
        <f t="shared" si="65"/>
        <v>0</v>
      </c>
      <c r="S210" s="5">
        <f t="shared" si="66"/>
        <v>2862.48</v>
      </c>
      <c r="T210" s="25">
        <f t="shared" si="67"/>
        <v>1</v>
      </c>
      <c r="U210" s="25">
        <f t="shared" si="68"/>
        <v>3.932954831817501E-3</v>
      </c>
    </row>
    <row r="211" spans="1:21" x14ac:dyDescent="0.3">
      <c r="A211" s="23" t="s">
        <v>300</v>
      </c>
      <c r="B211" s="23" t="str">
        <f>VLOOKUP(A211,MEMORIA!$A:$N,2,FALSE)</f>
        <v>COMPOS14</v>
      </c>
      <c r="C211" s="23" t="str">
        <f>VLOOKUP(A211,MEMORIA!$A:$N,3,FALSE)</f>
        <v>PRÓPRIA</v>
      </c>
      <c r="D211" s="24" t="str">
        <f>VLOOKUP(A211,MEMORIA!$A:$N,4,FALSE)</f>
        <v>DESINFECÇÃO</v>
      </c>
      <c r="E211" s="23" t="str">
        <f>VLOOKUP(A211,MEMORIA!$A:$N,5,FALSE)</f>
        <v>H</v>
      </c>
      <c r="F211" s="5">
        <f>VLOOKUP(A211,MEMORIA!$A:$N,14,FALSE)</f>
        <v>6</v>
      </c>
      <c r="G211" s="5">
        <f>VLOOKUP(A211,ORCAMENTO!$A:$I,7,FALSE)</f>
        <v>100.11000000000003</v>
      </c>
      <c r="H211" s="5">
        <f>VLOOKUP(A211,ORCAMENTO!$A:$I,8,FALSE)</f>
        <v>124.98000000000003</v>
      </c>
      <c r="I211" s="5">
        <f t="shared" si="58"/>
        <v>749.88</v>
      </c>
      <c r="J211" s="5">
        <f t="shared" si="59"/>
        <v>0</v>
      </c>
      <c r="K211" s="5">
        <v>0</v>
      </c>
      <c r="L211" s="25">
        <f t="shared" si="62"/>
        <v>0</v>
      </c>
      <c r="M211" s="5">
        <f t="shared" si="60"/>
        <v>749.88</v>
      </c>
      <c r="N211" s="5">
        <f t="shared" si="63"/>
        <v>6</v>
      </c>
      <c r="O211" s="25">
        <f t="shared" si="64"/>
        <v>1</v>
      </c>
      <c r="P211" s="5">
        <f t="shared" si="61"/>
        <v>0</v>
      </c>
      <c r="Q211" s="5">
        <v>0</v>
      </c>
      <c r="R211" s="25">
        <f t="shared" si="65"/>
        <v>0</v>
      </c>
      <c r="S211" s="5">
        <f t="shared" si="66"/>
        <v>749.88</v>
      </c>
      <c r="T211" s="25">
        <f t="shared" si="67"/>
        <v>1</v>
      </c>
      <c r="U211" s="25">
        <f t="shared" si="68"/>
        <v>1.0303108386026478E-3</v>
      </c>
    </row>
    <row r="212" spans="1:21" x14ac:dyDescent="0.3">
      <c r="A212" s="23" t="s">
        <v>301</v>
      </c>
      <c r="B212" s="23" t="str">
        <f>VLOOKUP(A212,MEMORIA!$A:$N,2,FALSE)</f>
        <v>COMPOS15</v>
      </c>
      <c r="C212" s="23" t="str">
        <f>VLOOKUP(A212,MEMORIA!$A:$N,3,FALSE)</f>
        <v>PRÓPRIA</v>
      </c>
      <c r="D212" s="24" t="str">
        <f>VLOOKUP(A212,MEMORIA!$A:$N,4,FALSE)</f>
        <v>RELATÓRIO TÉCNICO</v>
      </c>
      <c r="E212" s="23" t="str">
        <f>VLOOKUP(A212,MEMORIA!$A:$N,5,FALSE)</f>
        <v>UN</v>
      </c>
      <c r="F212" s="5">
        <f>VLOOKUP(A212,MEMORIA!$A:$N,14,FALSE)</f>
        <v>1</v>
      </c>
      <c r="G212" s="5">
        <f>VLOOKUP(A212,ORCAMENTO!$A:$I,7,FALSE)</f>
        <v>1110.2</v>
      </c>
      <c r="H212" s="5">
        <f>VLOOKUP(A212,ORCAMENTO!$A:$I,8,FALSE)</f>
        <v>1385.97</v>
      </c>
      <c r="I212" s="5">
        <f t="shared" si="58"/>
        <v>1385.97</v>
      </c>
      <c r="J212" s="5">
        <f t="shared" si="59"/>
        <v>0</v>
      </c>
      <c r="K212" s="5">
        <v>0</v>
      </c>
      <c r="L212" s="25">
        <f t="shared" si="62"/>
        <v>0</v>
      </c>
      <c r="M212" s="5">
        <f t="shared" si="60"/>
        <v>1385.97</v>
      </c>
      <c r="N212" s="5">
        <f t="shared" si="63"/>
        <v>1</v>
      </c>
      <c r="O212" s="25">
        <f t="shared" si="64"/>
        <v>1</v>
      </c>
      <c r="P212" s="5">
        <f t="shared" si="61"/>
        <v>0</v>
      </c>
      <c r="Q212" s="5">
        <v>0</v>
      </c>
      <c r="R212" s="25">
        <f t="shared" si="65"/>
        <v>0</v>
      </c>
      <c r="S212" s="5">
        <f t="shared" si="66"/>
        <v>1385.97</v>
      </c>
      <c r="T212" s="25">
        <f t="shared" si="67"/>
        <v>1</v>
      </c>
      <c r="U212" s="25">
        <f t="shared" si="68"/>
        <v>1.9042779017684323E-3</v>
      </c>
    </row>
    <row r="213" spans="1:21" x14ac:dyDescent="0.3">
      <c r="A213" s="23" t="s">
        <v>302</v>
      </c>
      <c r="B213" s="23" t="str">
        <f>VLOOKUP(A213,MEMORIA!$A:$N,2,FALSE)</f>
        <v>COMPOS16</v>
      </c>
      <c r="C213" s="23" t="str">
        <f>VLOOKUP(A213,MEMORIA!$A:$N,3,FALSE)</f>
        <v>PRÓPRIA</v>
      </c>
      <c r="D213" s="24" t="str">
        <f>VLOOKUP(A213,MEMORIA!$A:$N,4,FALSE)</f>
        <v>ANÁLISE FÍSICO-QUÍMICA DA ÁGUA</v>
      </c>
      <c r="E213" s="23" t="str">
        <f>VLOOKUP(A213,MEMORIA!$A:$N,5,FALSE)</f>
        <v>UN</v>
      </c>
      <c r="F213" s="5">
        <f>VLOOKUP(A213,MEMORIA!$A:$N,14,FALSE)</f>
        <v>1</v>
      </c>
      <c r="G213" s="5">
        <f>VLOOKUP(A213,ORCAMENTO!$A:$I,7,FALSE)</f>
        <v>565.21</v>
      </c>
      <c r="H213" s="5">
        <f>VLOOKUP(A213,ORCAMENTO!$A:$I,8,FALSE)</f>
        <v>705.61</v>
      </c>
      <c r="I213" s="5">
        <f t="shared" si="58"/>
        <v>705.61</v>
      </c>
      <c r="J213" s="5">
        <f t="shared" si="59"/>
        <v>0</v>
      </c>
      <c r="K213" s="5">
        <v>0</v>
      </c>
      <c r="L213" s="25">
        <f t="shared" si="62"/>
        <v>0</v>
      </c>
      <c r="M213" s="5">
        <f t="shared" si="60"/>
        <v>705.61</v>
      </c>
      <c r="N213" s="5">
        <f t="shared" si="63"/>
        <v>1</v>
      </c>
      <c r="O213" s="25">
        <f t="shared" si="64"/>
        <v>1</v>
      </c>
      <c r="P213" s="5">
        <f t="shared" si="61"/>
        <v>0</v>
      </c>
      <c r="Q213" s="5">
        <v>0</v>
      </c>
      <c r="R213" s="25">
        <f t="shared" si="65"/>
        <v>0</v>
      </c>
      <c r="S213" s="5">
        <f t="shared" si="66"/>
        <v>705.61</v>
      </c>
      <c r="T213" s="25">
        <f t="shared" si="67"/>
        <v>1</v>
      </c>
      <c r="U213" s="25">
        <f t="shared" si="68"/>
        <v>9.6948529208195234E-4</v>
      </c>
    </row>
    <row r="214" spans="1:21" x14ac:dyDescent="0.3">
      <c r="A214" s="23" t="s">
        <v>303</v>
      </c>
      <c r="B214" s="23" t="str">
        <f>VLOOKUP(A214,MEMORIA!$A:$N,2,FALSE)</f>
        <v>COMPOS1</v>
      </c>
      <c r="C214" s="23" t="str">
        <f>VLOOKUP(A214,MEMORIA!$A:$N,3,FALSE)</f>
        <v>PRÓPRIA</v>
      </c>
      <c r="D214" s="24" t="str">
        <f>VLOOKUP(A214,MEMORIA!$A:$N,4,FALSE)</f>
        <v>FORNECIMENTO E INSTALAÇÃO DE REVESTIMENTO GEOMECÂNICO STANDART DN-154-S</v>
      </c>
      <c r="E214" s="23" t="str">
        <f>VLOOKUP(A214,MEMORIA!$A:$N,5,FALSE)</f>
        <v>M</v>
      </c>
      <c r="F214" s="5">
        <f>VLOOKUP(A214,MEMORIA!$A:$N,14,FALSE)</f>
        <v>36</v>
      </c>
      <c r="G214" s="5">
        <f>VLOOKUP(A214,ORCAMENTO!$A:$I,7,FALSE)</f>
        <v>170.76</v>
      </c>
      <c r="H214" s="5">
        <f>VLOOKUP(A214,ORCAMENTO!$A:$I,8,FALSE)</f>
        <v>213.18</v>
      </c>
      <c r="I214" s="5">
        <f t="shared" si="58"/>
        <v>7674.48</v>
      </c>
      <c r="J214" s="5">
        <f t="shared" si="59"/>
        <v>0</v>
      </c>
      <c r="K214" s="5">
        <v>0</v>
      </c>
      <c r="L214" s="25">
        <f t="shared" si="62"/>
        <v>0</v>
      </c>
      <c r="M214" s="5">
        <f t="shared" si="60"/>
        <v>7674.48</v>
      </c>
      <c r="N214" s="5">
        <f t="shared" si="63"/>
        <v>36</v>
      </c>
      <c r="O214" s="25">
        <f t="shared" si="64"/>
        <v>1</v>
      </c>
      <c r="P214" s="5">
        <f t="shared" si="61"/>
        <v>0</v>
      </c>
      <c r="Q214" s="5">
        <v>0</v>
      </c>
      <c r="R214" s="25">
        <f t="shared" si="65"/>
        <v>0</v>
      </c>
      <c r="S214" s="5">
        <f t="shared" si="66"/>
        <v>7674.48</v>
      </c>
      <c r="T214" s="25">
        <f t="shared" si="67"/>
        <v>1</v>
      </c>
      <c r="U214" s="25">
        <f t="shared" si="68"/>
        <v>1.0544487017441789E-2</v>
      </c>
    </row>
    <row r="215" spans="1:21" x14ac:dyDescent="0.3">
      <c r="A215" s="23" t="s">
        <v>304</v>
      </c>
      <c r="B215" s="23" t="str">
        <f>VLOOKUP(A215,MEMORIA!$A:$N,2,FALSE)</f>
        <v>COMPOS2</v>
      </c>
      <c r="C215" s="23" t="str">
        <f>VLOOKUP(A215,MEMORIA!$A:$N,3,FALSE)</f>
        <v>PRÓPRIA</v>
      </c>
      <c r="D215" s="24" t="str">
        <f>VLOOKUP(A215,MEMORIA!$A:$N,4,FALSE)</f>
        <v>FORNECIMENTO E INSTALAÇÃO DE TAMPA PARA POÇO</v>
      </c>
      <c r="E215" s="23" t="str">
        <f>VLOOKUP(A215,MEMORIA!$A:$N,5,FALSE)</f>
        <v>UN</v>
      </c>
      <c r="F215" s="5">
        <f>VLOOKUP(A215,MEMORIA!$A:$N,14,FALSE)</f>
        <v>1</v>
      </c>
      <c r="G215" s="5">
        <f>VLOOKUP(A215,ORCAMENTO!$A:$I,7,FALSE)</f>
        <v>109.94</v>
      </c>
      <c r="H215" s="5">
        <f>VLOOKUP(A215,ORCAMENTO!$A:$I,8,FALSE)</f>
        <v>137.25</v>
      </c>
      <c r="I215" s="5">
        <f t="shared" si="58"/>
        <v>137.25</v>
      </c>
      <c r="J215" s="5">
        <f t="shared" si="59"/>
        <v>0</v>
      </c>
      <c r="K215" s="5">
        <v>0</v>
      </c>
      <c r="L215" s="25">
        <f t="shared" si="62"/>
        <v>0</v>
      </c>
      <c r="M215" s="5">
        <f t="shared" si="60"/>
        <v>137.25</v>
      </c>
      <c r="N215" s="5">
        <f t="shared" si="63"/>
        <v>1</v>
      </c>
      <c r="O215" s="25">
        <f t="shared" si="64"/>
        <v>1</v>
      </c>
      <c r="P215" s="5">
        <f t="shared" si="61"/>
        <v>0</v>
      </c>
      <c r="Q215" s="5">
        <v>0</v>
      </c>
      <c r="R215" s="25">
        <f t="shared" si="65"/>
        <v>0</v>
      </c>
      <c r="S215" s="5">
        <f t="shared" si="66"/>
        <v>137.25</v>
      </c>
      <c r="T215" s="25">
        <f t="shared" si="67"/>
        <v>1</v>
      </c>
      <c r="U215" s="25">
        <f t="shared" si="68"/>
        <v>1.8857705579321149E-4</v>
      </c>
    </row>
    <row r="216" spans="1:21" x14ac:dyDescent="0.3">
      <c r="A216" s="12" t="s">
        <v>66</v>
      </c>
      <c r="B216" s="46" t="str">
        <f>VLOOKUP(A216,MEMORIA!$A:$N,2,FALSE)</f>
        <v>AQUISIÇÃO E INSTALAÇÃO DE EQUIPAMENTOS DE BOMBEAMENTO, RECALQUE/BARRILETE E CONEXÕES PARA INTERLIGAÇÃO COM RESERVATÓRIO</v>
      </c>
      <c r="C216" s="47"/>
      <c r="D216" s="47"/>
      <c r="E216" s="47"/>
      <c r="F216" s="47"/>
      <c r="G216" s="47"/>
      <c r="H216" s="48"/>
      <c r="I216" s="13">
        <f>SUM(I$217:I$222)</f>
        <v>19625.579999999998</v>
      </c>
      <c r="J216" s="13">
        <f>SUM(J$217:J$222)</f>
        <v>0</v>
      </c>
      <c r="K216" s="13"/>
      <c r="L216" s="14">
        <f t="shared" si="62"/>
        <v>0</v>
      </c>
      <c r="M216" s="13">
        <f>SUM(M$217:M$222)</f>
        <v>19625.579999999998</v>
      </c>
      <c r="N216" s="13"/>
      <c r="O216" s="14">
        <f t="shared" si="64"/>
        <v>1</v>
      </c>
      <c r="P216" s="13">
        <f>SUM(P$217:P$222)</f>
        <v>0</v>
      </c>
      <c r="Q216" s="13"/>
      <c r="R216" s="14">
        <f t="shared" si="65"/>
        <v>0</v>
      </c>
      <c r="S216" s="13">
        <f t="shared" si="66"/>
        <v>19625.579999999998</v>
      </c>
      <c r="T216" s="14">
        <f t="shared" si="67"/>
        <v>1</v>
      </c>
      <c r="U216" s="14">
        <f t="shared" si="68"/>
        <v>2.6964911436314281E-2</v>
      </c>
    </row>
    <row r="217" spans="1:21" ht="28.8" x14ac:dyDescent="0.3">
      <c r="A217" s="23" t="s">
        <v>305</v>
      </c>
      <c r="B217" s="23" t="str">
        <f>VLOOKUP(A217,MEMORIA!$A:$N,2,FALSE)</f>
        <v>COMPOS17</v>
      </c>
      <c r="C217" s="23" t="str">
        <f>VLOOKUP(A217,MEMORIA!$A:$N,3,FALSE)</f>
        <v>PRÓPRIA</v>
      </c>
      <c r="D217" s="24" t="str">
        <f>VLOOKUP(A217,MEMORIA!$A:$N,4,FALSE)</f>
        <v>FORNECIMENTO E INSTALAÇÃO DE BOMBA SUBMERSA DE 3CV, MONOFÁSICA, 220 V, LEÃO OU SIMILAR</v>
      </c>
      <c r="E217" s="23" t="str">
        <f>VLOOKUP(A217,MEMORIA!$A:$N,5,FALSE)</f>
        <v>UN</v>
      </c>
      <c r="F217" s="5">
        <f>VLOOKUP(A217,MEMORIA!$A:$N,14,FALSE)</f>
        <v>1</v>
      </c>
      <c r="G217" s="5">
        <f>VLOOKUP(A217,ORCAMENTO!$A:$I,7,FALSE)</f>
        <v>3515.68</v>
      </c>
      <c r="H217" s="5">
        <f>VLOOKUP(A217,ORCAMENTO!$A:$I,8,FALSE)</f>
        <v>4388.9699999999993</v>
      </c>
      <c r="I217" s="5">
        <f t="shared" ref="I217:I222" si="69">ROUND(F217*H217,2)</f>
        <v>4388.97</v>
      </c>
      <c r="J217" s="5">
        <f t="shared" ref="J217:J222" si="70">ROUND(K217*$H217,2)</f>
        <v>0</v>
      </c>
      <c r="K217" s="5">
        <v>0</v>
      </c>
      <c r="L217" s="25">
        <f t="shared" si="62"/>
        <v>0</v>
      </c>
      <c r="M217" s="5">
        <f t="shared" ref="M217:M222" si="71">ROUND(N217*$H217,2)</f>
        <v>4388.97</v>
      </c>
      <c r="N217" s="5">
        <f t="shared" si="63"/>
        <v>1</v>
      </c>
      <c r="O217" s="25">
        <f t="shared" si="64"/>
        <v>1</v>
      </c>
      <c r="P217" s="5">
        <f t="shared" ref="P217:P222" si="72">ROUND(Q217*$H217,2)</f>
        <v>0</v>
      </c>
      <c r="Q217" s="5">
        <v>0</v>
      </c>
      <c r="R217" s="25">
        <f t="shared" si="65"/>
        <v>0</v>
      </c>
      <c r="S217" s="5">
        <f t="shared" si="66"/>
        <v>4388.97</v>
      </c>
      <c r="T217" s="25">
        <f t="shared" si="67"/>
        <v>1</v>
      </c>
      <c r="U217" s="25">
        <f t="shared" si="68"/>
        <v>6.0303026634953112E-3</v>
      </c>
    </row>
    <row r="218" spans="1:21" ht="28.8" x14ac:dyDescent="0.3">
      <c r="A218" s="23" t="s">
        <v>306</v>
      </c>
      <c r="B218" s="23" t="str">
        <f>VLOOKUP(A218,MEMORIA!$A:$N,2,FALSE)</f>
        <v>COMPOS29</v>
      </c>
      <c r="C218" s="23" t="str">
        <f>VLOOKUP(A218,MEMORIA!$A:$N,3,FALSE)</f>
        <v>PRÓPRIA</v>
      </c>
      <c r="D218" s="24" t="str">
        <f>VLOOKUP(A218,MEMORIA!$A:$N,4,FALSE)</f>
        <v>FORNECIMENTO E INSTALAÇÃO DE PAINEL DE COMANDO ELÉTRICO PARA BOMBA 3CV, MONOFÁSICO</v>
      </c>
      <c r="E218" s="23" t="str">
        <f>VLOOKUP(A218,MEMORIA!$A:$N,5,FALSE)</f>
        <v>UN</v>
      </c>
      <c r="F218" s="5">
        <f>VLOOKUP(A218,MEMORIA!$A:$N,14,FALSE)</f>
        <v>1</v>
      </c>
      <c r="G218" s="5">
        <f>VLOOKUP(A218,ORCAMENTO!$A:$I,7,FALSE)</f>
        <v>773.3</v>
      </c>
      <c r="H218" s="5">
        <f>VLOOKUP(A218,ORCAMENTO!$A:$I,8,FALSE)</f>
        <v>965.39</v>
      </c>
      <c r="I218" s="5">
        <f t="shared" si="69"/>
        <v>965.39</v>
      </c>
      <c r="J218" s="5">
        <f t="shared" si="70"/>
        <v>0</v>
      </c>
      <c r="K218" s="5">
        <v>0</v>
      </c>
      <c r="L218" s="25">
        <f t="shared" si="62"/>
        <v>0</v>
      </c>
      <c r="M218" s="5">
        <f t="shared" si="71"/>
        <v>965.39</v>
      </c>
      <c r="N218" s="5">
        <f t="shared" si="63"/>
        <v>1</v>
      </c>
      <c r="O218" s="25">
        <f t="shared" si="64"/>
        <v>1</v>
      </c>
      <c r="P218" s="5">
        <f t="shared" si="72"/>
        <v>0</v>
      </c>
      <c r="Q218" s="5">
        <v>0</v>
      </c>
      <c r="R218" s="25">
        <f t="shared" si="65"/>
        <v>0</v>
      </c>
      <c r="S218" s="5">
        <f t="shared" si="66"/>
        <v>965.39</v>
      </c>
      <c r="T218" s="25">
        <f t="shared" si="67"/>
        <v>1</v>
      </c>
      <c r="U218" s="25">
        <f t="shared" si="68"/>
        <v>1.3264146003075295E-3</v>
      </c>
    </row>
    <row r="219" spans="1:21" x14ac:dyDescent="0.3">
      <c r="A219" s="23" t="s">
        <v>307</v>
      </c>
      <c r="B219" s="23" t="str">
        <f>VLOOKUP(A219,MEMORIA!$A:$N,2,FALSE)</f>
        <v>COMPOS19</v>
      </c>
      <c r="C219" s="23" t="str">
        <f>VLOOKUP(A219,MEMORIA!$A:$N,3,FALSE)</f>
        <v>PRÓPRIA</v>
      </c>
      <c r="D219" s="24" t="str">
        <f>VLOOKUP(A219,MEMORIA!$A:$N,4,FALSE)</f>
        <v>FORNECIMENTO E INSTALAÇÃO DE TUBO EDUTOR DE PVC DE 1.1/2'' COM LUVA</v>
      </c>
      <c r="E219" s="23" t="str">
        <f>VLOOKUP(A219,MEMORIA!$A:$N,5,FALSE)</f>
        <v>M</v>
      </c>
      <c r="F219" s="5">
        <f>VLOOKUP(A219,MEMORIA!$A:$N,14,FALSE)</f>
        <v>110</v>
      </c>
      <c r="G219" s="5">
        <f>VLOOKUP(A219,ORCAMENTO!$A:$I,7,FALSE)</f>
        <v>46.25</v>
      </c>
      <c r="H219" s="5">
        <f>VLOOKUP(A219,ORCAMENTO!$A:$I,8,FALSE)</f>
        <v>57.74</v>
      </c>
      <c r="I219" s="5">
        <f t="shared" si="69"/>
        <v>6351.4</v>
      </c>
      <c r="J219" s="5">
        <f t="shared" si="70"/>
        <v>0</v>
      </c>
      <c r="K219" s="5">
        <v>0</v>
      </c>
      <c r="L219" s="25">
        <f t="shared" si="62"/>
        <v>0</v>
      </c>
      <c r="M219" s="5">
        <f t="shared" si="71"/>
        <v>6351.4</v>
      </c>
      <c r="N219" s="5">
        <f t="shared" si="63"/>
        <v>110</v>
      </c>
      <c r="O219" s="25">
        <f t="shared" si="64"/>
        <v>1</v>
      </c>
      <c r="P219" s="5">
        <f t="shared" si="72"/>
        <v>0</v>
      </c>
      <c r="Q219" s="5">
        <v>0</v>
      </c>
      <c r="R219" s="25">
        <f t="shared" si="65"/>
        <v>0</v>
      </c>
      <c r="S219" s="5">
        <f t="shared" si="66"/>
        <v>6351.4</v>
      </c>
      <c r="T219" s="25">
        <f t="shared" si="67"/>
        <v>1</v>
      </c>
      <c r="U219" s="25">
        <f t="shared" si="68"/>
        <v>8.726617939271427E-3</v>
      </c>
    </row>
    <row r="220" spans="1:21" x14ac:dyDescent="0.3">
      <c r="A220" s="23" t="s">
        <v>308</v>
      </c>
      <c r="B220" s="23" t="str">
        <f>VLOOKUP(A220,MEMORIA!$A:$N,2,FALSE)</f>
        <v>COMPOS24</v>
      </c>
      <c r="C220" s="23" t="str">
        <f>VLOOKUP(A220,MEMORIA!$A:$N,3,FALSE)</f>
        <v>PRÓPRIA</v>
      </c>
      <c r="D220" s="24" t="str">
        <f>VLOOKUP(A220,MEMORIA!$A:$N,4,FALSE)</f>
        <v>FORNECIMENTO E INSTALAÇÃO DE CABO CHATO SUBMERSO DE 3 X 6 MM²</v>
      </c>
      <c r="E220" s="23" t="str">
        <f>VLOOKUP(A220,MEMORIA!$A:$N,5,FALSE)</f>
        <v>M</v>
      </c>
      <c r="F220" s="5">
        <f>VLOOKUP(A220,MEMORIA!$A:$N,14,FALSE)</f>
        <v>120</v>
      </c>
      <c r="G220" s="5">
        <f>VLOOKUP(A220,ORCAMENTO!$A:$I,7,FALSE)</f>
        <v>25.98</v>
      </c>
      <c r="H220" s="5">
        <f>VLOOKUP(A220,ORCAMENTO!$A:$I,8,FALSE)</f>
        <v>32.43</v>
      </c>
      <c r="I220" s="5">
        <f t="shared" si="69"/>
        <v>3891.6</v>
      </c>
      <c r="J220" s="5">
        <f t="shared" si="70"/>
        <v>0</v>
      </c>
      <c r="K220" s="5">
        <v>0</v>
      </c>
      <c r="L220" s="25">
        <f t="shared" si="62"/>
        <v>0</v>
      </c>
      <c r="M220" s="5">
        <f t="shared" si="71"/>
        <v>3891.6</v>
      </c>
      <c r="N220" s="5">
        <f t="shared" si="63"/>
        <v>120</v>
      </c>
      <c r="O220" s="25">
        <f t="shared" si="64"/>
        <v>1</v>
      </c>
      <c r="P220" s="5">
        <f t="shared" si="72"/>
        <v>0</v>
      </c>
      <c r="Q220" s="5">
        <v>0</v>
      </c>
      <c r="R220" s="25">
        <f t="shared" si="65"/>
        <v>0</v>
      </c>
      <c r="S220" s="5">
        <f t="shared" si="66"/>
        <v>3891.6</v>
      </c>
      <c r="T220" s="25">
        <f t="shared" si="67"/>
        <v>1</v>
      </c>
      <c r="U220" s="25">
        <f t="shared" si="68"/>
        <v>5.3469323885235835E-3</v>
      </c>
    </row>
    <row r="221" spans="1:21" x14ac:dyDescent="0.3">
      <c r="A221" s="23" t="s">
        <v>309</v>
      </c>
      <c r="B221" s="23" t="str">
        <f>VLOOKUP(A221,MEMORIA!$A:$N,2,FALSE)</f>
        <v>COMPOS21</v>
      </c>
      <c r="C221" s="23" t="str">
        <f>VLOOKUP(A221,MEMORIA!$A:$N,3,FALSE)</f>
        <v>PRÓPRIA</v>
      </c>
      <c r="D221" s="24" t="str">
        <f>VLOOKUP(A221,MEMORIA!$A:$N,4,FALSE)</f>
        <v>BARRILETE (CURVAS E CONEXÕES)</v>
      </c>
      <c r="E221" s="23" t="str">
        <f>VLOOKUP(A221,MEMORIA!$A:$N,5,FALSE)</f>
        <v>UN</v>
      </c>
      <c r="F221" s="5">
        <f>VLOOKUP(A221,MEMORIA!$A:$N,14,FALSE)</f>
        <v>1</v>
      </c>
      <c r="G221" s="5">
        <f>VLOOKUP(A221,ORCAMENTO!$A:$I,7,FALSE)</f>
        <v>2135.96</v>
      </c>
      <c r="H221" s="5">
        <f>VLOOKUP(A221,ORCAMENTO!$A:$I,8,FALSE)</f>
        <v>2666.53</v>
      </c>
      <c r="I221" s="5">
        <f t="shared" si="69"/>
        <v>2666.53</v>
      </c>
      <c r="J221" s="5">
        <f t="shared" si="70"/>
        <v>0</v>
      </c>
      <c r="K221" s="5">
        <v>0</v>
      </c>
      <c r="L221" s="25">
        <f t="shared" si="62"/>
        <v>0</v>
      </c>
      <c r="M221" s="5">
        <f t="shared" si="71"/>
        <v>2666.53</v>
      </c>
      <c r="N221" s="5">
        <f t="shared" si="63"/>
        <v>1</v>
      </c>
      <c r="O221" s="25">
        <f t="shared" si="64"/>
        <v>1</v>
      </c>
      <c r="P221" s="5">
        <f t="shared" si="72"/>
        <v>0</v>
      </c>
      <c r="Q221" s="5">
        <v>0</v>
      </c>
      <c r="R221" s="25">
        <f t="shared" si="65"/>
        <v>0</v>
      </c>
      <c r="S221" s="5">
        <f t="shared" si="66"/>
        <v>2666.53</v>
      </c>
      <c r="T221" s="25">
        <f t="shared" si="67"/>
        <v>1</v>
      </c>
      <c r="U221" s="25">
        <f t="shared" si="68"/>
        <v>3.6637258767524389E-3</v>
      </c>
    </row>
    <row r="222" spans="1:21" x14ac:dyDescent="0.3">
      <c r="A222" s="23" t="s">
        <v>310</v>
      </c>
      <c r="B222" s="23" t="str">
        <f>VLOOKUP(A222,MEMORIA!$A:$N,2,FALSE)</f>
        <v>COMPOS26</v>
      </c>
      <c r="C222" s="23" t="str">
        <f>VLOOKUP(A222,MEMORIA!$A:$N,3,FALSE)</f>
        <v>PRÓPRIA</v>
      </c>
      <c r="D222" s="24" t="str">
        <f>VLOOKUP(A222,MEMORIA!$A:$N,4,FALSE)</f>
        <v>AQUISIÇÃO E INSTALAÇÃO DE DOSADOR DE CLORO</v>
      </c>
      <c r="E222" s="23" t="str">
        <f>VLOOKUP(A222,MEMORIA!$A:$N,5,FALSE)</f>
        <v>UND</v>
      </c>
      <c r="F222" s="5">
        <f>VLOOKUP(A222,MEMORIA!$A:$N,14,FALSE)</f>
        <v>1</v>
      </c>
      <c r="G222" s="5">
        <f>VLOOKUP(A222,ORCAMENTO!$A:$I,7,FALSE)</f>
        <v>1090.75</v>
      </c>
      <c r="H222" s="5">
        <f>VLOOKUP(A222,ORCAMENTO!$A:$I,8,FALSE)</f>
        <v>1361.69</v>
      </c>
      <c r="I222" s="5">
        <f t="shared" si="69"/>
        <v>1361.69</v>
      </c>
      <c r="J222" s="5">
        <f t="shared" si="70"/>
        <v>0</v>
      </c>
      <c r="K222" s="5">
        <v>0</v>
      </c>
      <c r="L222" s="25">
        <f t="shared" si="62"/>
        <v>0</v>
      </c>
      <c r="M222" s="5">
        <f t="shared" si="71"/>
        <v>1361.69</v>
      </c>
      <c r="N222" s="5">
        <f t="shared" si="63"/>
        <v>1</v>
      </c>
      <c r="O222" s="25">
        <f t="shared" si="64"/>
        <v>1</v>
      </c>
      <c r="P222" s="5">
        <f t="shared" si="72"/>
        <v>0</v>
      </c>
      <c r="Q222" s="5">
        <v>0</v>
      </c>
      <c r="R222" s="25">
        <f t="shared" si="65"/>
        <v>0</v>
      </c>
      <c r="S222" s="5">
        <f t="shared" si="66"/>
        <v>1361.69</v>
      </c>
      <c r="T222" s="25">
        <f t="shared" si="67"/>
        <v>1</v>
      </c>
      <c r="U222" s="25">
        <f t="shared" si="68"/>
        <v>1.8709179679639938E-3</v>
      </c>
    </row>
    <row r="223" spans="1:21" x14ac:dyDescent="0.3">
      <c r="A223" s="12" t="s">
        <v>67</v>
      </c>
      <c r="B223" s="46" t="str">
        <f>VLOOKUP(A223,MEMORIA!$A:$N,2,FALSE)</f>
        <v>CONSTRUÇÃO DA CASA DE COMANDO</v>
      </c>
      <c r="C223" s="47"/>
      <c r="D223" s="47"/>
      <c r="E223" s="47"/>
      <c r="F223" s="47"/>
      <c r="G223" s="47"/>
      <c r="H223" s="48"/>
      <c r="I223" s="13">
        <f>SUM(I$224,I$227,I$229,I$233,I$236,I$239,I$242,I$246,I$249,I$252,I$255,)</f>
        <v>25565.510000000002</v>
      </c>
      <c r="J223" s="13">
        <f>SUM(J$224,J$227,J$229,J$233,J$236,J$239,J$242,J$246,J$249,J$252,J$255,)</f>
        <v>0</v>
      </c>
      <c r="K223" s="13"/>
      <c r="L223" s="14">
        <f t="shared" si="62"/>
        <v>0</v>
      </c>
      <c r="M223" s="13">
        <f>SUM(M$224,M$227,M$229,M$233,M$236,M$239,M$242,M$246,M$249,M$252,M$255,)</f>
        <v>25565.510000000002</v>
      </c>
      <c r="N223" s="13"/>
      <c r="O223" s="14">
        <f t="shared" si="64"/>
        <v>1</v>
      </c>
      <c r="P223" s="13">
        <f>SUM(P$224,P$227,P$229,P$233,P$236,P$239,P$242,P$246,P$249,P$252,P$255,)</f>
        <v>0</v>
      </c>
      <c r="Q223" s="13"/>
      <c r="R223" s="14">
        <f t="shared" si="65"/>
        <v>0</v>
      </c>
      <c r="S223" s="13">
        <f t="shared" si="66"/>
        <v>25565.510000000002</v>
      </c>
      <c r="T223" s="14">
        <f t="shared" si="67"/>
        <v>1</v>
      </c>
      <c r="U223" s="14">
        <f t="shared" si="68"/>
        <v>3.5126182919139576E-2</v>
      </c>
    </row>
    <row r="224" spans="1:21" x14ac:dyDescent="0.3">
      <c r="A224" s="15" t="s">
        <v>68</v>
      </c>
      <c r="B224" s="49" t="str">
        <f>VLOOKUP(A224,MEMORIA!$A:$N,2,FALSE)</f>
        <v>SERVIÇOS PRELIMINARES</v>
      </c>
      <c r="C224" s="50"/>
      <c r="D224" s="50"/>
      <c r="E224" s="50"/>
      <c r="F224" s="50"/>
      <c r="G224" s="50"/>
      <c r="H224" s="51"/>
      <c r="I224" s="16">
        <f>SUM(I$225:I$226)</f>
        <v>3887.12</v>
      </c>
      <c r="J224" s="16">
        <f>SUM(J$225:J$226)</f>
        <v>0</v>
      </c>
      <c r="K224" s="16"/>
      <c r="L224" s="17">
        <f t="shared" si="62"/>
        <v>0</v>
      </c>
      <c r="M224" s="16">
        <f>SUM(M$225:M$226)</f>
        <v>3887.12</v>
      </c>
      <c r="N224" s="16"/>
      <c r="O224" s="17">
        <f t="shared" si="64"/>
        <v>1</v>
      </c>
      <c r="P224" s="16">
        <f>SUM(P$225:P$226)</f>
        <v>0</v>
      </c>
      <c r="Q224" s="16"/>
      <c r="R224" s="17">
        <f t="shared" si="65"/>
        <v>0</v>
      </c>
      <c r="S224" s="16">
        <f t="shared" si="66"/>
        <v>3887.12</v>
      </c>
      <c r="T224" s="17">
        <f t="shared" si="67"/>
        <v>1</v>
      </c>
      <c r="U224" s="17">
        <f t="shared" si="68"/>
        <v>5.3407770135876732E-3</v>
      </c>
    </row>
    <row r="225" spans="1:21" x14ac:dyDescent="0.3">
      <c r="A225" s="23" t="s">
        <v>311</v>
      </c>
      <c r="B225" s="23">
        <f>VLOOKUP(A225,MEMORIA!$A:$N,2,FALSE)</f>
        <v>98524</v>
      </c>
      <c r="C225" s="23" t="str">
        <f>VLOOKUP(A225,MEMORIA!$A:$N,3,FALSE)</f>
        <v>SINAPI</v>
      </c>
      <c r="D225" s="24" t="str">
        <f>VLOOKUP(A225,MEMORIA!$A:$N,4,FALSE)</f>
        <v>LIMPEZA MANUAL DE VEGETAÇÃO EM TERRENO COM ENXADA. AF_03/2024</v>
      </c>
      <c r="E225" s="23" t="str">
        <f>VLOOKUP(A225,MEMORIA!$A:$N,5,FALSE)</f>
        <v>M2</v>
      </c>
      <c r="F225" s="5">
        <f>VLOOKUP(A225,MEMORIA!$A:$N,14,FALSE)</f>
        <v>100</v>
      </c>
      <c r="G225" s="5">
        <f>VLOOKUP(A225,ORCAMENTO!$A:$I,7,FALSE)</f>
        <v>4.62</v>
      </c>
      <c r="H225" s="5">
        <f>VLOOKUP(A225,ORCAMENTO!$A:$I,8,FALSE)</f>
        <v>5.77</v>
      </c>
      <c r="I225" s="5">
        <f>ROUND(F225*H225,2)</f>
        <v>577</v>
      </c>
      <c r="J225" s="5">
        <f>ROUND(K225*$H225,2)</f>
        <v>0</v>
      </c>
      <c r="K225" s="5">
        <v>0</v>
      </c>
      <c r="L225" s="25">
        <f t="shared" si="62"/>
        <v>0</v>
      </c>
      <c r="M225" s="5">
        <f>ROUND(N225*$H225,2)</f>
        <v>577</v>
      </c>
      <c r="N225" s="5">
        <f t="shared" ref="N225:N265" si="73">F225</f>
        <v>100</v>
      </c>
      <c r="O225" s="25">
        <f t="shared" si="64"/>
        <v>1</v>
      </c>
      <c r="P225" s="5">
        <f>ROUND(Q225*$H225,2)</f>
        <v>0</v>
      </c>
      <c r="Q225" s="5">
        <v>0</v>
      </c>
      <c r="R225" s="25">
        <f t="shared" si="65"/>
        <v>0</v>
      </c>
      <c r="S225" s="5">
        <f t="shared" si="66"/>
        <v>577</v>
      </c>
      <c r="T225" s="25">
        <f t="shared" si="67"/>
        <v>1</v>
      </c>
      <c r="U225" s="25">
        <f t="shared" si="68"/>
        <v>7.9277931652228068E-4</v>
      </c>
    </row>
    <row r="226" spans="1:21" ht="28.8" x14ac:dyDescent="0.3">
      <c r="A226" s="23" t="s">
        <v>312</v>
      </c>
      <c r="B226" s="23">
        <f>VLOOKUP(A226,MEMORIA!$A:$N,2,FALSE)</f>
        <v>99059</v>
      </c>
      <c r="C226" s="23" t="str">
        <f>VLOOKUP(A226,MEMORIA!$A:$N,3,FALSE)</f>
        <v>SINAPI</v>
      </c>
      <c r="D226" s="24" t="str">
        <f>VLOOKUP(A226,MEMORIA!$A:$N,4,FALSE)</f>
        <v>LOCAÇÃO CONVENCIONAL DE OBRA, UTILIZANDO GABARITO DE TÁBUAS CORRIDAS PONTALETADAS A CADA 2,00M - 2 UTILIZAÇÕES. AF_03/2024</v>
      </c>
      <c r="E226" s="23" t="str">
        <f>VLOOKUP(A226,MEMORIA!$A:$N,5,FALSE)</f>
        <v>M</v>
      </c>
      <c r="F226" s="5">
        <f>VLOOKUP(A226,MEMORIA!$A:$N,14,FALSE)</f>
        <v>44</v>
      </c>
      <c r="G226" s="5">
        <f>VLOOKUP(A226,ORCAMENTO!$A:$I,7,FALSE)</f>
        <v>60.260000000000005</v>
      </c>
      <c r="H226" s="5">
        <f>VLOOKUP(A226,ORCAMENTO!$A:$I,8,FALSE)</f>
        <v>75.23</v>
      </c>
      <c r="I226" s="5">
        <f>ROUND(F226*H226,2)</f>
        <v>3310.12</v>
      </c>
      <c r="J226" s="5">
        <f>ROUND(K226*$H226,2)</f>
        <v>0</v>
      </c>
      <c r="K226" s="5">
        <v>0</v>
      </c>
      <c r="L226" s="25">
        <f t="shared" si="62"/>
        <v>0</v>
      </c>
      <c r="M226" s="5">
        <f>ROUND(N226*$H226,2)</f>
        <v>3310.12</v>
      </c>
      <c r="N226" s="5">
        <f t="shared" si="73"/>
        <v>44</v>
      </c>
      <c r="O226" s="25">
        <f t="shared" si="64"/>
        <v>1</v>
      </c>
      <c r="P226" s="5">
        <f>ROUND(Q226*$H226,2)</f>
        <v>0</v>
      </c>
      <c r="Q226" s="5">
        <v>0</v>
      </c>
      <c r="R226" s="25">
        <f t="shared" si="65"/>
        <v>0</v>
      </c>
      <c r="S226" s="5">
        <f t="shared" si="66"/>
        <v>3310.12</v>
      </c>
      <c r="T226" s="25">
        <f t="shared" si="67"/>
        <v>1</v>
      </c>
      <c r="U226" s="25">
        <f t="shared" si="68"/>
        <v>4.5479976970653931E-3</v>
      </c>
    </row>
    <row r="227" spans="1:21" x14ac:dyDescent="0.3">
      <c r="A227" s="15" t="s">
        <v>69</v>
      </c>
      <c r="B227" s="49" t="str">
        <f>VLOOKUP(A227,MEMORIA!$A:$N,2,FALSE)</f>
        <v>MOVIMENTO DE TERRA</v>
      </c>
      <c r="C227" s="50"/>
      <c r="D227" s="50"/>
      <c r="E227" s="50"/>
      <c r="F227" s="50"/>
      <c r="G227" s="50"/>
      <c r="H227" s="51"/>
      <c r="I227" s="16">
        <f>SUM(I$228:I$228)</f>
        <v>165.09</v>
      </c>
      <c r="J227" s="16">
        <f>SUM(J$228:J$228)</f>
        <v>0</v>
      </c>
      <c r="K227" s="16"/>
      <c r="L227" s="17">
        <f t="shared" si="62"/>
        <v>0</v>
      </c>
      <c r="M227" s="16">
        <f>SUM(M$228:M$228)</f>
        <v>165.09</v>
      </c>
      <c r="N227" s="16"/>
      <c r="O227" s="17">
        <f t="shared" si="64"/>
        <v>1</v>
      </c>
      <c r="P227" s="16">
        <f>SUM(P$228:P$228)</f>
        <v>0</v>
      </c>
      <c r="Q227" s="16"/>
      <c r="R227" s="17">
        <f t="shared" si="65"/>
        <v>0</v>
      </c>
      <c r="S227" s="16">
        <f t="shared" si="66"/>
        <v>165.09</v>
      </c>
      <c r="T227" s="17">
        <f t="shared" si="67"/>
        <v>1</v>
      </c>
      <c r="U227" s="17">
        <f t="shared" si="68"/>
        <v>2.2682831432350661E-4</v>
      </c>
    </row>
    <row r="228" spans="1:21" x14ac:dyDescent="0.3">
      <c r="A228" s="23" t="s">
        <v>313</v>
      </c>
      <c r="B228" s="23">
        <f>VLOOKUP(A228,MEMORIA!$A:$N,2,FALSE)</f>
        <v>93358</v>
      </c>
      <c r="C228" s="23" t="str">
        <f>VLOOKUP(A228,MEMORIA!$A:$N,3,FALSE)</f>
        <v>SINAPI</v>
      </c>
      <c r="D228" s="24" t="str">
        <f>VLOOKUP(A228,MEMORIA!$A:$N,4,FALSE)</f>
        <v>ESCAVAÇÃO MANUAL DE VALA. AF_09/2024</v>
      </c>
      <c r="E228" s="23" t="str">
        <f>VLOOKUP(A228,MEMORIA!$A:$N,5,FALSE)</f>
        <v>M3</v>
      </c>
      <c r="F228" s="5">
        <f>VLOOKUP(A228,MEMORIA!$A:$N,14,FALSE)</f>
        <v>1.54</v>
      </c>
      <c r="G228" s="5">
        <f>VLOOKUP(A228,ORCAMENTO!$A:$I,7,FALSE)</f>
        <v>85.87</v>
      </c>
      <c r="H228" s="5">
        <f>VLOOKUP(A228,ORCAMENTO!$A:$I,8,FALSE)</f>
        <v>107.2</v>
      </c>
      <c r="I228" s="5">
        <f>ROUND(F228*H228,2)</f>
        <v>165.09</v>
      </c>
      <c r="J228" s="5">
        <f>ROUND(K228*$H228,2)</f>
        <v>0</v>
      </c>
      <c r="K228" s="5">
        <v>0</v>
      </c>
      <c r="L228" s="25">
        <f t="shared" si="62"/>
        <v>0</v>
      </c>
      <c r="M228" s="5">
        <f>ROUND(N228*$H228,2)</f>
        <v>165.09</v>
      </c>
      <c r="N228" s="5">
        <f t="shared" si="73"/>
        <v>1.54</v>
      </c>
      <c r="O228" s="25">
        <f t="shared" si="64"/>
        <v>1</v>
      </c>
      <c r="P228" s="5">
        <f>ROUND(Q228*$H228,2)</f>
        <v>0</v>
      </c>
      <c r="Q228" s="5">
        <v>0</v>
      </c>
      <c r="R228" s="25">
        <f t="shared" si="65"/>
        <v>0</v>
      </c>
      <c r="S228" s="5">
        <f t="shared" si="66"/>
        <v>165.09</v>
      </c>
      <c r="T228" s="25">
        <f t="shared" si="67"/>
        <v>1</v>
      </c>
      <c r="U228" s="25">
        <f t="shared" si="68"/>
        <v>2.2682831432350661E-4</v>
      </c>
    </row>
    <row r="229" spans="1:21" x14ac:dyDescent="0.3">
      <c r="A229" s="15" t="s">
        <v>70</v>
      </c>
      <c r="B229" s="49" t="str">
        <f>VLOOKUP(A229,MEMORIA!$A:$N,2,FALSE)</f>
        <v>INFRAESTRUTURA</v>
      </c>
      <c r="C229" s="50"/>
      <c r="D229" s="50"/>
      <c r="E229" s="50"/>
      <c r="F229" s="50"/>
      <c r="G229" s="50"/>
      <c r="H229" s="51"/>
      <c r="I229" s="16">
        <f>SUM(I$230:I$232)</f>
        <v>1275.5</v>
      </c>
      <c r="J229" s="16">
        <f>SUM(J$230:J$232)</f>
        <v>0</v>
      </c>
      <c r="K229" s="16"/>
      <c r="L229" s="17">
        <f t="shared" si="62"/>
        <v>0</v>
      </c>
      <c r="M229" s="16">
        <f>SUM(M$230:M$232)</f>
        <v>1275.5</v>
      </c>
      <c r="N229" s="16"/>
      <c r="O229" s="17">
        <f t="shared" si="64"/>
        <v>1</v>
      </c>
      <c r="P229" s="16">
        <f>SUM(P$230:P$232)</f>
        <v>0</v>
      </c>
      <c r="Q229" s="16"/>
      <c r="R229" s="17">
        <f t="shared" si="65"/>
        <v>0</v>
      </c>
      <c r="S229" s="16">
        <f t="shared" si="66"/>
        <v>1275.5</v>
      </c>
      <c r="T229" s="17">
        <f t="shared" si="67"/>
        <v>1</v>
      </c>
      <c r="U229" s="17">
        <f t="shared" si="68"/>
        <v>1.7524956988287158E-3</v>
      </c>
    </row>
    <row r="230" spans="1:21" ht="28.8" x14ac:dyDescent="0.3">
      <c r="A230" s="23" t="s">
        <v>314</v>
      </c>
      <c r="B230" s="23">
        <f>VLOOKUP(A230,MEMORIA!$A:$N,2,FALSE)</f>
        <v>96617</v>
      </c>
      <c r="C230" s="23" t="str">
        <f>VLOOKUP(A230,MEMORIA!$A:$N,3,FALSE)</f>
        <v>SINAPI</v>
      </c>
      <c r="D230" s="24" t="str">
        <f>VLOOKUP(A230,MEMORIA!$A:$N,4,FALSE)</f>
        <v>LASTRO DE CONCRETO MAGRO, APLICADO EM BLOCOS DE COROAMENTO OU SAPATAS, ESPESSURA DE 3 CM. AF_01/2024</v>
      </c>
      <c r="E230" s="23" t="str">
        <f>VLOOKUP(A230,MEMORIA!$A:$N,5,FALSE)</f>
        <v>M2</v>
      </c>
      <c r="F230" s="5">
        <f>VLOOKUP(A230,MEMORIA!$A:$N,14,FALSE)</f>
        <v>2.58</v>
      </c>
      <c r="G230" s="5">
        <f>VLOOKUP(A230,ORCAMENTO!$A:$I,7,FALSE)</f>
        <v>23.990000000000002</v>
      </c>
      <c r="H230" s="5">
        <f>VLOOKUP(A230,ORCAMENTO!$A:$I,8,FALSE)</f>
        <v>29.950000000000003</v>
      </c>
      <c r="I230" s="5">
        <f>ROUND(F230*H230,2)</f>
        <v>77.27</v>
      </c>
      <c r="J230" s="5">
        <f>ROUND(K230*$H230,2)</f>
        <v>0</v>
      </c>
      <c r="K230" s="5">
        <v>0</v>
      </c>
      <c r="L230" s="25">
        <f t="shared" si="62"/>
        <v>0</v>
      </c>
      <c r="M230" s="5">
        <f>ROUND(N230*$H230,2)</f>
        <v>77.27</v>
      </c>
      <c r="N230" s="5">
        <f t="shared" si="73"/>
        <v>2.58</v>
      </c>
      <c r="O230" s="25">
        <f t="shared" si="64"/>
        <v>1</v>
      </c>
      <c r="P230" s="5">
        <f>ROUND(Q230*$H230,2)</f>
        <v>0</v>
      </c>
      <c r="Q230" s="5">
        <v>0</v>
      </c>
      <c r="R230" s="25">
        <f t="shared" si="65"/>
        <v>0</v>
      </c>
      <c r="S230" s="5">
        <f t="shared" si="66"/>
        <v>77.27</v>
      </c>
      <c r="T230" s="25">
        <f t="shared" si="67"/>
        <v>1</v>
      </c>
      <c r="U230" s="25">
        <f t="shared" si="68"/>
        <v>1.0616647796824372E-4</v>
      </c>
    </row>
    <row r="231" spans="1:21" ht="28.8" x14ac:dyDescent="0.3">
      <c r="A231" s="23" t="s">
        <v>315</v>
      </c>
      <c r="B231" s="23">
        <f>VLOOKUP(A231,MEMORIA!$A:$N,2,FALSE)</f>
        <v>103800</v>
      </c>
      <c r="C231" s="23" t="str">
        <f>VLOOKUP(A231,MEMORIA!$A:$N,3,FALSE)</f>
        <v>SINAPI</v>
      </c>
      <c r="D231" s="24" t="str">
        <f>VLOOKUP(A231,MEMORIA!$A:$N,4,FALSE)</f>
        <v>PEDRA ARGAMASSADA COM CIMENTO E AREIA 1:3, 40% DE ARGAMASSA EM VOLUME - AREIA E PEDRA DE MÃO COMERCIAIS - FORNECIMENTO E ASSENTAMENTO. AF_08/2022</v>
      </c>
      <c r="E231" s="23" t="str">
        <f>VLOOKUP(A231,MEMORIA!$A:$N,5,FALSE)</f>
        <v>M3</v>
      </c>
      <c r="F231" s="5">
        <f>VLOOKUP(A231,MEMORIA!$A:$N,14,FALSE)</f>
        <v>1.04</v>
      </c>
      <c r="G231" s="5">
        <f>VLOOKUP(A231,ORCAMENTO!$A:$I,7,FALSE)</f>
        <v>680.59</v>
      </c>
      <c r="H231" s="5">
        <f>VLOOKUP(A231,ORCAMENTO!$A:$I,8,FALSE)</f>
        <v>849.65000000000009</v>
      </c>
      <c r="I231" s="5">
        <f>ROUND(F231*H231,2)</f>
        <v>883.64</v>
      </c>
      <c r="J231" s="5">
        <f>ROUND(K231*$H231,2)</f>
        <v>0</v>
      </c>
      <c r="K231" s="5">
        <v>0</v>
      </c>
      <c r="L231" s="25">
        <f t="shared" si="62"/>
        <v>0</v>
      </c>
      <c r="M231" s="5">
        <f>ROUND(N231*$H231,2)</f>
        <v>883.64</v>
      </c>
      <c r="N231" s="5">
        <f t="shared" si="73"/>
        <v>1.04</v>
      </c>
      <c r="O231" s="25">
        <f t="shared" si="64"/>
        <v>1</v>
      </c>
      <c r="P231" s="5">
        <f>ROUND(Q231*$H231,2)</f>
        <v>0</v>
      </c>
      <c r="Q231" s="5">
        <v>0</v>
      </c>
      <c r="R231" s="25">
        <f t="shared" si="65"/>
        <v>0</v>
      </c>
      <c r="S231" s="5">
        <f t="shared" si="66"/>
        <v>883.64</v>
      </c>
      <c r="T231" s="25">
        <f t="shared" si="67"/>
        <v>1</v>
      </c>
      <c r="U231" s="25">
        <f t="shared" si="68"/>
        <v>1.2140927474033763E-3</v>
      </c>
    </row>
    <row r="232" spans="1:21" ht="43.2" x14ac:dyDescent="0.3">
      <c r="A232" s="23" t="s">
        <v>316</v>
      </c>
      <c r="B232" s="23">
        <f>VLOOKUP(A232,MEMORIA!$A:$N,2,FALSE)</f>
        <v>103335</v>
      </c>
      <c r="C232" s="23" t="str">
        <f>VLOOKUP(A232,MEMORIA!$A:$N,3,FALSE)</f>
        <v>SINAPI</v>
      </c>
      <c r="D232" s="24" t="str">
        <f>VLOOKUP(A232,MEMORIA!$A:$N,4,FALSE)</f>
        <v>ALVENARIA DE VEDAÇÃO DE BLOCOS CERÂMICOS FURADOS NA HORIZONTAL DE 14X9X19 CM (ESPESSURA 14 CM, BLOCO DEITADO) E ARGAMASSA DE ASSENTAMENTO COM PREPARO MANUAL. AF_12/2021</v>
      </c>
      <c r="E232" s="23" t="str">
        <f>VLOOKUP(A232,MEMORIA!$A:$N,5,FALSE)</f>
        <v>M2</v>
      </c>
      <c r="F232" s="5">
        <f>VLOOKUP(A232,MEMORIA!$A:$N,14,FALSE)</f>
        <v>1.7200000000000002</v>
      </c>
      <c r="G232" s="5">
        <f>VLOOKUP(A232,ORCAMENTO!$A:$I,7,FALSE)</f>
        <v>146.51</v>
      </c>
      <c r="H232" s="5">
        <f>VLOOKUP(A232,ORCAMENTO!$A:$I,8,FALSE)</f>
        <v>182.89999999999998</v>
      </c>
      <c r="I232" s="5">
        <f>ROUND(F232*H232,2)</f>
        <v>314.58999999999997</v>
      </c>
      <c r="J232" s="5">
        <f>ROUND(K232*$H232,2)</f>
        <v>0</v>
      </c>
      <c r="K232" s="5">
        <v>0</v>
      </c>
      <c r="L232" s="25">
        <f t="shared" si="62"/>
        <v>0</v>
      </c>
      <c r="M232" s="5">
        <f>ROUND(N232*$H232,2)</f>
        <v>314.58999999999997</v>
      </c>
      <c r="N232" s="5">
        <f t="shared" si="73"/>
        <v>1.7200000000000002</v>
      </c>
      <c r="O232" s="25">
        <f t="shared" si="64"/>
        <v>1</v>
      </c>
      <c r="P232" s="5">
        <f>ROUND(Q232*$H232,2)</f>
        <v>0</v>
      </c>
      <c r="Q232" s="5">
        <v>0</v>
      </c>
      <c r="R232" s="25">
        <f t="shared" si="65"/>
        <v>0</v>
      </c>
      <c r="S232" s="5">
        <f t="shared" si="66"/>
        <v>314.58999999999997</v>
      </c>
      <c r="T232" s="25">
        <f t="shared" si="67"/>
        <v>1</v>
      </c>
      <c r="U232" s="25">
        <f t="shared" si="68"/>
        <v>4.3223647345709575E-4</v>
      </c>
    </row>
    <row r="233" spans="1:21" x14ac:dyDescent="0.3">
      <c r="A233" s="15" t="s">
        <v>71</v>
      </c>
      <c r="B233" s="49" t="str">
        <f>VLOOKUP(A233,MEMORIA!$A:$N,2,FALSE)</f>
        <v>SUPERESTRUTURA</v>
      </c>
      <c r="C233" s="50"/>
      <c r="D233" s="50"/>
      <c r="E233" s="50"/>
      <c r="F233" s="50"/>
      <c r="G233" s="50"/>
      <c r="H233" s="51"/>
      <c r="I233" s="16">
        <f>SUM(I$234:I$235)</f>
        <v>1347.9099999999999</v>
      </c>
      <c r="J233" s="16">
        <f>SUM(J$234:J$235)</f>
        <v>0</v>
      </c>
      <c r="K233" s="16"/>
      <c r="L233" s="17">
        <f t="shared" si="62"/>
        <v>0</v>
      </c>
      <c r="M233" s="16">
        <f>SUM(M$234:M$235)</f>
        <v>1347.9099999999999</v>
      </c>
      <c r="N233" s="16"/>
      <c r="O233" s="17">
        <f t="shared" si="64"/>
        <v>1</v>
      </c>
      <c r="P233" s="16">
        <f>SUM(P$234:P$235)</f>
        <v>0</v>
      </c>
      <c r="Q233" s="16"/>
      <c r="R233" s="17">
        <f t="shared" si="65"/>
        <v>0</v>
      </c>
      <c r="S233" s="16">
        <f t="shared" si="66"/>
        <v>1347.9099999999999</v>
      </c>
      <c r="T233" s="17">
        <f t="shared" si="67"/>
        <v>1</v>
      </c>
      <c r="U233" s="17">
        <f t="shared" si="68"/>
        <v>1.8519846941655932E-3</v>
      </c>
    </row>
    <row r="234" spans="1:21" x14ac:dyDescent="0.3">
      <c r="A234" s="23" t="s">
        <v>317</v>
      </c>
      <c r="B234" s="23" t="str">
        <f>VLOOKUP(A234,MEMORIA!$A:$N,2,FALSE)</f>
        <v>COMPCOM01</v>
      </c>
      <c r="C234" s="23" t="str">
        <f>VLOOKUP(A234,MEMORIA!$A:$N,3,FALSE)</f>
        <v>PRÓPRIA</v>
      </c>
      <c r="D234" s="24" t="str">
        <f>VLOOKUP(A234,MEMORIA!$A:$N,4,FALSE)</f>
        <v>CINTA DE AMARRAÇÃO DE ALVENARIA MOLDADA IN LOCO EM CONCRETO</v>
      </c>
      <c r="E234" s="23" t="str">
        <f>VLOOKUP(A234,MEMORIA!$A:$N,5,FALSE)</f>
        <v>M</v>
      </c>
      <c r="F234" s="5">
        <f>VLOOKUP(A234,MEMORIA!$A:$N,14,FALSE)</f>
        <v>8.6</v>
      </c>
      <c r="G234" s="5">
        <f>VLOOKUP(A234,ORCAMENTO!$A:$I,7,FALSE)</f>
        <v>81.56</v>
      </c>
      <c r="H234" s="5">
        <f>VLOOKUP(A234,ORCAMENTO!$A:$I,8,FALSE)</f>
        <v>101.82000000000001</v>
      </c>
      <c r="I234" s="5">
        <f>ROUND(F234*H234,2)</f>
        <v>875.65</v>
      </c>
      <c r="J234" s="5">
        <f>ROUND(K234*$H234,2)</f>
        <v>0</v>
      </c>
      <c r="K234" s="5">
        <v>0</v>
      </c>
      <c r="L234" s="25">
        <f t="shared" si="62"/>
        <v>0</v>
      </c>
      <c r="M234" s="5">
        <f>ROUND(N234*$H234,2)</f>
        <v>875.65</v>
      </c>
      <c r="N234" s="5">
        <f t="shared" si="73"/>
        <v>8.6</v>
      </c>
      <c r="O234" s="25">
        <f t="shared" si="64"/>
        <v>1</v>
      </c>
      <c r="P234" s="5">
        <f>ROUND(Q234*$H234,2)</f>
        <v>0</v>
      </c>
      <c r="Q234" s="5">
        <v>0</v>
      </c>
      <c r="R234" s="25">
        <f t="shared" si="65"/>
        <v>0</v>
      </c>
      <c r="S234" s="5">
        <f t="shared" si="66"/>
        <v>875.65</v>
      </c>
      <c r="T234" s="25">
        <f t="shared" si="67"/>
        <v>1</v>
      </c>
      <c r="U234" s="25">
        <f t="shared" si="68"/>
        <v>1.2031147461225911E-3</v>
      </c>
    </row>
    <row r="235" spans="1:21" ht="28.8" x14ac:dyDescent="0.3">
      <c r="A235" s="23" t="s">
        <v>318</v>
      </c>
      <c r="B235" s="23" t="str">
        <f>VLOOKUP(A235,MEMORIA!$A:$N,2,FALSE)</f>
        <v>COMPCOM02</v>
      </c>
      <c r="C235" s="23" t="str">
        <f>VLOOKUP(A235,MEMORIA!$A:$N,3,FALSE)</f>
        <v>PRÓPRIA</v>
      </c>
      <c r="D235" s="24" t="str">
        <f>VLOOKUP(A235,MEMORIA!$A:$N,4,FALSE)</f>
        <v>(COMPOSIÇÃO REPRESENTATIVA) EXECUÇÃO DE ESTRUTURAS DE CONCRETO ARMADO, PARA EDIFICAÇÃO INSTITUCIONAL TÉRREA, FCK = 25 MPA</v>
      </c>
      <c r="E235" s="23" t="str">
        <f>VLOOKUP(A235,MEMORIA!$A:$N,5,FALSE)</f>
        <v>M³</v>
      </c>
      <c r="F235" s="5">
        <f>VLOOKUP(A235,MEMORIA!$A:$N,14,FALSE)</f>
        <v>0.30000000000000004</v>
      </c>
      <c r="G235" s="5">
        <f>VLOOKUP(A235,ORCAMENTO!$A:$I,7,FALSE)</f>
        <v>1260.97</v>
      </c>
      <c r="H235" s="5">
        <f>VLOOKUP(A235,ORCAMENTO!$A:$I,8,FALSE)</f>
        <v>1574.19</v>
      </c>
      <c r="I235" s="5">
        <f>ROUND(F235*H235,2)</f>
        <v>472.26</v>
      </c>
      <c r="J235" s="5">
        <f>ROUND(K235*$H235,2)</f>
        <v>0</v>
      </c>
      <c r="K235" s="5">
        <v>0</v>
      </c>
      <c r="L235" s="25">
        <f t="shared" si="62"/>
        <v>0</v>
      </c>
      <c r="M235" s="5">
        <f>ROUND(N235*$H235,2)</f>
        <v>472.26</v>
      </c>
      <c r="N235" s="5">
        <f t="shared" si="73"/>
        <v>0.30000000000000004</v>
      </c>
      <c r="O235" s="25">
        <f t="shared" si="64"/>
        <v>1</v>
      </c>
      <c r="P235" s="5">
        <f>ROUND(Q235*$H235,2)</f>
        <v>0</v>
      </c>
      <c r="Q235" s="5">
        <v>0</v>
      </c>
      <c r="R235" s="25">
        <f t="shared" si="65"/>
        <v>0</v>
      </c>
      <c r="S235" s="5">
        <f t="shared" si="66"/>
        <v>472.26</v>
      </c>
      <c r="T235" s="25">
        <f t="shared" si="67"/>
        <v>1</v>
      </c>
      <c r="U235" s="25">
        <f t="shared" si="68"/>
        <v>6.4886994804300223E-4</v>
      </c>
    </row>
    <row r="236" spans="1:21" x14ac:dyDescent="0.3">
      <c r="A236" s="15" t="s">
        <v>72</v>
      </c>
      <c r="B236" s="49" t="str">
        <f>VLOOKUP(A236,MEMORIA!$A:$N,2,FALSE)</f>
        <v>VEDAÇÃO VERTICAL</v>
      </c>
      <c r="C236" s="50"/>
      <c r="D236" s="50"/>
      <c r="E236" s="50"/>
      <c r="F236" s="50"/>
      <c r="G236" s="50"/>
      <c r="H236" s="51"/>
      <c r="I236" s="16">
        <f>SUM(I$237:I$238)</f>
        <v>2674.92</v>
      </c>
      <c r="J236" s="16">
        <f>SUM(J$237:J$238)</f>
        <v>0</v>
      </c>
      <c r="K236" s="16"/>
      <c r="L236" s="17">
        <f t="shared" si="62"/>
        <v>0</v>
      </c>
      <c r="M236" s="16">
        <f>SUM(M$237:M$238)</f>
        <v>2674.92</v>
      </c>
      <c r="N236" s="16"/>
      <c r="O236" s="17">
        <f t="shared" si="64"/>
        <v>1</v>
      </c>
      <c r="P236" s="16">
        <f>SUM(P$237:P$238)</f>
        <v>0</v>
      </c>
      <c r="Q236" s="16"/>
      <c r="R236" s="17">
        <f t="shared" si="65"/>
        <v>0</v>
      </c>
      <c r="S236" s="16">
        <f t="shared" si="66"/>
        <v>2674.92</v>
      </c>
      <c r="T236" s="17">
        <f t="shared" si="67"/>
        <v>1</v>
      </c>
      <c r="U236" s="17">
        <f t="shared" si="68"/>
        <v>3.6752534650810729E-3</v>
      </c>
    </row>
    <row r="237" spans="1:21" ht="43.2" x14ac:dyDescent="0.3">
      <c r="A237" s="23" t="s">
        <v>319</v>
      </c>
      <c r="B237" s="23">
        <f>VLOOKUP(A237,MEMORIA!$A:$N,2,FALSE)</f>
        <v>103329</v>
      </c>
      <c r="C237" s="23" t="str">
        <f>VLOOKUP(A237,MEMORIA!$A:$N,3,FALSE)</f>
        <v>SINAPI</v>
      </c>
      <c r="D237" s="24" t="str">
        <f>VLOOKUP(A237,MEMORIA!$A:$N,4,FALSE)</f>
        <v>ALVENARIA DE VEDAÇÃO DE BLOCOS CERÂMICOS FURADOS NA HORIZONTAL DE 9X19X19 CM (ESPESSURA 9 CM) E ARGAMASSA DE ASSENTAMENTO COM PREPARO MANUAL. AF_12/2021</v>
      </c>
      <c r="E237" s="23" t="str">
        <f>VLOOKUP(A237,MEMORIA!$A:$N,5,FALSE)</f>
        <v>M2</v>
      </c>
      <c r="F237" s="5">
        <f>VLOOKUP(A237,MEMORIA!$A:$N,14,FALSE)</f>
        <v>19.310000000000002</v>
      </c>
      <c r="G237" s="5">
        <f>VLOOKUP(A237,ORCAMENTO!$A:$I,7,FALSE)</f>
        <v>95.08</v>
      </c>
      <c r="H237" s="5">
        <f>VLOOKUP(A237,ORCAMENTO!$A:$I,8,FALSE)</f>
        <v>118.7</v>
      </c>
      <c r="I237" s="5">
        <f>ROUND(F237*H237,2)</f>
        <v>2292.1</v>
      </c>
      <c r="J237" s="5">
        <f>ROUND(K237*$H237,2)</f>
        <v>0</v>
      </c>
      <c r="K237" s="5">
        <v>0</v>
      </c>
      <c r="L237" s="25">
        <f t="shared" si="62"/>
        <v>0</v>
      </c>
      <c r="M237" s="5">
        <f>ROUND(N237*$H237,2)</f>
        <v>2292.1</v>
      </c>
      <c r="N237" s="5">
        <f t="shared" si="73"/>
        <v>19.310000000000002</v>
      </c>
      <c r="O237" s="25">
        <f t="shared" si="64"/>
        <v>1</v>
      </c>
      <c r="P237" s="5">
        <f>ROUND(Q237*$H237,2)</f>
        <v>0</v>
      </c>
      <c r="Q237" s="5">
        <v>0</v>
      </c>
      <c r="R237" s="25">
        <f t="shared" si="65"/>
        <v>0</v>
      </c>
      <c r="S237" s="5">
        <f t="shared" si="66"/>
        <v>2292.1</v>
      </c>
      <c r="T237" s="25">
        <f t="shared" si="67"/>
        <v>1</v>
      </c>
      <c r="U237" s="25">
        <f t="shared" si="68"/>
        <v>3.149271180937122E-3</v>
      </c>
    </row>
    <row r="238" spans="1:21" ht="43.2" x14ac:dyDescent="0.3">
      <c r="A238" s="23" t="s">
        <v>320</v>
      </c>
      <c r="B238" s="23">
        <f>VLOOKUP(A238,MEMORIA!$A:$N,2,FALSE)</f>
        <v>101161</v>
      </c>
      <c r="C238" s="23" t="str">
        <f>VLOOKUP(A238,MEMORIA!$A:$N,3,FALSE)</f>
        <v>SINAPI</v>
      </c>
      <c r="D238" s="24" t="str">
        <f>VLOOKUP(A238,MEMORIA!$A:$N,4,FALSE)</f>
        <v>ALVENARIA DE VEDAÇÃO COM ELEMENTO VAZADO DE CONCRETO (COBOGÓ) DE 7X50X50CM E ARGAMASSA DE ASSENTAMENTO COM PREPARO EM BETONEIRA. AF_05/2020</v>
      </c>
      <c r="E238" s="23" t="str">
        <f>VLOOKUP(A238,MEMORIA!$A:$N,5,FALSE)</f>
        <v>M2</v>
      </c>
      <c r="F238" s="5">
        <f>VLOOKUP(A238,MEMORIA!$A:$N,14,FALSE)</f>
        <v>1.5</v>
      </c>
      <c r="G238" s="5">
        <f>VLOOKUP(A238,ORCAMENTO!$A:$I,7,FALSE)</f>
        <v>204.43</v>
      </c>
      <c r="H238" s="5">
        <f>VLOOKUP(A238,ORCAMENTO!$A:$I,8,FALSE)</f>
        <v>255.21</v>
      </c>
      <c r="I238" s="5">
        <f>ROUND(F238*H238,2)</f>
        <v>382.82</v>
      </c>
      <c r="J238" s="5">
        <f>ROUND(K238*$H238,2)</f>
        <v>0</v>
      </c>
      <c r="K238" s="5">
        <v>0</v>
      </c>
      <c r="L238" s="25">
        <f t="shared" si="62"/>
        <v>0</v>
      </c>
      <c r="M238" s="5">
        <f>ROUND(N238*$H238,2)</f>
        <v>382.82</v>
      </c>
      <c r="N238" s="5">
        <f t="shared" si="73"/>
        <v>1.5</v>
      </c>
      <c r="O238" s="25">
        <f t="shared" si="64"/>
        <v>1</v>
      </c>
      <c r="P238" s="5">
        <f>ROUND(Q238*$H238,2)</f>
        <v>0</v>
      </c>
      <c r="Q238" s="5">
        <v>0</v>
      </c>
      <c r="R238" s="25">
        <f t="shared" si="65"/>
        <v>0</v>
      </c>
      <c r="S238" s="5">
        <f t="shared" si="66"/>
        <v>382.82</v>
      </c>
      <c r="T238" s="25">
        <f t="shared" si="67"/>
        <v>1</v>
      </c>
      <c r="U238" s="25">
        <f t="shared" si="68"/>
        <v>5.2598228414395059E-4</v>
      </c>
    </row>
    <row r="239" spans="1:21" x14ac:dyDescent="0.3">
      <c r="A239" s="15" t="s">
        <v>73</v>
      </c>
      <c r="B239" s="49" t="str">
        <f>VLOOKUP(A239,MEMORIA!$A:$N,2,FALSE)</f>
        <v>COBERTURA</v>
      </c>
      <c r="C239" s="50"/>
      <c r="D239" s="50"/>
      <c r="E239" s="50"/>
      <c r="F239" s="50"/>
      <c r="G239" s="50"/>
      <c r="H239" s="51"/>
      <c r="I239" s="16">
        <f>SUM(I$240:I$241)</f>
        <v>1332.15</v>
      </c>
      <c r="J239" s="16">
        <f>SUM(J$240:J$241)</f>
        <v>0</v>
      </c>
      <c r="K239" s="16"/>
      <c r="L239" s="17">
        <f t="shared" si="62"/>
        <v>0</v>
      </c>
      <c r="M239" s="16">
        <f>SUM(M$240:M$241)</f>
        <v>1332.15</v>
      </c>
      <c r="N239" s="16"/>
      <c r="O239" s="17">
        <f t="shared" si="64"/>
        <v>1</v>
      </c>
      <c r="P239" s="16">
        <f>SUM(P$240:P$241)</f>
        <v>0</v>
      </c>
      <c r="Q239" s="16"/>
      <c r="R239" s="17">
        <f t="shared" si="65"/>
        <v>0</v>
      </c>
      <c r="S239" s="16">
        <f t="shared" si="66"/>
        <v>1332.15</v>
      </c>
      <c r="T239" s="17">
        <f t="shared" si="67"/>
        <v>1</v>
      </c>
      <c r="U239" s="17">
        <f t="shared" si="68"/>
        <v>1.8303309644803402E-3</v>
      </c>
    </row>
    <row r="240" spans="1:21" ht="28.8" x14ac:dyDescent="0.3">
      <c r="A240" s="23" t="s">
        <v>321</v>
      </c>
      <c r="B240" s="23" t="str">
        <f>VLOOKUP(A240,MEMORIA!$A:$N,2,FALSE)</f>
        <v>COMPCOM03</v>
      </c>
      <c r="C240" s="23" t="str">
        <f>VLOOKUP(A240,MEMORIA!$A:$N,3,FALSE)</f>
        <v>PRÓPRIA</v>
      </c>
      <c r="D240" s="24" t="str">
        <f>VLOOKUP(A240,MEMORIA!$A:$N,4,FALSE)</f>
        <v>TELHAMENTO COM TELHA CERÂMICA CAPA-CANAL, TIPO COLONIAL, COM ATÉ 2 ÁGUAS, INCLUSO TRANSPORTE VERTICAL</v>
      </c>
      <c r="E240" s="23" t="str">
        <f>VLOOKUP(A240,MEMORIA!$A:$N,5,FALSE)</f>
        <v>M²</v>
      </c>
      <c r="F240" s="5">
        <f>VLOOKUP(A240,MEMORIA!$A:$N,14,FALSE)</f>
        <v>10.23</v>
      </c>
      <c r="G240" s="5">
        <f>VLOOKUP(A240,ORCAMENTO!$A:$I,7,FALSE)</f>
        <v>37.64</v>
      </c>
      <c r="H240" s="5">
        <f>VLOOKUP(A240,ORCAMENTO!$A:$I,8,FALSE)</f>
        <v>46.99</v>
      </c>
      <c r="I240" s="5">
        <f>ROUND(F240*H240,2)</f>
        <v>480.71</v>
      </c>
      <c r="J240" s="5">
        <f>ROUND(K240*$H240,2)</f>
        <v>0</v>
      </c>
      <c r="K240" s="5">
        <v>0</v>
      </c>
      <c r="L240" s="25">
        <f t="shared" si="62"/>
        <v>0</v>
      </c>
      <c r="M240" s="5">
        <f>ROUND(N240*$H240,2)</f>
        <v>480.71</v>
      </c>
      <c r="N240" s="5">
        <f t="shared" si="73"/>
        <v>10.23</v>
      </c>
      <c r="O240" s="25">
        <f t="shared" si="64"/>
        <v>1</v>
      </c>
      <c r="P240" s="5">
        <f>ROUND(Q240*$H240,2)</f>
        <v>0</v>
      </c>
      <c r="Q240" s="5">
        <v>0</v>
      </c>
      <c r="R240" s="25">
        <f t="shared" si="65"/>
        <v>0</v>
      </c>
      <c r="S240" s="5">
        <f t="shared" si="66"/>
        <v>480.71</v>
      </c>
      <c r="T240" s="25">
        <f t="shared" si="67"/>
        <v>1</v>
      </c>
      <c r="U240" s="25">
        <f t="shared" si="68"/>
        <v>6.6047997442881374E-4</v>
      </c>
    </row>
    <row r="241" spans="1:21" ht="28.8" x14ac:dyDescent="0.3">
      <c r="A241" s="23" t="s">
        <v>322</v>
      </c>
      <c r="B241" s="23" t="str">
        <f>VLOOKUP(A241,MEMORIA!$A:$N,2,FALSE)</f>
        <v>COMPCOM04</v>
      </c>
      <c r="C241" s="23" t="str">
        <f>VLOOKUP(A241,MEMORIA!$A:$N,3,FALSE)</f>
        <v>PRÓPRIA</v>
      </c>
      <c r="D241" s="24" t="str">
        <f>VLOOKUP(A241,MEMORIA!$A:$N,4,FALSE)</f>
        <v>TRAMA DE MADEIRA COMPOSTA POR RIPAS, CAIBROS E TERÇAS PARA TELHADOS DE ATÉ 2 ÁGUAS PARA TELHA CERÂMICA CAPA-CANAL, INCLUSO TRANSPORTE VERTICAL</v>
      </c>
      <c r="E241" s="23" t="str">
        <f>VLOOKUP(A241,MEMORIA!$A:$N,5,FALSE)</f>
        <v>M²</v>
      </c>
      <c r="F241" s="5">
        <f>VLOOKUP(A241,MEMORIA!$A:$N,14,FALSE)</f>
        <v>10.23</v>
      </c>
      <c r="G241" s="5">
        <f>VLOOKUP(A241,ORCAMENTO!$A:$I,7,FALSE)</f>
        <v>66.67</v>
      </c>
      <c r="H241" s="5">
        <f>VLOOKUP(A241,ORCAMENTO!$A:$I,8,FALSE)</f>
        <v>83.23</v>
      </c>
      <c r="I241" s="5">
        <f>ROUND(F241*H241,2)</f>
        <v>851.44</v>
      </c>
      <c r="J241" s="5">
        <f>ROUND(K241*$H241,2)</f>
        <v>0</v>
      </c>
      <c r="K241" s="5">
        <v>0</v>
      </c>
      <c r="L241" s="25">
        <f t="shared" si="62"/>
        <v>0</v>
      </c>
      <c r="M241" s="5">
        <f>ROUND(N241*$H241,2)</f>
        <v>851.44</v>
      </c>
      <c r="N241" s="5">
        <f t="shared" si="73"/>
        <v>10.23</v>
      </c>
      <c r="O241" s="25">
        <f t="shared" si="64"/>
        <v>1</v>
      </c>
      <c r="P241" s="5">
        <f>ROUND(Q241*$H241,2)</f>
        <v>0</v>
      </c>
      <c r="Q241" s="5">
        <v>0</v>
      </c>
      <c r="R241" s="25">
        <f t="shared" si="65"/>
        <v>0</v>
      </c>
      <c r="S241" s="5">
        <f t="shared" si="66"/>
        <v>851.44</v>
      </c>
      <c r="T241" s="25">
        <f t="shared" si="67"/>
        <v>1</v>
      </c>
      <c r="U241" s="25">
        <f t="shared" si="68"/>
        <v>1.1698509900515263E-3</v>
      </c>
    </row>
    <row r="242" spans="1:21" x14ac:dyDescent="0.3">
      <c r="A242" s="15" t="s">
        <v>74</v>
      </c>
      <c r="B242" s="49" t="str">
        <f>VLOOKUP(A242,MEMORIA!$A:$N,2,FALSE)</f>
        <v>PISO</v>
      </c>
      <c r="C242" s="50"/>
      <c r="D242" s="50"/>
      <c r="E242" s="50"/>
      <c r="F242" s="50"/>
      <c r="G242" s="50"/>
      <c r="H242" s="51"/>
      <c r="I242" s="16">
        <f>SUM(I$243:I$245)</f>
        <v>1208.82</v>
      </c>
      <c r="J242" s="16">
        <f>SUM(J$243:J$245)</f>
        <v>0</v>
      </c>
      <c r="K242" s="16"/>
      <c r="L242" s="17">
        <f t="shared" si="62"/>
        <v>0</v>
      </c>
      <c r="M242" s="16">
        <f>SUM(M$243:M$245)</f>
        <v>1208.82</v>
      </c>
      <c r="N242" s="16"/>
      <c r="O242" s="17">
        <f t="shared" si="64"/>
        <v>1</v>
      </c>
      <c r="P242" s="16">
        <f>SUM(P$243:P$245)</f>
        <v>0</v>
      </c>
      <c r="Q242" s="16"/>
      <c r="R242" s="17">
        <f t="shared" si="65"/>
        <v>0</v>
      </c>
      <c r="S242" s="16">
        <f t="shared" si="66"/>
        <v>1208.82</v>
      </c>
      <c r="T242" s="17">
        <f t="shared" si="67"/>
        <v>1</v>
      </c>
      <c r="U242" s="17">
        <f t="shared" si="68"/>
        <v>1.6608795379522761E-3</v>
      </c>
    </row>
    <row r="243" spans="1:21" ht="28.8" x14ac:dyDescent="0.3">
      <c r="A243" s="23" t="s">
        <v>323</v>
      </c>
      <c r="B243" s="23">
        <f>VLOOKUP(A243,MEMORIA!$A:$N,2,FALSE)</f>
        <v>96617</v>
      </c>
      <c r="C243" s="23" t="str">
        <f>VLOOKUP(A243,MEMORIA!$A:$N,3,FALSE)</f>
        <v>SINAPI</v>
      </c>
      <c r="D243" s="24" t="str">
        <f>VLOOKUP(A243,MEMORIA!$A:$N,4,FALSE)</f>
        <v>LASTRO DE CONCRETO MAGRO, APLICADO EM BLOCOS DE COROAMENTO OU SAPATAS, ESPESSURA DE 3 CM. AF_01/2024</v>
      </c>
      <c r="E243" s="23" t="str">
        <f>VLOOKUP(A243,MEMORIA!$A:$N,5,FALSE)</f>
        <v>M2</v>
      </c>
      <c r="F243" s="5">
        <f>VLOOKUP(A243,MEMORIA!$A:$N,14,FALSE)</f>
        <v>4</v>
      </c>
      <c r="G243" s="5">
        <f>VLOOKUP(A243,ORCAMENTO!$A:$I,7,FALSE)</f>
        <v>23.990000000000002</v>
      </c>
      <c r="H243" s="5">
        <f>VLOOKUP(A243,ORCAMENTO!$A:$I,8,FALSE)</f>
        <v>29.950000000000003</v>
      </c>
      <c r="I243" s="5">
        <f>ROUND(F243*H243,2)</f>
        <v>119.8</v>
      </c>
      <c r="J243" s="5">
        <f>ROUND(K243*$H243,2)</f>
        <v>0</v>
      </c>
      <c r="K243" s="5">
        <v>0</v>
      </c>
      <c r="L243" s="25">
        <f t="shared" si="62"/>
        <v>0</v>
      </c>
      <c r="M243" s="5">
        <f>ROUND(N243*$H243,2)</f>
        <v>119.8</v>
      </c>
      <c r="N243" s="5">
        <f t="shared" si="73"/>
        <v>4</v>
      </c>
      <c r="O243" s="25">
        <f t="shared" si="64"/>
        <v>1</v>
      </c>
      <c r="P243" s="5">
        <f>ROUND(Q243*$H243,2)</f>
        <v>0</v>
      </c>
      <c r="Q243" s="5">
        <v>0</v>
      </c>
      <c r="R243" s="25">
        <f t="shared" si="65"/>
        <v>0</v>
      </c>
      <c r="S243" s="5">
        <f t="shared" si="66"/>
        <v>119.8</v>
      </c>
      <c r="T243" s="25">
        <f t="shared" si="67"/>
        <v>1</v>
      </c>
      <c r="U243" s="25">
        <f t="shared" si="68"/>
        <v>1.6460132083079588E-4</v>
      </c>
    </row>
    <row r="244" spans="1:21" ht="28.8" x14ac:dyDescent="0.3">
      <c r="A244" s="23" t="s">
        <v>324</v>
      </c>
      <c r="B244" s="23">
        <f>VLOOKUP(A244,MEMORIA!$A:$N,2,FALSE)</f>
        <v>101749</v>
      </c>
      <c r="C244" s="23" t="str">
        <f>VLOOKUP(A244,MEMORIA!$A:$N,3,FALSE)</f>
        <v>SINAPI</v>
      </c>
      <c r="D244" s="24" t="str">
        <f>VLOOKUP(A244,MEMORIA!$A:$N,4,FALSE)</f>
        <v>PISO CIMENTADO, TRAÇO 1:3 (CIMENTO E AREIA), ACABAMENTO LISO, ESPESSURA 4,0 CM, PREPARO MECÂNICO DA ARGAMASSA. AF_09/2020</v>
      </c>
      <c r="E244" s="23" t="str">
        <f>VLOOKUP(A244,MEMORIA!$A:$N,5,FALSE)</f>
        <v>M2</v>
      </c>
      <c r="F244" s="5">
        <f>VLOOKUP(A244,MEMORIA!$A:$N,14,FALSE)</f>
        <v>4</v>
      </c>
      <c r="G244" s="5">
        <f>VLOOKUP(A244,ORCAMENTO!$A:$I,7,FALSE)</f>
        <v>64.739999999999995</v>
      </c>
      <c r="H244" s="5">
        <f>VLOOKUP(A244,ORCAMENTO!$A:$I,8,FALSE)</f>
        <v>80.819999999999993</v>
      </c>
      <c r="I244" s="5">
        <f>ROUND(F244*H244,2)</f>
        <v>323.27999999999997</v>
      </c>
      <c r="J244" s="5">
        <f>ROUND(K244*$H244,2)</f>
        <v>0</v>
      </c>
      <c r="K244" s="5">
        <v>0</v>
      </c>
      <c r="L244" s="25">
        <f t="shared" si="62"/>
        <v>0</v>
      </c>
      <c r="M244" s="5">
        <f>ROUND(N244*$H244,2)</f>
        <v>323.27999999999997</v>
      </c>
      <c r="N244" s="5">
        <f t="shared" si="73"/>
        <v>4</v>
      </c>
      <c r="O244" s="25">
        <f t="shared" si="64"/>
        <v>1</v>
      </c>
      <c r="P244" s="5">
        <f>ROUND(Q244*$H244,2)</f>
        <v>0</v>
      </c>
      <c r="Q244" s="5">
        <v>0</v>
      </c>
      <c r="R244" s="25">
        <f t="shared" si="65"/>
        <v>0</v>
      </c>
      <c r="S244" s="5">
        <f t="shared" si="66"/>
        <v>323.27999999999997</v>
      </c>
      <c r="T244" s="25">
        <f t="shared" si="67"/>
        <v>1</v>
      </c>
      <c r="U244" s="25">
        <f t="shared" si="68"/>
        <v>4.4417625207161679E-4</v>
      </c>
    </row>
    <row r="245" spans="1:21" ht="43.2" x14ac:dyDescent="0.3">
      <c r="A245" s="23" t="s">
        <v>325</v>
      </c>
      <c r="B245" s="23">
        <f>VLOOKUP(A245,MEMORIA!$A:$N,2,FALSE)</f>
        <v>94994</v>
      </c>
      <c r="C245" s="23" t="str">
        <f>VLOOKUP(A245,MEMORIA!$A:$N,3,FALSE)</f>
        <v>SINAPI</v>
      </c>
      <c r="D245" s="24" t="str">
        <f>VLOOKUP(A245,MEMORIA!$A:$N,4,FALSE)</f>
        <v>EXECUÇÃO DE PASSEIO (CALÇADA) OU PISO DE CONCRETO COM CONCRETO MOLDADO IN LOCO, FEITO EM OBRA, ACABAMENTO CONVENCIONAL, ESPESSURA 8 CM, ARMADO. AF_08/2022</v>
      </c>
      <c r="E245" s="23" t="str">
        <f>VLOOKUP(A245,MEMORIA!$A:$N,5,FALSE)</f>
        <v>M2</v>
      </c>
      <c r="F245" s="5">
        <f>VLOOKUP(A245,MEMORIA!$A:$N,14,FALSE)</f>
        <v>5.6</v>
      </c>
      <c r="G245" s="5">
        <f>VLOOKUP(A245,ORCAMENTO!$A:$I,7,FALSE)</f>
        <v>109.53000000000002</v>
      </c>
      <c r="H245" s="5">
        <f>VLOOKUP(A245,ORCAMENTO!$A:$I,8,FALSE)</f>
        <v>136.74</v>
      </c>
      <c r="I245" s="5">
        <f>ROUND(F245*H245,2)</f>
        <v>765.74</v>
      </c>
      <c r="J245" s="5">
        <f>ROUND(K245*$H245,2)</f>
        <v>0</v>
      </c>
      <c r="K245" s="5">
        <v>0</v>
      </c>
      <c r="L245" s="25">
        <f t="shared" si="62"/>
        <v>0</v>
      </c>
      <c r="M245" s="5">
        <f>ROUND(N245*$H245,2)</f>
        <v>765.74</v>
      </c>
      <c r="N245" s="5">
        <f t="shared" si="73"/>
        <v>5.6</v>
      </c>
      <c r="O245" s="25">
        <f t="shared" si="64"/>
        <v>1</v>
      </c>
      <c r="P245" s="5">
        <f>ROUND(Q245*$H245,2)</f>
        <v>0</v>
      </c>
      <c r="Q245" s="5">
        <v>0</v>
      </c>
      <c r="R245" s="25">
        <f t="shared" si="65"/>
        <v>0</v>
      </c>
      <c r="S245" s="5">
        <f t="shared" si="66"/>
        <v>765.74</v>
      </c>
      <c r="T245" s="25">
        <f t="shared" si="67"/>
        <v>1</v>
      </c>
      <c r="U245" s="25">
        <f t="shared" si="68"/>
        <v>1.0521019650498635E-3</v>
      </c>
    </row>
    <row r="246" spans="1:21" x14ac:dyDescent="0.3">
      <c r="A246" s="15" t="s">
        <v>75</v>
      </c>
      <c r="B246" s="49" t="str">
        <f>VLOOKUP(A246,MEMORIA!$A:$N,2,FALSE)</f>
        <v>REVESTIMENTO</v>
      </c>
      <c r="C246" s="50"/>
      <c r="D246" s="50"/>
      <c r="E246" s="50"/>
      <c r="F246" s="50"/>
      <c r="G246" s="50"/>
      <c r="H246" s="51"/>
      <c r="I246" s="16">
        <f>SUM(I$247:I$248)</f>
        <v>2396.75</v>
      </c>
      <c r="J246" s="16">
        <f>SUM(J$247:J$248)</f>
        <v>0</v>
      </c>
      <c r="K246" s="16"/>
      <c r="L246" s="17">
        <f t="shared" si="62"/>
        <v>0</v>
      </c>
      <c r="M246" s="16">
        <f>SUM(M$247:M$248)</f>
        <v>2396.75</v>
      </c>
      <c r="N246" s="16"/>
      <c r="O246" s="17">
        <f t="shared" si="64"/>
        <v>1</v>
      </c>
      <c r="P246" s="16">
        <f>SUM(P$247:P$248)</f>
        <v>0</v>
      </c>
      <c r="Q246" s="16"/>
      <c r="R246" s="17">
        <f t="shared" si="65"/>
        <v>0</v>
      </c>
      <c r="S246" s="16">
        <f t="shared" si="66"/>
        <v>2396.75</v>
      </c>
      <c r="T246" s="17">
        <f t="shared" si="67"/>
        <v>1</v>
      </c>
      <c r="U246" s="17">
        <f t="shared" si="68"/>
        <v>3.2930568923306347E-3</v>
      </c>
    </row>
    <row r="247" spans="1:21" ht="43.2" x14ac:dyDescent="0.3">
      <c r="A247" s="23" t="s">
        <v>326</v>
      </c>
      <c r="B247" s="23">
        <f>VLOOKUP(A247,MEMORIA!$A:$N,2,FALSE)</f>
        <v>87904</v>
      </c>
      <c r="C247" s="23" t="str">
        <f>VLOOKUP(A247,MEMORIA!$A:$N,3,FALSE)</f>
        <v>SINAPI</v>
      </c>
      <c r="D247" s="24" t="str">
        <f>VLOOKUP(A247,MEMORIA!$A:$N,4,FALSE)</f>
        <v>CHAPISCO APLICADO EM ALVENARIA (COM PRESENÇA DE VÃOS) E ESTRUTURAS DE CONCRETO DE FACHADA, COM COLHER DE PEDREIRO. ARGAMASSA TRAÇO 1:3 COM PREPARO MANUAL. AF_10/2022</v>
      </c>
      <c r="E247" s="23" t="str">
        <f>VLOOKUP(A247,MEMORIA!$A:$N,5,FALSE)</f>
        <v>M2</v>
      </c>
      <c r="F247" s="5">
        <f>VLOOKUP(A247,MEMORIA!$A:$N,14,FALSE)</f>
        <v>38.619999999999997</v>
      </c>
      <c r="G247" s="5">
        <f>VLOOKUP(A247,ORCAMENTO!$A:$I,7,FALSE)</f>
        <v>8.74</v>
      </c>
      <c r="H247" s="5">
        <f>VLOOKUP(A247,ORCAMENTO!$A:$I,8,FALSE)</f>
        <v>10.91</v>
      </c>
      <c r="I247" s="5">
        <f>ROUND(F247*H247,2)</f>
        <v>421.34</v>
      </c>
      <c r="J247" s="5">
        <f>ROUND(K247*$H247,2)</f>
        <v>0</v>
      </c>
      <c r="K247" s="5">
        <v>0</v>
      </c>
      <c r="L247" s="25">
        <f t="shared" si="62"/>
        <v>0</v>
      </c>
      <c r="M247" s="5">
        <f>ROUND(N247*$H247,2)</f>
        <v>421.34</v>
      </c>
      <c r="N247" s="5">
        <f t="shared" si="73"/>
        <v>38.619999999999997</v>
      </c>
      <c r="O247" s="25">
        <f t="shared" si="64"/>
        <v>1</v>
      </c>
      <c r="P247" s="5">
        <f>ROUND(Q247*$H247,2)</f>
        <v>0</v>
      </c>
      <c r="Q247" s="5">
        <v>0</v>
      </c>
      <c r="R247" s="25">
        <f t="shared" si="65"/>
        <v>0</v>
      </c>
      <c r="S247" s="5">
        <f t="shared" si="66"/>
        <v>421.34</v>
      </c>
      <c r="T247" s="25">
        <f t="shared" si="67"/>
        <v>1</v>
      </c>
      <c r="U247" s="25">
        <f t="shared" si="68"/>
        <v>5.7890751685181583E-4</v>
      </c>
    </row>
    <row r="248" spans="1:21" ht="43.2" x14ac:dyDescent="0.3">
      <c r="A248" s="23" t="s">
        <v>327</v>
      </c>
      <c r="B248" s="23">
        <f>VLOOKUP(A248,MEMORIA!$A:$N,2,FALSE)</f>
        <v>87530</v>
      </c>
      <c r="C248" s="23" t="str">
        <f>VLOOKUP(A248,MEMORIA!$A:$N,3,FALSE)</f>
        <v>SINAPI</v>
      </c>
      <c r="D248" s="24" t="str">
        <f>VLOOKUP(A248,MEMORIA!$A:$N,4,FALSE)</f>
        <v>MASSA ÚNICA, EM ARGAMASSA TRAÇO 1:2:8, PREPARO MANUAL, APLICADA MANUALMENTE EM PAREDES INTERNAS DE AMBIENTES COM ÁREA ENTRE 5M² E 10M², E = 17,5MM, COM TALISCAS. AF_03/2024</v>
      </c>
      <c r="E248" s="23" t="str">
        <f>VLOOKUP(A248,MEMORIA!$A:$N,5,FALSE)</f>
        <v>M2</v>
      </c>
      <c r="F248" s="5">
        <f>VLOOKUP(A248,MEMORIA!$A:$N,14,FALSE)</f>
        <v>38.619999999999997</v>
      </c>
      <c r="G248" s="5">
        <f>VLOOKUP(A248,ORCAMENTO!$A:$I,7,FALSE)</f>
        <v>40.97</v>
      </c>
      <c r="H248" s="5">
        <f>VLOOKUP(A248,ORCAMENTO!$A:$I,8,FALSE)</f>
        <v>51.15</v>
      </c>
      <c r="I248" s="5">
        <f>ROUND(F248*H248,2)</f>
        <v>1975.41</v>
      </c>
      <c r="J248" s="5">
        <f>ROUND(K248*$H248,2)</f>
        <v>0</v>
      </c>
      <c r="K248" s="5">
        <v>0</v>
      </c>
      <c r="L248" s="25">
        <f t="shared" si="62"/>
        <v>0</v>
      </c>
      <c r="M248" s="5">
        <f>ROUND(N248*$H248,2)</f>
        <v>1975.41</v>
      </c>
      <c r="N248" s="5">
        <f t="shared" si="73"/>
        <v>38.619999999999997</v>
      </c>
      <c r="O248" s="25">
        <f t="shared" si="64"/>
        <v>1</v>
      </c>
      <c r="P248" s="5">
        <f>ROUND(Q248*$H248,2)</f>
        <v>0</v>
      </c>
      <c r="Q248" s="5">
        <v>0</v>
      </c>
      <c r="R248" s="25">
        <f t="shared" si="65"/>
        <v>0</v>
      </c>
      <c r="S248" s="5">
        <f t="shared" si="66"/>
        <v>1975.41</v>
      </c>
      <c r="T248" s="25">
        <f t="shared" si="67"/>
        <v>1</v>
      </c>
      <c r="U248" s="25">
        <f t="shared" si="68"/>
        <v>2.7141493754788189E-3</v>
      </c>
    </row>
    <row r="249" spans="1:21" x14ac:dyDescent="0.3">
      <c r="A249" s="15" t="s">
        <v>76</v>
      </c>
      <c r="B249" s="49" t="str">
        <f>VLOOKUP(A249,MEMORIA!$A:$N,2,FALSE)</f>
        <v>ESQUADRIAS</v>
      </c>
      <c r="C249" s="50"/>
      <c r="D249" s="50"/>
      <c r="E249" s="50"/>
      <c r="F249" s="50"/>
      <c r="G249" s="50"/>
      <c r="H249" s="51"/>
      <c r="I249" s="16">
        <f>SUM(I$250:I$251)</f>
        <v>4550.21</v>
      </c>
      <c r="J249" s="16">
        <f>SUM(J$250:J$251)</f>
        <v>0</v>
      </c>
      <c r="K249" s="16"/>
      <c r="L249" s="17">
        <f t="shared" si="62"/>
        <v>0</v>
      </c>
      <c r="M249" s="16">
        <f>SUM(M$250:M$251)</f>
        <v>4550.21</v>
      </c>
      <c r="N249" s="16"/>
      <c r="O249" s="17">
        <f t="shared" si="64"/>
        <v>1</v>
      </c>
      <c r="P249" s="16">
        <f>SUM(P$250:P$251)</f>
        <v>0</v>
      </c>
      <c r="Q249" s="16"/>
      <c r="R249" s="17">
        <f t="shared" si="65"/>
        <v>0</v>
      </c>
      <c r="S249" s="16">
        <f t="shared" si="66"/>
        <v>4550.21</v>
      </c>
      <c r="T249" s="17">
        <f t="shared" si="67"/>
        <v>1</v>
      </c>
      <c r="U249" s="17">
        <f t="shared" si="68"/>
        <v>6.2518412024832699E-3</v>
      </c>
    </row>
    <row r="250" spans="1:21" x14ac:dyDescent="0.3">
      <c r="A250" s="23" t="s">
        <v>328</v>
      </c>
      <c r="B250" s="23">
        <f>VLOOKUP(A250,MEMORIA!$A:$N,2,FALSE)</f>
        <v>100701</v>
      </c>
      <c r="C250" s="23" t="str">
        <f>VLOOKUP(A250,MEMORIA!$A:$N,3,FALSE)</f>
        <v>SINAPI</v>
      </c>
      <c r="D250" s="24" t="str">
        <f>VLOOKUP(A250,MEMORIA!$A:$N,4,FALSE)</f>
        <v>PORTA DE FERRO, DE ABRIR, TIPO GRADE COM CHAPA, COM GUARNIÇÕES. AF_12/2019</v>
      </c>
      <c r="E250" s="23" t="str">
        <f>VLOOKUP(A250,MEMORIA!$A:$N,5,FALSE)</f>
        <v>M2</v>
      </c>
      <c r="F250" s="5">
        <f>VLOOKUP(A250,MEMORIA!$A:$N,14,FALSE)</f>
        <v>1.68</v>
      </c>
      <c r="G250" s="5">
        <f>VLOOKUP(A250,ORCAMENTO!$A:$I,7,FALSE)</f>
        <v>415.3</v>
      </c>
      <c r="H250" s="5">
        <f>VLOOKUP(A250,ORCAMENTO!$A:$I,8,FALSE)</f>
        <v>518.46</v>
      </c>
      <c r="I250" s="5">
        <f>ROUND(F250*H250,2)</f>
        <v>871.01</v>
      </c>
      <c r="J250" s="5">
        <f>ROUND(K250*$H250,2)</f>
        <v>0</v>
      </c>
      <c r="K250" s="5">
        <v>0</v>
      </c>
      <c r="L250" s="25">
        <f t="shared" si="62"/>
        <v>0</v>
      </c>
      <c r="M250" s="5">
        <f>ROUND(N250*$H250,2)</f>
        <v>871.01</v>
      </c>
      <c r="N250" s="5">
        <f t="shared" si="73"/>
        <v>1.68</v>
      </c>
      <c r="O250" s="25">
        <f t="shared" si="64"/>
        <v>1</v>
      </c>
      <c r="P250" s="5">
        <f>ROUND(Q250*$H250,2)</f>
        <v>0</v>
      </c>
      <c r="Q250" s="5">
        <v>0</v>
      </c>
      <c r="R250" s="25">
        <f t="shared" si="65"/>
        <v>0</v>
      </c>
      <c r="S250" s="5">
        <f t="shared" si="66"/>
        <v>871.01</v>
      </c>
      <c r="T250" s="25">
        <f t="shared" si="67"/>
        <v>1</v>
      </c>
      <c r="U250" s="25">
        <f t="shared" si="68"/>
        <v>1.196739536367542E-3</v>
      </c>
    </row>
    <row r="251" spans="1:21" ht="28.8" x14ac:dyDescent="0.3">
      <c r="A251" s="23" t="s">
        <v>329</v>
      </c>
      <c r="B251" s="23" t="str">
        <f>VLOOKUP(A251,MEMORIA!$A:$N,2,FALSE)</f>
        <v>C3659</v>
      </c>
      <c r="C251" s="23" t="str">
        <f>VLOOKUP(A251,MEMORIA!$A:$N,3,FALSE)</f>
        <v>SEINFRA</v>
      </c>
      <c r="D251" s="24" t="str">
        <f>VLOOKUP(A251,MEMORIA!$A:$N,4,FALSE)</f>
        <v>PORTÃO DE METALON E BARRA CHATA DE FERRO C/FECHADURA E DOBRADIÇA, INCLUS. PINTURA ESMALTE SINTÉTICO</v>
      </c>
      <c r="E251" s="23" t="str">
        <f>VLOOKUP(A251,MEMORIA!$A:$N,5,FALSE)</f>
        <v>M2</v>
      </c>
      <c r="F251" s="5">
        <f>VLOOKUP(A251,MEMORIA!$A:$N,14,FALSE)</f>
        <v>6</v>
      </c>
      <c r="G251" s="5">
        <f>VLOOKUP(A251,ORCAMENTO!$A:$I,7,FALSE)</f>
        <v>491.19000000000005</v>
      </c>
      <c r="H251" s="5">
        <f>VLOOKUP(A251,ORCAMENTO!$A:$I,8,FALSE)</f>
        <v>613.20000000000005</v>
      </c>
      <c r="I251" s="5">
        <f>ROUND(F251*H251,2)</f>
        <v>3679.2</v>
      </c>
      <c r="J251" s="5">
        <f>ROUND(K251*$H251,2)</f>
        <v>0</v>
      </c>
      <c r="K251" s="5">
        <v>0</v>
      </c>
      <c r="L251" s="25">
        <f t="shared" si="62"/>
        <v>0</v>
      </c>
      <c r="M251" s="5">
        <f>ROUND(N251*$H251,2)</f>
        <v>3679.2</v>
      </c>
      <c r="N251" s="5">
        <f t="shared" si="73"/>
        <v>6</v>
      </c>
      <c r="O251" s="25">
        <f t="shared" si="64"/>
        <v>1</v>
      </c>
      <c r="P251" s="5">
        <f>ROUND(Q251*$H251,2)</f>
        <v>0</v>
      </c>
      <c r="Q251" s="5">
        <v>0</v>
      </c>
      <c r="R251" s="25">
        <f t="shared" si="65"/>
        <v>0</v>
      </c>
      <c r="S251" s="5">
        <f t="shared" si="66"/>
        <v>3679.2</v>
      </c>
      <c r="T251" s="25">
        <f t="shared" si="67"/>
        <v>1</v>
      </c>
      <c r="U251" s="25">
        <f t="shared" si="68"/>
        <v>5.0551016661157279E-3</v>
      </c>
    </row>
    <row r="252" spans="1:21" x14ac:dyDescent="0.3">
      <c r="A252" s="15" t="s">
        <v>77</v>
      </c>
      <c r="B252" s="49" t="str">
        <f>VLOOKUP(A252,MEMORIA!$A:$N,2,FALSE)</f>
        <v>PINTURA</v>
      </c>
      <c r="C252" s="50"/>
      <c r="D252" s="50"/>
      <c r="E252" s="50"/>
      <c r="F252" s="50"/>
      <c r="G252" s="50"/>
      <c r="H252" s="51"/>
      <c r="I252" s="16">
        <f>SUM(I$253:I$254)</f>
        <v>663.11</v>
      </c>
      <c r="J252" s="16">
        <f>SUM(J$253:J$254)</f>
        <v>0</v>
      </c>
      <c r="K252" s="16"/>
      <c r="L252" s="17">
        <f t="shared" si="62"/>
        <v>0</v>
      </c>
      <c r="M252" s="16">
        <f>SUM(M$253:M$254)</f>
        <v>663.11</v>
      </c>
      <c r="N252" s="16"/>
      <c r="O252" s="17">
        <f t="shared" si="64"/>
        <v>1</v>
      </c>
      <c r="P252" s="16">
        <f>SUM(P$253:P$254)</f>
        <v>0</v>
      </c>
      <c r="Q252" s="16"/>
      <c r="R252" s="17">
        <f t="shared" si="65"/>
        <v>0</v>
      </c>
      <c r="S252" s="16">
        <f t="shared" si="66"/>
        <v>663.11</v>
      </c>
      <c r="T252" s="17">
        <f t="shared" si="67"/>
        <v>1</v>
      </c>
      <c r="U252" s="17">
        <f t="shared" si="68"/>
        <v>9.1109166824798889E-4</v>
      </c>
    </row>
    <row r="253" spans="1:21" x14ac:dyDescent="0.3">
      <c r="A253" s="23" t="s">
        <v>330</v>
      </c>
      <c r="B253" s="23" t="str">
        <f>VLOOKUP(A253,MEMORIA!$A:$N,2,FALSE)</f>
        <v>COMP205</v>
      </c>
      <c r="C253" s="23" t="str">
        <f>VLOOKUP(A253,MEMORIA!$A:$N,3,FALSE)</f>
        <v>PRÓPRIA</v>
      </c>
      <c r="D253" s="24" t="str">
        <f>VLOOKUP(A253,MEMORIA!$A:$N,4,FALSE)</f>
        <v>CAIAÇÃO EM TRES DEMÃOS EM PAREDES (REF: C0589-SEINFRA 28)</v>
      </c>
      <c r="E253" s="23" t="str">
        <f>VLOOKUP(A253,MEMORIA!$A:$N,5,FALSE)</f>
        <v>M2</v>
      </c>
      <c r="F253" s="5">
        <f>VLOOKUP(A253,MEMORIA!$A:$N,14,FALSE)</f>
        <v>38.619999999999997</v>
      </c>
      <c r="G253" s="5">
        <f>VLOOKUP(A253,ORCAMENTO!$A:$I,7,FALSE)</f>
        <v>9.3800000000000008</v>
      </c>
      <c r="H253" s="5">
        <f>VLOOKUP(A253,ORCAMENTO!$A:$I,8,FALSE)</f>
        <v>11.71</v>
      </c>
      <c r="I253" s="5">
        <f>ROUND(F253*H253,2)</f>
        <v>452.24</v>
      </c>
      <c r="J253" s="5">
        <f>ROUND(K253*$H253,2)</f>
        <v>0</v>
      </c>
      <c r="K253" s="5">
        <v>0</v>
      </c>
      <c r="L253" s="25">
        <f t="shared" si="62"/>
        <v>0</v>
      </c>
      <c r="M253" s="5">
        <f>ROUND(N253*$H253,2)</f>
        <v>452.24</v>
      </c>
      <c r="N253" s="5">
        <f t="shared" si="73"/>
        <v>38.619999999999997</v>
      </c>
      <c r="O253" s="25">
        <f t="shared" si="64"/>
        <v>1</v>
      </c>
      <c r="P253" s="5">
        <f>ROUND(Q253*$H253,2)</f>
        <v>0</v>
      </c>
      <c r="Q253" s="5">
        <v>0</v>
      </c>
      <c r="R253" s="25">
        <f t="shared" si="65"/>
        <v>0</v>
      </c>
      <c r="S253" s="5">
        <f t="shared" si="66"/>
        <v>452.24</v>
      </c>
      <c r="T253" s="25">
        <f t="shared" si="67"/>
        <v>1</v>
      </c>
      <c r="U253" s="25">
        <f t="shared" si="68"/>
        <v>6.2136311629815643E-4</v>
      </c>
    </row>
    <row r="254" spans="1:21" ht="43.2" x14ac:dyDescent="0.3">
      <c r="A254" s="23" t="s">
        <v>331</v>
      </c>
      <c r="B254" s="23">
        <f>VLOOKUP(A254,MEMORIA!$A:$N,2,FALSE)</f>
        <v>100758</v>
      </c>
      <c r="C254" s="23" t="str">
        <f>VLOOKUP(A254,MEMORIA!$A:$N,3,FALSE)</f>
        <v>SINAPI</v>
      </c>
      <c r="D254" s="24" t="str">
        <f>VLOOKUP(A254,MEMORIA!$A:$N,4,FALSE)</f>
        <v>PINTURA COM TINTA ALQUÍDICA DE ACABAMENTO (ESMALTE SINTÉTICO ACETINADO) APLICADA A ROLO OU PINCEL SOBRE SUPERFÍCIES METÁLICAS (EXCETO PERFIL) EXECUTADO EM OBRA (02 DEMÃOS). AF_01/2020</v>
      </c>
      <c r="E254" s="23" t="str">
        <f>VLOOKUP(A254,MEMORIA!$A:$N,5,FALSE)</f>
        <v>M2</v>
      </c>
      <c r="F254" s="5">
        <f>VLOOKUP(A254,MEMORIA!$A:$N,14,FALSE)</f>
        <v>3.36</v>
      </c>
      <c r="G254" s="5">
        <f>VLOOKUP(A254,ORCAMENTO!$A:$I,7,FALSE)</f>
        <v>50.269999999999996</v>
      </c>
      <c r="H254" s="5">
        <f>VLOOKUP(A254,ORCAMENTO!$A:$I,8,FALSE)</f>
        <v>62.76</v>
      </c>
      <c r="I254" s="5">
        <f>ROUND(F254*H254,2)</f>
        <v>210.87</v>
      </c>
      <c r="J254" s="5">
        <f>ROUND(K254*$H254,2)</f>
        <v>0</v>
      </c>
      <c r="K254" s="5">
        <v>0</v>
      </c>
      <c r="L254" s="25">
        <f t="shared" si="62"/>
        <v>0</v>
      </c>
      <c r="M254" s="5">
        <f>ROUND(N254*$H254,2)</f>
        <v>210.87</v>
      </c>
      <c r="N254" s="5">
        <f t="shared" si="73"/>
        <v>3.36</v>
      </c>
      <c r="O254" s="25">
        <f t="shared" si="64"/>
        <v>1</v>
      </c>
      <c r="P254" s="5">
        <f>ROUND(Q254*$H254,2)</f>
        <v>0</v>
      </c>
      <c r="Q254" s="5">
        <v>0</v>
      </c>
      <c r="R254" s="25">
        <f t="shared" si="65"/>
        <v>0</v>
      </c>
      <c r="S254" s="5">
        <f t="shared" si="66"/>
        <v>210.87</v>
      </c>
      <c r="T254" s="25">
        <f t="shared" si="67"/>
        <v>1</v>
      </c>
      <c r="U254" s="25">
        <f t="shared" si="68"/>
        <v>2.8972855194983247E-4</v>
      </c>
    </row>
    <row r="255" spans="1:21" x14ac:dyDescent="0.3">
      <c r="A255" s="15" t="s">
        <v>78</v>
      </c>
      <c r="B255" s="49" t="str">
        <f>VLOOKUP(A255,MEMORIA!$A:$N,2,FALSE)</f>
        <v>CERCAMENTO</v>
      </c>
      <c r="C255" s="50"/>
      <c r="D255" s="50"/>
      <c r="E255" s="50"/>
      <c r="F255" s="50"/>
      <c r="G255" s="50"/>
      <c r="H255" s="51"/>
      <c r="I255" s="16">
        <f>SUM(I$256:I$256)</f>
        <v>6063.93</v>
      </c>
      <c r="J255" s="16">
        <f>SUM(J$256:J$256)</f>
        <v>0</v>
      </c>
      <c r="K255" s="16"/>
      <c r="L255" s="17">
        <f t="shared" si="62"/>
        <v>0</v>
      </c>
      <c r="M255" s="16">
        <f>SUM(M$256:M$256)</f>
        <v>6063.93</v>
      </c>
      <c r="N255" s="16"/>
      <c r="O255" s="17">
        <f t="shared" si="64"/>
        <v>1</v>
      </c>
      <c r="P255" s="16">
        <f>SUM(P$256:P$256)</f>
        <v>0</v>
      </c>
      <c r="Q255" s="16"/>
      <c r="R255" s="17">
        <f t="shared" si="65"/>
        <v>0</v>
      </c>
      <c r="S255" s="16">
        <f t="shared" si="66"/>
        <v>6063.93</v>
      </c>
      <c r="T255" s="17">
        <f t="shared" si="67"/>
        <v>1</v>
      </c>
      <c r="U255" s="17">
        <f t="shared" si="68"/>
        <v>8.3316434676584984E-3</v>
      </c>
    </row>
    <row r="256" spans="1:21" ht="43.2" x14ac:dyDescent="0.3">
      <c r="A256" s="23" t="s">
        <v>332</v>
      </c>
      <c r="B256" s="23">
        <f>VLOOKUP(A256,MEMORIA!$A:$N,2,FALSE)</f>
        <v>101197</v>
      </c>
      <c r="C256" s="23" t="str">
        <f>VLOOKUP(A256,MEMORIA!$A:$N,3,FALSE)</f>
        <v>SINAPI</v>
      </c>
      <c r="D256" s="24" t="str">
        <f>VLOOKUP(A256,MEMORIA!$A:$N,4,FALSE)</f>
        <v>CERCA COM MOURÕES DE CONCRETO, SEÇÃO "T" PONTA INCLINADA, 10X10 CM, ESPAÇAMENTO DE 2,5 M, CRAVADOS 0,5 M, COM 11 FIOS DE ARAME FARPADO Nº 14 - FORNECIMENTO E INSTALAÇÃO. AF_05/2020</v>
      </c>
      <c r="E256" s="23" t="str">
        <f>VLOOKUP(A256,MEMORIA!$A:$N,5,FALSE)</f>
        <v>M</v>
      </c>
      <c r="F256" s="5">
        <f>VLOOKUP(A256,MEMORIA!$A:$N,14,FALSE)</f>
        <v>37</v>
      </c>
      <c r="G256" s="5">
        <f>VLOOKUP(A256,ORCAMENTO!$A:$I,7,FALSE)</f>
        <v>131.28</v>
      </c>
      <c r="H256" s="5">
        <f>VLOOKUP(A256,ORCAMENTO!$A:$I,8,FALSE)</f>
        <v>163.89</v>
      </c>
      <c r="I256" s="5">
        <f>ROUND(F256*H256,2)</f>
        <v>6063.93</v>
      </c>
      <c r="J256" s="5">
        <f>ROUND(K256*$H256,2)</f>
        <v>0</v>
      </c>
      <c r="K256" s="5">
        <v>0</v>
      </c>
      <c r="L256" s="25">
        <f t="shared" si="62"/>
        <v>0</v>
      </c>
      <c r="M256" s="5">
        <f>ROUND(N256*$H256,2)</f>
        <v>6063.93</v>
      </c>
      <c r="N256" s="5">
        <f t="shared" si="73"/>
        <v>37</v>
      </c>
      <c r="O256" s="25">
        <f t="shared" si="64"/>
        <v>1</v>
      </c>
      <c r="P256" s="5">
        <f>ROUND(Q256*$H256,2)</f>
        <v>0</v>
      </c>
      <c r="Q256" s="5">
        <v>0</v>
      </c>
      <c r="R256" s="25">
        <f t="shared" si="65"/>
        <v>0</v>
      </c>
      <c r="S256" s="5">
        <f t="shared" si="66"/>
        <v>6063.93</v>
      </c>
      <c r="T256" s="25">
        <f t="shared" si="67"/>
        <v>1</v>
      </c>
      <c r="U256" s="25">
        <f t="shared" si="68"/>
        <v>8.3316434676584984E-3</v>
      </c>
    </row>
    <row r="257" spans="1:21" x14ac:dyDescent="0.3">
      <c r="A257" s="12" t="s">
        <v>79</v>
      </c>
      <c r="B257" s="46" t="str">
        <f>VLOOKUP(A257,MEMORIA!$A:$N,2,FALSE)</f>
        <v>INSTALAÇÕES ELÉTRICAS</v>
      </c>
      <c r="C257" s="47"/>
      <c r="D257" s="47"/>
      <c r="E257" s="47"/>
      <c r="F257" s="47"/>
      <c r="G257" s="47"/>
      <c r="H257" s="48"/>
      <c r="I257" s="13">
        <f>SUM(I$258:I$265)</f>
        <v>1853.2700000000002</v>
      </c>
      <c r="J257" s="13">
        <f>SUM(J$258:J$265)</f>
        <v>0</v>
      </c>
      <c r="K257" s="13"/>
      <c r="L257" s="14">
        <f t="shared" si="62"/>
        <v>0</v>
      </c>
      <c r="M257" s="13">
        <f>SUM(M$258:M$265)</f>
        <v>1853.2700000000002</v>
      </c>
      <c r="N257" s="13"/>
      <c r="O257" s="14">
        <f t="shared" si="64"/>
        <v>1</v>
      </c>
      <c r="P257" s="13">
        <f>SUM(P$258:P$265)</f>
        <v>0</v>
      </c>
      <c r="Q257" s="13"/>
      <c r="R257" s="14">
        <f t="shared" si="65"/>
        <v>0</v>
      </c>
      <c r="S257" s="13">
        <f t="shared" si="66"/>
        <v>1853.2700000000002</v>
      </c>
      <c r="T257" s="14">
        <f t="shared" si="67"/>
        <v>1</v>
      </c>
      <c r="U257" s="14">
        <f t="shared" si="68"/>
        <v>2.5463329704181062E-3</v>
      </c>
    </row>
    <row r="258" spans="1:21" ht="43.2" x14ac:dyDescent="0.3">
      <c r="A258" s="23" t="s">
        <v>333</v>
      </c>
      <c r="B258" s="23" t="str">
        <f>VLOOKUP(A258,MEMORIA!$A:$N,2,FALSE)</f>
        <v>COMPINST05</v>
      </c>
      <c r="C258" s="23" t="str">
        <f>VLOOKUP(A258,MEMORIA!$A:$N,3,FALSE)</f>
        <v>PRÓPRIA</v>
      </c>
      <c r="D258" s="24" t="str">
        <f>VLOOKUP(A258,MEMORIA!$A:$N,4,FALSE)</f>
        <v>ENTRADA DE ENERGIA ELÉTRICA, AÉREA, MONOFÁSICA, COM CAIXA DE EMBUTIR, CABO DE 10 MM2 E DISJUNTOR DIN 50A (NÃO INCLUSO O POSTE DE CONCRETO). AF_07/2020_PS (REF: 101493-SINAPI-06/2025)</v>
      </c>
      <c r="E258" s="23" t="str">
        <f>VLOOKUP(A258,MEMORIA!$A:$N,5,FALSE)</f>
        <v>UN</v>
      </c>
      <c r="F258" s="5">
        <f>VLOOKUP(A258,MEMORIA!$A:$N,14,FALSE)</f>
        <v>1</v>
      </c>
      <c r="G258" s="5">
        <f>VLOOKUP(A258,ORCAMENTO!$A:$I,7,FALSE)</f>
        <v>967.24</v>
      </c>
      <c r="H258" s="5">
        <f>VLOOKUP(A258,ORCAMENTO!$A:$I,8,FALSE)</f>
        <v>1207.5</v>
      </c>
      <c r="I258" s="5">
        <f t="shared" ref="I258:I265" si="74">ROUND(F258*H258,2)</f>
        <v>1207.5</v>
      </c>
      <c r="J258" s="5">
        <f t="shared" ref="J258:J265" si="75">ROUND(K258*$H258,2)</f>
        <v>0</v>
      </c>
      <c r="K258" s="5">
        <v>0</v>
      </c>
      <c r="L258" s="25">
        <f t="shared" si="62"/>
        <v>0</v>
      </c>
      <c r="M258" s="5">
        <f t="shared" ref="M258:M265" si="76">ROUND(N258*$H258,2)</f>
        <v>1207.5</v>
      </c>
      <c r="N258" s="5">
        <f t="shared" si="73"/>
        <v>1</v>
      </c>
      <c r="O258" s="25">
        <f t="shared" si="64"/>
        <v>1</v>
      </c>
      <c r="P258" s="5">
        <f t="shared" ref="P258:P265" si="77">ROUND(Q258*$H258,2)</f>
        <v>0</v>
      </c>
      <c r="Q258" s="5">
        <v>0</v>
      </c>
      <c r="R258" s="25">
        <f t="shared" si="65"/>
        <v>0</v>
      </c>
      <c r="S258" s="5">
        <f t="shared" si="66"/>
        <v>1207.5</v>
      </c>
      <c r="T258" s="25">
        <f t="shared" si="67"/>
        <v>1</v>
      </c>
      <c r="U258" s="25">
        <f t="shared" si="68"/>
        <v>1.6590659006943743E-3</v>
      </c>
    </row>
    <row r="259" spans="1:21" ht="28.8" x14ac:dyDescent="0.3">
      <c r="A259" s="23" t="s">
        <v>334</v>
      </c>
      <c r="B259" s="23">
        <f>VLOOKUP(A259,MEMORIA!$A:$N,2,FALSE)</f>
        <v>93656</v>
      </c>
      <c r="C259" s="23" t="str">
        <f>VLOOKUP(A259,MEMORIA!$A:$N,3,FALSE)</f>
        <v>SINAPI</v>
      </c>
      <c r="D259" s="24" t="str">
        <f>VLOOKUP(A259,MEMORIA!$A:$N,4,FALSE)</f>
        <v>DISJUNTOR MONOPOLAR TIPO DIN, CORRENTE NOMINAL DE 25A - FORNECIMENTO E INSTALAÇÃO. AF_10/2020</v>
      </c>
      <c r="E259" s="23" t="str">
        <f>VLOOKUP(A259,MEMORIA!$A:$N,5,FALSE)</f>
        <v>UN</v>
      </c>
      <c r="F259" s="5">
        <f>VLOOKUP(A259,MEMORIA!$A:$N,14,FALSE)</f>
        <v>1</v>
      </c>
      <c r="G259" s="5">
        <f>VLOOKUP(A259,ORCAMENTO!$A:$I,7,FALSE)</f>
        <v>13.33</v>
      </c>
      <c r="H259" s="5">
        <f>VLOOKUP(A259,ORCAMENTO!$A:$I,8,FALSE)</f>
        <v>16.64</v>
      </c>
      <c r="I259" s="5">
        <f t="shared" si="74"/>
        <v>16.64</v>
      </c>
      <c r="J259" s="5">
        <f t="shared" si="75"/>
        <v>0</v>
      </c>
      <c r="K259" s="5">
        <v>0</v>
      </c>
      <c r="L259" s="25">
        <f t="shared" si="62"/>
        <v>0</v>
      </c>
      <c r="M259" s="5">
        <f t="shared" si="76"/>
        <v>16.64</v>
      </c>
      <c r="N259" s="5">
        <f t="shared" si="73"/>
        <v>1</v>
      </c>
      <c r="O259" s="25">
        <f t="shared" si="64"/>
        <v>1</v>
      </c>
      <c r="P259" s="5">
        <f t="shared" si="77"/>
        <v>0</v>
      </c>
      <c r="Q259" s="5">
        <v>0</v>
      </c>
      <c r="R259" s="25">
        <f t="shared" si="65"/>
        <v>0</v>
      </c>
      <c r="S259" s="5">
        <f t="shared" si="66"/>
        <v>16.64</v>
      </c>
      <c r="T259" s="25">
        <f t="shared" si="67"/>
        <v>1</v>
      </c>
      <c r="U259" s="25">
        <f t="shared" si="68"/>
        <v>2.2862821190521232E-5</v>
      </c>
    </row>
    <row r="260" spans="1:21" ht="28.8" x14ac:dyDescent="0.3">
      <c r="A260" s="23" t="s">
        <v>335</v>
      </c>
      <c r="B260" s="23">
        <f>VLOOKUP(A260,MEMORIA!$A:$N,2,FALSE)</f>
        <v>93653</v>
      </c>
      <c r="C260" s="23" t="str">
        <f>VLOOKUP(A260,MEMORIA!$A:$N,3,FALSE)</f>
        <v>SINAPI</v>
      </c>
      <c r="D260" s="24" t="str">
        <f>VLOOKUP(A260,MEMORIA!$A:$N,4,FALSE)</f>
        <v>DISJUNTOR MONOPOLAR TIPO DIN, CORRENTE NOMINAL DE 10A - FORNECIMENTO E INSTALAÇÃO. AF_10/2020</v>
      </c>
      <c r="E260" s="23" t="str">
        <f>VLOOKUP(A260,MEMORIA!$A:$N,5,FALSE)</f>
        <v>UN</v>
      </c>
      <c r="F260" s="5">
        <f>VLOOKUP(A260,MEMORIA!$A:$N,14,FALSE)</f>
        <v>1</v>
      </c>
      <c r="G260" s="5">
        <f>VLOOKUP(A260,ORCAMENTO!$A:$I,7,FALSE)</f>
        <v>11.379999999999999</v>
      </c>
      <c r="H260" s="5">
        <f>VLOOKUP(A260,ORCAMENTO!$A:$I,8,FALSE)</f>
        <v>14.209999999999999</v>
      </c>
      <c r="I260" s="5">
        <f t="shared" si="74"/>
        <v>14.21</v>
      </c>
      <c r="J260" s="5">
        <f t="shared" si="75"/>
        <v>0</v>
      </c>
      <c r="K260" s="5">
        <v>0</v>
      </c>
      <c r="L260" s="25">
        <f t="shared" si="62"/>
        <v>0</v>
      </c>
      <c r="M260" s="5">
        <f t="shared" si="76"/>
        <v>14.21</v>
      </c>
      <c r="N260" s="5">
        <f t="shared" si="73"/>
        <v>1</v>
      </c>
      <c r="O260" s="25">
        <f t="shared" si="64"/>
        <v>1</v>
      </c>
      <c r="P260" s="5">
        <f t="shared" si="77"/>
        <v>0</v>
      </c>
      <c r="Q260" s="5">
        <v>0</v>
      </c>
      <c r="R260" s="25">
        <f t="shared" si="65"/>
        <v>0</v>
      </c>
      <c r="S260" s="5">
        <f t="shared" si="66"/>
        <v>14.21</v>
      </c>
      <c r="T260" s="25">
        <f t="shared" si="67"/>
        <v>1</v>
      </c>
      <c r="U260" s="25">
        <f t="shared" si="68"/>
        <v>1.9524079874838143E-5</v>
      </c>
    </row>
    <row r="261" spans="1:21" x14ac:dyDescent="0.3">
      <c r="A261" s="23" t="s">
        <v>336</v>
      </c>
      <c r="B261" s="23" t="str">
        <f>VLOOKUP(A261,MEMORIA!$A:$N,2,FALSE)</f>
        <v>09041/ORSE</v>
      </c>
      <c r="C261" s="23" t="str">
        <f>VLOOKUP(A261,MEMORIA!$A:$N,3,FALSE)</f>
        <v>ORSE</v>
      </c>
      <c r="D261" s="24" t="str">
        <f>VLOOKUP(A261,MEMORIA!$A:$N,4,FALSE)</f>
        <v>DISPOSITIVO DE PROTEÇÃO CONTRA SURTO DE TENSÃO DPS 60KA - 275V</v>
      </c>
      <c r="E261" s="23" t="str">
        <f>VLOOKUP(A261,MEMORIA!$A:$N,5,FALSE)</f>
        <v>UN</v>
      </c>
      <c r="F261" s="5">
        <f>VLOOKUP(A261,MEMORIA!$A:$N,14,FALSE)</f>
        <v>1</v>
      </c>
      <c r="G261" s="5">
        <f>VLOOKUP(A261,ORCAMENTO!$A:$I,7,FALSE)</f>
        <v>88.050000000000011</v>
      </c>
      <c r="H261" s="5">
        <f>VLOOKUP(A261,ORCAMENTO!$A:$I,8,FALSE)</f>
        <v>109.92000000000002</v>
      </c>
      <c r="I261" s="5">
        <f t="shared" si="74"/>
        <v>109.92</v>
      </c>
      <c r="J261" s="5">
        <f t="shared" si="75"/>
        <v>0</v>
      </c>
      <c r="K261" s="5">
        <v>0</v>
      </c>
      <c r="L261" s="25">
        <f t="shared" si="62"/>
        <v>0</v>
      </c>
      <c r="M261" s="5">
        <f t="shared" si="76"/>
        <v>109.92</v>
      </c>
      <c r="N261" s="5">
        <f t="shared" si="73"/>
        <v>1</v>
      </c>
      <c r="O261" s="25">
        <f t="shared" si="64"/>
        <v>1</v>
      </c>
      <c r="P261" s="5">
        <f t="shared" si="77"/>
        <v>0</v>
      </c>
      <c r="Q261" s="5">
        <v>0</v>
      </c>
      <c r="R261" s="25">
        <f t="shared" si="65"/>
        <v>0</v>
      </c>
      <c r="S261" s="5">
        <f t="shared" si="66"/>
        <v>109.92</v>
      </c>
      <c r="T261" s="25">
        <f t="shared" si="67"/>
        <v>1</v>
      </c>
      <c r="U261" s="25">
        <f t="shared" si="68"/>
        <v>1.510265207489239E-4</v>
      </c>
    </row>
    <row r="262" spans="1:21" ht="28.8" x14ac:dyDescent="0.3">
      <c r="A262" s="23" t="s">
        <v>337</v>
      </c>
      <c r="B262" s="23">
        <f>VLOOKUP(A262,MEMORIA!$A:$N,2,FALSE)</f>
        <v>101877</v>
      </c>
      <c r="C262" s="23" t="str">
        <f>VLOOKUP(A262,MEMORIA!$A:$N,3,FALSE)</f>
        <v>SINAPI</v>
      </c>
      <c r="D262" s="24" t="str">
        <f>VLOOKUP(A262,MEMORIA!$A:$N,4,FALSE)</f>
        <v>QUADRO DE DISTRIBUIÇÃO DE ENERGIA EM PVC, DE EMBUTIR, SEM BARRAMENTO, PARA 3 DISJUNTORES - FORNECIMENTO E INSTALAÇÃO. AF_10/2020</v>
      </c>
      <c r="E262" s="23" t="str">
        <f>VLOOKUP(A262,MEMORIA!$A:$N,5,FALSE)</f>
        <v>UN</v>
      </c>
      <c r="F262" s="5">
        <f>VLOOKUP(A262,MEMORIA!$A:$N,14,FALSE)</f>
        <v>1</v>
      </c>
      <c r="G262" s="5">
        <f>VLOOKUP(A262,ORCAMENTO!$A:$I,7,FALSE)</f>
        <v>63.51</v>
      </c>
      <c r="H262" s="5">
        <f>VLOOKUP(A262,ORCAMENTO!$A:$I,8,FALSE)</f>
        <v>79.289999999999992</v>
      </c>
      <c r="I262" s="5">
        <f t="shared" si="74"/>
        <v>79.290000000000006</v>
      </c>
      <c r="J262" s="5">
        <f t="shared" si="75"/>
        <v>0</v>
      </c>
      <c r="K262" s="5">
        <v>0</v>
      </c>
      <c r="L262" s="25">
        <f t="shared" si="62"/>
        <v>0</v>
      </c>
      <c r="M262" s="5">
        <f t="shared" si="76"/>
        <v>79.290000000000006</v>
      </c>
      <c r="N262" s="5">
        <f t="shared" si="73"/>
        <v>1</v>
      </c>
      <c r="O262" s="25">
        <f t="shared" si="64"/>
        <v>1</v>
      </c>
      <c r="P262" s="5">
        <f t="shared" si="77"/>
        <v>0</v>
      </c>
      <c r="Q262" s="5">
        <v>0</v>
      </c>
      <c r="R262" s="25">
        <f t="shared" si="65"/>
        <v>0</v>
      </c>
      <c r="S262" s="5">
        <f t="shared" si="66"/>
        <v>79.290000000000006</v>
      </c>
      <c r="T262" s="25">
        <f t="shared" si="67"/>
        <v>1</v>
      </c>
      <c r="U262" s="25">
        <f t="shared" si="68"/>
        <v>1.0894189255988153E-4</v>
      </c>
    </row>
    <row r="263" spans="1:21" ht="43.2" x14ac:dyDescent="0.3">
      <c r="A263" s="23" t="s">
        <v>338</v>
      </c>
      <c r="B263" s="23" t="str">
        <f>VLOOKUP(A263,MEMORIA!$A:$N,2,FALSE)</f>
        <v>COMPINST02</v>
      </c>
      <c r="C263" s="23" t="str">
        <f>VLOOKUP(A263,MEMORIA!$A:$N,3,FALSE)</f>
        <v>PRÓPRIA</v>
      </c>
      <c r="D263" s="24" t="str">
        <f>VLOOKUP(A263,MEMORIA!$A:$N,4,FALSE)</f>
        <v>PONTO DE ILUMINAÇÃO E TOMADA, RESIDENCIAL, INCLUINDO INTERRUPTOR SIMPLES E TOMADA 10A/250V, CAIXA ELÉTRICA, ELETRODUTO, CABO, RASGO, QUEBRA E CHUMBAMENTO (EXCLUINDO LUMINÁRIA E LÂMPADA)</v>
      </c>
      <c r="E263" s="23" t="str">
        <f>VLOOKUP(A263,MEMORIA!$A:$N,5,FALSE)</f>
        <v>UN</v>
      </c>
      <c r="F263" s="5">
        <f>VLOOKUP(A263,MEMORIA!$A:$N,14,FALSE)</f>
        <v>1</v>
      </c>
      <c r="G263" s="5">
        <f>VLOOKUP(A263,ORCAMENTO!$A:$I,7,FALSE)</f>
        <v>244.91000000000003</v>
      </c>
      <c r="H263" s="5">
        <f>VLOOKUP(A263,ORCAMENTO!$A:$I,8,FALSE)</f>
        <v>305.75</v>
      </c>
      <c r="I263" s="5">
        <f t="shared" si="74"/>
        <v>305.75</v>
      </c>
      <c r="J263" s="5">
        <f t="shared" si="75"/>
        <v>0</v>
      </c>
      <c r="K263" s="5">
        <v>0</v>
      </c>
      <c r="L263" s="25">
        <f t="shared" si="62"/>
        <v>0</v>
      </c>
      <c r="M263" s="5">
        <f t="shared" si="76"/>
        <v>305.75</v>
      </c>
      <c r="N263" s="5">
        <f t="shared" si="73"/>
        <v>1</v>
      </c>
      <c r="O263" s="25">
        <f t="shared" si="64"/>
        <v>1</v>
      </c>
      <c r="P263" s="5">
        <f t="shared" si="77"/>
        <v>0</v>
      </c>
      <c r="Q263" s="5">
        <v>0</v>
      </c>
      <c r="R263" s="25">
        <f t="shared" si="65"/>
        <v>0</v>
      </c>
      <c r="S263" s="5">
        <f t="shared" si="66"/>
        <v>305.75</v>
      </c>
      <c r="T263" s="25">
        <f t="shared" si="67"/>
        <v>1</v>
      </c>
      <c r="U263" s="25">
        <f t="shared" si="68"/>
        <v>4.200905996996314E-4</v>
      </c>
    </row>
    <row r="264" spans="1:21" ht="28.8" x14ac:dyDescent="0.3">
      <c r="A264" s="23" t="s">
        <v>339</v>
      </c>
      <c r="B264" s="23">
        <f>VLOOKUP(A264,MEMORIA!$A:$N,2,FALSE)</f>
        <v>97610</v>
      </c>
      <c r="C264" s="23" t="str">
        <f>VLOOKUP(A264,MEMORIA!$A:$N,3,FALSE)</f>
        <v>SINAPI</v>
      </c>
      <c r="D264" s="24" t="str">
        <f>VLOOKUP(A264,MEMORIA!$A:$N,4,FALSE)</f>
        <v>LÂMPADA COMPACTA DE LED 10 W, BASE E27 - FORNECIMENTO E INSTALAÇÃO. AF_09/2024</v>
      </c>
      <c r="E264" s="23" t="str">
        <f>VLOOKUP(A264,MEMORIA!$A:$N,5,FALSE)</f>
        <v>UN</v>
      </c>
      <c r="F264" s="5">
        <f>VLOOKUP(A264,MEMORIA!$A:$N,14,FALSE)</f>
        <v>1</v>
      </c>
      <c r="G264" s="5">
        <f>VLOOKUP(A264,ORCAMENTO!$A:$I,7,FALSE)</f>
        <v>13.05</v>
      </c>
      <c r="H264" s="5">
        <f>VLOOKUP(A264,ORCAMENTO!$A:$I,8,FALSE)</f>
        <v>16.29</v>
      </c>
      <c r="I264" s="5">
        <f t="shared" si="74"/>
        <v>16.29</v>
      </c>
      <c r="J264" s="5">
        <f t="shared" si="75"/>
        <v>0</v>
      </c>
      <c r="K264" s="5">
        <v>0</v>
      </c>
      <c r="L264" s="25">
        <f t="shared" ref="L264:L327" si="78">J264/$I264</f>
        <v>0</v>
      </c>
      <c r="M264" s="5">
        <f t="shared" si="76"/>
        <v>16.29</v>
      </c>
      <c r="N264" s="5">
        <f t="shared" si="73"/>
        <v>1</v>
      </c>
      <c r="O264" s="25">
        <f t="shared" ref="O264:O327" si="79">M264/$I264</f>
        <v>1</v>
      </c>
      <c r="P264" s="5">
        <f t="shared" si="77"/>
        <v>0</v>
      </c>
      <c r="Q264" s="5">
        <v>0</v>
      </c>
      <c r="R264" s="25">
        <f t="shared" ref="R264:R327" si="80">P264/$I264</f>
        <v>0</v>
      </c>
      <c r="S264" s="5">
        <f t="shared" ref="S264:S327" si="81">SUM(J264,M264,P264,)</f>
        <v>16.29</v>
      </c>
      <c r="T264" s="25">
        <f t="shared" ref="T264:T327" si="82">SUM(L264,O264,R264,)</f>
        <v>1</v>
      </c>
      <c r="U264" s="25">
        <f t="shared" ref="U264:U327" si="83">S264/$I$476</f>
        <v>2.2381932523653296E-5</v>
      </c>
    </row>
    <row r="265" spans="1:21" ht="28.8" x14ac:dyDescent="0.3">
      <c r="A265" s="23" t="s">
        <v>340</v>
      </c>
      <c r="B265" s="23" t="str">
        <f>VLOOKUP(A265,MEMORIA!$A:$N,2,FALSE)</f>
        <v>COMPINST04</v>
      </c>
      <c r="C265" s="23" t="str">
        <f>VLOOKUP(A265,MEMORIA!$A:$N,3,FALSE)</f>
        <v>PRÓPRIA</v>
      </c>
      <c r="D265" s="24" t="str">
        <f>VLOOKUP(A265,MEMORIA!$A:$N,4,FALSE)</f>
        <v>LUMINÁRIA ARANDELA TIPO MEIA-LUA COM VIDRO FOSCO *30 X 15* CM, PARA 1 LÂMPADA (SINAPI ADAPTADO 97605)</v>
      </c>
      <c r="E265" s="23" t="str">
        <f>VLOOKUP(A265,MEMORIA!$A:$N,5,FALSE)</f>
        <v>UN</v>
      </c>
      <c r="F265" s="5">
        <f>VLOOKUP(A265,MEMORIA!$A:$N,14,FALSE)</f>
        <v>1</v>
      </c>
      <c r="G265" s="5">
        <f>VLOOKUP(A265,ORCAMENTO!$A:$I,7,FALSE)</f>
        <v>83.039999999999992</v>
      </c>
      <c r="H265" s="5">
        <f>VLOOKUP(A265,ORCAMENTO!$A:$I,8,FALSE)</f>
        <v>103.66999999999999</v>
      </c>
      <c r="I265" s="5">
        <f t="shared" si="74"/>
        <v>103.67</v>
      </c>
      <c r="J265" s="5">
        <f t="shared" si="75"/>
        <v>0</v>
      </c>
      <c r="K265" s="5">
        <v>0</v>
      </c>
      <c r="L265" s="25">
        <f t="shared" si="78"/>
        <v>0</v>
      </c>
      <c r="M265" s="5">
        <f t="shared" si="76"/>
        <v>103.67</v>
      </c>
      <c r="N265" s="5">
        <f t="shared" si="73"/>
        <v>1</v>
      </c>
      <c r="O265" s="25">
        <f t="shared" si="79"/>
        <v>1</v>
      </c>
      <c r="P265" s="5">
        <f t="shared" si="77"/>
        <v>0</v>
      </c>
      <c r="Q265" s="5">
        <v>0</v>
      </c>
      <c r="R265" s="25">
        <f t="shared" si="80"/>
        <v>0</v>
      </c>
      <c r="S265" s="5">
        <f t="shared" si="81"/>
        <v>103.67</v>
      </c>
      <c r="T265" s="25">
        <f t="shared" si="82"/>
        <v>1</v>
      </c>
      <c r="U265" s="25">
        <f t="shared" si="83"/>
        <v>1.4243922312628222E-4</v>
      </c>
    </row>
    <row r="266" spans="1:21" x14ac:dyDescent="0.3">
      <c r="A266" s="12" t="s">
        <v>80</v>
      </c>
      <c r="B266" s="46" t="str">
        <f>VLOOKUP(A266,MEMORIA!$A:$N,2,FALSE)</f>
        <v>ADUÇÃO</v>
      </c>
      <c r="C266" s="47"/>
      <c r="D266" s="47"/>
      <c r="E266" s="47"/>
      <c r="F266" s="47"/>
      <c r="G266" s="47"/>
      <c r="H266" s="48"/>
      <c r="I266" s="13">
        <f>SUM(I$267,I$270,I$272,)</f>
        <v>1351.72</v>
      </c>
      <c r="J266" s="13">
        <f>SUM(J$267,J$270,J$272,)</f>
        <v>0</v>
      </c>
      <c r="K266" s="13"/>
      <c r="L266" s="14">
        <f t="shared" si="78"/>
        <v>0</v>
      </c>
      <c r="M266" s="13">
        <f>SUM(M$267,M$270,M$272,)</f>
        <v>1351.72</v>
      </c>
      <c r="N266" s="13"/>
      <c r="O266" s="14">
        <f t="shared" si="79"/>
        <v>1</v>
      </c>
      <c r="P266" s="13">
        <f>SUM(P$267,P$270,P$272,)</f>
        <v>0</v>
      </c>
      <c r="Q266" s="13"/>
      <c r="R266" s="14">
        <f t="shared" si="80"/>
        <v>0</v>
      </c>
      <c r="S266" s="13">
        <f t="shared" si="81"/>
        <v>1351.72</v>
      </c>
      <c r="T266" s="14">
        <f t="shared" si="82"/>
        <v>1</v>
      </c>
      <c r="U266" s="14">
        <f t="shared" si="83"/>
        <v>1.8572195107963557E-3</v>
      </c>
    </row>
    <row r="267" spans="1:21" x14ac:dyDescent="0.3">
      <c r="A267" s="15" t="s">
        <v>81</v>
      </c>
      <c r="B267" s="49" t="str">
        <f>VLOOKUP(A267,MEMORIA!$A:$N,2,FALSE)</f>
        <v>MOVIMENTO DE TERRA</v>
      </c>
      <c r="C267" s="50"/>
      <c r="D267" s="50"/>
      <c r="E267" s="50"/>
      <c r="F267" s="50"/>
      <c r="G267" s="50"/>
      <c r="H267" s="51"/>
      <c r="I267" s="16">
        <f>SUM(I$268:I$269)</f>
        <v>423.02</v>
      </c>
      <c r="J267" s="16">
        <f>SUM(J$268:J$269)</f>
        <v>0</v>
      </c>
      <c r="K267" s="16"/>
      <c r="L267" s="17">
        <f t="shared" si="78"/>
        <v>0</v>
      </c>
      <c r="M267" s="16">
        <f>SUM(M$268:M$269)</f>
        <v>423.02</v>
      </c>
      <c r="N267" s="16"/>
      <c r="O267" s="17">
        <f t="shared" si="79"/>
        <v>1</v>
      </c>
      <c r="P267" s="16">
        <f>SUM(P$268:P$269)</f>
        <v>0</v>
      </c>
      <c r="Q267" s="16"/>
      <c r="R267" s="17">
        <f t="shared" si="80"/>
        <v>0</v>
      </c>
      <c r="S267" s="16">
        <f t="shared" si="81"/>
        <v>423.02</v>
      </c>
      <c r="T267" s="17">
        <f t="shared" si="82"/>
        <v>1</v>
      </c>
      <c r="U267" s="17">
        <f t="shared" si="83"/>
        <v>5.8121578245278187E-4</v>
      </c>
    </row>
    <row r="268" spans="1:21" x14ac:dyDescent="0.3">
      <c r="A268" s="23" t="s">
        <v>341</v>
      </c>
      <c r="B268" s="23">
        <f>VLOOKUP(A268,MEMORIA!$A:$N,2,FALSE)</f>
        <v>93358</v>
      </c>
      <c r="C268" s="23" t="str">
        <f>VLOOKUP(A268,MEMORIA!$A:$N,3,FALSE)</f>
        <v>SINAPI</v>
      </c>
      <c r="D268" s="24" t="str">
        <f>VLOOKUP(A268,MEMORIA!$A:$N,4,FALSE)</f>
        <v>ESCAVAÇÃO MANUAL DE VALA. AF_09/2024</v>
      </c>
      <c r="E268" s="23" t="str">
        <f>VLOOKUP(A268,MEMORIA!$A:$N,5,FALSE)</f>
        <v>M3</v>
      </c>
      <c r="F268" s="5">
        <f>VLOOKUP(A268,MEMORIA!$A:$N,14,FALSE)</f>
        <v>2.76</v>
      </c>
      <c r="G268" s="5">
        <f>VLOOKUP(A268,ORCAMENTO!$A:$I,7,FALSE)</f>
        <v>85.87</v>
      </c>
      <c r="H268" s="5">
        <f>VLOOKUP(A268,ORCAMENTO!$A:$I,8,FALSE)</f>
        <v>107.2</v>
      </c>
      <c r="I268" s="5">
        <f>ROUND(F268*H268,2)</f>
        <v>295.87</v>
      </c>
      <c r="J268" s="5">
        <f>ROUND(K268*$H268,2)</f>
        <v>0</v>
      </c>
      <c r="K268" s="5">
        <v>0</v>
      </c>
      <c r="L268" s="25">
        <f t="shared" si="78"/>
        <v>0</v>
      </c>
      <c r="M268" s="5">
        <f>ROUND(N268*$H268,2)</f>
        <v>295.87</v>
      </c>
      <c r="N268" s="5">
        <f t="shared" ref="N268:N269" si="84">F268</f>
        <v>2.76</v>
      </c>
      <c r="O268" s="25">
        <f t="shared" si="79"/>
        <v>1</v>
      </c>
      <c r="P268" s="5">
        <f>ROUND(Q268*$H268,2)</f>
        <v>0</v>
      </c>
      <c r="Q268" s="5">
        <v>0</v>
      </c>
      <c r="R268" s="25">
        <f t="shared" si="80"/>
        <v>0</v>
      </c>
      <c r="S268" s="5">
        <f t="shared" si="81"/>
        <v>295.87</v>
      </c>
      <c r="T268" s="25">
        <f t="shared" si="82"/>
        <v>1</v>
      </c>
      <c r="U268" s="25">
        <f t="shared" si="83"/>
        <v>4.0651579961775941E-4</v>
      </c>
    </row>
    <row r="269" spans="1:21" x14ac:dyDescent="0.3">
      <c r="A269" s="23" t="s">
        <v>342</v>
      </c>
      <c r="B269" s="23" t="str">
        <f>VLOOKUP(A269,MEMORIA!$A:$N,2,FALSE)</f>
        <v>COMPOS28</v>
      </c>
      <c r="C269" s="23" t="str">
        <f>VLOOKUP(A269,MEMORIA!$A:$N,3,FALSE)</f>
        <v>PRÓPRIA</v>
      </c>
      <c r="D269" s="24" t="str">
        <f>VLOOKUP(A269,MEMORIA!$A:$N,4,FALSE)</f>
        <v>REATERRO DE VALA COM COMPACTAÇÃO MANUAL</v>
      </c>
      <c r="E269" s="23" t="str">
        <f>VLOOKUP(A269,MEMORIA!$A:$N,5,FALSE)</f>
        <v>M³</v>
      </c>
      <c r="F269" s="5">
        <f>VLOOKUP(A269,MEMORIA!$A:$N,14,FALSE)</f>
        <v>2.76</v>
      </c>
      <c r="G269" s="5">
        <f>VLOOKUP(A269,ORCAMENTO!$A:$I,7,FALSE)</f>
        <v>36.9</v>
      </c>
      <c r="H269" s="5">
        <f>VLOOKUP(A269,ORCAMENTO!$A:$I,8,FALSE)</f>
        <v>46.07</v>
      </c>
      <c r="I269" s="5">
        <f>ROUND(F269*H269,2)</f>
        <v>127.15</v>
      </c>
      <c r="J269" s="5">
        <f>ROUND(K269*$H269,2)</f>
        <v>0</v>
      </c>
      <c r="K269" s="5">
        <v>0</v>
      </c>
      <c r="L269" s="25">
        <f t="shared" si="78"/>
        <v>0</v>
      </c>
      <c r="M269" s="5">
        <f>ROUND(N269*$H269,2)</f>
        <v>127.15</v>
      </c>
      <c r="N269" s="5">
        <f t="shared" si="84"/>
        <v>2.76</v>
      </c>
      <c r="O269" s="25">
        <f t="shared" si="79"/>
        <v>1</v>
      </c>
      <c r="P269" s="5">
        <f>ROUND(Q269*$H269,2)</f>
        <v>0</v>
      </c>
      <c r="Q269" s="5">
        <v>0</v>
      </c>
      <c r="R269" s="25">
        <f t="shared" si="80"/>
        <v>0</v>
      </c>
      <c r="S269" s="5">
        <f t="shared" si="81"/>
        <v>127.15</v>
      </c>
      <c r="T269" s="25">
        <f t="shared" si="82"/>
        <v>1</v>
      </c>
      <c r="U269" s="25">
        <f t="shared" si="83"/>
        <v>1.7469998283502252E-4</v>
      </c>
    </row>
    <row r="270" spans="1:21" x14ac:dyDescent="0.3">
      <c r="A270" s="15" t="s">
        <v>82</v>
      </c>
      <c r="B270" s="49" t="str">
        <f>VLOOKUP(A270,MEMORIA!$A:$N,2,FALSE)</f>
        <v>INFRAESTRUTURA</v>
      </c>
      <c r="C270" s="50"/>
      <c r="D270" s="50"/>
      <c r="E270" s="50"/>
      <c r="F270" s="50"/>
      <c r="G270" s="50"/>
      <c r="H270" s="51"/>
      <c r="I270" s="16">
        <f>SUM(I$271:I$271)</f>
        <v>265.19</v>
      </c>
      <c r="J270" s="16">
        <f>SUM(J$271:J$271)</f>
        <v>0</v>
      </c>
      <c r="K270" s="16"/>
      <c r="L270" s="17">
        <f t="shared" si="78"/>
        <v>0</v>
      </c>
      <c r="M270" s="16">
        <f>SUM(M$271:M$271)</f>
        <v>265.19</v>
      </c>
      <c r="N270" s="16"/>
      <c r="O270" s="17">
        <f t="shared" si="79"/>
        <v>1</v>
      </c>
      <c r="P270" s="16">
        <f>SUM(P$271:P$271)</f>
        <v>0</v>
      </c>
      <c r="Q270" s="16"/>
      <c r="R270" s="17">
        <f t="shared" si="80"/>
        <v>0</v>
      </c>
      <c r="S270" s="16">
        <f t="shared" si="81"/>
        <v>265.19</v>
      </c>
      <c r="T270" s="17">
        <f t="shared" si="82"/>
        <v>1</v>
      </c>
      <c r="U270" s="17">
        <f t="shared" si="83"/>
        <v>3.6436247304773588E-4</v>
      </c>
    </row>
    <row r="271" spans="1:21" x14ac:dyDescent="0.3">
      <c r="A271" s="23" t="s">
        <v>343</v>
      </c>
      <c r="B271" s="23" t="str">
        <f>VLOOKUP(A271,MEMORIA!$A:$N,2,FALSE)</f>
        <v>C3403</v>
      </c>
      <c r="C271" s="23" t="str">
        <f>VLOOKUP(A271,MEMORIA!$A:$N,3,FALSE)</f>
        <v>SEINFRA</v>
      </c>
      <c r="D271" s="24" t="str">
        <f>VLOOKUP(A271,MEMORIA!$A:$N,4,FALSE)</f>
        <v>BLOCO DE ANCORAGEM EM CONCRETO SIMPLES FCK=10MPa</v>
      </c>
      <c r="E271" s="23" t="str">
        <f>VLOOKUP(A271,MEMORIA!$A:$N,5,FALSE)</f>
        <v>M3</v>
      </c>
      <c r="F271" s="5">
        <f>VLOOKUP(A271,MEMORIA!$A:$N,14,FALSE)</f>
        <v>0.26</v>
      </c>
      <c r="G271" s="5">
        <f>VLOOKUP(A271,ORCAMENTO!$A:$I,7,FALSE)</f>
        <v>817.03</v>
      </c>
      <c r="H271" s="5">
        <f>VLOOKUP(A271,ORCAMENTO!$A:$I,8,FALSE)</f>
        <v>1019.98</v>
      </c>
      <c r="I271" s="5">
        <f>ROUND(F271*H271,2)</f>
        <v>265.19</v>
      </c>
      <c r="J271" s="5">
        <f>ROUND(K271*$H271,2)</f>
        <v>0</v>
      </c>
      <c r="K271" s="5">
        <v>0</v>
      </c>
      <c r="L271" s="25">
        <f t="shared" si="78"/>
        <v>0</v>
      </c>
      <c r="M271" s="5">
        <f>ROUND(N271*$H271,2)</f>
        <v>265.19</v>
      </c>
      <c r="N271" s="5">
        <f>F271</f>
        <v>0.26</v>
      </c>
      <c r="O271" s="25">
        <f t="shared" si="79"/>
        <v>1</v>
      </c>
      <c r="P271" s="5">
        <f>ROUND(Q271*$H271,2)</f>
        <v>0</v>
      </c>
      <c r="Q271" s="5">
        <v>0</v>
      </c>
      <c r="R271" s="25">
        <f t="shared" si="80"/>
        <v>0</v>
      </c>
      <c r="S271" s="5">
        <f t="shared" si="81"/>
        <v>265.19</v>
      </c>
      <c r="T271" s="25">
        <f t="shared" si="82"/>
        <v>1</v>
      </c>
      <c r="U271" s="25">
        <f t="shared" si="83"/>
        <v>3.6436247304773588E-4</v>
      </c>
    </row>
    <row r="272" spans="1:21" x14ac:dyDescent="0.3">
      <c r="A272" s="15" t="s">
        <v>83</v>
      </c>
      <c r="B272" s="49" t="str">
        <f>VLOOKUP(A272,MEMORIA!$A:$N,2,FALSE)</f>
        <v>INSTALAÇÕES HIDRÁULICAS</v>
      </c>
      <c r="C272" s="50"/>
      <c r="D272" s="50"/>
      <c r="E272" s="50"/>
      <c r="F272" s="50"/>
      <c r="G272" s="50"/>
      <c r="H272" s="51"/>
      <c r="I272" s="16">
        <f>SUM(I$273:I$274)</f>
        <v>663.51</v>
      </c>
      <c r="J272" s="16">
        <f>SUM(J$273:J$274)</f>
        <v>0</v>
      </c>
      <c r="K272" s="16"/>
      <c r="L272" s="17">
        <f t="shared" si="78"/>
        <v>0</v>
      </c>
      <c r="M272" s="16">
        <f>SUM(M$273:M$274)</f>
        <v>663.51</v>
      </c>
      <c r="N272" s="16"/>
      <c r="O272" s="17">
        <f t="shared" si="79"/>
        <v>1</v>
      </c>
      <c r="P272" s="16">
        <f>SUM(P$273:P$274)</f>
        <v>0</v>
      </c>
      <c r="Q272" s="16"/>
      <c r="R272" s="17">
        <f t="shared" si="80"/>
        <v>0</v>
      </c>
      <c r="S272" s="16">
        <f t="shared" si="81"/>
        <v>663.51</v>
      </c>
      <c r="T272" s="17">
        <f t="shared" si="82"/>
        <v>1</v>
      </c>
      <c r="U272" s="17">
        <f t="shared" si="83"/>
        <v>9.1164125529583789E-4</v>
      </c>
    </row>
    <row r="273" spans="1:21" ht="28.8" x14ac:dyDescent="0.3">
      <c r="A273" s="23" t="s">
        <v>344</v>
      </c>
      <c r="B273" s="23" t="str">
        <f>VLOOKUP(A273,MEMORIA!$A:$N,2,FALSE)</f>
        <v>COMPOS27</v>
      </c>
      <c r="C273" s="23" t="str">
        <f>VLOOKUP(A273,MEMORIA!$A:$N,3,FALSE)</f>
        <v>PRÓPRIA</v>
      </c>
      <c r="D273" s="24" t="str">
        <f>VLOOKUP(A273,MEMORIA!$A:$N,4,FALSE)</f>
        <v>AQUISIÇÃO E ASSENTAMENTO DE TUBO RÍGIDO PVC, CLASSE 12, DN 50 MM, INCLUSO CONEXÕES</v>
      </c>
      <c r="E273" s="23" t="str">
        <f>VLOOKUP(A273,MEMORIA!$A:$N,5,FALSE)</f>
        <v>M</v>
      </c>
      <c r="F273" s="5">
        <f>VLOOKUP(A273,MEMORIA!$A:$N,14,FALSE)</f>
        <v>16</v>
      </c>
      <c r="G273" s="5">
        <f>VLOOKUP(A273,ORCAMENTO!$A:$I,7,FALSE)</f>
        <v>25.79</v>
      </c>
      <c r="H273" s="5">
        <f>VLOOKUP(A273,ORCAMENTO!$A:$I,8,FALSE)</f>
        <v>32.200000000000003</v>
      </c>
      <c r="I273" s="5">
        <f>ROUND(F273*H273,2)</f>
        <v>515.20000000000005</v>
      </c>
      <c r="J273" s="5">
        <f>ROUND(K273*$H273,2)</f>
        <v>0</v>
      </c>
      <c r="K273" s="5">
        <v>0</v>
      </c>
      <c r="L273" s="25">
        <f t="shared" si="78"/>
        <v>0</v>
      </c>
      <c r="M273" s="5">
        <f>ROUND(N273*$H273,2)</f>
        <v>515.20000000000005</v>
      </c>
      <c r="N273" s="5">
        <f>F273</f>
        <v>16</v>
      </c>
      <c r="O273" s="25">
        <f t="shared" si="79"/>
        <v>1</v>
      </c>
      <c r="P273" s="5">
        <f>ROUND(Q273*$H273,2)</f>
        <v>0</v>
      </c>
      <c r="Q273" s="5">
        <v>0</v>
      </c>
      <c r="R273" s="25">
        <f t="shared" si="80"/>
        <v>0</v>
      </c>
      <c r="S273" s="5">
        <f t="shared" si="81"/>
        <v>515.20000000000005</v>
      </c>
      <c r="T273" s="25">
        <f t="shared" si="82"/>
        <v>1</v>
      </c>
      <c r="U273" s="25">
        <f t="shared" si="83"/>
        <v>7.078681176295997E-4</v>
      </c>
    </row>
    <row r="274" spans="1:21" ht="28.8" x14ac:dyDescent="0.3">
      <c r="A274" s="23" t="s">
        <v>345</v>
      </c>
      <c r="B274" s="23">
        <f>VLOOKUP(A274,MEMORIA!$A:$N,2,FALSE)</f>
        <v>94497</v>
      </c>
      <c r="C274" s="23" t="str">
        <f>VLOOKUP(A274,MEMORIA!$A:$N,3,FALSE)</f>
        <v>SINAPI</v>
      </c>
      <c r="D274" s="24" t="str">
        <f>VLOOKUP(A274,MEMORIA!$A:$N,4,FALSE)</f>
        <v>REGISTRO DE GAVETA BRUTO, LATÃO, ROSCÁVEL, 1 1/2" - FORNECIMENTO E INSTALAÇÃO. AF_08/2021</v>
      </c>
      <c r="E274" s="23" t="str">
        <f>VLOOKUP(A274,MEMORIA!$A:$N,5,FALSE)</f>
        <v>UN</v>
      </c>
      <c r="F274" s="5">
        <f>VLOOKUP(A274,MEMORIA!$A:$N,14,FALSE)</f>
        <v>1</v>
      </c>
      <c r="G274" s="5">
        <f>VLOOKUP(A274,ORCAMENTO!$A:$I,7,FALSE)</f>
        <v>118.80000000000001</v>
      </c>
      <c r="H274" s="5">
        <f>VLOOKUP(A274,ORCAMENTO!$A:$I,8,FALSE)</f>
        <v>148.31</v>
      </c>
      <c r="I274" s="5">
        <f>ROUND(F274*H274,2)</f>
        <v>148.31</v>
      </c>
      <c r="J274" s="5">
        <f>ROUND(K274*$H274,2)</f>
        <v>0</v>
      </c>
      <c r="K274" s="5">
        <v>0</v>
      </c>
      <c r="L274" s="25">
        <f t="shared" si="78"/>
        <v>0</v>
      </c>
      <c r="M274" s="5">
        <f>ROUND(N274*$H274,2)</f>
        <v>148.31</v>
      </c>
      <c r="N274" s="5">
        <f>F274</f>
        <v>1</v>
      </c>
      <c r="O274" s="25">
        <f t="shared" si="79"/>
        <v>1</v>
      </c>
      <c r="P274" s="5">
        <f>ROUND(Q274*$H274,2)</f>
        <v>0</v>
      </c>
      <c r="Q274" s="5">
        <v>0</v>
      </c>
      <c r="R274" s="25">
        <f t="shared" si="80"/>
        <v>0</v>
      </c>
      <c r="S274" s="5">
        <f t="shared" si="81"/>
        <v>148.31</v>
      </c>
      <c r="T274" s="25">
        <f t="shared" si="82"/>
        <v>1</v>
      </c>
      <c r="U274" s="25">
        <f t="shared" si="83"/>
        <v>2.0377313766623822E-4</v>
      </c>
    </row>
    <row r="275" spans="1:21" x14ac:dyDescent="0.3">
      <c r="A275" s="12" t="s">
        <v>84</v>
      </c>
      <c r="B275" s="46" t="str">
        <f>VLOOKUP(A275,MEMORIA!$A:$N,2,FALSE)</f>
        <v>RESERVAÇÃO</v>
      </c>
      <c r="C275" s="47"/>
      <c r="D275" s="47"/>
      <c r="E275" s="47"/>
      <c r="F275" s="47"/>
      <c r="G275" s="47"/>
      <c r="H275" s="48"/>
      <c r="I275" s="13">
        <f>SUM(I$276:I$276)</f>
        <v>20347.62</v>
      </c>
      <c r="J275" s="13">
        <f>SUM(J$276:J$276)</f>
        <v>0</v>
      </c>
      <c r="K275" s="13"/>
      <c r="L275" s="14">
        <f t="shared" si="78"/>
        <v>0</v>
      </c>
      <c r="M275" s="13">
        <f>SUM(M$276:M$276)</f>
        <v>20347.62</v>
      </c>
      <c r="N275" s="13"/>
      <c r="O275" s="14">
        <f t="shared" si="79"/>
        <v>1</v>
      </c>
      <c r="P275" s="13">
        <f>SUM(P$276:P$276)</f>
        <v>0</v>
      </c>
      <c r="Q275" s="13"/>
      <c r="R275" s="14">
        <f t="shared" si="80"/>
        <v>0</v>
      </c>
      <c r="S275" s="13">
        <f t="shared" si="81"/>
        <v>20347.62</v>
      </c>
      <c r="T275" s="14">
        <f t="shared" si="82"/>
        <v>1</v>
      </c>
      <c r="U275" s="14">
        <f t="shared" si="83"/>
        <v>2.7956971016386636E-2</v>
      </c>
    </row>
    <row r="276" spans="1:21" ht="57.6" x14ac:dyDescent="0.3">
      <c r="A276" s="23" t="s">
        <v>346</v>
      </c>
      <c r="B276" s="23" t="str">
        <f>VLOOKUP(A276,MEMORIA!$A:$N,2,FALSE)</f>
        <v>COMPOS32</v>
      </c>
      <c r="C276" s="23" t="str">
        <f>VLOOKUP(A276,MEMORIA!$A:$N,3,FALSE)</f>
        <v>PRÓPRIA</v>
      </c>
      <c r="D276" s="24" t="str">
        <f>VLOOKUP(A276,MEMORIA!$A:$N,4,FALSE)</f>
        <v>RESERVATÓRIO ELEVADO C/ CAIXA D'AGUA EM FIBRA DE VIDRO DE 10.000 LITROS APOIADO EM ESTRUTURA PRÉ-MOLDADA EM CONCRETO, COMPOSTA DE CAPITEL P/APOIO DA CAIXA E PILAR C/ALTURA ÚTIL = 7,00M, INCLUSO FRETE E MONTAGEM NO LOCAL, EXCETO INST. HIDRÁULICA</v>
      </c>
      <c r="E276" s="23" t="str">
        <f>VLOOKUP(A276,MEMORIA!$A:$N,5,FALSE)</f>
        <v>UND</v>
      </c>
      <c r="F276" s="5">
        <f>VLOOKUP(A276,MEMORIA!$A:$N,14,FALSE)</f>
        <v>1</v>
      </c>
      <c r="G276" s="5">
        <f>VLOOKUP(A276,ORCAMENTO!$A:$I,7,FALSE)</f>
        <v>16298.96</v>
      </c>
      <c r="H276" s="5">
        <f>VLOOKUP(A276,ORCAMENTO!$A:$I,8,FALSE)</f>
        <v>20347.62</v>
      </c>
      <c r="I276" s="5">
        <f>ROUND(F276*H276,2)</f>
        <v>20347.62</v>
      </c>
      <c r="J276" s="5">
        <f>ROUND(K276*$H276,2)</f>
        <v>0</v>
      </c>
      <c r="K276" s="5">
        <v>0</v>
      </c>
      <c r="L276" s="25">
        <f t="shared" si="78"/>
        <v>0</v>
      </c>
      <c r="M276" s="5">
        <f>ROUND(N276*$H276,2)</f>
        <v>20347.62</v>
      </c>
      <c r="N276" s="5">
        <f>F276</f>
        <v>1</v>
      </c>
      <c r="O276" s="25">
        <f t="shared" si="79"/>
        <v>1</v>
      </c>
      <c r="P276" s="5">
        <f>ROUND(Q276*$H276,2)</f>
        <v>0</v>
      </c>
      <c r="Q276" s="5">
        <v>0</v>
      </c>
      <c r="R276" s="25">
        <f t="shared" si="80"/>
        <v>0</v>
      </c>
      <c r="S276" s="5">
        <f t="shared" si="81"/>
        <v>20347.62</v>
      </c>
      <c r="T276" s="25">
        <f t="shared" si="82"/>
        <v>1</v>
      </c>
      <c r="U276" s="25">
        <f t="shared" si="83"/>
        <v>2.7956971016386636E-2</v>
      </c>
    </row>
    <row r="277" spans="1:21" x14ac:dyDescent="0.3">
      <c r="A277" s="12" t="s">
        <v>85</v>
      </c>
      <c r="B277" s="46" t="str">
        <f>VLOOKUP(A277,MEMORIA!$A:$N,2,FALSE)</f>
        <v>DISTRIBUIÇÃO (CHAFARIZ)</v>
      </c>
      <c r="C277" s="47"/>
      <c r="D277" s="47"/>
      <c r="E277" s="47"/>
      <c r="F277" s="47"/>
      <c r="G277" s="47"/>
      <c r="H277" s="48"/>
      <c r="I277" s="13">
        <f>SUM(I$278:I$289)</f>
        <v>2831.9999999999995</v>
      </c>
      <c r="J277" s="13">
        <f>SUM(J$278:J$289)</f>
        <v>0</v>
      </c>
      <c r="K277" s="13"/>
      <c r="L277" s="14">
        <f t="shared" si="78"/>
        <v>0</v>
      </c>
      <c r="M277" s="13">
        <f>SUM(M$278:M$289)</f>
        <v>2831.9999999999995</v>
      </c>
      <c r="N277" s="13"/>
      <c r="O277" s="14">
        <f t="shared" si="79"/>
        <v>1</v>
      </c>
      <c r="P277" s="13">
        <f>SUM(P$278:P$289)</f>
        <v>0</v>
      </c>
      <c r="Q277" s="13"/>
      <c r="R277" s="14">
        <f t="shared" si="80"/>
        <v>0</v>
      </c>
      <c r="S277" s="13">
        <f t="shared" si="81"/>
        <v>2831.9999999999995</v>
      </c>
      <c r="T277" s="14">
        <f t="shared" si="82"/>
        <v>1</v>
      </c>
      <c r="U277" s="14">
        <f t="shared" si="83"/>
        <v>3.8910762987714015E-3</v>
      </c>
    </row>
    <row r="278" spans="1:21" ht="28.8" x14ac:dyDescent="0.3">
      <c r="A278" s="23" t="s">
        <v>347</v>
      </c>
      <c r="B278" s="23" t="str">
        <f>VLOOKUP(A278,MEMORIA!$A:$N,2,FALSE)</f>
        <v>COMPOS27</v>
      </c>
      <c r="C278" s="23" t="str">
        <f>VLOOKUP(A278,MEMORIA!$A:$N,3,FALSE)</f>
        <v>PRÓPRIA</v>
      </c>
      <c r="D278" s="24" t="str">
        <f>VLOOKUP(A278,MEMORIA!$A:$N,4,FALSE)</f>
        <v>AQUISIÇÃO E ASSENTAMENTO DE TUBO RÍGIDO PVC, CLASSE 12, DN 50 MM, INCLUSO CONEXÕES</v>
      </c>
      <c r="E278" s="23" t="str">
        <f>VLOOKUP(A278,MEMORIA!$A:$N,5,FALSE)</f>
        <v>M</v>
      </c>
      <c r="F278" s="5">
        <f>VLOOKUP(A278,MEMORIA!$A:$N,14,FALSE)</f>
        <v>18</v>
      </c>
      <c r="G278" s="5">
        <f>VLOOKUP(A278,ORCAMENTO!$A:$I,7,FALSE)</f>
        <v>25.79</v>
      </c>
      <c r="H278" s="5">
        <f>VLOOKUP(A278,ORCAMENTO!$A:$I,8,FALSE)</f>
        <v>32.200000000000003</v>
      </c>
      <c r="I278" s="5">
        <f t="shared" ref="I278:I289" si="85">ROUND(F278*H278,2)</f>
        <v>579.6</v>
      </c>
      <c r="J278" s="5">
        <f t="shared" ref="J278:J289" si="86">ROUND(K278*$H278,2)</f>
        <v>0</v>
      </c>
      <c r="K278" s="5">
        <v>0</v>
      </c>
      <c r="L278" s="25">
        <f t="shared" si="78"/>
        <v>0</v>
      </c>
      <c r="M278" s="5">
        <f t="shared" ref="M278:M289" si="87">ROUND(N278*$H278,2)</f>
        <v>579.6</v>
      </c>
      <c r="N278" s="5">
        <f>F278</f>
        <v>18</v>
      </c>
      <c r="O278" s="25">
        <f t="shared" si="79"/>
        <v>1</v>
      </c>
      <c r="P278" s="5">
        <f t="shared" ref="P278:P289" si="88">ROUND(Q278*$H278,2)</f>
        <v>0</v>
      </c>
      <c r="Q278" s="5">
        <v>0</v>
      </c>
      <c r="R278" s="25">
        <f t="shared" si="80"/>
        <v>0</v>
      </c>
      <c r="S278" s="5">
        <f t="shared" si="81"/>
        <v>579.6</v>
      </c>
      <c r="T278" s="25">
        <f t="shared" si="82"/>
        <v>1</v>
      </c>
      <c r="U278" s="25">
        <f t="shared" si="83"/>
        <v>7.963516323332997E-4</v>
      </c>
    </row>
    <row r="279" spans="1:21" ht="28.8" x14ac:dyDescent="0.3">
      <c r="A279" s="23" t="s">
        <v>348</v>
      </c>
      <c r="B279" s="23" t="str">
        <f>VLOOKUP(A279,MEMORIA!$A:$N,2,FALSE)</f>
        <v>06457/ORSE</v>
      </c>
      <c r="C279" s="23" t="str">
        <f>VLOOKUP(A279,MEMORIA!$A:$N,3,FALSE)</f>
        <v>ORSE</v>
      </c>
      <c r="D279" s="24" t="str">
        <f>VLOOKUP(A279,MEMORIA!$A:$N,4,FALSE)</f>
        <v>CONCRETO ARMADO FCK=15MPA FABRICADO NA OBRA, ADENSADO E LANÇADO, PARA USO GERAL, COM FORMAS PLANAS EM COMPENSADO RESINADO 12MM (05 USOS)</v>
      </c>
      <c r="E279" s="23" t="str">
        <f>VLOOKUP(A279,MEMORIA!$A:$N,5,FALSE)</f>
        <v>M3</v>
      </c>
      <c r="F279" s="5">
        <f>VLOOKUP(A279,MEMORIA!$A:$N,14,FALSE)</f>
        <v>0.26</v>
      </c>
      <c r="G279" s="5">
        <f>VLOOKUP(A279,ORCAMENTO!$A:$I,7,FALSE)</f>
        <v>2617.91</v>
      </c>
      <c r="H279" s="5">
        <f>VLOOKUP(A279,ORCAMENTO!$A:$I,8,FALSE)</f>
        <v>3268.2</v>
      </c>
      <c r="I279" s="5">
        <f t="shared" si="85"/>
        <v>849.73</v>
      </c>
      <c r="J279" s="5">
        <f t="shared" si="86"/>
        <v>0</v>
      </c>
      <c r="K279" s="5">
        <v>0</v>
      </c>
      <c r="L279" s="25">
        <f t="shared" si="78"/>
        <v>0</v>
      </c>
      <c r="M279" s="5">
        <f t="shared" si="87"/>
        <v>849.73</v>
      </c>
      <c r="N279" s="5">
        <f t="shared" ref="N279:N289" si="89">F279</f>
        <v>0.26</v>
      </c>
      <c r="O279" s="25">
        <f t="shared" si="79"/>
        <v>1</v>
      </c>
      <c r="P279" s="5">
        <f t="shared" si="88"/>
        <v>0</v>
      </c>
      <c r="Q279" s="5">
        <v>0</v>
      </c>
      <c r="R279" s="25">
        <f t="shared" si="80"/>
        <v>0</v>
      </c>
      <c r="S279" s="5">
        <f t="shared" si="81"/>
        <v>849.73</v>
      </c>
      <c r="T279" s="25">
        <f t="shared" si="82"/>
        <v>1</v>
      </c>
      <c r="U279" s="25">
        <f t="shared" si="83"/>
        <v>1.1675015054219715E-3</v>
      </c>
    </row>
    <row r="280" spans="1:21" ht="28.8" x14ac:dyDescent="0.3">
      <c r="A280" s="23" t="s">
        <v>349</v>
      </c>
      <c r="B280" s="23">
        <f>VLOOKUP(A280,MEMORIA!$A:$N,2,FALSE)</f>
        <v>86906</v>
      </c>
      <c r="C280" s="23" t="str">
        <f>VLOOKUP(A280,MEMORIA!$A:$N,3,FALSE)</f>
        <v>SINAPI</v>
      </c>
      <c r="D280" s="24" t="str">
        <f>VLOOKUP(A280,MEMORIA!$A:$N,4,FALSE)</f>
        <v>TORNEIRA CROMADA DE MESA, 1/2" OU 3/4", PARA LAVATÓRIO, PADRÃO POPULAR - FORNECIMENTO E INSTALAÇÃO. AF_01/2020</v>
      </c>
      <c r="E280" s="23" t="str">
        <f>VLOOKUP(A280,MEMORIA!$A:$N,5,FALSE)</f>
        <v>UN</v>
      </c>
      <c r="F280" s="5">
        <f>VLOOKUP(A280,MEMORIA!$A:$N,14,FALSE)</f>
        <v>4</v>
      </c>
      <c r="G280" s="5">
        <f>VLOOKUP(A280,ORCAMENTO!$A:$I,7,FALSE)</f>
        <v>81.239999999999995</v>
      </c>
      <c r="H280" s="5">
        <f>VLOOKUP(A280,ORCAMENTO!$A:$I,8,FALSE)</f>
        <v>101.41999999999999</v>
      </c>
      <c r="I280" s="5">
        <f t="shared" si="85"/>
        <v>405.68</v>
      </c>
      <c r="J280" s="5">
        <f t="shared" si="86"/>
        <v>0</v>
      </c>
      <c r="K280" s="5">
        <v>0</v>
      </c>
      <c r="L280" s="25">
        <f t="shared" si="78"/>
        <v>0</v>
      </c>
      <c r="M280" s="5">
        <f t="shared" si="87"/>
        <v>405.68</v>
      </c>
      <c r="N280" s="5">
        <f t="shared" si="89"/>
        <v>4</v>
      </c>
      <c r="O280" s="25">
        <f t="shared" si="79"/>
        <v>1</v>
      </c>
      <c r="P280" s="5">
        <f t="shared" si="88"/>
        <v>0</v>
      </c>
      <c r="Q280" s="5">
        <v>0</v>
      </c>
      <c r="R280" s="25">
        <f t="shared" si="80"/>
        <v>0</v>
      </c>
      <c r="S280" s="5">
        <f t="shared" si="81"/>
        <v>405.68</v>
      </c>
      <c r="T280" s="25">
        <f t="shared" si="82"/>
        <v>1</v>
      </c>
      <c r="U280" s="25">
        <f t="shared" si="83"/>
        <v>5.5739118392852483E-4</v>
      </c>
    </row>
    <row r="281" spans="1:21" ht="43.2" x14ac:dyDescent="0.3">
      <c r="A281" s="23" t="s">
        <v>350</v>
      </c>
      <c r="B281" s="23">
        <f>VLOOKUP(A281,MEMORIA!$A:$N,2,FALSE)</f>
        <v>92920</v>
      </c>
      <c r="C281" s="23" t="str">
        <f>VLOOKUP(A281,MEMORIA!$A:$N,3,FALSE)</f>
        <v>SINAPI</v>
      </c>
      <c r="D281" s="24" t="str">
        <f>VLOOKUP(A281,MEMORIA!$A:$N,4,FALSE)</f>
        <v>LUVA DE REDUÇÃO, EM FERRO GALVANIZADO, 1" X 3/4", CONEXÃO ROSQUEADA, INSTALADO EM REDE DE ALIMENTAÇÃO PARA HIDRANTE - FORNECIMENTO E INSTALAÇÃO. AF_10/2020</v>
      </c>
      <c r="E281" s="23" t="str">
        <f>VLOOKUP(A281,MEMORIA!$A:$N,5,FALSE)</f>
        <v>UN</v>
      </c>
      <c r="F281" s="5">
        <f>VLOOKUP(A281,MEMORIA!$A:$N,14,FALSE)</f>
        <v>4</v>
      </c>
      <c r="G281" s="5">
        <f>VLOOKUP(A281,ORCAMENTO!$A:$I,7,FALSE)</f>
        <v>35.64</v>
      </c>
      <c r="H281" s="5">
        <f>VLOOKUP(A281,ORCAMENTO!$A:$I,8,FALSE)</f>
        <v>44.49</v>
      </c>
      <c r="I281" s="5">
        <f t="shared" si="85"/>
        <v>177.96</v>
      </c>
      <c r="J281" s="5">
        <f t="shared" si="86"/>
        <v>0</v>
      </c>
      <c r="K281" s="5">
        <v>0</v>
      </c>
      <c r="L281" s="25">
        <f t="shared" si="78"/>
        <v>0</v>
      </c>
      <c r="M281" s="5">
        <f t="shared" si="87"/>
        <v>177.96</v>
      </c>
      <c r="N281" s="5">
        <f t="shared" si="89"/>
        <v>4</v>
      </c>
      <c r="O281" s="25">
        <f t="shared" si="79"/>
        <v>1</v>
      </c>
      <c r="P281" s="5">
        <f t="shared" si="88"/>
        <v>0</v>
      </c>
      <c r="Q281" s="5">
        <v>0</v>
      </c>
      <c r="R281" s="25">
        <f t="shared" si="80"/>
        <v>0</v>
      </c>
      <c r="S281" s="5">
        <f t="shared" si="81"/>
        <v>177.96</v>
      </c>
      <c r="T281" s="25">
        <f t="shared" si="82"/>
        <v>1</v>
      </c>
      <c r="U281" s="25">
        <f t="shared" si="83"/>
        <v>2.4451127758805041E-4</v>
      </c>
    </row>
    <row r="282" spans="1:21" x14ac:dyDescent="0.3">
      <c r="A282" s="23" t="s">
        <v>351</v>
      </c>
      <c r="B282" s="23" t="str">
        <f>VLOOKUP(A282,MEMORIA!$A:$N,2,FALSE)</f>
        <v>COMPCH08</v>
      </c>
      <c r="C282" s="23" t="str">
        <f>VLOOKUP(A282,MEMORIA!$A:$N,3,FALSE)</f>
        <v>PRÓPRIA</v>
      </c>
      <c r="D282" s="24" t="str">
        <f>VLOOKUP(A282,MEMORIA!$A:$N,4,FALSE)</f>
        <v>CRUZETA DE FERRO GALVANIZADO, COM ROSCA BSP, DE 1"</v>
      </c>
      <c r="E282" s="23" t="str">
        <f>VLOOKUP(A282,MEMORIA!$A:$N,5,FALSE)</f>
        <v>UN</v>
      </c>
      <c r="F282" s="5">
        <f>VLOOKUP(A282,MEMORIA!$A:$N,14,FALSE)</f>
        <v>1</v>
      </c>
      <c r="G282" s="5">
        <f>VLOOKUP(A282,ORCAMENTO!$A:$I,7,FALSE)</f>
        <v>85.84</v>
      </c>
      <c r="H282" s="5">
        <f>VLOOKUP(A282,ORCAMENTO!$A:$I,8,FALSE)</f>
        <v>107.16</v>
      </c>
      <c r="I282" s="5">
        <f t="shared" si="85"/>
        <v>107.16</v>
      </c>
      <c r="J282" s="5">
        <f t="shared" si="86"/>
        <v>0</v>
      </c>
      <c r="K282" s="5">
        <v>0</v>
      </c>
      <c r="L282" s="25">
        <f t="shared" si="78"/>
        <v>0</v>
      </c>
      <c r="M282" s="5">
        <f t="shared" si="87"/>
        <v>107.16</v>
      </c>
      <c r="N282" s="5">
        <f t="shared" si="89"/>
        <v>1</v>
      </c>
      <c r="O282" s="25">
        <f t="shared" si="79"/>
        <v>1</v>
      </c>
      <c r="P282" s="5">
        <f t="shared" si="88"/>
        <v>0</v>
      </c>
      <c r="Q282" s="5">
        <v>0</v>
      </c>
      <c r="R282" s="25">
        <f t="shared" si="80"/>
        <v>0</v>
      </c>
      <c r="S282" s="5">
        <f t="shared" si="81"/>
        <v>107.16</v>
      </c>
      <c r="T282" s="25">
        <f t="shared" si="82"/>
        <v>1</v>
      </c>
      <c r="U282" s="25">
        <f t="shared" si="83"/>
        <v>1.4723437011876533E-4</v>
      </c>
    </row>
    <row r="283" spans="1:21" ht="28.8" x14ac:dyDescent="0.3">
      <c r="A283" s="23" t="s">
        <v>352</v>
      </c>
      <c r="B283" s="23" t="str">
        <f>VLOOKUP(A283,MEMORIA!$A:$N,2,FALSE)</f>
        <v>COMPCH01</v>
      </c>
      <c r="C283" s="23" t="str">
        <f>VLOOKUP(A283,MEMORIA!$A:$N,3,FALSE)</f>
        <v>PRÓPRIA</v>
      </c>
      <c r="D283" s="24" t="str">
        <f>VLOOKUP(A283,MEMORIA!$A:$N,4,FALSE)</f>
        <v>TÊ, EM FERRO GALVANIZADO, 1", CONEXÃO ROSQUEADA, INSTALADO EM PRUMADAS - FORNECIMENTO E INSTALAÇÃO.</v>
      </c>
      <c r="E283" s="23" t="str">
        <f>VLOOKUP(A283,MEMORIA!$A:$N,5,FALSE)</f>
        <v>UN</v>
      </c>
      <c r="F283" s="5">
        <f>VLOOKUP(A283,MEMORIA!$A:$N,14,FALSE)</f>
        <v>1</v>
      </c>
      <c r="G283" s="5">
        <f>VLOOKUP(A283,ORCAMENTO!$A:$I,7,FALSE)</f>
        <v>69.28</v>
      </c>
      <c r="H283" s="5">
        <f>VLOOKUP(A283,ORCAMENTO!$A:$I,8,FALSE)</f>
        <v>86.490000000000009</v>
      </c>
      <c r="I283" s="5">
        <f t="shared" si="85"/>
        <v>86.49</v>
      </c>
      <c r="J283" s="5">
        <f t="shared" si="86"/>
        <v>0</v>
      </c>
      <c r="K283" s="5">
        <v>0</v>
      </c>
      <c r="L283" s="25">
        <f t="shared" si="78"/>
        <v>0</v>
      </c>
      <c r="M283" s="5">
        <f t="shared" si="87"/>
        <v>86.49</v>
      </c>
      <c r="N283" s="5">
        <f t="shared" si="89"/>
        <v>1</v>
      </c>
      <c r="O283" s="25">
        <f t="shared" si="79"/>
        <v>1</v>
      </c>
      <c r="P283" s="5">
        <f t="shared" si="88"/>
        <v>0</v>
      </c>
      <c r="Q283" s="5">
        <v>0</v>
      </c>
      <c r="R283" s="25">
        <f t="shared" si="80"/>
        <v>0</v>
      </c>
      <c r="S283" s="5">
        <f t="shared" si="81"/>
        <v>86.49</v>
      </c>
      <c r="T283" s="25">
        <f t="shared" si="82"/>
        <v>1</v>
      </c>
      <c r="U283" s="25">
        <f t="shared" si="83"/>
        <v>1.1883445942116473E-4</v>
      </c>
    </row>
    <row r="284" spans="1:21" x14ac:dyDescent="0.3">
      <c r="A284" s="23" t="s">
        <v>353</v>
      </c>
      <c r="B284" s="23" t="str">
        <f>VLOOKUP(A284,MEMORIA!$A:$N,2,FALSE)</f>
        <v>COMPCH02</v>
      </c>
      <c r="C284" s="23" t="str">
        <f>VLOOKUP(A284,MEMORIA!$A:$N,3,FALSE)</f>
        <v>PRÓPRIA</v>
      </c>
      <c r="D284" s="24" t="str">
        <f>VLOOKUP(A284,MEMORIA!$A:$N,4,FALSE)</f>
        <v>LUVA DE FERRO GALVANIZADO, COM ROSCA BSP, DE 1"- FORNECIMENTO E INSTALAÇÃO</v>
      </c>
      <c r="E284" s="23" t="str">
        <f>VLOOKUP(A284,MEMORIA!$A:$N,5,FALSE)</f>
        <v>UN</v>
      </c>
      <c r="F284" s="5">
        <f>VLOOKUP(A284,MEMORIA!$A:$N,14,FALSE)</f>
        <v>1</v>
      </c>
      <c r="G284" s="5">
        <f>VLOOKUP(A284,ORCAMENTO!$A:$I,7,FALSE)</f>
        <v>21.18</v>
      </c>
      <c r="H284" s="5">
        <f>VLOOKUP(A284,ORCAMENTO!$A:$I,8,FALSE)</f>
        <v>26.439999999999998</v>
      </c>
      <c r="I284" s="5">
        <f t="shared" si="85"/>
        <v>26.44</v>
      </c>
      <c r="J284" s="5">
        <f t="shared" si="86"/>
        <v>0</v>
      </c>
      <c r="K284" s="5">
        <v>0</v>
      </c>
      <c r="L284" s="25">
        <f t="shared" si="78"/>
        <v>0</v>
      </c>
      <c r="M284" s="5">
        <f t="shared" si="87"/>
        <v>26.44</v>
      </c>
      <c r="N284" s="5">
        <f t="shared" si="89"/>
        <v>1</v>
      </c>
      <c r="O284" s="25">
        <f t="shared" si="79"/>
        <v>1</v>
      </c>
      <c r="P284" s="5">
        <f t="shared" si="88"/>
        <v>0</v>
      </c>
      <c r="Q284" s="5">
        <v>0</v>
      </c>
      <c r="R284" s="25">
        <f t="shared" si="80"/>
        <v>0</v>
      </c>
      <c r="S284" s="5">
        <f t="shared" si="81"/>
        <v>26.44</v>
      </c>
      <c r="T284" s="25">
        <f t="shared" si="82"/>
        <v>1</v>
      </c>
      <c r="U284" s="25">
        <f t="shared" si="83"/>
        <v>3.6327703862823399E-5</v>
      </c>
    </row>
    <row r="285" spans="1:21" ht="28.8" x14ac:dyDescent="0.3">
      <c r="A285" s="23" t="s">
        <v>354</v>
      </c>
      <c r="B285" s="23" t="str">
        <f>VLOOKUP(A285,MEMORIA!$A:$N,2,FALSE)</f>
        <v>COMPCH03</v>
      </c>
      <c r="C285" s="23" t="str">
        <f>VLOOKUP(A285,MEMORIA!$A:$N,3,FALSE)</f>
        <v>PRÓPRIA</v>
      </c>
      <c r="D285" s="24" t="str">
        <f>VLOOKUP(A285,MEMORIA!$A:$N,4,FALSE)</f>
        <v>CURVA 90 GRAUS DE FERRO GALVANIZADO, COM ROSCA BSP FEMEA, DE 1"- FORNECIMENTO E INSTALAÇÃO</v>
      </c>
      <c r="E285" s="23" t="str">
        <f>VLOOKUP(A285,MEMORIA!$A:$N,5,FALSE)</f>
        <v>UN</v>
      </c>
      <c r="F285" s="5">
        <f>VLOOKUP(A285,MEMORIA!$A:$N,14,FALSE)</f>
        <v>1</v>
      </c>
      <c r="G285" s="5">
        <f>VLOOKUP(A285,ORCAMENTO!$A:$I,7,FALSE)</f>
        <v>55.2</v>
      </c>
      <c r="H285" s="5">
        <f>VLOOKUP(A285,ORCAMENTO!$A:$I,8,FALSE)</f>
        <v>68.91</v>
      </c>
      <c r="I285" s="5">
        <f t="shared" si="85"/>
        <v>68.91</v>
      </c>
      <c r="J285" s="5">
        <f t="shared" si="86"/>
        <v>0</v>
      </c>
      <c r="K285" s="5">
        <v>0</v>
      </c>
      <c r="L285" s="25">
        <f t="shared" si="78"/>
        <v>0</v>
      </c>
      <c r="M285" s="5">
        <f t="shared" si="87"/>
        <v>68.91</v>
      </c>
      <c r="N285" s="5">
        <f t="shared" si="89"/>
        <v>1</v>
      </c>
      <c r="O285" s="25">
        <f t="shared" si="79"/>
        <v>1</v>
      </c>
      <c r="P285" s="5">
        <f t="shared" si="88"/>
        <v>0</v>
      </c>
      <c r="Q285" s="5">
        <v>0</v>
      </c>
      <c r="R285" s="25">
        <f t="shared" si="80"/>
        <v>0</v>
      </c>
      <c r="S285" s="5">
        <f t="shared" si="81"/>
        <v>68.91</v>
      </c>
      <c r="T285" s="25">
        <f t="shared" si="82"/>
        <v>1</v>
      </c>
      <c r="U285" s="25">
        <f t="shared" si="83"/>
        <v>9.46801086681982E-5</v>
      </c>
    </row>
    <row r="286" spans="1:21" ht="28.8" x14ac:dyDescent="0.3">
      <c r="A286" s="23" t="s">
        <v>355</v>
      </c>
      <c r="B286" s="23" t="str">
        <f>VLOOKUP(A286,MEMORIA!$A:$N,2,FALSE)</f>
        <v>COMPCH04</v>
      </c>
      <c r="C286" s="23" t="str">
        <f>VLOOKUP(A286,MEMORIA!$A:$N,3,FALSE)</f>
        <v>PRÓPRIA</v>
      </c>
      <c r="D286" s="24" t="str">
        <f>VLOOKUP(A286,MEMORIA!$A:$N,4,FALSE)</f>
        <v>TUBO DE AÇO GALVANIZADO COM COSTURA 1" (25MM), INCLUSIVE CONEXOES - FORNECIMENTO E INSTALAÇÃO</v>
      </c>
      <c r="E286" s="23" t="str">
        <f>VLOOKUP(A286,MEMORIA!$A:$N,5,FALSE)</f>
        <v>M</v>
      </c>
      <c r="F286" s="5">
        <f>VLOOKUP(A286,MEMORIA!$A:$N,14,FALSE)</f>
        <v>3</v>
      </c>
      <c r="G286" s="5">
        <f>VLOOKUP(A286,ORCAMENTO!$A:$I,7,FALSE)</f>
        <v>46.050000000000004</v>
      </c>
      <c r="H286" s="5">
        <f>VLOOKUP(A286,ORCAMENTO!$A:$I,8,FALSE)</f>
        <v>57.49</v>
      </c>
      <c r="I286" s="5">
        <f t="shared" si="85"/>
        <v>172.47</v>
      </c>
      <c r="J286" s="5">
        <f t="shared" si="86"/>
        <v>0</v>
      </c>
      <c r="K286" s="5">
        <v>0</v>
      </c>
      <c r="L286" s="25">
        <f t="shared" si="78"/>
        <v>0</v>
      </c>
      <c r="M286" s="5">
        <f t="shared" si="87"/>
        <v>172.47</v>
      </c>
      <c r="N286" s="5">
        <f t="shared" si="89"/>
        <v>3</v>
      </c>
      <c r="O286" s="25">
        <f t="shared" si="79"/>
        <v>1</v>
      </c>
      <c r="P286" s="5">
        <f t="shared" si="88"/>
        <v>0</v>
      </c>
      <c r="Q286" s="5">
        <v>0</v>
      </c>
      <c r="R286" s="25">
        <f t="shared" si="80"/>
        <v>0</v>
      </c>
      <c r="S286" s="5">
        <f t="shared" si="81"/>
        <v>172.47</v>
      </c>
      <c r="T286" s="25">
        <f t="shared" si="82"/>
        <v>1</v>
      </c>
      <c r="U286" s="25">
        <f t="shared" si="83"/>
        <v>2.3696819535632194E-4</v>
      </c>
    </row>
    <row r="287" spans="1:21" ht="28.8" x14ac:dyDescent="0.3">
      <c r="A287" s="23" t="s">
        <v>356</v>
      </c>
      <c r="B287" s="23" t="str">
        <f>VLOOKUP(A287,MEMORIA!$A:$N,2,FALSE)</f>
        <v>COMPCH05</v>
      </c>
      <c r="C287" s="23" t="str">
        <f>VLOOKUP(A287,MEMORIA!$A:$N,3,FALSE)</f>
        <v>PRÓPRIA</v>
      </c>
      <c r="D287" s="24" t="str">
        <f>VLOOKUP(A287,MEMORIA!$A:$N,4,FALSE)</f>
        <v>BUCHA DE REDUCAO DE FERRO GALVANIZADO, COM ROSCA BSP, DE 1 1/2" X 1"- FORNECIMENTO E INSTALAÇÃO</v>
      </c>
      <c r="E287" s="23" t="str">
        <f>VLOOKUP(A287,MEMORIA!$A:$N,5,FALSE)</f>
        <v>UN</v>
      </c>
      <c r="F287" s="5">
        <f>VLOOKUP(A287,MEMORIA!$A:$N,14,FALSE)</f>
        <v>1</v>
      </c>
      <c r="G287" s="5">
        <f>VLOOKUP(A287,ORCAMENTO!$A:$I,7,FALSE)</f>
        <v>37.659999999999997</v>
      </c>
      <c r="H287" s="5">
        <f>VLOOKUP(A287,ORCAMENTO!$A:$I,8,FALSE)</f>
        <v>47.01</v>
      </c>
      <c r="I287" s="5">
        <f t="shared" si="85"/>
        <v>47.01</v>
      </c>
      <c r="J287" s="5">
        <f t="shared" si="86"/>
        <v>0</v>
      </c>
      <c r="K287" s="5">
        <v>0</v>
      </c>
      <c r="L287" s="25">
        <f t="shared" si="78"/>
        <v>0</v>
      </c>
      <c r="M287" s="5">
        <f t="shared" si="87"/>
        <v>47.01</v>
      </c>
      <c r="N287" s="5">
        <f t="shared" si="89"/>
        <v>1</v>
      </c>
      <c r="O287" s="25">
        <f t="shared" si="79"/>
        <v>1</v>
      </c>
      <c r="P287" s="5">
        <f t="shared" si="88"/>
        <v>0</v>
      </c>
      <c r="Q287" s="5">
        <v>0</v>
      </c>
      <c r="R287" s="25">
        <f t="shared" si="80"/>
        <v>0</v>
      </c>
      <c r="S287" s="5">
        <f t="shared" si="81"/>
        <v>47.01</v>
      </c>
      <c r="T287" s="25">
        <f t="shared" si="82"/>
        <v>1</v>
      </c>
      <c r="U287" s="25">
        <f t="shared" si="83"/>
        <v>6.4590217798461724E-5</v>
      </c>
    </row>
    <row r="288" spans="1:21" ht="28.8" x14ac:dyDescent="0.3">
      <c r="A288" s="23" t="s">
        <v>357</v>
      </c>
      <c r="B288" s="23">
        <f>VLOOKUP(A288,MEMORIA!$A:$N,2,FALSE)</f>
        <v>94497</v>
      </c>
      <c r="C288" s="23" t="str">
        <f>VLOOKUP(A288,MEMORIA!$A:$N,3,FALSE)</f>
        <v>SINAPI</v>
      </c>
      <c r="D288" s="24" t="str">
        <f>VLOOKUP(A288,MEMORIA!$A:$N,4,FALSE)</f>
        <v>REGISTRO DE GAVETA BRUTO, LATÃO, ROSCÁVEL, 1 1/2" - FORNECIMENTO E INSTALAÇÃO. AF_08/2021</v>
      </c>
      <c r="E288" s="23" t="str">
        <f>VLOOKUP(A288,MEMORIA!$A:$N,5,FALSE)</f>
        <v>UN</v>
      </c>
      <c r="F288" s="5">
        <f>VLOOKUP(A288,MEMORIA!$A:$N,14,FALSE)</f>
        <v>2</v>
      </c>
      <c r="G288" s="5">
        <f>VLOOKUP(A288,ORCAMENTO!$A:$I,7,FALSE)</f>
        <v>118.80000000000001</v>
      </c>
      <c r="H288" s="5">
        <f>VLOOKUP(A288,ORCAMENTO!$A:$I,8,FALSE)</f>
        <v>148.31</v>
      </c>
      <c r="I288" s="5">
        <f t="shared" si="85"/>
        <v>296.62</v>
      </c>
      <c r="J288" s="5">
        <f t="shared" si="86"/>
        <v>0</v>
      </c>
      <c r="K288" s="5">
        <v>0</v>
      </c>
      <c r="L288" s="25">
        <f t="shared" si="78"/>
        <v>0</v>
      </c>
      <c r="M288" s="5">
        <f t="shared" si="87"/>
        <v>296.62</v>
      </c>
      <c r="N288" s="5">
        <f t="shared" si="89"/>
        <v>2</v>
      </c>
      <c r="O288" s="25">
        <f t="shared" si="79"/>
        <v>1</v>
      </c>
      <c r="P288" s="5">
        <f t="shared" si="88"/>
        <v>0</v>
      </c>
      <c r="Q288" s="5">
        <v>0</v>
      </c>
      <c r="R288" s="25">
        <f t="shared" si="80"/>
        <v>0</v>
      </c>
      <c r="S288" s="5">
        <f t="shared" si="81"/>
        <v>296.62</v>
      </c>
      <c r="T288" s="25">
        <f t="shared" si="82"/>
        <v>1</v>
      </c>
      <c r="U288" s="25">
        <f t="shared" si="83"/>
        <v>4.0754627533247644E-4</v>
      </c>
    </row>
    <row r="289" spans="1:21" ht="28.8" x14ac:dyDescent="0.3">
      <c r="A289" s="23" t="s">
        <v>358</v>
      </c>
      <c r="B289" s="23" t="str">
        <f>VLOOKUP(A289,MEMORIA!$A:$N,2,FALSE)</f>
        <v>COMPCH07</v>
      </c>
      <c r="C289" s="23" t="str">
        <f>VLOOKUP(A289,MEMORIA!$A:$N,3,FALSE)</f>
        <v>PRÓPRIA</v>
      </c>
      <c r="D289" s="24" t="str">
        <f>VLOOKUP(A289,MEMORIA!$A:$N,4,FALSE)</f>
        <v>ADAPTADOR CURTO COM BOLSA E ROSCA PARA REGISTRO, PVC, SOLDÁVEL, DN 40MM X 1.1/2, INSTALADO EM PRUMADA DE ÁGUA - FORNECIMENTO E INSTALAÇÃO</v>
      </c>
      <c r="E289" s="23" t="str">
        <f>VLOOKUP(A289,MEMORIA!$A:$N,5,FALSE)</f>
        <v>UN</v>
      </c>
      <c r="F289" s="5">
        <f>VLOOKUP(A289,MEMORIA!$A:$N,14,FALSE)</f>
        <v>1</v>
      </c>
      <c r="G289" s="5">
        <f>VLOOKUP(A289,ORCAMENTO!$A:$I,7,FALSE)</f>
        <v>11.16</v>
      </c>
      <c r="H289" s="5">
        <f>VLOOKUP(A289,ORCAMENTO!$A:$I,8,FALSE)</f>
        <v>13.93</v>
      </c>
      <c r="I289" s="5">
        <f t="shared" si="85"/>
        <v>13.93</v>
      </c>
      <c r="J289" s="5">
        <f t="shared" si="86"/>
        <v>0</v>
      </c>
      <c r="K289" s="5">
        <v>0</v>
      </c>
      <c r="L289" s="25">
        <f t="shared" si="78"/>
        <v>0</v>
      </c>
      <c r="M289" s="5">
        <f t="shared" si="87"/>
        <v>13.93</v>
      </c>
      <c r="N289" s="5">
        <f t="shared" si="89"/>
        <v>1</v>
      </c>
      <c r="O289" s="25">
        <f t="shared" si="79"/>
        <v>1</v>
      </c>
      <c r="P289" s="5">
        <f t="shared" si="88"/>
        <v>0</v>
      </c>
      <c r="Q289" s="5">
        <v>0</v>
      </c>
      <c r="R289" s="25">
        <f t="shared" si="80"/>
        <v>0</v>
      </c>
      <c r="S289" s="5">
        <f t="shared" si="81"/>
        <v>13.93</v>
      </c>
      <c r="T289" s="25">
        <f t="shared" si="82"/>
        <v>1</v>
      </c>
      <c r="U289" s="25">
        <f t="shared" si="83"/>
        <v>1.9139368941343795E-5</v>
      </c>
    </row>
    <row r="290" spans="1:21" x14ac:dyDescent="0.3">
      <c r="A290" s="9">
        <v>5</v>
      </c>
      <c r="B290" s="52" t="str">
        <f>VLOOKUP(A290,MEMORIA!$A:$N,2,FALSE)</f>
        <v>COMUNIDADE SERRA</v>
      </c>
      <c r="C290" s="53"/>
      <c r="D290" s="53"/>
      <c r="E290" s="53"/>
      <c r="F290" s="53"/>
      <c r="G290" s="53"/>
      <c r="H290" s="54"/>
      <c r="I290" s="10">
        <f>SUM(I$291,I$309,I$316,I$350,I$359,I$368,I$370,)</f>
        <v>136434.92000000001</v>
      </c>
      <c r="J290" s="10">
        <f>SUM(J$291,J$309,J$316,J$350,J$359,J$368,J$370,)</f>
        <v>0</v>
      </c>
      <c r="K290" s="10"/>
      <c r="L290" s="11">
        <f t="shared" si="78"/>
        <v>0</v>
      </c>
      <c r="M290" s="10">
        <f>SUM(M$291,M$309,M$316,M$350,M$359,M$368,M$370,)</f>
        <v>136434.92000000001</v>
      </c>
      <c r="N290" s="10"/>
      <c r="O290" s="11">
        <f t="shared" si="79"/>
        <v>1</v>
      </c>
      <c r="P290" s="10">
        <f>SUM(P$291,P$309,P$316,P$350,P$359,P$368,P$370,)</f>
        <v>0</v>
      </c>
      <c r="Q290" s="10"/>
      <c r="R290" s="11">
        <f t="shared" si="80"/>
        <v>0</v>
      </c>
      <c r="S290" s="10">
        <f t="shared" si="81"/>
        <v>136434.92000000001</v>
      </c>
      <c r="T290" s="11">
        <f t="shared" si="82"/>
        <v>1</v>
      </c>
      <c r="U290" s="11">
        <f t="shared" si="83"/>
        <v>0.18745716226580944</v>
      </c>
    </row>
    <row r="291" spans="1:21" x14ac:dyDescent="0.3">
      <c r="A291" s="12" t="s">
        <v>86</v>
      </c>
      <c r="B291" s="46" t="str">
        <f>VLOOKUP(A291,MEMORIA!$A:$N,2,FALSE)</f>
        <v>PERFURAÇÃO DE POÇO TUBULAR</v>
      </c>
      <c r="C291" s="47"/>
      <c r="D291" s="47"/>
      <c r="E291" s="47"/>
      <c r="F291" s="47"/>
      <c r="G291" s="47"/>
      <c r="H291" s="48"/>
      <c r="I291" s="13">
        <f>SUM(I$292:I$308)</f>
        <v>64859.22</v>
      </c>
      <c r="J291" s="13">
        <f>SUM(J$292:J$308)</f>
        <v>0</v>
      </c>
      <c r="K291" s="13"/>
      <c r="L291" s="14">
        <f t="shared" si="78"/>
        <v>0</v>
      </c>
      <c r="M291" s="13">
        <f>SUM(M$292:M$308)</f>
        <v>64859.22</v>
      </c>
      <c r="N291" s="13"/>
      <c r="O291" s="14">
        <f t="shared" si="79"/>
        <v>1</v>
      </c>
      <c r="P291" s="13">
        <f>SUM(P$292:P$308)</f>
        <v>0</v>
      </c>
      <c r="Q291" s="13"/>
      <c r="R291" s="14">
        <f t="shared" si="80"/>
        <v>0</v>
      </c>
      <c r="S291" s="13">
        <f t="shared" si="81"/>
        <v>64859.22</v>
      </c>
      <c r="T291" s="14">
        <f t="shared" si="82"/>
        <v>1</v>
      </c>
      <c r="U291" s="14">
        <f t="shared" si="83"/>
        <v>8.9114468113983089E-2</v>
      </c>
    </row>
    <row r="292" spans="1:21" x14ac:dyDescent="0.3">
      <c r="A292" s="23" t="s">
        <v>359</v>
      </c>
      <c r="B292" s="23" t="str">
        <f>VLOOKUP(A292,MEMORIA!$A:$N,2,FALSE)</f>
        <v>COMPOS3</v>
      </c>
      <c r="C292" s="23" t="str">
        <f>VLOOKUP(A292,MEMORIA!$A:$N,3,FALSE)</f>
        <v>PRÓPRIA</v>
      </c>
      <c r="D292" s="24" t="str">
        <f>VLOOKUP(A292,MEMORIA!$A:$N,4,FALSE)</f>
        <v>LOCAÇÃO DO POÇO COM ESTUDO GEOLÓGICO/HIDROGEOLÓGICO/GEOFÍSICO</v>
      </c>
      <c r="E292" s="23" t="str">
        <f>VLOOKUP(A292,MEMORIA!$A:$N,5,FALSE)</f>
        <v>UN</v>
      </c>
      <c r="F292" s="5">
        <f>VLOOKUP(A292,MEMORIA!$A:$N,14,FALSE)</f>
        <v>1</v>
      </c>
      <c r="G292" s="5">
        <f>VLOOKUP(A292,ORCAMENTO!$A:$I,7,FALSE)</f>
        <v>1692.3999999999999</v>
      </c>
      <c r="H292" s="5">
        <f>VLOOKUP(A292,ORCAMENTO!$A:$I,8,FALSE)</f>
        <v>2112.79</v>
      </c>
      <c r="I292" s="5">
        <f t="shared" ref="I292:I308" si="90">ROUND(F292*H292,2)</f>
        <v>2112.79</v>
      </c>
      <c r="J292" s="5">
        <f t="shared" ref="J292:J308" si="91">ROUND(K292*$H292,2)</f>
        <v>0</v>
      </c>
      <c r="K292" s="5">
        <v>0</v>
      </c>
      <c r="L292" s="25">
        <f t="shared" si="78"/>
        <v>0</v>
      </c>
      <c r="M292" s="5">
        <f t="shared" ref="M292:M308" si="92">ROUND(N292*$H292,2)</f>
        <v>2112.79</v>
      </c>
      <c r="N292" s="5">
        <f>F292</f>
        <v>1</v>
      </c>
      <c r="O292" s="25">
        <f t="shared" si="79"/>
        <v>1</v>
      </c>
      <c r="P292" s="5">
        <f t="shared" ref="P292:P308" si="93">ROUND(Q292*$H292,2)</f>
        <v>0</v>
      </c>
      <c r="Q292" s="5">
        <v>0</v>
      </c>
      <c r="R292" s="25">
        <f t="shared" si="80"/>
        <v>0</v>
      </c>
      <c r="S292" s="5">
        <f t="shared" si="81"/>
        <v>2112.79</v>
      </c>
      <c r="T292" s="25">
        <f t="shared" si="82"/>
        <v>1</v>
      </c>
      <c r="U292" s="25">
        <f t="shared" si="83"/>
        <v>2.9029050470625812E-3</v>
      </c>
    </row>
    <row r="293" spans="1:21" x14ac:dyDescent="0.3">
      <c r="A293" s="23" t="s">
        <v>360</v>
      </c>
      <c r="B293" s="23" t="str">
        <f>VLOOKUP(A293,MEMORIA!$A:$N,2,FALSE)</f>
        <v>COMPOS4</v>
      </c>
      <c r="C293" s="23" t="str">
        <f>VLOOKUP(A293,MEMORIA!$A:$N,3,FALSE)</f>
        <v>PRÓPRIA</v>
      </c>
      <c r="D293" s="24" t="str">
        <f>VLOOKUP(A293,MEMORIA!$A:$N,4,FALSE)</f>
        <v>TRANSPORTE DE MÁQUINAS E EQUIPAMENTOS</v>
      </c>
      <c r="E293" s="23" t="str">
        <f>VLOOKUP(A293,MEMORIA!$A:$N,5,FALSE)</f>
        <v>KM</v>
      </c>
      <c r="F293" s="5">
        <f>VLOOKUP(A293,MEMORIA!$A:$N,14,FALSE)</f>
        <v>39.5</v>
      </c>
      <c r="G293" s="5">
        <f>VLOOKUP(A293,ORCAMENTO!$A:$I,7,FALSE)</f>
        <v>5.5</v>
      </c>
      <c r="H293" s="5">
        <f>VLOOKUP(A293,ORCAMENTO!$A:$I,8,FALSE)</f>
        <v>6.87</v>
      </c>
      <c r="I293" s="5">
        <f t="shared" si="90"/>
        <v>271.37</v>
      </c>
      <c r="J293" s="5">
        <f t="shared" si="91"/>
        <v>0</v>
      </c>
      <c r="K293" s="5">
        <v>0</v>
      </c>
      <c r="L293" s="25">
        <f t="shared" si="78"/>
        <v>0</v>
      </c>
      <c r="M293" s="5">
        <f t="shared" si="92"/>
        <v>271.37</v>
      </c>
      <c r="N293" s="5">
        <f t="shared" ref="N293:N315" si="94">F293</f>
        <v>39.5</v>
      </c>
      <c r="O293" s="25">
        <f t="shared" si="79"/>
        <v>1</v>
      </c>
      <c r="P293" s="5">
        <f t="shared" si="93"/>
        <v>0</v>
      </c>
      <c r="Q293" s="5">
        <v>0</v>
      </c>
      <c r="R293" s="25">
        <f t="shared" si="80"/>
        <v>0</v>
      </c>
      <c r="S293" s="5">
        <f t="shared" si="81"/>
        <v>271.37</v>
      </c>
      <c r="T293" s="25">
        <f t="shared" si="82"/>
        <v>1</v>
      </c>
      <c r="U293" s="25">
        <f t="shared" si="83"/>
        <v>3.72853592937004E-4</v>
      </c>
    </row>
    <row r="294" spans="1:21" x14ac:dyDescent="0.3">
      <c r="A294" s="23" t="s">
        <v>361</v>
      </c>
      <c r="B294" s="23" t="str">
        <f>VLOOKUP(A294,MEMORIA!$A:$N,2,FALSE)</f>
        <v>COMPOS4</v>
      </c>
      <c r="C294" s="23" t="str">
        <f>VLOOKUP(A294,MEMORIA!$A:$N,3,FALSE)</f>
        <v>PRÓPRIA</v>
      </c>
      <c r="D294" s="24" t="str">
        <f>VLOOKUP(A294,MEMORIA!$A:$N,4,FALSE)</f>
        <v>TRANSPORTE DE MÁQUINAS E EQUIPAMENTOS</v>
      </c>
      <c r="E294" s="23" t="str">
        <f>VLOOKUP(A294,MEMORIA!$A:$N,5,FALSE)</f>
        <v>KM</v>
      </c>
      <c r="F294" s="5">
        <f>VLOOKUP(A294,MEMORIA!$A:$N,14,FALSE)</f>
        <v>39.5</v>
      </c>
      <c r="G294" s="5">
        <f>VLOOKUP(A294,ORCAMENTO!$A:$I,7,FALSE)</f>
        <v>5.5</v>
      </c>
      <c r="H294" s="5">
        <f>VLOOKUP(A294,ORCAMENTO!$A:$I,8,FALSE)</f>
        <v>6.87</v>
      </c>
      <c r="I294" s="5">
        <f t="shared" si="90"/>
        <v>271.37</v>
      </c>
      <c r="J294" s="5">
        <f t="shared" si="91"/>
        <v>0</v>
      </c>
      <c r="K294" s="5">
        <v>0</v>
      </c>
      <c r="L294" s="25">
        <f t="shared" si="78"/>
        <v>0</v>
      </c>
      <c r="M294" s="5">
        <f t="shared" si="92"/>
        <v>271.37</v>
      </c>
      <c r="N294" s="5">
        <f t="shared" si="94"/>
        <v>39.5</v>
      </c>
      <c r="O294" s="25">
        <f t="shared" si="79"/>
        <v>1</v>
      </c>
      <c r="P294" s="5">
        <f t="shared" si="93"/>
        <v>0</v>
      </c>
      <c r="Q294" s="5">
        <v>0</v>
      </c>
      <c r="R294" s="25">
        <f t="shared" si="80"/>
        <v>0</v>
      </c>
      <c r="S294" s="5">
        <f t="shared" si="81"/>
        <v>271.37</v>
      </c>
      <c r="T294" s="25">
        <f t="shared" si="82"/>
        <v>1</v>
      </c>
      <c r="U294" s="25">
        <f t="shared" si="83"/>
        <v>3.72853592937004E-4</v>
      </c>
    </row>
    <row r="295" spans="1:21" x14ac:dyDescent="0.3">
      <c r="A295" s="23" t="s">
        <v>362</v>
      </c>
      <c r="B295" s="23" t="str">
        <f>VLOOKUP(A295,MEMORIA!$A:$N,2,FALSE)</f>
        <v>COMPOS5</v>
      </c>
      <c r="C295" s="23" t="str">
        <f>VLOOKUP(A295,MEMORIA!$A:$N,3,FALSE)</f>
        <v>PRÓPRIA</v>
      </c>
      <c r="D295" s="24" t="str">
        <f>VLOOKUP(A295,MEMORIA!$A:$N,4,FALSE)</f>
        <v>PERFILAGEM ÓTICA</v>
      </c>
      <c r="E295" s="23" t="str">
        <f>VLOOKUP(A295,MEMORIA!$A:$N,5,FALSE)</f>
        <v>UN</v>
      </c>
      <c r="F295" s="5">
        <f>VLOOKUP(A295,MEMORIA!$A:$N,14,FALSE)</f>
        <v>1</v>
      </c>
      <c r="G295" s="5">
        <f>VLOOKUP(A295,ORCAMENTO!$A:$I,7,FALSE)</f>
        <v>2908.88</v>
      </c>
      <c r="H295" s="5">
        <f>VLOOKUP(A295,ORCAMENTO!$A:$I,8,FALSE)</f>
        <v>3631.4500000000003</v>
      </c>
      <c r="I295" s="5">
        <f t="shared" si="90"/>
        <v>3631.45</v>
      </c>
      <c r="J295" s="5">
        <f t="shared" si="91"/>
        <v>0</v>
      </c>
      <c r="K295" s="5">
        <v>0</v>
      </c>
      <c r="L295" s="25">
        <f t="shared" si="78"/>
        <v>0</v>
      </c>
      <c r="M295" s="5">
        <f t="shared" si="92"/>
        <v>3631.45</v>
      </c>
      <c r="N295" s="5">
        <f t="shared" si="94"/>
        <v>1</v>
      </c>
      <c r="O295" s="25">
        <f t="shared" si="79"/>
        <v>1</v>
      </c>
      <c r="P295" s="5">
        <f t="shared" si="93"/>
        <v>0</v>
      </c>
      <c r="Q295" s="5">
        <v>0</v>
      </c>
      <c r="R295" s="25">
        <f t="shared" si="80"/>
        <v>0</v>
      </c>
      <c r="S295" s="5">
        <f t="shared" si="81"/>
        <v>3631.45</v>
      </c>
      <c r="T295" s="25">
        <f t="shared" si="82"/>
        <v>1</v>
      </c>
      <c r="U295" s="25">
        <f t="shared" si="83"/>
        <v>4.9894947122787452E-3</v>
      </c>
    </row>
    <row r="296" spans="1:21" x14ac:dyDescent="0.3">
      <c r="A296" s="23" t="s">
        <v>363</v>
      </c>
      <c r="B296" s="23" t="str">
        <f>VLOOKUP(A296,MEMORIA!$A:$N,2,FALSE)</f>
        <v>COMPOS6</v>
      </c>
      <c r="C296" s="23" t="str">
        <f>VLOOKUP(A296,MEMORIA!$A:$N,3,FALSE)</f>
        <v>PRÓPRIA</v>
      </c>
      <c r="D296" s="24" t="str">
        <f>VLOOKUP(A296,MEMORIA!$A:$N,4,FALSE)</f>
        <v>PERFURAÇÃO EM 10'' (SEDIMENTO)</v>
      </c>
      <c r="E296" s="23" t="str">
        <f>VLOOKUP(A296,MEMORIA!$A:$N,5,FALSE)</f>
        <v>M</v>
      </c>
      <c r="F296" s="5">
        <f>VLOOKUP(A296,MEMORIA!$A:$N,14,FALSE)</f>
        <v>35</v>
      </c>
      <c r="G296" s="5">
        <f>VLOOKUP(A296,ORCAMENTO!$A:$I,7,FALSE)</f>
        <v>288.94</v>
      </c>
      <c r="H296" s="5">
        <f>VLOOKUP(A296,ORCAMENTO!$A:$I,8,FALSE)</f>
        <v>360.71</v>
      </c>
      <c r="I296" s="5">
        <f t="shared" si="90"/>
        <v>12624.85</v>
      </c>
      <c r="J296" s="5">
        <f t="shared" si="91"/>
        <v>0</v>
      </c>
      <c r="K296" s="5">
        <v>0</v>
      </c>
      <c r="L296" s="25">
        <f t="shared" si="78"/>
        <v>0</v>
      </c>
      <c r="M296" s="5">
        <f t="shared" si="92"/>
        <v>12624.85</v>
      </c>
      <c r="N296" s="5">
        <f t="shared" si="94"/>
        <v>35</v>
      </c>
      <c r="O296" s="25">
        <f t="shared" si="79"/>
        <v>1</v>
      </c>
      <c r="P296" s="5">
        <f t="shared" si="93"/>
        <v>0</v>
      </c>
      <c r="Q296" s="5">
        <v>0</v>
      </c>
      <c r="R296" s="25">
        <f t="shared" si="80"/>
        <v>0</v>
      </c>
      <c r="S296" s="5">
        <f t="shared" si="81"/>
        <v>12624.85</v>
      </c>
      <c r="T296" s="25">
        <f t="shared" si="82"/>
        <v>1</v>
      </c>
      <c r="U296" s="25">
        <f t="shared" si="83"/>
        <v>1.7346135102593269E-2</v>
      </c>
    </row>
    <row r="297" spans="1:21" x14ac:dyDescent="0.3">
      <c r="A297" s="23" t="s">
        <v>364</v>
      </c>
      <c r="B297" s="23" t="str">
        <f>VLOOKUP(A297,MEMORIA!$A:$N,2,FALSE)</f>
        <v>COMPOS7</v>
      </c>
      <c r="C297" s="23" t="str">
        <f>VLOOKUP(A297,MEMORIA!$A:$N,3,FALSE)</f>
        <v>PRÓPRIA</v>
      </c>
      <c r="D297" s="24" t="str">
        <f>VLOOKUP(A297,MEMORIA!$A:$N,4,FALSE)</f>
        <v>PERFURAÇÃO EM 8'' (ROCHA CRISTALINA)</v>
      </c>
      <c r="E297" s="23" t="str">
        <f>VLOOKUP(A297,MEMORIA!$A:$N,5,FALSE)</f>
        <v>M</v>
      </c>
      <c r="F297" s="5">
        <f>VLOOKUP(A297,MEMORIA!$A:$N,14,FALSE)</f>
        <v>0</v>
      </c>
      <c r="G297" s="5">
        <f>VLOOKUP(A297,ORCAMENTO!$A:$I,7,FALSE)</f>
        <v>368.84000000000003</v>
      </c>
      <c r="H297" s="5">
        <f>VLOOKUP(A297,ORCAMENTO!$A:$I,8,FALSE)</f>
        <v>460.46000000000004</v>
      </c>
      <c r="I297" s="5">
        <f t="shared" si="90"/>
        <v>0</v>
      </c>
      <c r="J297" s="5">
        <f t="shared" si="91"/>
        <v>0</v>
      </c>
      <c r="K297" s="5">
        <v>0</v>
      </c>
      <c r="L297" s="25" t="e">
        <f t="shared" si="78"/>
        <v>#DIV/0!</v>
      </c>
      <c r="M297" s="5">
        <f t="shared" si="92"/>
        <v>0</v>
      </c>
      <c r="N297" s="5">
        <f t="shared" si="94"/>
        <v>0</v>
      </c>
      <c r="O297" s="25" t="e">
        <f t="shared" si="79"/>
        <v>#DIV/0!</v>
      </c>
      <c r="P297" s="5">
        <f t="shared" si="93"/>
        <v>0</v>
      </c>
      <c r="Q297" s="5">
        <v>0</v>
      </c>
      <c r="R297" s="25" t="e">
        <f t="shared" si="80"/>
        <v>#DIV/0!</v>
      </c>
      <c r="S297" s="5">
        <f t="shared" si="81"/>
        <v>0</v>
      </c>
      <c r="T297" s="25" t="e">
        <f t="shared" si="82"/>
        <v>#DIV/0!</v>
      </c>
      <c r="U297" s="25">
        <f t="shared" si="83"/>
        <v>0</v>
      </c>
    </row>
    <row r="298" spans="1:21" x14ac:dyDescent="0.3">
      <c r="A298" s="23" t="s">
        <v>365</v>
      </c>
      <c r="B298" s="23" t="str">
        <f>VLOOKUP(A298,MEMORIA!$A:$N,2,FALSE)</f>
        <v>COMPOS8</v>
      </c>
      <c r="C298" s="23" t="str">
        <f>VLOOKUP(A298,MEMORIA!$A:$N,3,FALSE)</f>
        <v>PRÓPRIA</v>
      </c>
      <c r="D298" s="24" t="str">
        <f>VLOOKUP(A298,MEMORIA!$A:$N,4,FALSE)</f>
        <v>PERFURAÇÃO EM 6'' (SEDIMENTO)</v>
      </c>
      <c r="E298" s="23" t="str">
        <f>VLOOKUP(A298,MEMORIA!$A:$N,5,FALSE)</f>
        <v>M</v>
      </c>
      <c r="F298" s="5">
        <f>VLOOKUP(A298,MEMORIA!$A:$N,14,FALSE)</f>
        <v>95</v>
      </c>
      <c r="G298" s="5">
        <f>VLOOKUP(A298,ORCAMENTO!$A:$I,7,FALSE)</f>
        <v>231.16</v>
      </c>
      <c r="H298" s="5">
        <f>VLOOKUP(A298,ORCAMENTO!$A:$I,8,FALSE)</f>
        <v>288.58</v>
      </c>
      <c r="I298" s="5">
        <f t="shared" si="90"/>
        <v>27415.1</v>
      </c>
      <c r="J298" s="5">
        <f t="shared" si="91"/>
        <v>0</v>
      </c>
      <c r="K298" s="5">
        <v>0</v>
      </c>
      <c r="L298" s="25">
        <f t="shared" si="78"/>
        <v>0</v>
      </c>
      <c r="M298" s="5">
        <f t="shared" si="92"/>
        <v>27415.1</v>
      </c>
      <c r="N298" s="5">
        <f t="shared" si="94"/>
        <v>95</v>
      </c>
      <c r="O298" s="25">
        <f t="shared" si="79"/>
        <v>1</v>
      </c>
      <c r="P298" s="5">
        <f t="shared" si="93"/>
        <v>0</v>
      </c>
      <c r="Q298" s="5">
        <v>0</v>
      </c>
      <c r="R298" s="25">
        <f t="shared" si="80"/>
        <v>0</v>
      </c>
      <c r="S298" s="5">
        <f t="shared" si="81"/>
        <v>27415.1</v>
      </c>
      <c r="T298" s="25">
        <f t="shared" si="82"/>
        <v>1</v>
      </c>
      <c r="U298" s="25">
        <f t="shared" si="83"/>
        <v>3.7667459688717465E-2</v>
      </c>
    </row>
    <row r="299" spans="1:21" x14ac:dyDescent="0.3">
      <c r="A299" s="23" t="s">
        <v>366</v>
      </c>
      <c r="B299" s="23" t="str">
        <f>VLOOKUP(A299,MEMORIA!$A:$N,2,FALSE)</f>
        <v>COMPOS9</v>
      </c>
      <c r="C299" s="23" t="str">
        <f>VLOOKUP(A299,MEMORIA!$A:$N,3,FALSE)</f>
        <v>PRÓPRIA</v>
      </c>
      <c r="D299" s="24" t="str">
        <f>VLOOKUP(A299,MEMORIA!$A:$N,4,FALSE)</f>
        <v>PERFURAÇÃO EM 6'' (ROCHA CRISTALINA)</v>
      </c>
      <c r="E299" s="23" t="str">
        <f>VLOOKUP(A299,MEMORIA!$A:$N,5,FALSE)</f>
        <v>M</v>
      </c>
      <c r="F299" s="5">
        <f>VLOOKUP(A299,MEMORIA!$A:$N,14,FALSE)</f>
        <v>0</v>
      </c>
      <c r="G299" s="5">
        <f>VLOOKUP(A299,ORCAMENTO!$A:$I,7,FALSE)</f>
        <v>330.20000000000005</v>
      </c>
      <c r="H299" s="5">
        <f>VLOOKUP(A299,ORCAMENTO!$A:$I,8,FALSE)</f>
        <v>412.22</v>
      </c>
      <c r="I299" s="5">
        <f t="shared" si="90"/>
        <v>0</v>
      </c>
      <c r="J299" s="5">
        <f t="shared" si="91"/>
        <v>0</v>
      </c>
      <c r="K299" s="5">
        <v>0</v>
      </c>
      <c r="L299" s="25" t="e">
        <f t="shared" si="78"/>
        <v>#DIV/0!</v>
      </c>
      <c r="M299" s="5">
        <f t="shared" si="92"/>
        <v>0</v>
      </c>
      <c r="N299" s="5">
        <f t="shared" si="94"/>
        <v>0</v>
      </c>
      <c r="O299" s="25" t="e">
        <f t="shared" si="79"/>
        <v>#DIV/0!</v>
      </c>
      <c r="P299" s="5">
        <f t="shared" si="93"/>
        <v>0</v>
      </c>
      <c r="Q299" s="5">
        <v>0</v>
      </c>
      <c r="R299" s="25" t="e">
        <f t="shared" si="80"/>
        <v>#DIV/0!</v>
      </c>
      <c r="S299" s="5">
        <f t="shared" si="81"/>
        <v>0</v>
      </c>
      <c r="T299" s="25" t="e">
        <f t="shared" si="82"/>
        <v>#DIV/0!</v>
      </c>
      <c r="U299" s="25">
        <f t="shared" si="83"/>
        <v>0</v>
      </c>
    </row>
    <row r="300" spans="1:21" x14ac:dyDescent="0.3">
      <c r="A300" s="23" t="s">
        <v>367</v>
      </c>
      <c r="B300" s="23" t="str">
        <f>VLOOKUP(A300,MEMORIA!$A:$N,2,FALSE)</f>
        <v>COMPOS10</v>
      </c>
      <c r="C300" s="23" t="str">
        <f>VLOOKUP(A300,MEMORIA!$A:$N,3,FALSE)</f>
        <v>PRÓPRIA</v>
      </c>
      <c r="D300" s="24" t="str">
        <f>VLOOKUP(A300,MEMORIA!$A:$N,4,FALSE)</f>
        <v>CIMENTAÇÃO SANITÁRIA</v>
      </c>
      <c r="E300" s="23" t="str">
        <f>VLOOKUP(A300,MEMORIA!$A:$N,5,FALSE)</f>
        <v>M³</v>
      </c>
      <c r="F300" s="5">
        <f>VLOOKUP(A300,MEMORIA!$A:$N,14,FALSE)</f>
        <v>4.55</v>
      </c>
      <c r="G300" s="5">
        <f>VLOOKUP(A300,ORCAMENTO!$A:$I,7,FALSE)</f>
        <v>164.58999999999997</v>
      </c>
      <c r="H300" s="5">
        <f>VLOOKUP(A300,ORCAMENTO!$A:$I,8,FALSE)</f>
        <v>205.46999999999997</v>
      </c>
      <c r="I300" s="5">
        <f t="shared" si="90"/>
        <v>934.89</v>
      </c>
      <c r="J300" s="5">
        <f t="shared" si="91"/>
        <v>0</v>
      </c>
      <c r="K300" s="5">
        <v>0</v>
      </c>
      <c r="L300" s="25">
        <f t="shared" si="78"/>
        <v>0</v>
      </c>
      <c r="M300" s="5">
        <f t="shared" si="92"/>
        <v>934.89</v>
      </c>
      <c r="N300" s="5">
        <f t="shared" si="94"/>
        <v>4.55</v>
      </c>
      <c r="O300" s="25">
        <f t="shared" si="79"/>
        <v>1</v>
      </c>
      <c r="P300" s="5">
        <f t="shared" si="93"/>
        <v>0</v>
      </c>
      <c r="Q300" s="5">
        <v>0</v>
      </c>
      <c r="R300" s="25">
        <f t="shared" si="80"/>
        <v>0</v>
      </c>
      <c r="S300" s="5">
        <f t="shared" si="81"/>
        <v>934.89</v>
      </c>
      <c r="T300" s="25">
        <f t="shared" si="82"/>
        <v>1</v>
      </c>
      <c r="U300" s="25">
        <f t="shared" si="83"/>
        <v>1.284508587909038E-3</v>
      </c>
    </row>
    <row r="301" spans="1:21" x14ac:dyDescent="0.3">
      <c r="A301" s="23" t="s">
        <v>368</v>
      </c>
      <c r="B301" s="23" t="str">
        <f>VLOOKUP(A301,MEMORIA!$A:$N,2,FALSE)</f>
        <v>COMPOS11</v>
      </c>
      <c r="C301" s="23" t="str">
        <f>VLOOKUP(A301,MEMORIA!$A:$N,3,FALSE)</f>
        <v>PRÓPRIA</v>
      </c>
      <c r="D301" s="24" t="str">
        <f>VLOOKUP(A301,MEMORIA!$A:$N,4,FALSE)</f>
        <v>LAJE DE PROTEÇÃO EM CONCRETO (1,0 M X 1,0 M X 0,15 M)</v>
      </c>
      <c r="E301" s="23" t="str">
        <f>VLOOKUP(A301,MEMORIA!$A:$N,5,FALSE)</f>
        <v>M³</v>
      </c>
      <c r="F301" s="5">
        <f>VLOOKUP(A301,MEMORIA!$A:$N,14,FALSE)</f>
        <v>0.15</v>
      </c>
      <c r="G301" s="5">
        <f>VLOOKUP(A301,ORCAMENTO!$A:$I,7,FALSE)</f>
        <v>1259.1399999999999</v>
      </c>
      <c r="H301" s="5">
        <f>VLOOKUP(A301,ORCAMENTO!$A:$I,8,FALSE)</f>
        <v>1571.9099999999999</v>
      </c>
      <c r="I301" s="5">
        <f t="shared" si="90"/>
        <v>235.79</v>
      </c>
      <c r="J301" s="5">
        <f t="shared" si="91"/>
        <v>0</v>
      </c>
      <c r="K301" s="5">
        <v>0</v>
      </c>
      <c r="L301" s="25">
        <f t="shared" si="78"/>
        <v>0</v>
      </c>
      <c r="M301" s="5">
        <f t="shared" si="92"/>
        <v>235.79</v>
      </c>
      <c r="N301" s="5">
        <f t="shared" si="94"/>
        <v>0.15</v>
      </c>
      <c r="O301" s="25">
        <f t="shared" si="79"/>
        <v>1</v>
      </c>
      <c r="P301" s="5">
        <f t="shared" si="93"/>
        <v>0</v>
      </c>
      <c r="Q301" s="5">
        <v>0</v>
      </c>
      <c r="R301" s="25">
        <f t="shared" si="80"/>
        <v>0</v>
      </c>
      <c r="S301" s="5">
        <f t="shared" si="81"/>
        <v>235.79</v>
      </c>
      <c r="T301" s="25">
        <f t="shared" si="82"/>
        <v>1</v>
      </c>
      <c r="U301" s="25">
        <f t="shared" si="83"/>
        <v>3.2396782503082939E-4</v>
      </c>
    </row>
    <row r="302" spans="1:21" x14ac:dyDescent="0.3">
      <c r="A302" s="23" t="s">
        <v>369</v>
      </c>
      <c r="B302" s="23" t="str">
        <f>VLOOKUP(A302,MEMORIA!$A:$N,2,FALSE)</f>
        <v>COMPOS12</v>
      </c>
      <c r="C302" s="23" t="str">
        <f>VLOOKUP(A302,MEMORIA!$A:$N,3,FALSE)</f>
        <v>PRÓPRIA</v>
      </c>
      <c r="D302" s="24" t="str">
        <f>VLOOKUP(A302,MEMORIA!$A:$N,4,FALSE)</f>
        <v>DESENVOLVIMENTO COM BOMBA SUBMERSA</v>
      </c>
      <c r="E302" s="23" t="str">
        <f>VLOOKUP(A302,MEMORIA!$A:$N,5,FALSE)</f>
        <v>H</v>
      </c>
      <c r="F302" s="5">
        <f>VLOOKUP(A302,MEMORIA!$A:$N,14,FALSE)</f>
        <v>6</v>
      </c>
      <c r="G302" s="5">
        <f>VLOOKUP(A302,ORCAMENTO!$A:$I,7,FALSE)</f>
        <v>513.45000000000005</v>
      </c>
      <c r="H302" s="5">
        <f>VLOOKUP(A302,ORCAMENTO!$A:$I,8,FALSE)</f>
        <v>640.99</v>
      </c>
      <c r="I302" s="5">
        <f t="shared" si="90"/>
        <v>3845.94</v>
      </c>
      <c r="J302" s="5">
        <f t="shared" si="91"/>
        <v>0</v>
      </c>
      <c r="K302" s="5">
        <v>0</v>
      </c>
      <c r="L302" s="25">
        <f t="shared" si="78"/>
        <v>0</v>
      </c>
      <c r="M302" s="5">
        <f t="shared" si="92"/>
        <v>3845.94</v>
      </c>
      <c r="N302" s="5">
        <f t="shared" si="94"/>
        <v>6</v>
      </c>
      <c r="O302" s="25">
        <f t="shared" si="79"/>
        <v>1</v>
      </c>
      <c r="P302" s="5">
        <f t="shared" si="93"/>
        <v>0</v>
      </c>
      <c r="Q302" s="5">
        <v>0</v>
      </c>
      <c r="R302" s="25">
        <f t="shared" si="80"/>
        <v>0</v>
      </c>
      <c r="S302" s="5">
        <f t="shared" si="81"/>
        <v>3845.94</v>
      </c>
      <c r="T302" s="25">
        <f t="shared" si="82"/>
        <v>1</v>
      </c>
      <c r="U302" s="25">
        <f t="shared" si="83"/>
        <v>5.2841970270116126E-3</v>
      </c>
    </row>
    <row r="303" spans="1:21" x14ac:dyDescent="0.3">
      <c r="A303" s="23" t="s">
        <v>370</v>
      </c>
      <c r="B303" s="23" t="str">
        <f>VLOOKUP(A303,MEMORIA!$A:$N,2,FALSE)</f>
        <v>COMPOS13</v>
      </c>
      <c r="C303" s="23" t="str">
        <f>VLOOKUP(A303,MEMORIA!$A:$N,3,FALSE)</f>
        <v>PRÓPRIA</v>
      </c>
      <c r="D303" s="24" t="str">
        <f>VLOOKUP(A303,MEMORIA!$A:$N,4,FALSE)</f>
        <v>TESTE VAZÃO COM BOMBA SUBMERSA</v>
      </c>
      <c r="E303" s="23" t="str">
        <f>VLOOKUP(A303,MEMORIA!$A:$N,5,FALSE)</f>
        <v>H</v>
      </c>
      <c r="F303" s="5">
        <f>VLOOKUP(A303,MEMORIA!$A:$N,14,FALSE)</f>
        <v>24</v>
      </c>
      <c r="G303" s="5">
        <f>VLOOKUP(A303,ORCAMENTO!$A:$I,7,FALSE)</f>
        <v>95.539999999999992</v>
      </c>
      <c r="H303" s="5">
        <f>VLOOKUP(A303,ORCAMENTO!$A:$I,8,FALSE)</f>
        <v>119.27</v>
      </c>
      <c r="I303" s="5">
        <f t="shared" si="90"/>
        <v>2862.48</v>
      </c>
      <c r="J303" s="5">
        <f t="shared" si="91"/>
        <v>0</v>
      </c>
      <c r="K303" s="5">
        <v>0</v>
      </c>
      <c r="L303" s="25">
        <f t="shared" si="78"/>
        <v>0</v>
      </c>
      <c r="M303" s="5">
        <f t="shared" si="92"/>
        <v>2862.48</v>
      </c>
      <c r="N303" s="5">
        <f t="shared" si="94"/>
        <v>24</v>
      </c>
      <c r="O303" s="25">
        <f t="shared" si="79"/>
        <v>1</v>
      </c>
      <c r="P303" s="5">
        <f t="shared" si="93"/>
        <v>0</v>
      </c>
      <c r="Q303" s="5">
        <v>0</v>
      </c>
      <c r="R303" s="25">
        <f t="shared" si="80"/>
        <v>0</v>
      </c>
      <c r="S303" s="5">
        <f t="shared" si="81"/>
        <v>2862.48</v>
      </c>
      <c r="T303" s="25">
        <f t="shared" si="82"/>
        <v>1</v>
      </c>
      <c r="U303" s="25">
        <f t="shared" si="83"/>
        <v>3.932954831817501E-3</v>
      </c>
    </row>
    <row r="304" spans="1:21" x14ac:dyDescent="0.3">
      <c r="A304" s="23" t="s">
        <v>371</v>
      </c>
      <c r="B304" s="23" t="str">
        <f>VLOOKUP(A304,MEMORIA!$A:$N,2,FALSE)</f>
        <v>COMPOS14</v>
      </c>
      <c r="C304" s="23" t="str">
        <f>VLOOKUP(A304,MEMORIA!$A:$N,3,FALSE)</f>
        <v>PRÓPRIA</v>
      </c>
      <c r="D304" s="24" t="str">
        <f>VLOOKUP(A304,MEMORIA!$A:$N,4,FALSE)</f>
        <v>DESINFECÇÃO</v>
      </c>
      <c r="E304" s="23" t="str">
        <f>VLOOKUP(A304,MEMORIA!$A:$N,5,FALSE)</f>
        <v>H</v>
      </c>
      <c r="F304" s="5">
        <f>VLOOKUP(A304,MEMORIA!$A:$N,14,FALSE)</f>
        <v>6</v>
      </c>
      <c r="G304" s="5">
        <f>VLOOKUP(A304,ORCAMENTO!$A:$I,7,FALSE)</f>
        <v>100.11000000000003</v>
      </c>
      <c r="H304" s="5">
        <f>VLOOKUP(A304,ORCAMENTO!$A:$I,8,FALSE)</f>
        <v>124.98000000000003</v>
      </c>
      <c r="I304" s="5">
        <f t="shared" si="90"/>
        <v>749.88</v>
      </c>
      <c r="J304" s="5">
        <f t="shared" si="91"/>
        <v>0</v>
      </c>
      <c r="K304" s="5">
        <v>0</v>
      </c>
      <c r="L304" s="25">
        <f t="shared" si="78"/>
        <v>0</v>
      </c>
      <c r="M304" s="5">
        <f t="shared" si="92"/>
        <v>749.88</v>
      </c>
      <c r="N304" s="5">
        <f t="shared" si="94"/>
        <v>6</v>
      </c>
      <c r="O304" s="25">
        <f t="shared" si="79"/>
        <v>1</v>
      </c>
      <c r="P304" s="5">
        <f t="shared" si="93"/>
        <v>0</v>
      </c>
      <c r="Q304" s="5">
        <v>0</v>
      </c>
      <c r="R304" s="25">
        <f t="shared" si="80"/>
        <v>0</v>
      </c>
      <c r="S304" s="5">
        <f t="shared" si="81"/>
        <v>749.88</v>
      </c>
      <c r="T304" s="25">
        <f t="shared" si="82"/>
        <v>1</v>
      </c>
      <c r="U304" s="25">
        <f t="shared" si="83"/>
        <v>1.0303108386026478E-3</v>
      </c>
    </row>
    <row r="305" spans="1:21" x14ac:dyDescent="0.3">
      <c r="A305" s="23" t="s">
        <v>372</v>
      </c>
      <c r="B305" s="23" t="str">
        <f>VLOOKUP(A305,MEMORIA!$A:$N,2,FALSE)</f>
        <v>COMPOS15</v>
      </c>
      <c r="C305" s="23" t="str">
        <f>VLOOKUP(A305,MEMORIA!$A:$N,3,FALSE)</f>
        <v>PRÓPRIA</v>
      </c>
      <c r="D305" s="24" t="str">
        <f>VLOOKUP(A305,MEMORIA!$A:$N,4,FALSE)</f>
        <v>RELATÓRIO TÉCNICO</v>
      </c>
      <c r="E305" s="23" t="str">
        <f>VLOOKUP(A305,MEMORIA!$A:$N,5,FALSE)</f>
        <v>UN</v>
      </c>
      <c r="F305" s="5">
        <f>VLOOKUP(A305,MEMORIA!$A:$N,14,FALSE)</f>
        <v>1</v>
      </c>
      <c r="G305" s="5">
        <f>VLOOKUP(A305,ORCAMENTO!$A:$I,7,FALSE)</f>
        <v>1110.2</v>
      </c>
      <c r="H305" s="5">
        <f>VLOOKUP(A305,ORCAMENTO!$A:$I,8,FALSE)</f>
        <v>1385.97</v>
      </c>
      <c r="I305" s="5">
        <f t="shared" si="90"/>
        <v>1385.97</v>
      </c>
      <c r="J305" s="5">
        <f t="shared" si="91"/>
        <v>0</v>
      </c>
      <c r="K305" s="5">
        <v>0</v>
      </c>
      <c r="L305" s="25">
        <f t="shared" si="78"/>
        <v>0</v>
      </c>
      <c r="M305" s="5">
        <f t="shared" si="92"/>
        <v>1385.97</v>
      </c>
      <c r="N305" s="5">
        <f t="shared" si="94"/>
        <v>1</v>
      </c>
      <c r="O305" s="25">
        <f t="shared" si="79"/>
        <v>1</v>
      </c>
      <c r="P305" s="5">
        <f t="shared" si="93"/>
        <v>0</v>
      </c>
      <c r="Q305" s="5">
        <v>0</v>
      </c>
      <c r="R305" s="25">
        <f t="shared" si="80"/>
        <v>0</v>
      </c>
      <c r="S305" s="5">
        <f t="shared" si="81"/>
        <v>1385.97</v>
      </c>
      <c r="T305" s="25">
        <f t="shared" si="82"/>
        <v>1</v>
      </c>
      <c r="U305" s="25">
        <f t="shared" si="83"/>
        <v>1.9042779017684323E-3</v>
      </c>
    </row>
    <row r="306" spans="1:21" x14ac:dyDescent="0.3">
      <c r="A306" s="23" t="s">
        <v>373</v>
      </c>
      <c r="B306" s="23" t="str">
        <f>VLOOKUP(A306,MEMORIA!$A:$N,2,FALSE)</f>
        <v>COMPOS16</v>
      </c>
      <c r="C306" s="23" t="str">
        <f>VLOOKUP(A306,MEMORIA!$A:$N,3,FALSE)</f>
        <v>PRÓPRIA</v>
      </c>
      <c r="D306" s="24" t="str">
        <f>VLOOKUP(A306,MEMORIA!$A:$N,4,FALSE)</f>
        <v>ANÁLISE FÍSICO-QUÍMICA DA ÁGUA</v>
      </c>
      <c r="E306" s="23" t="str">
        <f>VLOOKUP(A306,MEMORIA!$A:$N,5,FALSE)</f>
        <v>UN</v>
      </c>
      <c r="F306" s="5">
        <f>VLOOKUP(A306,MEMORIA!$A:$N,14,FALSE)</f>
        <v>1</v>
      </c>
      <c r="G306" s="5">
        <f>VLOOKUP(A306,ORCAMENTO!$A:$I,7,FALSE)</f>
        <v>565.21</v>
      </c>
      <c r="H306" s="5">
        <f>VLOOKUP(A306,ORCAMENTO!$A:$I,8,FALSE)</f>
        <v>705.61</v>
      </c>
      <c r="I306" s="5">
        <f t="shared" si="90"/>
        <v>705.61</v>
      </c>
      <c r="J306" s="5">
        <f t="shared" si="91"/>
        <v>0</v>
      </c>
      <c r="K306" s="5">
        <v>0</v>
      </c>
      <c r="L306" s="25">
        <f t="shared" si="78"/>
        <v>0</v>
      </c>
      <c r="M306" s="5">
        <f t="shared" si="92"/>
        <v>705.61</v>
      </c>
      <c r="N306" s="5">
        <f t="shared" si="94"/>
        <v>1</v>
      </c>
      <c r="O306" s="25">
        <f t="shared" si="79"/>
        <v>1</v>
      </c>
      <c r="P306" s="5">
        <f t="shared" si="93"/>
        <v>0</v>
      </c>
      <c r="Q306" s="5">
        <v>0</v>
      </c>
      <c r="R306" s="25">
        <f t="shared" si="80"/>
        <v>0</v>
      </c>
      <c r="S306" s="5">
        <f t="shared" si="81"/>
        <v>705.61</v>
      </c>
      <c r="T306" s="25">
        <f t="shared" si="82"/>
        <v>1</v>
      </c>
      <c r="U306" s="25">
        <f t="shared" si="83"/>
        <v>9.6948529208195234E-4</v>
      </c>
    </row>
    <row r="307" spans="1:21" x14ac:dyDescent="0.3">
      <c r="A307" s="23" t="s">
        <v>374</v>
      </c>
      <c r="B307" s="23" t="str">
        <f>VLOOKUP(A307,MEMORIA!$A:$N,2,FALSE)</f>
        <v>COMPOS1</v>
      </c>
      <c r="C307" s="23" t="str">
        <f>VLOOKUP(A307,MEMORIA!$A:$N,3,FALSE)</f>
        <v>PRÓPRIA</v>
      </c>
      <c r="D307" s="24" t="str">
        <f>VLOOKUP(A307,MEMORIA!$A:$N,4,FALSE)</f>
        <v>FORNECIMENTO E INSTALAÇÃO DE REVESTIMENTO GEOMECÂNICO STANDART DN-154-S</v>
      </c>
      <c r="E307" s="23" t="str">
        <f>VLOOKUP(A307,MEMORIA!$A:$N,5,FALSE)</f>
        <v>M</v>
      </c>
      <c r="F307" s="5">
        <f>VLOOKUP(A307,MEMORIA!$A:$N,14,FALSE)</f>
        <v>36</v>
      </c>
      <c r="G307" s="5">
        <f>VLOOKUP(A307,ORCAMENTO!$A:$I,7,FALSE)</f>
        <v>170.76</v>
      </c>
      <c r="H307" s="5">
        <f>VLOOKUP(A307,ORCAMENTO!$A:$I,8,FALSE)</f>
        <v>213.18</v>
      </c>
      <c r="I307" s="5">
        <f t="shared" si="90"/>
        <v>7674.48</v>
      </c>
      <c r="J307" s="5">
        <f t="shared" si="91"/>
        <v>0</v>
      </c>
      <c r="K307" s="5">
        <v>0</v>
      </c>
      <c r="L307" s="25">
        <f t="shared" si="78"/>
        <v>0</v>
      </c>
      <c r="M307" s="5">
        <f t="shared" si="92"/>
        <v>7674.48</v>
      </c>
      <c r="N307" s="5">
        <f t="shared" si="94"/>
        <v>36</v>
      </c>
      <c r="O307" s="25">
        <f t="shared" si="79"/>
        <v>1</v>
      </c>
      <c r="P307" s="5">
        <f t="shared" si="93"/>
        <v>0</v>
      </c>
      <c r="Q307" s="5">
        <v>0</v>
      </c>
      <c r="R307" s="25">
        <f t="shared" si="80"/>
        <v>0</v>
      </c>
      <c r="S307" s="5">
        <f t="shared" si="81"/>
        <v>7674.48</v>
      </c>
      <c r="T307" s="25">
        <f t="shared" si="82"/>
        <v>1</v>
      </c>
      <c r="U307" s="25">
        <f t="shared" si="83"/>
        <v>1.0544487017441789E-2</v>
      </c>
    </row>
    <row r="308" spans="1:21" x14ac:dyDescent="0.3">
      <c r="A308" s="23" t="s">
        <v>375</v>
      </c>
      <c r="B308" s="23" t="str">
        <f>VLOOKUP(A308,MEMORIA!$A:$N,2,FALSE)</f>
        <v>COMPOS2</v>
      </c>
      <c r="C308" s="23" t="str">
        <f>VLOOKUP(A308,MEMORIA!$A:$N,3,FALSE)</f>
        <v>PRÓPRIA</v>
      </c>
      <c r="D308" s="24" t="str">
        <f>VLOOKUP(A308,MEMORIA!$A:$N,4,FALSE)</f>
        <v>FORNECIMENTO E INSTALAÇÃO DE TAMPA PARA POÇO</v>
      </c>
      <c r="E308" s="23" t="str">
        <f>VLOOKUP(A308,MEMORIA!$A:$N,5,FALSE)</f>
        <v>UN</v>
      </c>
      <c r="F308" s="5">
        <f>VLOOKUP(A308,MEMORIA!$A:$N,14,FALSE)</f>
        <v>1</v>
      </c>
      <c r="G308" s="5">
        <f>VLOOKUP(A308,ORCAMENTO!$A:$I,7,FALSE)</f>
        <v>109.94</v>
      </c>
      <c r="H308" s="5">
        <f>VLOOKUP(A308,ORCAMENTO!$A:$I,8,FALSE)</f>
        <v>137.25</v>
      </c>
      <c r="I308" s="5">
        <f t="shared" si="90"/>
        <v>137.25</v>
      </c>
      <c r="J308" s="5">
        <f t="shared" si="91"/>
        <v>0</v>
      </c>
      <c r="K308" s="5">
        <v>0</v>
      </c>
      <c r="L308" s="25">
        <f t="shared" si="78"/>
        <v>0</v>
      </c>
      <c r="M308" s="5">
        <f t="shared" si="92"/>
        <v>137.25</v>
      </c>
      <c r="N308" s="5">
        <f t="shared" si="94"/>
        <v>1</v>
      </c>
      <c r="O308" s="25">
        <f t="shared" si="79"/>
        <v>1</v>
      </c>
      <c r="P308" s="5">
        <f t="shared" si="93"/>
        <v>0</v>
      </c>
      <c r="Q308" s="5">
        <v>0</v>
      </c>
      <c r="R308" s="25">
        <f t="shared" si="80"/>
        <v>0</v>
      </c>
      <c r="S308" s="5">
        <f t="shared" si="81"/>
        <v>137.25</v>
      </c>
      <c r="T308" s="25">
        <f t="shared" si="82"/>
        <v>1</v>
      </c>
      <c r="U308" s="25">
        <f t="shared" si="83"/>
        <v>1.8857705579321149E-4</v>
      </c>
    </row>
    <row r="309" spans="1:21" x14ac:dyDescent="0.3">
      <c r="A309" s="12" t="s">
        <v>87</v>
      </c>
      <c r="B309" s="46" t="str">
        <f>VLOOKUP(A309,MEMORIA!$A:$N,2,FALSE)</f>
        <v>AQUISIÇÃO E INSTALAÇÃO DE EQUIPAMENTOS DE BOMBEAMENTO, RECALQUE/BARRILETE E CONEXÕES PARA INTERLIGAÇÃO COM RESERVATÓRIO</v>
      </c>
      <c r="C309" s="47"/>
      <c r="D309" s="47"/>
      <c r="E309" s="47"/>
      <c r="F309" s="47"/>
      <c r="G309" s="47"/>
      <c r="H309" s="48"/>
      <c r="I309" s="13">
        <f>SUM(I$310:I$315)</f>
        <v>19625.579999999998</v>
      </c>
      <c r="J309" s="13">
        <f>SUM(J$310:J$315)</f>
        <v>0</v>
      </c>
      <c r="K309" s="13"/>
      <c r="L309" s="14">
        <f t="shared" si="78"/>
        <v>0</v>
      </c>
      <c r="M309" s="13">
        <f>SUM(M$310:M$315)</f>
        <v>19625.579999999998</v>
      </c>
      <c r="N309" s="13"/>
      <c r="O309" s="14">
        <f t="shared" si="79"/>
        <v>1</v>
      </c>
      <c r="P309" s="13">
        <f>SUM(P$310:P$315)</f>
        <v>0</v>
      </c>
      <c r="Q309" s="13"/>
      <c r="R309" s="14">
        <f t="shared" si="80"/>
        <v>0</v>
      </c>
      <c r="S309" s="13">
        <f t="shared" si="81"/>
        <v>19625.579999999998</v>
      </c>
      <c r="T309" s="14">
        <f t="shared" si="82"/>
        <v>1</v>
      </c>
      <c r="U309" s="14">
        <f t="shared" si="83"/>
        <v>2.6964911436314281E-2</v>
      </c>
    </row>
    <row r="310" spans="1:21" ht="28.8" x14ac:dyDescent="0.3">
      <c r="A310" s="23" t="s">
        <v>376</v>
      </c>
      <c r="B310" s="23" t="str">
        <f>VLOOKUP(A310,MEMORIA!$A:$N,2,FALSE)</f>
        <v>COMPOS17</v>
      </c>
      <c r="C310" s="23" t="str">
        <f>VLOOKUP(A310,MEMORIA!$A:$N,3,FALSE)</f>
        <v>PRÓPRIA</v>
      </c>
      <c r="D310" s="24" t="str">
        <f>VLOOKUP(A310,MEMORIA!$A:$N,4,FALSE)</f>
        <v>FORNECIMENTO E INSTALAÇÃO DE BOMBA SUBMERSA DE 3CV, MONOFÁSICA, 220 V, LEÃO OU SIMILAR</v>
      </c>
      <c r="E310" s="23" t="str">
        <f>VLOOKUP(A310,MEMORIA!$A:$N,5,FALSE)</f>
        <v>UN</v>
      </c>
      <c r="F310" s="5">
        <f>VLOOKUP(A310,MEMORIA!$A:$N,14,FALSE)</f>
        <v>1</v>
      </c>
      <c r="G310" s="5">
        <f>VLOOKUP(A310,ORCAMENTO!$A:$I,7,FALSE)</f>
        <v>3515.68</v>
      </c>
      <c r="H310" s="5">
        <f>VLOOKUP(A310,ORCAMENTO!$A:$I,8,FALSE)</f>
        <v>4388.9699999999993</v>
      </c>
      <c r="I310" s="5">
        <f t="shared" ref="I310:I315" si="95">ROUND(F310*H310,2)</f>
        <v>4388.97</v>
      </c>
      <c r="J310" s="5">
        <f t="shared" ref="J310:J315" si="96">ROUND(K310*$H310,2)</f>
        <v>0</v>
      </c>
      <c r="K310" s="5">
        <v>0</v>
      </c>
      <c r="L310" s="25">
        <f t="shared" si="78"/>
        <v>0</v>
      </c>
      <c r="M310" s="5">
        <f t="shared" ref="M310:M315" si="97">ROUND(N310*$H310,2)</f>
        <v>4388.97</v>
      </c>
      <c r="N310" s="5">
        <f t="shared" si="94"/>
        <v>1</v>
      </c>
      <c r="O310" s="25">
        <f t="shared" si="79"/>
        <v>1</v>
      </c>
      <c r="P310" s="5">
        <f t="shared" ref="P310:P315" si="98">ROUND(Q310*$H310,2)</f>
        <v>0</v>
      </c>
      <c r="Q310" s="5">
        <v>0</v>
      </c>
      <c r="R310" s="25">
        <f t="shared" si="80"/>
        <v>0</v>
      </c>
      <c r="S310" s="5">
        <f t="shared" si="81"/>
        <v>4388.97</v>
      </c>
      <c r="T310" s="25">
        <f t="shared" si="82"/>
        <v>1</v>
      </c>
      <c r="U310" s="25">
        <f t="shared" si="83"/>
        <v>6.0303026634953112E-3</v>
      </c>
    </row>
    <row r="311" spans="1:21" ht="28.8" x14ac:dyDescent="0.3">
      <c r="A311" s="23" t="s">
        <v>377</v>
      </c>
      <c r="B311" s="23" t="str">
        <f>VLOOKUP(A311,MEMORIA!$A:$N,2,FALSE)</f>
        <v>COMPOS29</v>
      </c>
      <c r="C311" s="23" t="str">
        <f>VLOOKUP(A311,MEMORIA!$A:$N,3,FALSE)</f>
        <v>PRÓPRIA</v>
      </c>
      <c r="D311" s="24" t="str">
        <f>VLOOKUP(A311,MEMORIA!$A:$N,4,FALSE)</f>
        <v>FORNECIMENTO E INSTALAÇÃO DE PAINEL DE COMANDO ELÉTRICO PARA BOMBA 3CV, MONOFÁSICO</v>
      </c>
      <c r="E311" s="23" t="str">
        <f>VLOOKUP(A311,MEMORIA!$A:$N,5,FALSE)</f>
        <v>UN</v>
      </c>
      <c r="F311" s="5">
        <f>VLOOKUP(A311,MEMORIA!$A:$N,14,FALSE)</f>
        <v>1</v>
      </c>
      <c r="G311" s="5">
        <f>VLOOKUP(A311,ORCAMENTO!$A:$I,7,FALSE)</f>
        <v>773.3</v>
      </c>
      <c r="H311" s="5">
        <f>VLOOKUP(A311,ORCAMENTO!$A:$I,8,FALSE)</f>
        <v>965.39</v>
      </c>
      <c r="I311" s="5">
        <f t="shared" si="95"/>
        <v>965.39</v>
      </c>
      <c r="J311" s="5">
        <f t="shared" si="96"/>
        <v>0</v>
      </c>
      <c r="K311" s="5">
        <v>0</v>
      </c>
      <c r="L311" s="25">
        <f t="shared" si="78"/>
        <v>0</v>
      </c>
      <c r="M311" s="5">
        <f t="shared" si="97"/>
        <v>965.39</v>
      </c>
      <c r="N311" s="5">
        <f t="shared" si="94"/>
        <v>1</v>
      </c>
      <c r="O311" s="25">
        <f t="shared" si="79"/>
        <v>1</v>
      </c>
      <c r="P311" s="5">
        <f t="shared" si="98"/>
        <v>0</v>
      </c>
      <c r="Q311" s="5">
        <v>0</v>
      </c>
      <c r="R311" s="25">
        <f t="shared" si="80"/>
        <v>0</v>
      </c>
      <c r="S311" s="5">
        <f t="shared" si="81"/>
        <v>965.39</v>
      </c>
      <c r="T311" s="25">
        <f t="shared" si="82"/>
        <v>1</v>
      </c>
      <c r="U311" s="25">
        <f t="shared" si="83"/>
        <v>1.3264146003075295E-3</v>
      </c>
    </row>
    <row r="312" spans="1:21" x14ac:dyDescent="0.3">
      <c r="A312" s="23" t="s">
        <v>378</v>
      </c>
      <c r="B312" s="23" t="str">
        <f>VLOOKUP(A312,MEMORIA!$A:$N,2,FALSE)</f>
        <v>COMPOS19</v>
      </c>
      <c r="C312" s="23" t="str">
        <f>VLOOKUP(A312,MEMORIA!$A:$N,3,FALSE)</f>
        <v>PRÓPRIA</v>
      </c>
      <c r="D312" s="24" t="str">
        <f>VLOOKUP(A312,MEMORIA!$A:$N,4,FALSE)</f>
        <v>FORNECIMENTO E INSTALAÇÃO DE TUBO EDUTOR DE PVC DE 1.1/2'' COM LUVA</v>
      </c>
      <c r="E312" s="23" t="str">
        <f>VLOOKUP(A312,MEMORIA!$A:$N,5,FALSE)</f>
        <v>M</v>
      </c>
      <c r="F312" s="5">
        <f>VLOOKUP(A312,MEMORIA!$A:$N,14,FALSE)</f>
        <v>110</v>
      </c>
      <c r="G312" s="5">
        <f>VLOOKUP(A312,ORCAMENTO!$A:$I,7,FALSE)</f>
        <v>46.25</v>
      </c>
      <c r="H312" s="5">
        <f>VLOOKUP(A312,ORCAMENTO!$A:$I,8,FALSE)</f>
        <v>57.74</v>
      </c>
      <c r="I312" s="5">
        <f t="shared" si="95"/>
        <v>6351.4</v>
      </c>
      <c r="J312" s="5">
        <f t="shared" si="96"/>
        <v>0</v>
      </c>
      <c r="K312" s="5">
        <v>0</v>
      </c>
      <c r="L312" s="25">
        <f t="shared" si="78"/>
        <v>0</v>
      </c>
      <c r="M312" s="5">
        <f t="shared" si="97"/>
        <v>6351.4</v>
      </c>
      <c r="N312" s="5">
        <f t="shared" si="94"/>
        <v>110</v>
      </c>
      <c r="O312" s="25">
        <f t="shared" si="79"/>
        <v>1</v>
      </c>
      <c r="P312" s="5">
        <f t="shared" si="98"/>
        <v>0</v>
      </c>
      <c r="Q312" s="5">
        <v>0</v>
      </c>
      <c r="R312" s="25">
        <f t="shared" si="80"/>
        <v>0</v>
      </c>
      <c r="S312" s="5">
        <f t="shared" si="81"/>
        <v>6351.4</v>
      </c>
      <c r="T312" s="25">
        <f t="shared" si="82"/>
        <v>1</v>
      </c>
      <c r="U312" s="25">
        <f t="shared" si="83"/>
        <v>8.726617939271427E-3</v>
      </c>
    </row>
    <row r="313" spans="1:21" x14ac:dyDescent="0.3">
      <c r="A313" s="23" t="s">
        <v>379</v>
      </c>
      <c r="B313" s="23" t="str">
        <f>VLOOKUP(A313,MEMORIA!$A:$N,2,FALSE)</f>
        <v>COMPOS24</v>
      </c>
      <c r="C313" s="23" t="str">
        <f>VLOOKUP(A313,MEMORIA!$A:$N,3,FALSE)</f>
        <v>PRÓPRIA</v>
      </c>
      <c r="D313" s="24" t="str">
        <f>VLOOKUP(A313,MEMORIA!$A:$N,4,FALSE)</f>
        <v>FORNECIMENTO E INSTALAÇÃO DE CABO CHATO SUBMERSO DE 3 X 6 MM²</v>
      </c>
      <c r="E313" s="23" t="str">
        <f>VLOOKUP(A313,MEMORIA!$A:$N,5,FALSE)</f>
        <v>M</v>
      </c>
      <c r="F313" s="5">
        <f>VLOOKUP(A313,MEMORIA!$A:$N,14,FALSE)</f>
        <v>120</v>
      </c>
      <c r="G313" s="5">
        <f>VLOOKUP(A313,ORCAMENTO!$A:$I,7,FALSE)</f>
        <v>25.98</v>
      </c>
      <c r="H313" s="5">
        <f>VLOOKUP(A313,ORCAMENTO!$A:$I,8,FALSE)</f>
        <v>32.43</v>
      </c>
      <c r="I313" s="5">
        <f t="shared" si="95"/>
        <v>3891.6</v>
      </c>
      <c r="J313" s="5">
        <f t="shared" si="96"/>
        <v>0</v>
      </c>
      <c r="K313" s="5">
        <v>0</v>
      </c>
      <c r="L313" s="25">
        <f t="shared" si="78"/>
        <v>0</v>
      </c>
      <c r="M313" s="5">
        <f t="shared" si="97"/>
        <v>3891.6</v>
      </c>
      <c r="N313" s="5">
        <f t="shared" si="94"/>
        <v>120</v>
      </c>
      <c r="O313" s="25">
        <f t="shared" si="79"/>
        <v>1</v>
      </c>
      <c r="P313" s="5">
        <f t="shared" si="98"/>
        <v>0</v>
      </c>
      <c r="Q313" s="5">
        <v>0</v>
      </c>
      <c r="R313" s="25">
        <f t="shared" si="80"/>
        <v>0</v>
      </c>
      <c r="S313" s="5">
        <f t="shared" si="81"/>
        <v>3891.6</v>
      </c>
      <c r="T313" s="25">
        <f t="shared" si="82"/>
        <v>1</v>
      </c>
      <c r="U313" s="25">
        <f t="shared" si="83"/>
        <v>5.3469323885235835E-3</v>
      </c>
    </row>
    <row r="314" spans="1:21" x14ac:dyDescent="0.3">
      <c r="A314" s="23" t="s">
        <v>380</v>
      </c>
      <c r="B314" s="23" t="str">
        <f>VLOOKUP(A314,MEMORIA!$A:$N,2,FALSE)</f>
        <v>COMPOS21</v>
      </c>
      <c r="C314" s="23" t="str">
        <f>VLOOKUP(A314,MEMORIA!$A:$N,3,FALSE)</f>
        <v>PRÓPRIA</v>
      </c>
      <c r="D314" s="24" t="str">
        <f>VLOOKUP(A314,MEMORIA!$A:$N,4,FALSE)</f>
        <v>BARRILETE (CURVAS E CONEXÕES)</v>
      </c>
      <c r="E314" s="23" t="str">
        <f>VLOOKUP(A314,MEMORIA!$A:$N,5,FALSE)</f>
        <v>UN</v>
      </c>
      <c r="F314" s="5">
        <f>VLOOKUP(A314,MEMORIA!$A:$N,14,FALSE)</f>
        <v>1</v>
      </c>
      <c r="G314" s="5">
        <f>VLOOKUP(A314,ORCAMENTO!$A:$I,7,FALSE)</f>
        <v>2135.96</v>
      </c>
      <c r="H314" s="5">
        <f>VLOOKUP(A314,ORCAMENTO!$A:$I,8,FALSE)</f>
        <v>2666.53</v>
      </c>
      <c r="I314" s="5">
        <f t="shared" si="95"/>
        <v>2666.53</v>
      </c>
      <c r="J314" s="5">
        <f t="shared" si="96"/>
        <v>0</v>
      </c>
      <c r="K314" s="5">
        <v>0</v>
      </c>
      <c r="L314" s="25">
        <f t="shared" si="78"/>
        <v>0</v>
      </c>
      <c r="M314" s="5">
        <f t="shared" si="97"/>
        <v>2666.53</v>
      </c>
      <c r="N314" s="5">
        <f t="shared" si="94"/>
        <v>1</v>
      </c>
      <c r="O314" s="25">
        <f t="shared" si="79"/>
        <v>1</v>
      </c>
      <c r="P314" s="5">
        <f t="shared" si="98"/>
        <v>0</v>
      </c>
      <c r="Q314" s="5">
        <v>0</v>
      </c>
      <c r="R314" s="25">
        <f t="shared" si="80"/>
        <v>0</v>
      </c>
      <c r="S314" s="5">
        <f t="shared" si="81"/>
        <v>2666.53</v>
      </c>
      <c r="T314" s="25">
        <f t="shared" si="82"/>
        <v>1</v>
      </c>
      <c r="U314" s="25">
        <f t="shared" si="83"/>
        <v>3.6637258767524389E-3</v>
      </c>
    </row>
    <row r="315" spans="1:21" x14ac:dyDescent="0.3">
      <c r="A315" s="23" t="s">
        <v>381</v>
      </c>
      <c r="B315" s="23" t="str">
        <f>VLOOKUP(A315,MEMORIA!$A:$N,2,FALSE)</f>
        <v>COMPOS26</v>
      </c>
      <c r="C315" s="23" t="str">
        <f>VLOOKUP(A315,MEMORIA!$A:$N,3,FALSE)</f>
        <v>PRÓPRIA</v>
      </c>
      <c r="D315" s="24" t="str">
        <f>VLOOKUP(A315,MEMORIA!$A:$N,4,FALSE)</f>
        <v>AQUISIÇÃO E INSTALAÇÃO DE DOSADOR DE CLORO</v>
      </c>
      <c r="E315" s="23" t="str">
        <f>VLOOKUP(A315,MEMORIA!$A:$N,5,FALSE)</f>
        <v>UND</v>
      </c>
      <c r="F315" s="5">
        <f>VLOOKUP(A315,MEMORIA!$A:$N,14,FALSE)</f>
        <v>1</v>
      </c>
      <c r="G315" s="5">
        <f>VLOOKUP(A315,ORCAMENTO!$A:$I,7,FALSE)</f>
        <v>1090.75</v>
      </c>
      <c r="H315" s="5">
        <f>VLOOKUP(A315,ORCAMENTO!$A:$I,8,FALSE)</f>
        <v>1361.69</v>
      </c>
      <c r="I315" s="5">
        <f t="shared" si="95"/>
        <v>1361.69</v>
      </c>
      <c r="J315" s="5">
        <f t="shared" si="96"/>
        <v>0</v>
      </c>
      <c r="K315" s="5">
        <v>0</v>
      </c>
      <c r="L315" s="25">
        <f t="shared" si="78"/>
        <v>0</v>
      </c>
      <c r="M315" s="5">
        <f t="shared" si="97"/>
        <v>1361.69</v>
      </c>
      <c r="N315" s="5">
        <f t="shared" si="94"/>
        <v>1</v>
      </c>
      <c r="O315" s="25">
        <f t="shared" si="79"/>
        <v>1</v>
      </c>
      <c r="P315" s="5">
        <f t="shared" si="98"/>
        <v>0</v>
      </c>
      <c r="Q315" s="5">
        <v>0</v>
      </c>
      <c r="R315" s="25">
        <f t="shared" si="80"/>
        <v>0</v>
      </c>
      <c r="S315" s="5">
        <f t="shared" si="81"/>
        <v>1361.69</v>
      </c>
      <c r="T315" s="25">
        <f t="shared" si="82"/>
        <v>1</v>
      </c>
      <c r="U315" s="25">
        <f t="shared" si="83"/>
        <v>1.8709179679639938E-3</v>
      </c>
    </row>
    <row r="316" spans="1:21" x14ac:dyDescent="0.3">
      <c r="A316" s="12" t="s">
        <v>88</v>
      </c>
      <c r="B316" s="46" t="str">
        <f>VLOOKUP(A316,MEMORIA!$A:$N,2,FALSE)</f>
        <v>CONSTRUÇÃO DA CASA DE COMANDO</v>
      </c>
      <c r="C316" s="47"/>
      <c r="D316" s="47"/>
      <c r="E316" s="47"/>
      <c r="F316" s="47"/>
      <c r="G316" s="47"/>
      <c r="H316" s="48"/>
      <c r="I316" s="13">
        <f>SUM(I$317,I$320,I$322,I$326,I$329,I$332,I$335,I$339,I$342,I$345,I$348,)</f>
        <v>25565.510000000002</v>
      </c>
      <c r="J316" s="13">
        <f>SUM(J$317,J$320,J$322,J$326,J$329,J$332,J$335,J$339,J$342,J$345,J$348,)</f>
        <v>0</v>
      </c>
      <c r="K316" s="13"/>
      <c r="L316" s="14">
        <f t="shared" si="78"/>
        <v>0</v>
      </c>
      <c r="M316" s="13">
        <f>SUM(M$317,M$320,M$322,M$326,M$329,M$332,M$335,M$339,M$342,M$345,M$348,)</f>
        <v>25565.510000000002</v>
      </c>
      <c r="N316" s="13"/>
      <c r="O316" s="14">
        <f t="shared" si="79"/>
        <v>1</v>
      </c>
      <c r="P316" s="13">
        <f>SUM(P$317,P$320,P$322,P$326,P$329,P$332,P$335,P$339,P$342,P$345,P$348,)</f>
        <v>0</v>
      </c>
      <c r="Q316" s="13"/>
      <c r="R316" s="14">
        <f t="shared" si="80"/>
        <v>0</v>
      </c>
      <c r="S316" s="13">
        <f t="shared" si="81"/>
        <v>25565.510000000002</v>
      </c>
      <c r="T316" s="14">
        <f t="shared" si="82"/>
        <v>1</v>
      </c>
      <c r="U316" s="14">
        <f t="shared" si="83"/>
        <v>3.5126182919139576E-2</v>
      </c>
    </row>
    <row r="317" spans="1:21" x14ac:dyDescent="0.3">
      <c r="A317" s="15" t="s">
        <v>89</v>
      </c>
      <c r="B317" s="49" t="str">
        <f>VLOOKUP(A317,MEMORIA!$A:$N,2,FALSE)</f>
        <v>SERVIÇOS PRELIMINARES</v>
      </c>
      <c r="C317" s="50"/>
      <c r="D317" s="50"/>
      <c r="E317" s="50"/>
      <c r="F317" s="50"/>
      <c r="G317" s="50"/>
      <c r="H317" s="51"/>
      <c r="I317" s="16">
        <f>SUM(I$318:I$319)</f>
        <v>3887.12</v>
      </c>
      <c r="J317" s="16">
        <f>SUM(J$318:J$319)</f>
        <v>0</v>
      </c>
      <c r="K317" s="16"/>
      <c r="L317" s="17">
        <f t="shared" si="78"/>
        <v>0</v>
      </c>
      <c r="M317" s="16">
        <f>SUM(M$318:M$319)</f>
        <v>3887.12</v>
      </c>
      <c r="N317" s="16"/>
      <c r="O317" s="17">
        <f t="shared" si="79"/>
        <v>1</v>
      </c>
      <c r="P317" s="16">
        <f>SUM(P$318:P$319)</f>
        <v>0</v>
      </c>
      <c r="Q317" s="16"/>
      <c r="R317" s="17">
        <f t="shared" si="80"/>
        <v>0</v>
      </c>
      <c r="S317" s="16">
        <f t="shared" si="81"/>
        <v>3887.12</v>
      </c>
      <c r="T317" s="17">
        <f t="shared" si="82"/>
        <v>1</v>
      </c>
      <c r="U317" s="17">
        <f t="shared" si="83"/>
        <v>5.3407770135876732E-3</v>
      </c>
    </row>
    <row r="318" spans="1:21" x14ac:dyDescent="0.3">
      <c r="A318" s="23" t="s">
        <v>382</v>
      </c>
      <c r="B318" s="23">
        <f>VLOOKUP(A318,MEMORIA!$A:$N,2,FALSE)</f>
        <v>98524</v>
      </c>
      <c r="C318" s="23" t="str">
        <f>VLOOKUP(A318,MEMORIA!$A:$N,3,FALSE)</f>
        <v>SINAPI</v>
      </c>
      <c r="D318" s="24" t="str">
        <f>VLOOKUP(A318,MEMORIA!$A:$N,4,FALSE)</f>
        <v>LIMPEZA MANUAL DE VEGETAÇÃO EM TERRENO COM ENXADA. AF_03/2024</v>
      </c>
      <c r="E318" s="23" t="str">
        <f>VLOOKUP(A318,MEMORIA!$A:$N,5,FALSE)</f>
        <v>M2</v>
      </c>
      <c r="F318" s="5">
        <f>VLOOKUP(A318,MEMORIA!$A:$N,14,FALSE)</f>
        <v>100</v>
      </c>
      <c r="G318" s="5">
        <f>VLOOKUP(A318,ORCAMENTO!$A:$I,7,FALSE)</f>
        <v>4.62</v>
      </c>
      <c r="H318" s="5">
        <f>VLOOKUP(A318,ORCAMENTO!$A:$I,8,FALSE)</f>
        <v>5.77</v>
      </c>
      <c r="I318" s="5">
        <f>ROUND(F318*H318,2)</f>
        <v>577</v>
      </c>
      <c r="J318" s="5">
        <f>ROUND(K318*$H318,2)</f>
        <v>0</v>
      </c>
      <c r="K318" s="5">
        <v>0</v>
      </c>
      <c r="L318" s="25">
        <f t="shared" si="78"/>
        <v>0</v>
      </c>
      <c r="M318" s="5">
        <f>ROUND(N318*$H318,2)</f>
        <v>577</v>
      </c>
      <c r="N318" s="5">
        <f t="shared" ref="N318:N358" si="99">F318</f>
        <v>100</v>
      </c>
      <c r="O318" s="25">
        <f t="shared" si="79"/>
        <v>1</v>
      </c>
      <c r="P318" s="5">
        <f>ROUND(Q318*$H318,2)</f>
        <v>0</v>
      </c>
      <c r="Q318" s="5">
        <v>0</v>
      </c>
      <c r="R318" s="25">
        <f t="shared" si="80"/>
        <v>0</v>
      </c>
      <c r="S318" s="5">
        <f t="shared" si="81"/>
        <v>577</v>
      </c>
      <c r="T318" s="25">
        <f t="shared" si="82"/>
        <v>1</v>
      </c>
      <c r="U318" s="25">
        <f t="shared" si="83"/>
        <v>7.9277931652228068E-4</v>
      </c>
    </row>
    <row r="319" spans="1:21" ht="28.8" x14ac:dyDescent="0.3">
      <c r="A319" s="23" t="s">
        <v>383</v>
      </c>
      <c r="B319" s="23">
        <f>VLOOKUP(A319,MEMORIA!$A:$N,2,FALSE)</f>
        <v>99059</v>
      </c>
      <c r="C319" s="23" t="str">
        <f>VLOOKUP(A319,MEMORIA!$A:$N,3,FALSE)</f>
        <v>SINAPI</v>
      </c>
      <c r="D319" s="24" t="str">
        <f>VLOOKUP(A319,MEMORIA!$A:$N,4,FALSE)</f>
        <v>LOCAÇÃO CONVENCIONAL DE OBRA, UTILIZANDO GABARITO DE TÁBUAS CORRIDAS PONTALETADAS A CADA 2,00M - 2 UTILIZAÇÕES. AF_03/2024</v>
      </c>
      <c r="E319" s="23" t="str">
        <f>VLOOKUP(A319,MEMORIA!$A:$N,5,FALSE)</f>
        <v>M</v>
      </c>
      <c r="F319" s="5">
        <f>VLOOKUP(A319,MEMORIA!$A:$N,14,FALSE)</f>
        <v>44</v>
      </c>
      <c r="G319" s="5">
        <f>VLOOKUP(A319,ORCAMENTO!$A:$I,7,FALSE)</f>
        <v>60.260000000000005</v>
      </c>
      <c r="H319" s="5">
        <f>VLOOKUP(A319,ORCAMENTO!$A:$I,8,FALSE)</f>
        <v>75.23</v>
      </c>
      <c r="I319" s="5">
        <f>ROUND(F319*H319,2)</f>
        <v>3310.12</v>
      </c>
      <c r="J319" s="5">
        <f>ROUND(K319*$H319,2)</f>
        <v>0</v>
      </c>
      <c r="K319" s="5">
        <v>0</v>
      </c>
      <c r="L319" s="25">
        <f t="shared" si="78"/>
        <v>0</v>
      </c>
      <c r="M319" s="5">
        <f>ROUND(N319*$H319,2)</f>
        <v>3310.12</v>
      </c>
      <c r="N319" s="5">
        <f t="shared" si="99"/>
        <v>44</v>
      </c>
      <c r="O319" s="25">
        <f t="shared" si="79"/>
        <v>1</v>
      </c>
      <c r="P319" s="5">
        <f>ROUND(Q319*$H319,2)</f>
        <v>0</v>
      </c>
      <c r="Q319" s="5">
        <v>0</v>
      </c>
      <c r="R319" s="25">
        <f t="shared" si="80"/>
        <v>0</v>
      </c>
      <c r="S319" s="5">
        <f t="shared" si="81"/>
        <v>3310.12</v>
      </c>
      <c r="T319" s="25">
        <f t="shared" si="82"/>
        <v>1</v>
      </c>
      <c r="U319" s="25">
        <f t="shared" si="83"/>
        <v>4.5479976970653931E-3</v>
      </c>
    </row>
    <row r="320" spans="1:21" x14ac:dyDescent="0.3">
      <c r="A320" s="15" t="s">
        <v>90</v>
      </c>
      <c r="B320" s="49" t="str">
        <f>VLOOKUP(A320,MEMORIA!$A:$N,2,FALSE)</f>
        <v>MOVIMENTO DE TERRA</v>
      </c>
      <c r="C320" s="50"/>
      <c r="D320" s="50"/>
      <c r="E320" s="50"/>
      <c r="F320" s="50"/>
      <c r="G320" s="50"/>
      <c r="H320" s="51"/>
      <c r="I320" s="16">
        <f>SUM(I$321:I$321)</f>
        <v>165.09</v>
      </c>
      <c r="J320" s="16">
        <f>SUM(J$321:J$321)</f>
        <v>0</v>
      </c>
      <c r="K320" s="16"/>
      <c r="L320" s="17">
        <f t="shared" si="78"/>
        <v>0</v>
      </c>
      <c r="M320" s="16">
        <f>SUM(M$321:M$321)</f>
        <v>165.09</v>
      </c>
      <c r="N320" s="16"/>
      <c r="O320" s="17">
        <f t="shared" si="79"/>
        <v>1</v>
      </c>
      <c r="P320" s="16">
        <f>SUM(P$321:P$321)</f>
        <v>0</v>
      </c>
      <c r="Q320" s="16"/>
      <c r="R320" s="17">
        <f t="shared" si="80"/>
        <v>0</v>
      </c>
      <c r="S320" s="16">
        <f t="shared" si="81"/>
        <v>165.09</v>
      </c>
      <c r="T320" s="17">
        <f t="shared" si="82"/>
        <v>1</v>
      </c>
      <c r="U320" s="17">
        <f t="shared" si="83"/>
        <v>2.2682831432350661E-4</v>
      </c>
    </row>
    <row r="321" spans="1:21" x14ac:dyDescent="0.3">
      <c r="A321" s="23" t="s">
        <v>384</v>
      </c>
      <c r="B321" s="23">
        <f>VLOOKUP(A321,MEMORIA!$A:$N,2,FALSE)</f>
        <v>93358</v>
      </c>
      <c r="C321" s="23" t="str">
        <f>VLOOKUP(A321,MEMORIA!$A:$N,3,FALSE)</f>
        <v>SINAPI</v>
      </c>
      <c r="D321" s="24" t="str">
        <f>VLOOKUP(A321,MEMORIA!$A:$N,4,FALSE)</f>
        <v>ESCAVAÇÃO MANUAL DE VALA. AF_09/2024</v>
      </c>
      <c r="E321" s="23" t="str">
        <f>VLOOKUP(A321,MEMORIA!$A:$N,5,FALSE)</f>
        <v>M3</v>
      </c>
      <c r="F321" s="5">
        <f>VLOOKUP(A321,MEMORIA!$A:$N,14,FALSE)</f>
        <v>1.54</v>
      </c>
      <c r="G321" s="5">
        <f>VLOOKUP(A321,ORCAMENTO!$A:$I,7,FALSE)</f>
        <v>85.87</v>
      </c>
      <c r="H321" s="5">
        <f>VLOOKUP(A321,ORCAMENTO!$A:$I,8,FALSE)</f>
        <v>107.2</v>
      </c>
      <c r="I321" s="5">
        <f>ROUND(F321*H321,2)</f>
        <v>165.09</v>
      </c>
      <c r="J321" s="5">
        <f>ROUND(K321*$H321,2)</f>
        <v>0</v>
      </c>
      <c r="K321" s="5">
        <v>0</v>
      </c>
      <c r="L321" s="25">
        <f t="shared" si="78"/>
        <v>0</v>
      </c>
      <c r="M321" s="5">
        <f>ROUND(N321*$H321,2)</f>
        <v>165.09</v>
      </c>
      <c r="N321" s="5">
        <f t="shared" si="99"/>
        <v>1.54</v>
      </c>
      <c r="O321" s="25">
        <f t="shared" si="79"/>
        <v>1</v>
      </c>
      <c r="P321" s="5">
        <f>ROUND(Q321*$H321,2)</f>
        <v>0</v>
      </c>
      <c r="Q321" s="5">
        <v>0</v>
      </c>
      <c r="R321" s="25">
        <f t="shared" si="80"/>
        <v>0</v>
      </c>
      <c r="S321" s="5">
        <f t="shared" si="81"/>
        <v>165.09</v>
      </c>
      <c r="T321" s="25">
        <f t="shared" si="82"/>
        <v>1</v>
      </c>
      <c r="U321" s="25">
        <f t="shared" si="83"/>
        <v>2.2682831432350661E-4</v>
      </c>
    </row>
    <row r="322" spans="1:21" x14ac:dyDescent="0.3">
      <c r="A322" s="15" t="s">
        <v>91</v>
      </c>
      <c r="B322" s="49" t="str">
        <f>VLOOKUP(A322,MEMORIA!$A:$N,2,FALSE)</f>
        <v>INFRAESTRUTURA</v>
      </c>
      <c r="C322" s="50"/>
      <c r="D322" s="50"/>
      <c r="E322" s="50"/>
      <c r="F322" s="50"/>
      <c r="G322" s="50"/>
      <c r="H322" s="51"/>
      <c r="I322" s="16">
        <f>SUM(I$323:I$325)</f>
        <v>1275.5</v>
      </c>
      <c r="J322" s="16">
        <f>SUM(J$323:J$325)</f>
        <v>0</v>
      </c>
      <c r="K322" s="16"/>
      <c r="L322" s="17">
        <f t="shared" si="78"/>
        <v>0</v>
      </c>
      <c r="M322" s="16">
        <f>SUM(M$323:M$325)</f>
        <v>1275.5</v>
      </c>
      <c r="N322" s="16"/>
      <c r="O322" s="17">
        <f t="shared" si="79"/>
        <v>1</v>
      </c>
      <c r="P322" s="16">
        <f>SUM(P$323:P$325)</f>
        <v>0</v>
      </c>
      <c r="Q322" s="16"/>
      <c r="R322" s="17">
        <f t="shared" si="80"/>
        <v>0</v>
      </c>
      <c r="S322" s="16">
        <f t="shared" si="81"/>
        <v>1275.5</v>
      </c>
      <c r="T322" s="17">
        <f t="shared" si="82"/>
        <v>1</v>
      </c>
      <c r="U322" s="17">
        <f t="shared" si="83"/>
        <v>1.7524956988287158E-3</v>
      </c>
    </row>
    <row r="323" spans="1:21" ht="28.8" x14ac:dyDescent="0.3">
      <c r="A323" s="23" t="s">
        <v>385</v>
      </c>
      <c r="B323" s="23">
        <f>VLOOKUP(A323,MEMORIA!$A:$N,2,FALSE)</f>
        <v>96617</v>
      </c>
      <c r="C323" s="23" t="str">
        <f>VLOOKUP(A323,MEMORIA!$A:$N,3,FALSE)</f>
        <v>SINAPI</v>
      </c>
      <c r="D323" s="24" t="str">
        <f>VLOOKUP(A323,MEMORIA!$A:$N,4,FALSE)</f>
        <v>LASTRO DE CONCRETO MAGRO, APLICADO EM BLOCOS DE COROAMENTO OU SAPATAS, ESPESSURA DE 3 CM. AF_01/2024</v>
      </c>
      <c r="E323" s="23" t="str">
        <f>VLOOKUP(A323,MEMORIA!$A:$N,5,FALSE)</f>
        <v>M2</v>
      </c>
      <c r="F323" s="5">
        <f>VLOOKUP(A323,MEMORIA!$A:$N,14,FALSE)</f>
        <v>2.58</v>
      </c>
      <c r="G323" s="5">
        <f>VLOOKUP(A323,ORCAMENTO!$A:$I,7,FALSE)</f>
        <v>23.990000000000002</v>
      </c>
      <c r="H323" s="5">
        <f>VLOOKUP(A323,ORCAMENTO!$A:$I,8,FALSE)</f>
        <v>29.950000000000003</v>
      </c>
      <c r="I323" s="5">
        <f>ROUND(F323*H323,2)</f>
        <v>77.27</v>
      </c>
      <c r="J323" s="5">
        <f>ROUND(K323*$H323,2)</f>
        <v>0</v>
      </c>
      <c r="K323" s="5">
        <v>0</v>
      </c>
      <c r="L323" s="25">
        <f t="shared" si="78"/>
        <v>0</v>
      </c>
      <c r="M323" s="5">
        <f>ROUND(N323*$H323,2)</f>
        <v>77.27</v>
      </c>
      <c r="N323" s="5">
        <f t="shared" si="99"/>
        <v>2.58</v>
      </c>
      <c r="O323" s="25">
        <f t="shared" si="79"/>
        <v>1</v>
      </c>
      <c r="P323" s="5">
        <f>ROUND(Q323*$H323,2)</f>
        <v>0</v>
      </c>
      <c r="Q323" s="5">
        <v>0</v>
      </c>
      <c r="R323" s="25">
        <f t="shared" si="80"/>
        <v>0</v>
      </c>
      <c r="S323" s="5">
        <f t="shared" si="81"/>
        <v>77.27</v>
      </c>
      <c r="T323" s="25">
        <f t="shared" si="82"/>
        <v>1</v>
      </c>
      <c r="U323" s="25">
        <f t="shared" si="83"/>
        <v>1.0616647796824372E-4</v>
      </c>
    </row>
    <row r="324" spans="1:21" ht="28.8" x14ac:dyDescent="0.3">
      <c r="A324" s="23" t="s">
        <v>386</v>
      </c>
      <c r="B324" s="23">
        <f>VLOOKUP(A324,MEMORIA!$A:$N,2,FALSE)</f>
        <v>103800</v>
      </c>
      <c r="C324" s="23" t="str">
        <f>VLOOKUP(A324,MEMORIA!$A:$N,3,FALSE)</f>
        <v>SINAPI</v>
      </c>
      <c r="D324" s="24" t="str">
        <f>VLOOKUP(A324,MEMORIA!$A:$N,4,FALSE)</f>
        <v>PEDRA ARGAMASSADA COM CIMENTO E AREIA 1:3, 40% DE ARGAMASSA EM VOLUME - AREIA E PEDRA DE MÃO COMERCIAIS - FORNECIMENTO E ASSENTAMENTO. AF_08/2022</v>
      </c>
      <c r="E324" s="23" t="str">
        <f>VLOOKUP(A324,MEMORIA!$A:$N,5,FALSE)</f>
        <v>M3</v>
      </c>
      <c r="F324" s="5">
        <f>VLOOKUP(A324,MEMORIA!$A:$N,14,FALSE)</f>
        <v>1.04</v>
      </c>
      <c r="G324" s="5">
        <f>VLOOKUP(A324,ORCAMENTO!$A:$I,7,FALSE)</f>
        <v>680.59</v>
      </c>
      <c r="H324" s="5">
        <f>VLOOKUP(A324,ORCAMENTO!$A:$I,8,FALSE)</f>
        <v>849.65000000000009</v>
      </c>
      <c r="I324" s="5">
        <f>ROUND(F324*H324,2)</f>
        <v>883.64</v>
      </c>
      <c r="J324" s="5">
        <f>ROUND(K324*$H324,2)</f>
        <v>0</v>
      </c>
      <c r="K324" s="5">
        <v>0</v>
      </c>
      <c r="L324" s="25">
        <f t="shared" si="78"/>
        <v>0</v>
      </c>
      <c r="M324" s="5">
        <f>ROUND(N324*$H324,2)</f>
        <v>883.64</v>
      </c>
      <c r="N324" s="5">
        <f t="shared" si="99"/>
        <v>1.04</v>
      </c>
      <c r="O324" s="25">
        <f t="shared" si="79"/>
        <v>1</v>
      </c>
      <c r="P324" s="5">
        <f>ROUND(Q324*$H324,2)</f>
        <v>0</v>
      </c>
      <c r="Q324" s="5">
        <v>0</v>
      </c>
      <c r="R324" s="25">
        <f t="shared" si="80"/>
        <v>0</v>
      </c>
      <c r="S324" s="5">
        <f t="shared" si="81"/>
        <v>883.64</v>
      </c>
      <c r="T324" s="25">
        <f t="shared" si="82"/>
        <v>1</v>
      </c>
      <c r="U324" s="25">
        <f t="shared" si="83"/>
        <v>1.2140927474033763E-3</v>
      </c>
    </row>
    <row r="325" spans="1:21" ht="43.2" x14ac:dyDescent="0.3">
      <c r="A325" s="23" t="s">
        <v>387</v>
      </c>
      <c r="B325" s="23">
        <f>VLOOKUP(A325,MEMORIA!$A:$N,2,FALSE)</f>
        <v>103335</v>
      </c>
      <c r="C325" s="23" t="str">
        <f>VLOOKUP(A325,MEMORIA!$A:$N,3,FALSE)</f>
        <v>SINAPI</v>
      </c>
      <c r="D325" s="24" t="str">
        <f>VLOOKUP(A325,MEMORIA!$A:$N,4,FALSE)</f>
        <v>ALVENARIA DE VEDAÇÃO DE BLOCOS CERÂMICOS FURADOS NA HORIZONTAL DE 14X9X19 CM (ESPESSURA 14 CM, BLOCO DEITADO) E ARGAMASSA DE ASSENTAMENTO COM PREPARO MANUAL. AF_12/2021</v>
      </c>
      <c r="E325" s="23" t="str">
        <f>VLOOKUP(A325,MEMORIA!$A:$N,5,FALSE)</f>
        <v>M2</v>
      </c>
      <c r="F325" s="5">
        <f>VLOOKUP(A325,MEMORIA!$A:$N,14,FALSE)</f>
        <v>1.7200000000000002</v>
      </c>
      <c r="G325" s="5">
        <f>VLOOKUP(A325,ORCAMENTO!$A:$I,7,FALSE)</f>
        <v>146.51</v>
      </c>
      <c r="H325" s="5">
        <f>VLOOKUP(A325,ORCAMENTO!$A:$I,8,FALSE)</f>
        <v>182.89999999999998</v>
      </c>
      <c r="I325" s="5">
        <f>ROUND(F325*H325,2)</f>
        <v>314.58999999999997</v>
      </c>
      <c r="J325" s="5">
        <f>ROUND(K325*$H325,2)</f>
        <v>0</v>
      </c>
      <c r="K325" s="5">
        <v>0</v>
      </c>
      <c r="L325" s="25">
        <f t="shared" si="78"/>
        <v>0</v>
      </c>
      <c r="M325" s="5">
        <f>ROUND(N325*$H325,2)</f>
        <v>314.58999999999997</v>
      </c>
      <c r="N325" s="5">
        <f t="shared" si="99"/>
        <v>1.7200000000000002</v>
      </c>
      <c r="O325" s="25">
        <f t="shared" si="79"/>
        <v>1</v>
      </c>
      <c r="P325" s="5">
        <f>ROUND(Q325*$H325,2)</f>
        <v>0</v>
      </c>
      <c r="Q325" s="5">
        <v>0</v>
      </c>
      <c r="R325" s="25">
        <f t="shared" si="80"/>
        <v>0</v>
      </c>
      <c r="S325" s="5">
        <f t="shared" si="81"/>
        <v>314.58999999999997</v>
      </c>
      <c r="T325" s="25">
        <f t="shared" si="82"/>
        <v>1</v>
      </c>
      <c r="U325" s="25">
        <f t="shared" si="83"/>
        <v>4.3223647345709575E-4</v>
      </c>
    </row>
    <row r="326" spans="1:21" x14ac:dyDescent="0.3">
      <c r="A326" s="15" t="s">
        <v>92</v>
      </c>
      <c r="B326" s="49" t="str">
        <f>VLOOKUP(A326,MEMORIA!$A:$N,2,FALSE)</f>
        <v>SUPERESTRUTURA</v>
      </c>
      <c r="C326" s="50"/>
      <c r="D326" s="50"/>
      <c r="E326" s="50"/>
      <c r="F326" s="50"/>
      <c r="G326" s="50"/>
      <c r="H326" s="51"/>
      <c r="I326" s="16">
        <f>SUM(I$327:I$328)</f>
        <v>1347.9099999999999</v>
      </c>
      <c r="J326" s="16">
        <f>SUM(J$327:J$328)</f>
        <v>0</v>
      </c>
      <c r="K326" s="16"/>
      <c r="L326" s="17">
        <f t="shared" si="78"/>
        <v>0</v>
      </c>
      <c r="M326" s="16">
        <f>SUM(M$327:M$328)</f>
        <v>1347.9099999999999</v>
      </c>
      <c r="N326" s="16"/>
      <c r="O326" s="17">
        <f t="shared" si="79"/>
        <v>1</v>
      </c>
      <c r="P326" s="16">
        <f>SUM(P$327:P$328)</f>
        <v>0</v>
      </c>
      <c r="Q326" s="16"/>
      <c r="R326" s="17">
        <f t="shared" si="80"/>
        <v>0</v>
      </c>
      <c r="S326" s="16">
        <f t="shared" si="81"/>
        <v>1347.9099999999999</v>
      </c>
      <c r="T326" s="17">
        <f t="shared" si="82"/>
        <v>1</v>
      </c>
      <c r="U326" s="17">
        <f t="shared" si="83"/>
        <v>1.8519846941655932E-3</v>
      </c>
    </row>
    <row r="327" spans="1:21" x14ac:dyDescent="0.3">
      <c r="A327" s="23" t="s">
        <v>388</v>
      </c>
      <c r="B327" s="23" t="str">
        <f>VLOOKUP(A327,MEMORIA!$A:$N,2,FALSE)</f>
        <v>COMPCOM01</v>
      </c>
      <c r="C327" s="23" t="str">
        <f>VLOOKUP(A327,MEMORIA!$A:$N,3,FALSE)</f>
        <v>PRÓPRIA</v>
      </c>
      <c r="D327" s="24" t="str">
        <f>VLOOKUP(A327,MEMORIA!$A:$N,4,FALSE)</f>
        <v>CINTA DE AMARRAÇÃO DE ALVENARIA MOLDADA IN LOCO EM CONCRETO</v>
      </c>
      <c r="E327" s="23" t="str">
        <f>VLOOKUP(A327,MEMORIA!$A:$N,5,FALSE)</f>
        <v>M</v>
      </c>
      <c r="F327" s="5">
        <f>VLOOKUP(A327,MEMORIA!$A:$N,14,FALSE)</f>
        <v>8.6</v>
      </c>
      <c r="G327" s="5">
        <f>VLOOKUP(A327,ORCAMENTO!$A:$I,7,FALSE)</f>
        <v>81.56</v>
      </c>
      <c r="H327" s="5">
        <f>VLOOKUP(A327,ORCAMENTO!$A:$I,8,FALSE)</f>
        <v>101.82000000000001</v>
      </c>
      <c r="I327" s="5">
        <f>ROUND(F327*H327,2)</f>
        <v>875.65</v>
      </c>
      <c r="J327" s="5">
        <f>ROUND(K327*$H327,2)</f>
        <v>0</v>
      </c>
      <c r="K327" s="5">
        <v>0</v>
      </c>
      <c r="L327" s="25">
        <f t="shared" si="78"/>
        <v>0</v>
      </c>
      <c r="M327" s="5">
        <f>ROUND(N327*$H327,2)</f>
        <v>875.65</v>
      </c>
      <c r="N327" s="5">
        <f t="shared" si="99"/>
        <v>8.6</v>
      </c>
      <c r="O327" s="25">
        <f t="shared" si="79"/>
        <v>1</v>
      </c>
      <c r="P327" s="5">
        <f>ROUND(Q327*$H327,2)</f>
        <v>0</v>
      </c>
      <c r="Q327" s="5">
        <v>0</v>
      </c>
      <c r="R327" s="25">
        <f t="shared" si="80"/>
        <v>0</v>
      </c>
      <c r="S327" s="5">
        <f t="shared" si="81"/>
        <v>875.65</v>
      </c>
      <c r="T327" s="25">
        <f t="shared" si="82"/>
        <v>1</v>
      </c>
      <c r="U327" s="25">
        <f t="shared" si="83"/>
        <v>1.2031147461225911E-3</v>
      </c>
    </row>
    <row r="328" spans="1:21" ht="28.8" x14ac:dyDescent="0.3">
      <c r="A328" s="23" t="s">
        <v>389</v>
      </c>
      <c r="B328" s="23" t="str">
        <f>VLOOKUP(A328,MEMORIA!$A:$N,2,FALSE)</f>
        <v>COMPCOM02</v>
      </c>
      <c r="C328" s="23" t="str">
        <f>VLOOKUP(A328,MEMORIA!$A:$N,3,FALSE)</f>
        <v>PRÓPRIA</v>
      </c>
      <c r="D328" s="24" t="str">
        <f>VLOOKUP(A328,MEMORIA!$A:$N,4,FALSE)</f>
        <v>(COMPOSIÇÃO REPRESENTATIVA) EXECUÇÃO DE ESTRUTURAS DE CONCRETO ARMADO, PARA EDIFICAÇÃO INSTITUCIONAL TÉRREA, FCK = 25 MPA</v>
      </c>
      <c r="E328" s="23" t="str">
        <f>VLOOKUP(A328,MEMORIA!$A:$N,5,FALSE)</f>
        <v>M³</v>
      </c>
      <c r="F328" s="5">
        <f>VLOOKUP(A328,MEMORIA!$A:$N,14,FALSE)</f>
        <v>0.30000000000000004</v>
      </c>
      <c r="G328" s="5">
        <f>VLOOKUP(A328,ORCAMENTO!$A:$I,7,FALSE)</f>
        <v>1260.97</v>
      </c>
      <c r="H328" s="5">
        <f>VLOOKUP(A328,ORCAMENTO!$A:$I,8,FALSE)</f>
        <v>1574.19</v>
      </c>
      <c r="I328" s="5">
        <f>ROUND(F328*H328,2)</f>
        <v>472.26</v>
      </c>
      <c r="J328" s="5">
        <f>ROUND(K328*$H328,2)</f>
        <v>0</v>
      </c>
      <c r="K328" s="5">
        <v>0</v>
      </c>
      <c r="L328" s="25">
        <f t="shared" ref="L328:L391" si="100">J328/$I328</f>
        <v>0</v>
      </c>
      <c r="M328" s="5">
        <f>ROUND(N328*$H328,2)</f>
        <v>472.26</v>
      </c>
      <c r="N328" s="5">
        <f t="shared" si="99"/>
        <v>0.30000000000000004</v>
      </c>
      <c r="O328" s="25">
        <f t="shared" ref="O328:O391" si="101">M328/$I328</f>
        <v>1</v>
      </c>
      <c r="P328" s="5">
        <f>ROUND(Q328*$H328,2)</f>
        <v>0</v>
      </c>
      <c r="Q328" s="5">
        <v>0</v>
      </c>
      <c r="R328" s="25">
        <f t="shared" ref="R328:R391" si="102">P328/$I328</f>
        <v>0</v>
      </c>
      <c r="S328" s="5">
        <f t="shared" ref="S328:S391" si="103">SUM(J328,M328,P328,)</f>
        <v>472.26</v>
      </c>
      <c r="T328" s="25">
        <f t="shared" ref="T328:T391" si="104">SUM(L328,O328,R328,)</f>
        <v>1</v>
      </c>
      <c r="U328" s="25">
        <f t="shared" ref="U328:U391" si="105">S328/$I$476</f>
        <v>6.4886994804300223E-4</v>
      </c>
    </row>
    <row r="329" spans="1:21" x14ac:dyDescent="0.3">
      <c r="A329" s="15" t="s">
        <v>93</v>
      </c>
      <c r="B329" s="49" t="str">
        <f>VLOOKUP(A329,MEMORIA!$A:$N,2,FALSE)</f>
        <v>VEDAÇÃO VERTICAL</v>
      </c>
      <c r="C329" s="50"/>
      <c r="D329" s="50"/>
      <c r="E329" s="50"/>
      <c r="F329" s="50"/>
      <c r="G329" s="50"/>
      <c r="H329" s="51"/>
      <c r="I329" s="16">
        <f>SUM(I$330:I$331)</f>
        <v>2674.92</v>
      </c>
      <c r="J329" s="16">
        <f>SUM(J$330:J$331)</f>
        <v>0</v>
      </c>
      <c r="K329" s="16"/>
      <c r="L329" s="17">
        <f t="shared" si="100"/>
        <v>0</v>
      </c>
      <c r="M329" s="16">
        <f>SUM(M$330:M$331)</f>
        <v>2674.92</v>
      </c>
      <c r="N329" s="16"/>
      <c r="O329" s="17">
        <f t="shared" si="101"/>
        <v>1</v>
      </c>
      <c r="P329" s="16">
        <f>SUM(P$330:P$331)</f>
        <v>0</v>
      </c>
      <c r="Q329" s="16"/>
      <c r="R329" s="17">
        <f t="shared" si="102"/>
        <v>0</v>
      </c>
      <c r="S329" s="16">
        <f t="shared" si="103"/>
        <v>2674.92</v>
      </c>
      <c r="T329" s="17">
        <f t="shared" si="104"/>
        <v>1</v>
      </c>
      <c r="U329" s="17">
        <f t="shared" si="105"/>
        <v>3.6752534650810729E-3</v>
      </c>
    </row>
    <row r="330" spans="1:21" ht="43.2" x14ac:dyDescent="0.3">
      <c r="A330" s="23" t="s">
        <v>390</v>
      </c>
      <c r="B330" s="23">
        <f>VLOOKUP(A330,MEMORIA!$A:$N,2,FALSE)</f>
        <v>103329</v>
      </c>
      <c r="C330" s="23" t="str">
        <f>VLOOKUP(A330,MEMORIA!$A:$N,3,FALSE)</f>
        <v>SINAPI</v>
      </c>
      <c r="D330" s="24" t="str">
        <f>VLOOKUP(A330,MEMORIA!$A:$N,4,FALSE)</f>
        <v>ALVENARIA DE VEDAÇÃO DE BLOCOS CERÂMICOS FURADOS NA HORIZONTAL DE 9X19X19 CM (ESPESSURA 9 CM) E ARGAMASSA DE ASSENTAMENTO COM PREPARO MANUAL. AF_12/2021</v>
      </c>
      <c r="E330" s="23" t="str">
        <f>VLOOKUP(A330,MEMORIA!$A:$N,5,FALSE)</f>
        <v>M2</v>
      </c>
      <c r="F330" s="5">
        <f>VLOOKUP(A330,MEMORIA!$A:$N,14,FALSE)</f>
        <v>19.310000000000002</v>
      </c>
      <c r="G330" s="5">
        <f>VLOOKUP(A330,ORCAMENTO!$A:$I,7,FALSE)</f>
        <v>95.08</v>
      </c>
      <c r="H330" s="5">
        <f>VLOOKUP(A330,ORCAMENTO!$A:$I,8,FALSE)</f>
        <v>118.7</v>
      </c>
      <c r="I330" s="5">
        <f>ROUND(F330*H330,2)</f>
        <v>2292.1</v>
      </c>
      <c r="J330" s="5">
        <f>ROUND(K330*$H330,2)</f>
        <v>0</v>
      </c>
      <c r="K330" s="5">
        <v>0</v>
      </c>
      <c r="L330" s="25">
        <f t="shared" si="100"/>
        <v>0</v>
      </c>
      <c r="M330" s="5">
        <f>ROUND(N330*$H330,2)</f>
        <v>2292.1</v>
      </c>
      <c r="N330" s="5">
        <f t="shared" si="99"/>
        <v>19.310000000000002</v>
      </c>
      <c r="O330" s="25">
        <f t="shared" si="101"/>
        <v>1</v>
      </c>
      <c r="P330" s="5">
        <f>ROUND(Q330*$H330,2)</f>
        <v>0</v>
      </c>
      <c r="Q330" s="5">
        <v>0</v>
      </c>
      <c r="R330" s="25">
        <f t="shared" si="102"/>
        <v>0</v>
      </c>
      <c r="S330" s="5">
        <f t="shared" si="103"/>
        <v>2292.1</v>
      </c>
      <c r="T330" s="25">
        <f t="shared" si="104"/>
        <v>1</v>
      </c>
      <c r="U330" s="25">
        <f t="shared" si="105"/>
        <v>3.149271180937122E-3</v>
      </c>
    </row>
    <row r="331" spans="1:21" ht="43.2" x14ac:dyDescent="0.3">
      <c r="A331" s="23" t="s">
        <v>391</v>
      </c>
      <c r="B331" s="23">
        <f>VLOOKUP(A331,MEMORIA!$A:$N,2,FALSE)</f>
        <v>101161</v>
      </c>
      <c r="C331" s="23" t="str">
        <f>VLOOKUP(A331,MEMORIA!$A:$N,3,FALSE)</f>
        <v>SINAPI</v>
      </c>
      <c r="D331" s="24" t="str">
        <f>VLOOKUP(A331,MEMORIA!$A:$N,4,FALSE)</f>
        <v>ALVENARIA DE VEDAÇÃO COM ELEMENTO VAZADO DE CONCRETO (COBOGÓ) DE 7X50X50CM E ARGAMASSA DE ASSENTAMENTO COM PREPARO EM BETONEIRA. AF_05/2020</v>
      </c>
      <c r="E331" s="23" t="str">
        <f>VLOOKUP(A331,MEMORIA!$A:$N,5,FALSE)</f>
        <v>M2</v>
      </c>
      <c r="F331" s="5">
        <f>VLOOKUP(A331,MEMORIA!$A:$N,14,FALSE)</f>
        <v>1.5</v>
      </c>
      <c r="G331" s="5">
        <f>VLOOKUP(A331,ORCAMENTO!$A:$I,7,FALSE)</f>
        <v>204.43</v>
      </c>
      <c r="H331" s="5">
        <f>VLOOKUP(A331,ORCAMENTO!$A:$I,8,FALSE)</f>
        <v>255.21</v>
      </c>
      <c r="I331" s="5">
        <f>ROUND(F331*H331,2)</f>
        <v>382.82</v>
      </c>
      <c r="J331" s="5">
        <f>ROUND(K331*$H331,2)</f>
        <v>0</v>
      </c>
      <c r="K331" s="5">
        <v>0</v>
      </c>
      <c r="L331" s="25">
        <f t="shared" si="100"/>
        <v>0</v>
      </c>
      <c r="M331" s="5">
        <f>ROUND(N331*$H331,2)</f>
        <v>382.82</v>
      </c>
      <c r="N331" s="5">
        <f t="shared" si="99"/>
        <v>1.5</v>
      </c>
      <c r="O331" s="25">
        <f t="shared" si="101"/>
        <v>1</v>
      </c>
      <c r="P331" s="5">
        <f>ROUND(Q331*$H331,2)</f>
        <v>0</v>
      </c>
      <c r="Q331" s="5">
        <v>0</v>
      </c>
      <c r="R331" s="25">
        <f t="shared" si="102"/>
        <v>0</v>
      </c>
      <c r="S331" s="5">
        <f t="shared" si="103"/>
        <v>382.82</v>
      </c>
      <c r="T331" s="25">
        <f t="shared" si="104"/>
        <v>1</v>
      </c>
      <c r="U331" s="25">
        <f t="shared" si="105"/>
        <v>5.2598228414395059E-4</v>
      </c>
    </row>
    <row r="332" spans="1:21" x14ac:dyDescent="0.3">
      <c r="A332" s="15" t="s">
        <v>94</v>
      </c>
      <c r="B332" s="49" t="str">
        <f>VLOOKUP(A332,MEMORIA!$A:$N,2,FALSE)</f>
        <v>COBERTURA</v>
      </c>
      <c r="C332" s="50"/>
      <c r="D332" s="50"/>
      <c r="E332" s="50"/>
      <c r="F332" s="50"/>
      <c r="G332" s="50"/>
      <c r="H332" s="51"/>
      <c r="I332" s="16">
        <f>SUM(I$333:I$334)</f>
        <v>1332.15</v>
      </c>
      <c r="J332" s="16">
        <f>SUM(J$333:J$334)</f>
        <v>0</v>
      </c>
      <c r="K332" s="16"/>
      <c r="L332" s="17">
        <f t="shared" si="100"/>
        <v>0</v>
      </c>
      <c r="M332" s="16">
        <f>SUM(M$333:M$334)</f>
        <v>1332.15</v>
      </c>
      <c r="N332" s="16"/>
      <c r="O332" s="17">
        <f t="shared" si="101"/>
        <v>1</v>
      </c>
      <c r="P332" s="16">
        <f>SUM(P$333:P$334)</f>
        <v>0</v>
      </c>
      <c r="Q332" s="16"/>
      <c r="R332" s="17">
        <f t="shared" si="102"/>
        <v>0</v>
      </c>
      <c r="S332" s="16">
        <f t="shared" si="103"/>
        <v>1332.15</v>
      </c>
      <c r="T332" s="17">
        <f t="shared" si="104"/>
        <v>1</v>
      </c>
      <c r="U332" s="17">
        <f t="shared" si="105"/>
        <v>1.8303309644803402E-3</v>
      </c>
    </row>
    <row r="333" spans="1:21" ht="28.8" x14ac:dyDescent="0.3">
      <c r="A333" s="23" t="s">
        <v>392</v>
      </c>
      <c r="B333" s="23" t="str">
        <f>VLOOKUP(A333,MEMORIA!$A:$N,2,FALSE)</f>
        <v>COMPCOM03</v>
      </c>
      <c r="C333" s="23" t="str">
        <f>VLOOKUP(A333,MEMORIA!$A:$N,3,FALSE)</f>
        <v>PRÓPRIA</v>
      </c>
      <c r="D333" s="24" t="str">
        <f>VLOOKUP(A333,MEMORIA!$A:$N,4,FALSE)</f>
        <v>TELHAMENTO COM TELHA CERÂMICA CAPA-CANAL, TIPO COLONIAL, COM ATÉ 2 ÁGUAS, INCLUSO TRANSPORTE VERTICAL</v>
      </c>
      <c r="E333" s="23" t="str">
        <f>VLOOKUP(A333,MEMORIA!$A:$N,5,FALSE)</f>
        <v>M²</v>
      </c>
      <c r="F333" s="5">
        <f>VLOOKUP(A333,MEMORIA!$A:$N,14,FALSE)</f>
        <v>10.23</v>
      </c>
      <c r="G333" s="5">
        <f>VLOOKUP(A333,ORCAMENTO!$A:$I,7,FALSE)</f>
        <v>37.64</v>
      </c>
      <c r="H333" s="5">
        <f>VLOOKUP(A333,ORCAMENTO!$A:$I,8,FALSE)</f>
        <v>46.99</v>
      </c>
      <c r="I333" s="5">
        <f>ROUND(F333*H333,2)</f>
        <v>480.71</v>
      </c>
      <c r="J333" s="5">
        <f>ROUND(K333*$H333,2)</f>
        <v>0</v>
      </c>
      <c r="K333" s="5">
        <v>0</v>
      </c>
      <c r="L333" s="25">
        <f t="shared" si="100"/>
        <v>0</v>
      </c>
      <c r="M333" s="5">
        <f>ROUND(N333*$H333,2)</f>
        <v>480.71</v>
      </c>
      <c r="N333" s="5">
        <f t="shared" si="99"/>
        <v>10.23</v>
      </c>
      <c r="O333" s="25">
        <f t="shared" si="101"/>
        <v>1</v>
      </c>
      <c r="P333" s="5">
        <f>ROUND(Q333*$H333,2)</f>
        <v>0</v>
      </c>
      <c r="Q333" s="5">
        <v>0</v>
      </c>
      <c r="R333" s="25">
        <f t="shared" si="102"/>
        <v>0</v>
      </c>
      <c r="S333" s="5">
        <f t="shared" si="103"/>
        <v>480.71</v>
      </c>
      <c r="T333" s="25">
        <f t="shared" si="104"/>
        <v>1</v>
      </c>
      <c r="U333" s="25">
        <f t="shared" si="105"/>
        <v>6.6047997442881374E-4</v>
      </c>
    </row>
    <row r="334" spans="1:21" ht="28.8" x14ac:dyDescent="0.3">
      <c r="A334" s="23" t="s">
        <v>393</v>
      </c>
      <c r="B334" s="23" t="str">
        <f>VLOOKUP(A334,MEMORIA!$A:$N,2,FALSE)</f>
        <v>COMPCOM04</v>
      </c>
      <c r="C334" s="23" t="str">
        <f>VLOOKUP(A334,MEMORIA!$A:$N,3,FALSE)</f>
        <v>PRÓPRIA</v>
      </c>
      <c r="D334" s="24" t="str">
        <f>VLOOKUP(A334,MEMORIA!$A:$N,4,FALSE)</f>
        <v>TRAMA DE MADEIRA COMPOSTA POR RIPAS, CAIBROS E TERÇAS PARA TELHADOS DE ATÉ 2 ÁGUAS PARA TELHA CERÂMICA CAPA-CANAL, INCLUSO TRANSPORTE VERTICAL</v>
      </c>
      <c r="E334" s="23" t="str">
        <f>VLOOKUP(A334,MEMORIA!$A:$N,5,FALSE)</f>
        <v>M²</v>
      </c>
      <c r="F334" s="5">
        <f>VLOOKUP(A334,MEMORIA!$A:$N,14,FALSE)</f>
        <v>10.23</v>
      </c>
      <c r="G334" s="5">
        <f>VLOOKUP(A334,ORCAMENTO!$A:$I,7,FALSE)</f>
        <v>66.67</v>
      </c>
      <c r="H334" s="5">
        <f>VLOOKUP(A334,ORCAMENTO!$A:$I,8,FALSE)</f>
        <v>83.23</v>
      </c>
      <c r="I334" s="5">
        <f>ROUND(F334*H334,2)</f>
        <v>851.44</v>
      </c>
      <c r="J334" s="5">
        <f>ROUND(K334*$H334,2)</f>
        <v>0</v>
      </c>
      <c r="K334" s="5">
        <v>0</v>
      </c>
      <c r="L334" s="25">
        <f t="shared" si="100"/>
        <v>0</v>
      </c>
      <c r="M334" s="5">
        <f>ROUND(N334*$H334,2)</f>
        <v>851.44</v>
      </c>
      <c r="N334" s="5">
        <f t="shared" si="99"/>
        <v>10.23</v>
      </c>
      <c r="O334" s="25">
        <f t="shared" si="101"/>
        <v>1</v>
      </c>
      <c r="P334" s="5">
        <f>ROUND(Q334*$H334,2)</f>
        <v>0</v>
      </c>
      <c r="Q334" s="5">
        <v>0</v>
      </c>
      <c r="R334" s="25">
        <f t="shared" si="102"/>
        <v>0</v>
      </c>
      <c r="S334" s="5">
        <f t="shared" si="103"/>
        <v>851.44</v>
      </c>
      <c r="T334" s="25">
        <f t="shared" si="104"/>
        <v>1</v>
      </c>
      <c r="U334" s="25">
        <f t="shared" si="105"/>
        <v>1.1698509900515263E-3</v>
      </c>
    </row>
    <row r="335" spans="1:21" x14ac:dyDescent="0.3">
      <c r="A335" s="15" t="s">
        <v>95</v>
      </c>
      <c r="B335" s="49" t="str">
        <f>VLOOKUP(A335,MEMORIA!$A:$N,2,FALSE)</f>
        <v>PISO</v>
      </c>
      <c r="C335" s="50"/>
      <c r="D335" s="50"/>
      <c r="E335" s="50"/>
      <c r="F335" s="50"/>
      <c r="G335" s="50"/>
      <c r="H335" s="51"/>
      <c r="I335" s="16">
        <f>SUM(I$336:I$338)</f>
        <v>1208.82</v>
      </c>
      <c r="J335" s="16">
        <f>SUM(J$336:J$338)</f>
        <v>0</v>
      </c>
      <c r="K335" s="16"/>
      <c r="L335" s="17">
        <f t="shared" si="100"/>
        <v>0</v>
      </c>
      <c r="M335" s="16">
        <f>SUM(M$336:M$338)</f>
        <v>1208.82</v>
      </c>
      <c r="N335" s="16"/>
      <c r="O335" s="17">
        <f t="shared" si="101"/>
        <v>1</v>
      </c>
      <c r="P335" s="16">
        <f>SUM(P$336:P$338)</f>
        <v>0</v>
      </c>
      <c r="Q335" s="16"/>
      <c r="R335" s="17">
        <f t="shared" si="102"/>
        <v>0</v>
      </c>
      <c r="S335" s="16">
        <f t="shared" si="103"/>
        <v>1208.82</v>
      </c>
      <c r="T335" s="17">
        <f t="shared" si="104"/>
        <v>1</v>
      </c>
      <c r="U335" s="17">
        <f t="shared" si="105"/>
        <v>1.6608795379522761E-3</v>
      </c>
    </row>
    <row r="336" spans="1:21" ht="28.8" x14ac:dyDescent="0.3">
      <c r="A336" s="23" t="s">
        <v>394</v>
      </c>
      <c r="B336" s="23">
        <f>VLOOKUP(A336,MEMORIA!$A:$N,2,FALSE)</f>
        <v>96617</v>
      </c>
      <c r="C336" s="23" t="str">
        <f>VLOOKUP(A336,MEMORIA!$A:$N,3,FALSE)</f>
        <v>SINAPI</v>
      </c>
      <c r="D336" s="24" t="str">
        <f>VLOOKUP(A336,MEMORIA!$A:$N,4,FALSE)</f>
        <v>LASTRO DE CONCRETO MAGRO, APLICADO EM BLOCOS DE COROAMENTO OU SAPATAS, ESPESSURA DE 3 CM. AF_01/2024</v>
      </c>
      <c r="E336" s="23" t="str">
        <f>VLOOKUP(A336,MEMORIA!$A:$N,5,FALSE)</f>
        <v>M2</v>
      </c>
      <c r="F336" s="5">
        <f>VLOOKUP(A336,MEMORIA!$A:$N,14,FALSE)</f>
        <v>4</v>
      </c>
      <c r="G336" s="5">
        <f>VLOOKUP(A336,ORCAMENTO!$A:$I,7,FALSE)</f>
        <v>23.990000000000002</v>
      </c>
      <c r="H336" s="5">
        <f>VLOOKUP(A336,ORCAMENTO!$A:$I,8,FALSE)</f>
        <v>29.950000000000003</v>
      </c>
      <c r="I336" s="5">
        <f>ROUND(F336*H336,2)</f>
        <v>119.8</v>
      </c>
      <c r="J336" s="5">
        <f>ROUND(K336*$H336,2)</f>
        <v>0</v>
      </c>
      <c r="K336" s="5">
        <v>0</v>
      </c>
      <c r="L336" s="25">
        <f t="shared" si="100"/>
        <v>0</v>
      </c>
      <c r="M336" s="5">
        <f>ROUND(N336*$H336,2)</f>
        <v>119.8</v>
      </c>
      <c r="N336" s="5">
        <f t="shared" si="99"/>
        <v>4</v>
      </c>
      <c r="O336" s="25">
        <f t="shared" si="101"/>
        <v>1</v>
      </c>
      <c r="P336" s="5">
        <f>ROUND(Q336*$H336,2)</f>
        <v>0</v>
      </c>
      <c r="Q336" s="5">
        <v>0</v>
      </c>
      <c r="R336" s="25">
        <f t="shared" si="102"/>
        <v>0</v>
      </c>
      <c r="S336" s="5">
        <f t="shared" si="103"/>
        <v>119.8</v>
      </c>
      <c r="T336" s="25">
        <f t="shared" si="104"/>
        <v>1</v>
      </c>
      <c r="U336" s="25">
        <f t="shared" si="105"/>
        <v>1.6460132083079588E-4</v>
      </c>
    </row>
    <row r="337" spans="1:21" ht="28.8" x14ac:dyDescent="0.3">
      <c r="A337" s="23" t="s">
        <v>395</v>
      </c>
      <c r="B337" s="23">
        <f>VLOOKUP(A337,MEMORIA!$A:$N,2,FALSE)</f>
        <v>101749</v>
      </c>
      <c r="C337" s="23" t="str">
        <f>VLOOKUP(A337,MEMORIA!$A:$N,3,FALSE)</f>
        <v>SINAPI</v>
      </c>
      <c r="D337" s="24" t="str">
        <f>VLOOKUP(A337,MEMORIA!$A:$N,4,FALSE)</f>
        <v>PISO CIMENTADO, TRAÇO 1:3 (CIMENTO E AREIA), ACABAMENTO LISO, ESPESSURA 4,0 CM, PREPARO MECÂNICO DA ARGAMASSA. AF_09/2020</v>
      </c>
      <c r="E337" s="23" t="str">
        <f>VLOOKUP(A337,MEMORIA!$A:$N,5,FALSE)</f>
        <v>M2</v>
      </c>
      <c r="F337" s="5">
        <f>VLOOKUP(A337,MEMORIA!$A:$N,14,FALSE)</f>
        <v>4</v>
      </c>
      <c r="G337" s="5">
        <f>VLOOKUP(A337,ORCAMENTO!$A:$I,7,FALSE)</f>
        <v>64.739999999999995</v>
      </c>
      <c r="H337" s="5">
        <f>VLOOKUP(A337,ORCAMENTO!$A:$I,8,FALSE)</f>
        <v>80.819999999999993</v>
      </c>
      <c r="I337" s="5">
        <f>ROUND(F337*H337,2)</f>
        <v>323.27999999999997</v>
      </c>
      <c r="J337" s="5">
        <f>ROUND(K337*$H337,2)</f>
        <v>0</v>
      </c>
      <c r="K337" s="5">
        <v>0</v>
      </c>
      <c r="L337" s="25">
        <f t="shared" si="100"/>
        <v>0</v>
      </c>
      <c r="M337" s="5">
        <f>ROUND(N337*$H337,2)</f>
        <v>323.27999999999997</v>
      </c>
      <c r="N337" s="5">
        <f t="shared" si="99"/>
        <v>4</v>
      </c>
      <c r="O337" s="25">
        <f t="shared" si="101"/>
        <v>1</v>
      </c>
      <c r="P337" s="5">
        <f>ROUND(Q337*$H337,2)</f>
        <v>0</v>
      </c>
      <c r="Q337" s="5">
        <v>0</v>
      </c>
      <c r="R337" s="25">
        <f t="shared" si="102"/>
        <v>0</v>
      </c>
      <c r="S337" s="5">
        <f t="shared" si="103"/>
        <v>323.27999999999997</v>
      </c>
      <c r="T337" s="25">
        <f t="shared" si="104"/>
        <v>1</v>
      </c>
      <c r="U337" s="25">
        <f t="shared" si="105"/>
        <v>4.4417625207161679E-4</v>
      </c>
    </row>
    <row r="338" spans="1:21" ht="43.2" x14ac:dyDescent="0.3">
      <c r="A338" s="23" t="s">
        <v>396</v>
      </c>
      <c r="B338" s="23">
        <f>VLOOKUP(A338,MEMORIA!$A:$N,2,FALSE)</f>
        <v>94994</v>
      </c>
      <c r="C338" s="23" t="str">
        <f>VLOOKUP(A338,MEMORIA!$A:$N,3,FALSE)</f>
        <v>SINAPI</v>
      </c>
      <c r="D338" s="24" t="str">
        <f>VLOOKUP(A338,MEMORIA!$A:$N,4,FALSE)</f>
        <v>EXECUÇÃO DE PASSEIO (CALÇADA) OU PISO DE CONCRETO COM CONCRETO MOLDADO IN LOCO, FEITO EM OBRA, ACABAMENTO CONVENCIONAL, ESPESSURA 8 CM, ARMADO. AF_08/2022</v>
      </c>
      <c r="E338" s="23" t="str">
        <f>VLOOKUP(A338,MEMORIA!$A:$N,5,FALSE)</f>
        <v>M2</v>
      </c>
      <c r="F338" s="5">
        <f>VLOOKUP(A338,MEMORIA!$A:$N,14,FALSE)</f>
        <v>5.6</v>
      </c>
      <c r="G338" s="5">
        <f>VLOOKUP(A338,ORCAMENTO!$A:$I,7,FALSE)</f>
        <v>109.53000000000002</v>
      </c>
      <c r="H338" s="5">
        <f>VLOOKUP(A338,ORCAMENTO!$A:$I,8,FALSE)</f>
        <v>136.74</v>
      </c>
      <c r="I338" s="5">
        <f>ROUND(F338*H338,2)</f>
        <v>765.74</v>
      </c>
      <c r="J338" s="5">
        <f>ROUND(K338*$H338,2)</f>
        <v>0</v>
      </c>
      <c r="K338" s="5">
        <v>0</v>
      </c>
      <c r="L338" s="25">
        <f t="shared" si="100"/>
        <v>0</v>
      </c>
      <c r="M338" s="5">
        <f>ROUND(N338*$H338,2)</f>
        <v>765.74</v>
      </c>
      <c r="N338" s="5">
        <f t="shared" si="99"/>
        <v>5.6</v>
      </c>
      <c r="O338" s="25">
        <f t="shared" si="101"/>
        <v>1</v>
      </c>
      <c r="P338" s="5">
        <f>ROUND(Q338*$H338,2)</f>
        <v>0</v>
      </c>
      <c r="Q338" s="5">
        <v>0</v>
      </c>
      <c r="R338" s="25">
        <f t="shared" si="102"/>
        <v>0</v>
      </c>
      <c r="S338" s="5">
        <f t="shared" si="103"/>
        <v>765.74</v>
      </c>
      <c r="T338" s="25">
        <f t="shared" si="104"/>
        <v>1</v>
      </c>
      <c r="U338" s="25">
        <f t="shared" si="105"/>
        <v>1.0521019650498635E-3</v>
      </c>
    </row>
    <row r="339" spans="1:21" x14ac:dyDescent="0.3">
      <c r="A339" s="15" t="s">
        <v>96</v>
      </c>
      <c r="B339" s="49" t="str">
        <f>VLOOKUP(A339,MEMORIA!$A:$N,2,FALSE)</f>
        <v>REVESTIMENTO</v>
      </c>
      <c r="C339" s="50"/>
      <c r="D339" s="50"/>
      <c r="E339" s="50"/>
      <c r="F339" s="50"/>
      <c r="G339" s="50"/>
      <c r="H339" s="51"/>
      <c r="I339" s="16">
        <f>SUM(I$340:I$341)</f>
        <v>2396.75</v>
      </c>
      <c r="J339" s="16">
        <f>SUM(J$340:J$341)</f>
        <v>0</v>
      </c>
      <c r="K339" s="16"/>
      <c r="L339" s="17">
        <f t="shared" si="100"/>
        <v>0</v>
      </c>
      <c r="M339" s="16">
        <f>SUM(M$340:M$341)</f>
        <v>2396.75</v>
      </c>
      <c r="N339" s="16"/>
      <c r="O339" s="17">
        <f t="shared" si="101"/>
        <v>1</v>
      </c>
      <c r="P339" s="16">
        <f>SUM(P$340:P$341)</f>
        <v>0</v>
      </c>
      <c r="Q339" s="16"/>
      <c r="R339" s="17">
        <f t="shared" si="102"/>
        <v>0</v>
      </c>
      <c r="S339" s="16">
        <f t="shared" si="103"/>
        <v>2396.75</v>
      </c>
      <c r="T339" s="17">
        <f t="shared" si="104"/>
        <v>1</v>
      </c>
      <c r="U339" s="17">
        <f t="shared" si="105"/>
        <v>3.2930568923306347E-3</v>
      </c>
    </row>
    <row r="340" spans="1:21" ht="43.2" x14ac:dyDescent="0.3">
      <c r="A340" s="23" t="s">
        <v>397</v>
      </c>
      <c r="B340" s="23">
        <f>VLOOKUP(A340,MEMORIA!$A:$N,2,FALSE)</f>
        <v>87904</v>
      </c>
      <c r="C340" s="23" t="str">
        <f>VLOOKUP(A340,MEMORIA!$A:$N,3,FALSE)</f>
        <v>SINAPI</v>
      </c>
      <c r="D340" s="24" t="str">
        <f>VLOOKUP(A340,MEMORIA!$A:$N,4,FALSE)</f>
        <v>CHAPISCO APLICADO EM ALVENARIA (COM PRESENÇA DE VÃOS) E ESTRUTURAS DE CONCRETO DE FACHADA, COM COLHER DE PEDREIRO. ARGAMASSA TRAÇO 1:3 COM PREPARO MANUAL. AF_10/2022</v>
      </c>
      <c r="E340" s="23" t="str">
        <f>VLOOKUP(A340,MEMORIA!$A:$N,5,FALSE)</f>
        <v>M2</v>
      </c>
      <c r="F340" s="5">
        <f>VLOOKUP(A340,MEMORIA!$A:$N,14,FALSE)</f>
        <v>38.619999999999997</v>
      </c>
      <c r="G340" s="5">
        <f>VLOOKUP(A340,ORCAMENTO!$A:$I,7,FALSE)</f>
        <v>8.74</v>
      </c>
      <c r="H340" s="5">
        <f>VLOOKUP(A340,ORCAMENTO!$A:$I,8,FALSE)</f>
        <v>10.91</v>
      </c>
      <c r="I340" s="5">
        <f>ROUND(F340*H340,2)</f>
        <v>421.34</v>
      </c>
      <c r="J340" s="5">
        <f>ROUND(K340*$H340,2)</f>
        <v>0</v>
      </c>
      <c r="K340" s="5">
        <v>0</v>
      </c>
      <c r="L340" s="25">
        <f t="shared" si="100"/>
        <v>0</v>
      </c>
      <c r="M340" s="5">
        <f>ROUND(N340*$H340,2)</f>
        <v>421.34</v>
      </c>
      <c r="N340" s="5">
        <f t="shared" si="99"/>
        <v>38.619999999999997</v>
      </c>
      <c r="O340" s="25">
        <f t="shared" si="101"/>
        <v>1</v>
      </c>
      <c r="P340" s="5">
        <f>ROUND(Q340*$H340,2)</f>
        <v>0</v>
      </c>
      <c r="Q340" s="5">
        <v>0</v>
      </c>
      <c r="R340" s="25">
        <f t="shared" si="102"/>
        <v>0</v>
      </c>
      <c r="S340" s="5">
        <f t="shared" si="103"/>
        <v>421.34</v>
      </c>
      <c r="T340" s="25">
        <f t="shared" si="104"/>
        <v>1</v>
      </c>
      <c r="U340" s="25">
        <f t="shared" si="105"/>
        <v>5.7890751685181583E-4</v>
      </c>
    </row>
    <row r="341" spans="1:21" ht="43.2" x14ac:dyDescent="0.3">
      <c r="A341" s="23" t="s">
        <v>398</v>
      </c>
      <c r="B341" s="23">
        <f>VLOOKUP(A341,MEMORIA!$A:$N,2,FALSE)</f>
        <v>87530</v>
      </c>
      <c r="C341" s="23" t="str">
        <f>VLOOKUP(A341,MEMORIA!$A:$N,3,FALSE)</f>
        <v>SINAPI</v>
      </c>
      <c r="D341" s="24" t="str">
        <f>VLOOKUP(A341,MEMORIA!$A:$N,4,FALSE)</f>
        <v>MASSA ÚNICA, EM ARGAMASSA TRAÇO 1:2:8, PREPARO MANUAL, APLICADA MANUALMENTE EM PAREDES INTERNAS DE AMBIENTES COM ÁREA ENTRE 5M² E 10M², E = 17,5MM, COM TALISCAS. AF_03/2024</v>
      </c>
      <c r="E341" s="23" t="str">
        <f>VLOOKUP(A341,MEMORIA!$A:$N,5,FALSE)</f>
        <v>M2</v>
      </c>
      <c r="F341" s="5">
        <f>VLOOKUP(A341,MEMORIA!$A:$N,14,FALSE)</f>
        <v>38.619999999999997</v>
      </c>
      <c r="G341" s="5">
        <f>VLOOKUP(A341,ORCAMENTO!$A:$I,7,FALSE)</f>
        <v>40.97</v>
      </c>
      <c r="H341" s="5">
        <f>VLOOKUP(A341,ORCAMENTO!$A:$I,8,FALSE)</f>
        <v>51.15</v>
      </c>
      <c r="I341" s="5">
        <f>ROUND(F341*H341,2)</f>
        <v>1975.41</v>
      </c>
      <c r="J341" s="5">
        <f>ROUND(K341*$H341,2)</f>
        <v>0</v>
      </c>
      <c r="K341" s="5">
        <v>0</v>
      </c>
      <c r="L341" s="25">
        <f t="shared" si="100"/>
        <v>0</v>
      </c>
      <c r="M341" s="5">
        <f>ROUND(N341*$H341,2)</f>
        <v>1975.41</v>
      </c>
      <c r="N341" s="5">
        <f t="shared" si="99"/>
        <v>38.619999999999997</v>
      </c>
      <c r="O341" s="25">
        <f t="shared" si="101"/>
        <v>1</v>
      </c>
      <c r="P341" s="5">
        <f>ROUND(Q341*$H341,2)</f>
        <v>0</v>
      </c>
      <c r="Q341" s="5">
        <v>0</v>
      </c>
      <c r="R341" s="25">
        <f t="shared" si="102"/>
        <v>0</v>
      </c>
      <c r="S341" s="5">
        <f t="shared" si="103"/>
        <v>1975.41</v>
      </c>
      <c r="T341" s="25">
        <f t="shared" si="104"/>
        <v>1</v>
      </c>
      <c r="U341" s="25">
        <f t="shared" si="105"/>
        <v>2.7141493754788189E-3</v>
      </c>
    </row>
    <row r="342" spans="1:21" x14ac:dyDescent="0.3">
      <c r="A342" s="15" t="s">
        <v>97</v>
      </c>
      <c r="B342" s="49" t="str">
        <f>VLOOKUP(A342,MEMORIA!$A:$N,2,FALSE)</f>
        <v>ESQUADRIAS</v>
      </c>
      <c r="C342" s="50"/>
      <c r="D342" s="50"/>
      <c r="E342" s="50"/>
      <c r="F342" s="50"/>
      <c r="G342" s="50"/>
      <c r="H342" s="51"/>
      <c r="I342" s="16">
        <f>SUM(I$343:I$344)</f>
        <v>4550.21</v>
      </c>
      <c r="J342" s="16">
        <f>SUM(J$343:J$344)</f>
        <v>0</v>
      </c>
      <c r="K342" s="16"/>
      <c r="L342" s="17">
        <f t="shared" si="100"/>
        <v>0</v>
      </c>
      <c r="M342" s="16">
        <f>SUM(M$343:M$344)</f>
        <v>4550.21</v>
      </c>
      <c r="N342" s="16"/>
      <c r="O342" s="17">
        <f t="shared" si="101"/>
        <v>1</v>
      </c>
      <c r="P342" s="16">
        <f>SUM(P$343:P$344)</f>
        <v>0</v>
      </c>
      <c r="Q342" s="16"/>
      <c r="R342" s="17">
        <f t="shared" si="102"/>
        <v>0</v>
      </c>
      <c r="S342" s="16">
        <f t="shared" si="103"/>
        <v>4550.21</v>
      </c>
      <c r="T342" s="17">
        <f t="shared" si="104"/>
        <v>1</v>
      </c>
      <c r="U342" s="17">
        <f t="shared" si="105"/>
        <v>6.2518412024832699E-3</v>
      </c>
    </row>
    <row r="343" spans="1:21" x14ac:dyDescent="0.3">
      <c r="A343" s="23" t="s">
        <v>399</v>
      </c>
      <c r="B343" s="23">
        <f>VLOOKUP(A343,MEMORIA!$A:$N,2,FALSE)</f>
        <v>100701</v>
      </c>
      <c r="C343" s="23" t="str">
        <f>VLOOKUP(A343,MEMORIA!$A:$N,3,FALSE)</f>
        <v>SINAPI</v>
      </c>
      <c r="D343" s="24" t="str">
        <f>VLOOKUP(A343,MEMORIA!$A:$N,4,FALSE)</f>
        <v>PORTA DE FERRO, DE ABRIR, TIPO GRADE COM CHAPA, COM GUARNIÇÕES. AF_12/2019</v>
      </c>
      <c r="E343" s="23" t="str">
        <f>VLOOKUP(A343,MEMORIA!$A:$N,5,FALSE)</f>
        <v>M2</v>
      </c>
      <c r="F343" s="5">
        <f>VLOOKUP(A343,MEMORIA!$A:$N,14,FALSE)</f>
        <v>1.68</v>
      </c>
      <c r="G343" s="5">
        <f>VLOOKUP(A343,ORCAMENTO!$A:$I,7,FALSE)</f>
        <v>415.3</v>
      </c>
      <c r="H343" s="5">
        <f>VLOOKUP(A343,ORCAMENTO!$A:$I,8,FALSE)</f>
        <v>518.46</v>
      </c>
      <c r="I343" s="5">
        <f>ROUND(F343*H343,2)</f>
        <v>871.01</v>
      </c>
      <c r="J343" s="5">
        <f>ROUND(K343*$H343,2)</f>
        <v>0</v>
      </c>
      <c r="K343" s="5">
        <v>0</v>
      </c>
      <c r="L343" s="25">
        <f t="shared" si="100"/>
        <v>0</v>
      </c>
      <c r="M343" s="5">
        <f>ROUND(N343*$H343,2)</f>
        <v>871.01</v>
      </c>
      <c r="N343" s="5">
        <f t="shared" si="99"/>
        <v>1.68</v>
      </c>
      <c r="O343" s="25">
        <f t="shared" si="101"/>
        <v>1</v>
      </c>
      <c r="P343" s="5">
        <f>ROUND(Q343*$H343,2)</f>
        <v>0</v>
      </c>
      <c r="Q343" s="5">
        <v>0</v>
      </c>
      <c r="R343" s="25">
        <f t="shared" si="102"/>
        <v>0</v>
      </c>
      <c r="S343" s="5">
        <f t="shared" si="103"/>
        <v>871.01</v>
      </c>
      <c r="T343" s="25">
        <f t="shared" si="104"/>
        <v>1</v>
      </c>
      <c r="U343" s="25">
        <f t="shared" si="105"/>
        <v>1.196739536367542E-3</v>
      </c>
    </row>
    <row r="344" spans="1:21" ht="28.8" x14ac:dyDescent="0.3">
      <c r="A344" s="23" t="s">
        <v>400</v>
      </c>
      <c r="B344" s="23" t="str">
        <f>VLOOKUP(A344,MEMORIA!$A:$N,2,FALSE)</f>
        <v>C3659</v>
      </c>
      <c r="C344" s="23" t="str">
        <f>VLOOKUP(A344,MEMORIA!$A:$N,3,FALSE)</f>
        <v>SEINFRA</v>
      </c>
      <c r="D344" s="24" t="str">
        <f>VLOOKUP(A344,MEMORIA!$A:$N,4,FALSE)</f>
        <v>PORTÃO DE METALON E BARRA CHATA DE FERRO C/FECHADURA E DOBRADIÇA, INCLUS. PINTURA ESMALTE SINTÉTICO</v>
      </c>
      <c r="E344" s="23" t="str">
        <f>VLOOKUP(A344,MEMORIA!$A:$N,5,FALSE)</f>
        <v>M2</v>
      </c>
      <c r="F344" s="5">
        <f>VLOOKUP(A344,MEMORIA!$A:$N,14,FALSE)</f>
        <v>6</v>
      </c>
      <c r="G344" s="5">
        <f>VLOOKUP(A344,ORCAMENTO!$A:$I,7,FALSE)</f>
        <v>491.19000000000005</v>
      </c>
      <c r="H344" s="5">
        <f>VLOOKUP(A344,ORCAMENTO!$A:$I,8,FALSE)</f>
        <v>613.20000000000005</v>
      </c>
      <c r="I344" s="5">
        <f>ROUND(F344*H344,2)</f>
        <v>3679.2</v>
      </c>
      <c r="J344" s="5">
        <f>ROUND(K344*$H344,2)</f>
        <v>0</v>
      </c>
      <c r="K344" s="5">
        <v>0</v>
      </c>
      <c r="L344" s="25">
        <f t="shared" si="100"/>
        <v>0</v>
      </c>
      <c r="M344" s="5">
        <f>ROUND(N344*$H344,2)</f>
        <v>3679.2</v>
      </c>
      <c r="N344" s="5">
        <f t="shared" si="99"/>
        <v>6</v>
      </c>
      <c r="O344" s="25">
        <f t="shared" si="101"/>
        <v>1</v>
      </c>
      <c r="P344" s="5">
        <f>ROUND(Q344*$H344,2)</f>
        <v>0</v>
      </c>
      <c r="Q344" s="5">
        <v>0</v>
      </c>
      <c r="R344" s="25">
        <f t="shared" si="102"/>
        <v>0</v>
      </c>
      <c r="S344" s="5">
        <f t="shared" si="103"/>
        <v>3679.2</v>
      </c>
      <c r="T344" s="25">
        <f t="shared" si="104"/>
        <v>1</v>
      </c>
      <c r="U344" s="25">
        <f t="shared" si="105"/>
        <v>5.0551016661157279E-3</v>
      </c>
    </row>
    <row r="345" spans="1:21" x14ac:dyDescent="0.3">
      <c r="A345" s="15" t="s">
        <v>98</v>
      </c>
      <c r="B345" s="49" t="str">
        <f>VLOOKUP(A345,MEMORIA!$A:$N,2,FALSE)</f>
        <v>PINTURA</v>
      </c>
      <c r="C345" s="50"/>
      <c r="D345" s="50"/>
      <c r="E345" s="50"/>
      <c r="F345" s="50"/>
      <c r="G345" s="50"/>
      <c r="H345" s="51"/>
      <c r="I345" s="16">
        <f>SUM(I$346:I$347)</f>
        <v>663.11</v>
      </c>
      <c r="J345" s="16">
        <f>SUM(J$346:J$347)</f>
        <v>0</v>
      </c>
      <c r="K345" s="16"/>
      <c r="L345" s="17">
        <f t="shared" si="100"/>
        <v>0</v>
      </c>
      <c r="M345" s="16">
        <f>SUM(M$346:M$347)</f>
        <v>663.11</v>
      </c>
      <c r="N345" s="16"/>
      <c r="O345" s="17">
        <f t="shared" si="101"/>
        <v>1</v>
      </c>
      <c r="P345" s="16">
        <f>SUM(P$346:P$347)</f>
        <v>0</v>
      </c>
      <c r="Q345" s="16"/>
      <c r="R345" s="17">
        <f t="shared" si="102"/>
        <v>0</v>
      </c>
      <c r="S345" s="16">
        <f t="shared" si="103"/>
        <v>663.11</v>
      </c>
      <c r="T345" s="17">
        <f t="shared" si="104"/>
        <v>1</v>
      </c>
      <c r="U345" s="17">
        <f t="shared" si="105"/>
        <v>9.1109166824798889E-4</v>
      </c>
    </row>
    <row r="346" spans="1:21" x14ac:dyDescent="0.3">
      <c r="A346" s="23" t="s">
        <v>401</v>
      </c>
      <c r="B346" s="23" t="str">
        <f>VLOOKUP(A346,MEMORIA!$A:$N,2,FALSE)</f>
        <v>COMP205</v>
      </c>
      <c r="C346" s="23" t="str">
        <f>VLOOKUP(A346,MEMORIA!$A:$N,3,FALSE)</f>
        <v>PRÓPRIA</v>
      </c>
      <c r="D346" s="24" t="str">
        <f>VLOOKUP(A346,MEMORIA!$A:$N,4,FALSE)</f>
        <v>CAIAÇÃO EM TRES DEMÃOS EM PAREDES (REF: C0589-SEINFRA 28)</v>
      </c>
      <c r="E346" s="23" t="str">
        <f>VLOOKUP(A346,MEMORIA!$A:$N,5,FALSE)</f>
        <v>M2</v>
      </c>
      <c r="F346" s="5">
        <f>VLOOKUP(A346,MEMORIA!$A:$N,14,FALSE)</f>
        <v>38.619999999999997</v>
      </c>
      <c r="G346" s="5">
        <f>VLOOKUP(A346,ORCAMENTO!$A:$I,7,FALSE)</f>
        <v>9.3800000000000008</v>
      </c>
      <c r="H346" s="5">
        <f>VLOOKUP(A346,ORCAMENTO!$A:$I,8,FALSE)</f>
        <v>11.71</v>
      </c>
      <c r="I346" s="5">
        <f>ROUND(F346*H346,2)</f>
        <v>452.24</v>
      </c>
      <c r="J346" s="5">
        <f>ROUND(K346*$H346,2)</f>
        <v>0</v>
      </c>
      <c r="K346" s="5">
        <v>0</v>
      </c>
      <c r="L346" s="25">
        <f t="shared" si="100"/>
        <v>0</v>
      </c>
      <c r="M346" s="5">
        <f>ROUND(N346*$H346,2)</f>
        <v>452.24</v>
      </c>
      <c r="N346" s="5">
        <f t="shared" si="99"/>
        <v>38.619999999999997</v>
      </c>
      <c r="O346" s="25">
        <f t="shared" si="101"/>
        <v>1</v>
      </c>
      <c r="P346" s="5">
        <f>ROUND(Q346*$H346,2)</f>
        <v>0</v>
      </c>
      <c r="Q346" s="5">
        <v>0</v>
      </c>
      <c r="R346" s="25">
        <f t="shared" si="102"/>
        <v>0</v>
      </c>
      <c r="S346" s="5">
        <f t="shared" si="103"/>
        <v>452.24</v>
      </c>
      <c r="T346" s="25">
        <f t="shared" si="104"/>
        <v>1</v>
      </c>
      <c r="U346" s="25">
        <f t="shared" si="105"/>
        <v>6.2136311629815643E-4</v>
      </c>
    </row>
    <row r="347" spans="1:21" ht="43.2" x14ac:dyDescent="0.3">
      <c r="A347" s="23" t="s">
        <v>402</v>
      </c>
      <c r="B347" s="23">
        <f>VLOOKUP(A347,MEMORIA!$A:$N,2,FALSE)</f>
        <v>100758</v>
      </c>
      <c r="C347" s="23" t="str">
        <f>VLOOKUP(A347,MEMORIA!$A:$N,3,FALSE)</f>
        <v>SINAPI</v>
      </c>
      <c r="D347" s="24" t="str">
        <f>VLOOKUP(A347,MEMORIA!$A:$N,4,FALSE)</f>
        <v>PINTURA COM TINTA ALQUÍDICA DE ACABAMENTO (ESMALTE SINTÉTICO ACETINADO) APLICADA A ROLO OU PINCEL SOBRE SUPERFÍCIES METÁLICAS (EXCETO PERFIL) EXECUTADO EM OBRA (02 DEMÃOS). AF_01/2020</v>
      </c>
      <c r="E347" s="23" t="str">
        <f>VLOOKUP(A347,MEMORIA!$A:$N,5,FALSE)</f>
        <v>M2</v>
      </c>
      <c r="F347" s="5">
        <f>VLOOKUP(A347,MEMORIA!$A:$N,14,FALSE)</f>
        <v>3.36</v>
      </c>
      <c r="G347" s="5">
        <f>VLOOKUP(A347,ORCAMENTO!$A:$I,7,FALSE)</f>
        <v>50.269999999999996</v>
      </c>
      <c r="H347" s="5">
        <f>VLOOKUP(A347,ORCAMENTO!$A:$I,8,FALSE)</f>
        <v>62.76</v>
      </c>
      <c r="I347" s="5">
        <f>ROUND(F347*H347,2)</f>
        <v>210.87</v>
      </c>
      <c r="J347" s="5">
        <f>ROUND(K347*$H347,2)</f>
        <v>0</v>
      </c>
      <c r="K347" s="5">
        <v>0</v>
      </c>
      <c r="L347" s="25">
        <f t="shared" si="100"/>
        <v>0</v>
      </c>
      <c r="M347" s="5">
        <f>ROUND(N347*$H347,2)</f>
        <v>210.87</v>
      </c>
      <c r="N347" s="5">
        <f t="shared" si="99"/>
        <v>3.36</v>
      </c>
      <c r="O347" s="25">
        <f t="shared" si="101"/>
        <v>1</v>
      </c>
      <c r="P347" s="5">
        <f>ROUND(Q347*$H347,2)</f>
        <v>0</v>
      </c>
      <c r="Q347" s="5">
        <v>0</v>
      </c>
      <c r="R347" s="25">
        <f t="shared" si="102"/>
        <v>0</v>
      </c>
      <c r="S347" s="5">
        <f t="shared" si="103"/>
        <v>210.87</v>
      </c>
      <c r="T347" s="25">
        <f t="shared" si="104"/>
        <v>1</v>
      </c>
      <c r="U347" s="25">
        <f t="shared" si="105"/>
        <v>2.8972855194983247E-4</v>
      </c>
    </row>
    <row r="348" spans="1:21" x14ac:dyDescent="0.3">
      <c r="A348" s="15" t="s">
        <v>99</v>
      </c>
      <c r="B348" s="49" t="str">
        <f>VLOOKUP(A348,MEMORIA!$A:$N,2,FALSE)</f>
        <v>CERCAMENTO</v>
      </c>
      <c r="C348" s="50"/>
      <c r="D348" s="50"/>
      <c r="E348" s="50"/>
      <c r="F348" s="50"/>
      <c r="G348" s="50"/>
      <c r="H348" s="51"/>
      <c r="I348" s="16">
        <f>SUM(I$349:I$349)</f>
        <v>6063.93</v>
      </c>
      <c r="J348" s="16">
        <f>SUM(J$349:J$349)</f>
        <v>0</v>
      </c>
      <c r="K348" s="16"/>
      <c r="L348" s="17">
        <f t="shared" si="100"/>
        <v>0</v>
      </c>
      <c r="M348" s="16">
        <f>SUM(M$349:M$349)</f>
        <v>6063.93</v>
      </c>
      <c r="N348" s="16"/>
      <c r="O348" s="17">
        <f t="shared" si="101"/>
        <v>1</v>
      </c>
      <c r="P348" s="16">
        <f>SUM(P$349:P$349)</f>
        <v>0</v>
      </c>
      <c r="Q348" s="16"/>
      <c r="R348" s="17">
        <f t="shared" si="102"/>
        <v>0</v>
      </c>
      <c r="S348" s="16">
        <f t="shared" si="103"/>
        <v>6063.93</v>
      </c>
      <c r="T348" s="17">
        <f t="shared" si="104"/>
        <v>1</v>
      </c>
      <c r="U348" s="17">
        <f t="shared" si="105"/>
        <v>8.3316434676584984E-3</v>
      </c>
    </row>
    <row r="349" spans="1:21" ht="43.2" x14ac:dyDescent="0.3">
      <c r="A349" s="23" t="s">
        <v>403</v>
      </c>
      <c r="B349" s="23">
        <f>VLOOKUP(A349,MEMORIA!$A:$N,2,FALSE)</f>
        <v>101197</v>
      </c>
      <c r="C349" s="23" t="str">
        <f>VLOOKUP(A349,MEMORIA!$A:$N,3,FALSE)</f>
        <v>SINAPI</v>
      </c>
      <c r="D349" s="24" t="str">
        <f>VLOOKUP(A349,MEMORIA!$A:$N,4,FALSE)</f>
        <v>CERCA COM MOURÕES DE CONCRETO, SEÇÃO "T" PONTA INCLINADA, 10X10 CM, ESPAÇAMENTO DE 2,5 M, CRAVADOS 0,5 M, COM 11 FIOS DE ARAME FARPADO Nº 14 - FORNECIMENTO E INSTALAÇÃO. AF_05/2020</v>
      </c>
      <c r="E349" s="23" t="str">
        <f>VLOOKUP(A349,MEMORIA!$A:$N,5,FALSE)</f>
        <v>M</v>
      </c>
      <c r="F349" s="5">
        <f>VLOOKUP(A349,MEMORIA!$A:$N,14,FALSE)</f>
        <v>37</v>
      </c>
      <c r="G349" s="5">
        <f>VLOOKUP(A349,ORCAMENTO!$A:$I,7,FALSE)</f>
        <v>131.28</v>
      </c>
      <c r="H349" s="5">
        <f>VLOOKUP(A349,ORCAMENTO!$A:$I,8,FALSE)</f>
        <v>163.89</v>
      </c>
      <c r="I349" s="5">
        <f>ROUND(F349*H349,2)</f>
        <v>6063.93</v>
      </c>
      <c r="J349" s="5">
        <f>ROUND(K349*$H349,2)</f>
        <v>0</v>
      </c>
      <c r="K349" s="5">
        <v>0</v>
      </c>
      <c r="L349" s="25">
        <f t="shared" si="100"/>
        <v>0</v>
      </c>
      <c r="M349" s="5">
        <f>ROUND(N349*$H349,2)</f>
        <v>6063.93</v>
      </c>
      <c r="N349" s="5">
        <f t="shared" si="99"/>
        <v>37</v>
      </c>
      <c r="O349" s="25">
        <f t="shared" si="101"/>
        <v>1</v>
      </c>
      <c r="P349" s="5">
        <f>ROUND(Q349*$H349,2)</f>
        <v>0</v>
      </c>
      <c r="Q349" s="5">
        <v>0</v>
      </c>
      <c r="R349" s="25">
        <f t="shared" si="102"/>
        <v>0</v>
      </c>
      <c r="S349" s="5">
        <f t="shared" si="103"/>
        <v>6063.93</v>
      </c>
      <c r="T349" s="25">
        <f t="shared" si="104"/>
        <v>1</v>
      </c>
      <c r="U349" s="25">
        <f t="shared" si="105"/>
        <v>8.3316434676584984E-3</v>
      </c>
    </row>
    <row r="350" spans="1:21" x14ac:dyDescent="0.3">
      <c r="A350" s="12" t="s">
        <v>100</v>
      </c>
      <c r="B350" s="46" t="str">
        <f>VLOOKUP(A350,MEMORIA!$A:$N,2,FALSE)</f>
        <v>INSTALAÇÕES ELÉTRICAS</v>
      </c>
      <c r="C350" s="47"/>
      <c r="D350" s="47"/>
      <c r="E350" s="47"/>
      <c r="F350" s="47"/>
      <c r="G350" s="47"/>
      <c r="H350" s="48"/>
      <c r="I350" s="13">
        <f>SUM(I$351:I$358)</f>
        <v>1853.2700000000002</v>
      </c>
      <c r="J350" s="13">
        <f>SUM(J$351:J$358)</f>
        <v>0</v>
      </c>
      <c r="K350" s="13"/>
      <c r="L350" s="14">
        <f t="shared" si="100"/>
        <v>0</v>
      </c>
      <c r="M350" s="13">
        <f>SUM(M$351:M$358)</f>
        <v>1853.2700000000002</v>
      </c>
      <c r="N350" s="13"/>
      <c r="O350" s="14">
        <f t="shared" si="101"/>
        <v>1</v>
      </c>
      <c r="P350" s="13">
        <f>SUM(P$351:P$358)</f>
        <v>0</v>
      </c>
      <c r="Q350" s="13"/>
      <c r="R350" s="14">
        <f t="shared" si="102"/>
        <v>0</v>
      </c>
      <c r="S350" s="13">
        <f t="shared" si="103"/>
        <v>1853.2700000000002</v>
      </c>
      <c r="T350" s="14">
        <f t="shared" si="104"/>
        <v>1</v>
      </c>
      <c r="U350" s="14">
        <f t="shared" si="105"/>
        <v>2.5463329704181062E-3</v>
      </c>
    </row>
    <row r="351" spans="1:21" ht="43.2" x14ac:dyDescent="0.3">
      <c r="A351" s="23" t="s">
        <v>404</v>
      </c>
      <c r="B351" s="23" t="str">
        <f>VLOOKUP(A351,MEMORIA!$A:$N,2,FALSE)</f>
        <v>COMPINST05</v>
      </c>
      <c r="C351" s="23" t="str">
        <f>VLOOKUP(A351,MEMORIA!$A:$N,3,FALSE)</f>
        <v>PRÓPRIA</v>
      </c>
      <c r="D351" s="24" t="str">
        <f>VLOOKUP(A351,MEMORIA!$A:$N,4,FALSE)</f>
        <v>ENTRADA DE ENERGIA ELÉTRICA, AÉREA, MONOFÁSICA, COM CAIXA DE EMBUTIR, CABO DE 10 MM2 E DISJUNTOR DIN 50A (NÃO INCLUSO O POSTE DE CONCRETO). AF_07/2020_PS (REF: 101493-SINAPI-06/2025)</v>
      </c>
      <c r="E351" s="23" t="str">
        <f>VLOOKUP(A351,MEMORIA!$A:$N,5,FALSE)</f>
        <v>UN</v>
      </c>
      <c r="F351" s="5">
        <f>VLOOKUP(A351,MEMORIA!$A:$N,14,FALSE)</f>
        <v>1</v>
      </c>
      <c r="G351" s="5">
        <f>VLOOKUP(A351,ORCAMENTO!$A:$I,7,FALSE)</f>
        <v>967.24</v>
      </c>
      <c r="H351" s="5">
        <f>VLOOKUP(A351,ORCAMENTO!$A:$I,8,FALSE)</f>
        <v>1207.5</v>
      </c>
      <c r="I351" s="5">
        <f t="shared" ref="I351:I358" si="106">ROUND(F351*H351,2)</f>
        <v>1207.5</v>
      </c>
      <c r="J351" s="5">
        <f t="shared" ref="J351:J358" si="107">ROUND(K351*$H351,2)</f>
        <v>0</v>
      </c>
      <c r="K351" s="5">
        <v>0</v>
      </c>
      <c r="L351" s="25">
        <f t="shared" si="100"/>
        <v>0</v>
      </c>
      <c r="M351" s="5">
        <f t="shared" ref="M351:M358" si="108">ROUND(N351*$H351,2)</f>
        <v>1207.5</v>
      </c>
      <c r="N351" s="5">
        <f t="shared" si="99"/>
        <v>1</v>
      </c>
      <c r="O351" s="25">
        <f t="shared" si="101"/>
        <v>1</v>
      </c>
      <c r="P351" s="5">
        <f t="shared" ref="P351:P358" si="109">ROUND(Q351*$H351,2)</f>
        <v>0</v>
      </c>
      <c r="Q351" s="5">
        <v>0</v>
      </c>
      <c r="R351" s="25">
        <f t="shared" si="102"/>
        <v>0</v>
      </c>
      <c r="S351" s="5">
        <f t="shared" si="103"/>
        <v>1207.5</v>
      </c>
      <c r="T351" s="25">
        <f t="shared" si="104"/>
        <v>1</v>
      </c>
      <c r="U351" s="25">
        <f t="shared" si="105"/>
        <v>1.6590659006943743E-3</v>
      </c>
    </row>
    <row r="352" spans="1:21" ht="28.8" x14ac:dyDescent="0.3">
      <c r="A352" s="23" t="s">
        <v>405</v>
      </c>
      <c r="B352" s="23">
        <f>VLOOKUP(A352,MEMORIA!$A:$N,2,FALSE)</f>
        <v>93656</v>
      </c>
      <c r="C352" s="23" t="str">
        <f>VLOOKUP(A352,MEMORIA!$A:$N,3,FALSE)</f>
        <v>SINAPI</v>
      </c>
      <c r="D352" s="24" t="str">
        <f>VLOOKUP(A352,MEMORIA!$A:$N,4,FALSE)</f>
        <v>DISJUNTOR MONOPOLAR TIPO DIN, CORRENTE NOMINAL DE 25A - FORNECIMENTO E INSTALAÇÃO. AF_10/2020</v>
      </c>
      <c r="E352" s="23" t="str">
        <f>VLOOKUP(A352,MEMORIA!$A:$N,5,FALSE)</f>
        <v>UN</v>
      </c>
      <c r="F352" s="5">
        <f>VLOOKUP(A352,MEMORIA!$A:$N,14,FALSE)</f>
        <v>1</v>
      </c>
      <c r="G352" s="5">
        <f>VLOOKUP(A352,ORCAMENTO!$A:$I,7,FALSE)</f>
        <v>13.33</v>
      </c>
      <c r="H352" s="5">
        <f>VLOOKUP(A352,ORCAMENTO!$A:$I,8,FALSE)</f>
        <v>16.64</v>
      </c>
      <c r="I352" s="5">
        <f t="shared" si="106"/>
        <v>16.64</v>
      </c>
      <c r="J352" s="5">
        <f t="shared" si="107"/>
        <v>0</v>
      </c>
      <c r="K352" s="5">
        <v>0</v>
      </c>
      <c r="L352" s="25">
        <f t="shared" si="100"/>
        <v>0</v>
      </c>
      <c r="M352" s="5">
        <f t="shared" si="108"/>
        <v>16.64</v>
      </c>
      <c r="N352" s="5">
        <f t="shared" si="99"/>
        <v>1</v>
      </c>
      <c r="O352" s="25">
        <f t="shared" si="101"/>
        <v>1</v>
      </c>
      <c r="P352" s="5">
        <f t="shared" si="109"/>
        <v>0</v>
      </c>
      <c r="Q352" s="5">
        <v>0</v>
      </c>
      <c r="R352" s="25">
        <f t="shared" si="102"/>
        <v>0</v>
      </c>
      <c r="S352" s="5">
        <f t="shared" si="103"/>
        <v>16.64</v>
      </c>
      <c r="T352" s="25">
        <f t="shared" si="104"/>
        <v>1</v>
      </c>
      <c r="U352" s="25">
        <f t="shared" si="105"/>
        <v>2.2862821190521232E-5</v>
      </c>
    </row>
    <row r="353" spans="1:21" ht="28.8" x14ac:dyDescent="0.3">
      <c r="A353" s="23" t="s">
        <v>406</v>
      </c>
      <c r="B353" s="23">
        <f>VLOOKUP(A353,MEMORIA!$A:$N,2,FALSE)</f>
        <v>93653</v>
      </c>
      <c r="C353" s="23" t="str">
        <f>VLOOKUP(A353,MEMORIA!$A:$N,3,FALSE)</f>
        <v>SINAPI</v>
      </c>
      <c r="D353" s="24" t="str">
        <f>VLOOKUP(A353,MEMORIA!$A:$N,4,FALSE)</f>
        <v>DISJUNTOR MONOPOLAR TIPO DIN, CORRENTE NOMINAL DE 10A - FORNECIMENTO E INSTALAÇÃO. AF_10/2020</v>
      </c>
      <c r="E353" s="23" t="str">
        <f>VLOOKUP(A353,MEMORIA!$A:$N,5,FALSE)</f>
        <v>UN</v>
      </c>
      <c r="F353" s="5">
        <f>VLOOKUP(A353,MEMORIA!$A:$N,14,FALSE)</f>
        <v>1</v>
      </c>
      <c r="G353" s="5">
        <f>VLOOKUP(A353,ORCAMENTO!$A:$I,7,FALSE)</f>
        <v>11.379999999999999</v>
      </c>
      <c r="H353" s="5">
        <f>VLOOKUP(A353,ORCAMENTO!$A:$I,8,FALSE)</f>
        <v>14.209999999999999</v>
      </c>
      <c r="I353" s="5">
        <f t="shared" si="106"/>
        <v>14.21</v>
      </c>
      <c r="J353" s="5">
        <f t="shared" si="107"/>
        <v>0</v>
      </c>
      <c r="K353" s="5">
        <v>0</v>
      </c>
      <c r="L353" s="25">
        <f t="shared" si="100"/>
        <v>0</v>
      </c>
      <c r="M353" s="5">
        <f t="shared" si="108"/>
        <v>14.21</v>
      </c>
      <c r="N353" s="5">
        <f t="shared" si="99"/>
        <v>1</v>
      </c>
      <c r="O353" s="25">
        <f t="shared" si="101"/>
        <v>1</v>
      </c>
      <c r="P353" s="5">
        <f t="shared" si="109"/>
        <v>0</v>
      </c>
      <c r="Q353" s="5">
        <v>0</v>
      </c>
      <c r="R353" s="25">
        <f t="shared" si="102"/>
        <v>0</v>
      </c>
      <c r="S353" s="5">
        <f t="shared" si="103"/>
        <v>14.21</v>
      </c>
      <c r="T353" s="25">
        <f t="shared" si="104"/>
        <v>1</v>
      </c>
      <c r="U353" s="25">
        <f t="shared" si="105"/>
        <v>1.9524079874838143E-5</v>
      </c>
    </row>
    <row r="354" spans="1:21" x14ac:dyDescent="0.3">
      <c r="A354" s="23" t="s">
        <v>407</v>
      </c>
      <c r="B354" s="23" t="str">
        <f>VLOOKUP(A354,MEMORIA!$A:$N,2,FALSE)</f>
        <v>09041/ORSE</v>
      </c>
      <c r="C354" s="23" t="str">
        <f>VLOOKUP(A354,MEMORIA!$A:$N,3,FALSE)</f>
        <v>ORSE</v>
      </c>
      <c r="D354" s="24" t="str">
        <f>VLOOKUP(A354,MEMORIA!$A:$N,4,FALSE)</f>
        <v>DISPOSITIVO DE PROTEÇÃO CONTRA SURTO DE TENSÃO DPS 60KA - 275V</v>
      </c>
      <c r="E354" s="23" t="str">
        <f>VLOOKUP(A354,MEMORIA!$A:$N,5,FALSE)</f>
        <v>UN</v>
      </c>
      <c r="F354" s="5">
        <f>VLOOKUP(A354,MEMORIA!$A:$N,14,FALSE)</f>
        <v>1</v>
      </c>
      <c r="G354" s="5">
        <f>VLOOKUP(A354,ORCAMENTO!$A:$I,7,FALSE)</f>
        <v>88.050000000000011</v>
      </c>
      <c r="H354" s="5">
        <f>VLOOKUP(A354,ORCAMENTO!$A:$I,8,FALSE)</f>
        <v>109.92000000000002</v>
      </c>
      <c r="I354" s="5">
        <f t="shared" si="106"/>
        <v>109.92</v>
      </c>
      <c r="J354" s="5">
        <f t="shared" si="107"/>
        <v>0</v>
      </c>
      <c r="K354" s="5">
        <v>0</v>
      </c>
      <c r="L354" s="25">
        <f t="shared" si="100"/>
        <v>0</v>
      </c>
      <c r="M354" s="5">
        <f t="shared" si="108"/>
        <v>109.92</v>
      </c>
      <c r="N354" s="5">
        <f t="shared" si="99"/>
        <v>1</v>
      </c>
      <c r="O354" s="25">
        <f t="shared" si="101"/>
        <v>1</v>
      </c>
      <c r="P354" s="5">
        <f t="shared" si="109"/>
        <v>0</v>
      </c>
      <c r="Q354" s="5">
        <v>0</v>
      </c>
      <c r="R354" s="25">
        <f t="shared" si="102"/>
        <v>0</v>
      </c>
      <c r="S354" s="5">
        <f t="shared" si="103"/>
        <v>109.92</v>
      </c>
      <c r="T354" s="25">
        <f t="shared" si="104"/>
        <v>1</v>
      </c>
      <c r="U354" s="25">
        <f t="shared" si="105"/>
        <v>1.510265207489239E-4</v>
      </c>
    </row>
    <row r="355" spans="1:21" ht="28.8" x14ac:dyDescent="0.3">
      <c r="A355" s="23" t="s">
        <v>408</v>
      </c>
      <c r="B355" s="23">
        <f>VLOOKUP(A355,MEMORIA!$A:$N,2,FALSE)</f>
        <v>101877</v>
      </c>
      <c r="C355" s="23" t="str">
        <f>VLOOKUP(A355,MEMORIA!$A:$N,3,FALSE)</f>
        <v>SINAPI</v>
      </c>
      <c r="D355" s="24" t="str">
        <f>VLOOKUP(A355,MEMORIA!$A:$N,4,FALSE)</f>
        <v>QUADRO DE DISTRIBUIÇÃO DE ENERGIA EM PVC, DE EMBUTIR, SEM BARRAMENTO, PARA 3 DISJUNTORES - FORNECIMENTO E INSTALAÇÃO. AF_10/2020</v>
      </c>
      <c r="E355" s="23" t="str">
        <f>VLOOKUP(A355,MEMORIA!$A:$N,5,FALSE)</f>
        <v>UN</v>
      </c>
      <c r="F355" s="5">
        <f>VLOOKUP(A355,MEMORIA!$A:$N,14,FALSE)</f>
        <v>1</v>
      </c>
      <c r="G355" s="5">
        <f>VLOOKUP(A355,ORCAMENTO!$A:$I,7,FALSE)</f>
        <v>63.51</v>
      </c>
      <c r="H355" s="5">
        <f>VLOOKUP(A355,ORCAMENTO!$A:$I,8,FALSE)</f>
        <v>79.289999999999992</v>
      </c>
      <c r="I355" s="5">
        <f t="shared" si="106"/>
        <v>79.290000000000006</v>
      </c>
      <c r="J355" s="5">
        <f t="shared" si="107"/>
        <v>0</v>
      </c>
      <c r="K355" s="5">
        <v>0</v>
      </c>
      <c r="L355" s="25">
        <f t="shared" si="100"/>
        <v>0</v>
      </c>
      <c r="M355" s="5">
        <f t="shared" si="108"/>
        <v>79.290000000000006</v>
      </c>
      <c r="N355" s="5">
        <f t="shared" si="99"/>
        <v>1</v>
      </c>
      <c r="O355" s="25">
        <f t="shared" si="101"/>
        <v>1</v>
      </c>
      <c r="P355" s="5">
        <f t="shared" si="109"/>
        <v>0</v>
      </c>
      <c r="Q355" s="5">
        <v>0</v>
      </c>
      <c r="R355" s="25">
        <f t="shared" si="102"/>
        <v>0</v>
      </c>
      <c r="S355" s="5">
        <f t="shared" si="103"/>
        <v>79.290000000000006</v>
      </c>
      <c r="T355" s="25">
        <f t="shared" si="104"/>
        <v>1</v>
      </c>
      <c r="U355" s="25">
        <f t="shared" si="105"/>
        <v>1.0894189255988153E-4</v>
      </c>
    </row>
    <row r="356" spans="1:21" ht="43.2" x14ac:dyDescent="0.3">
      <c r="A356" s="23" t="s">
        <v>409</v>
      </c>
      <c r="B356" s="23" t="str">
        <f>VLOOKUP(A356,MEMORIA!$A:$N,2,FALSE)</f>
        <v>COMPINST02</v>
      </c>
      <c r="C356" s="23" t="str">
        <f>VLOOKUP(A356,MEMORIA!$A:$N,3,FALSE)</f>
        <v>PRÓPRIA</v>
      </c>
      <c r="D356" s="24" t="str">
        <f>VLOOKUP(A356,MEMORIA!$A:$N,4,FALSE)</f>
        <v>PONTO DE ILUMINAÇÃO E TOMADA, RESIDENCIAL, INCLUINDO INTERRUPTOR SIMPLES E TOMADA 10A/250V, CAIXA ELÉTRICA, ELETRODUTO, CABO, RASGO, QUEBRA E CHUMBAMENTO (EXCLUINDO LUMINÁRIA E LÂMPADA)</v>
      </c>
      <c r="E356" s="23" t="str">
        <f>VLOOKUP(A356,MEMORIA!$A:$N,5,FALSE)</f>
        <v>UN</v>
      </c>
      <c r="F356" s="5">
        <f>VLOOKUP(A356,MEMORIA!$A:$N,14,FALSE)</f>
        <v>1</v>
      </c>
      <c r="G356" s="5">
        <f>VLOOKUP(A356,ORCAMENTO!$A:$I,7,FALSE)</f>
        <v>244.91000000000003</v>
      </c>
      <c r="H356" s="5">
        <f>VLOOKUP(A356,ORCAMENTO!$A:$I,8,FALSE)</f>
        <v>305.75</v>
      </c>
      <c r="I356" s="5">
        <f t="shared" si="106"/>
        <v>305.75</v>
      </c>
      <c r="J356" s="5">
        <f t="shared" si="107"/>
        <v>0</v>
      </c>
      <c r="K356" s="5">
        <v>0</v>
      </c>
      <c r="L356" s="25">
        <f t="shared" si="100"/>
        <v>0</v>
      </c>
      <c r="M356" s="5">
        <f t="shared" si="108"/>
        <v>305.75</v>
      </c>
      <c r="N356" s="5">
        <f t="shared" si="99"/>
        <v>1</v>
      </c>
      <c r="O356" s="25">
        <f t="shared" si="101"/>
        <v>1</v>
      </c>
      <c r="P356" s="5">
        <f t="shared" si="109"/>
        <v>0</v>
      </c>
      <c r="Q356" s="5">
        <v>0</v>
      </c>
      <c r="R356" s="25">
        <f t="shared" si="102"/>
        <v>0</v>
      </c>
      <c r="S356" s="5">
        <f t="shared" si="103"/>
        <v>305.75</v>
      </c>
      <c r="T356" s="25">
        <f t="shared" si="104"/>
        <v>1</v>
      </c>
      <c r="U356" s="25">
        <f t="shared" si="105"/>
        <v>4.200905996996314E-4</v>
      </c>
    </row>
    <row r="357" spans="1:21" ht="28.8" x14ac:dyDescent="0.3">
      <c r="A357" s="23" t="s">
        <v>410</v>
      </c>
      <c r="B357" s="23">
        <f>VLOOKUP(A357,MEMORIA!$A:$N,2,FALSE)</f>
        <v>97610</v>
      </c>
      <c r="C357" s="23" t="str">
        <f>VLOOKUP(A357,MEMORIA!$A:$N,3,FALSE)</f>
        <v>SINAPI</v>
      </c>
      <c r="D357" s="24" t="str">
        <f>VLOOKUP(A357,MEMORIA!$A:$N,4,FALSE)</f>
        <v>LÂMPADA COMPACTA DE LED 10 W, BASE E27 - FORNECIMENTO E INSTALAÇÃO. AF_09/2024</v>
      </c>
      <c r="E357" s="23" t="str">
        <f>VLOOKUP(A357,MEMORIA!$A:$N,5,FALSE)</f>
        <v>UN</v>
      </c>
      <c r="F357" s="5">
        <f>VLOOKUP(A357,MEMORIA!$A:$N,14,FALSE)</f>
        <v>1</v>
      </c>
      <c r="G357" s="5">
        <f>VLOOKUP(A357,ORCAMENTO!$A:$I,7,FALSE)</f>
        <v>13.05</v>
      </c>
      <c r="H357" s="5">
        <f>VLOOKUP(A357,ORCAMENTO!$A:$I,8,FALSE)</f>
        <v>16.29</v>
      </c>
      <c r="I357" s="5">
        <f t="shared" si="106"/>
        <v>16.29</v>
      </c>
      <c r="J357" s="5">
        <f t="shared" si="107"/>
        <v>0</v>
      </c>
      <c r="K357" s="5">
        <v>0</v>
      </c>
      <c r="L357" s="25">
        <f t="shared" si="100"/>
        <v>0</v>
      </c>
      <c r="M357" s="5">
        <f t="shared" si="108"/>
        <v>16.29</v>
      </c>
      <c r="N357" s="5">
        <f t="shared" si="99"/>
        <v>1</v>
      </c>
      <c r="O357" s="25">
        <f t="shared" si="101"/>
        <v>1</v>
      </c>
      <c r="P357" s="5">
        <f t="shared" si="109"/>
        <v>0</v>
      </c>
      <c r="Q357" s="5">
        <v>0</v>
      </c>
      <c r="R357" s="25">
        <f t="shared" si="102"/>
        <v>0</v>
      </c>
      <c r="S357" s="5">
        <f t="shared" si="103"/>
        <v>16.29</v>
      </c>
      <c r="T357" s="25">
        <f t="shared" si="104"/>
        <v>1</v>
      </c>
      <c r="U357" s="25">
        <f t="shared" si="105"/>
        <v>2.2381932523653296E-5</v>
      </c>
    </row>
    <row r="358" spans="1:21" ht="28.8" x14ac:dyDescent="0.3">
      <c r="A358" s="23" t="s">
        <v>411</v>
      </c>
      <c r="B358" s="23" t="str">
        <f>VLOOKUP(A358,MEMORIA!$A:$N,2,FALSE)</f>
        <v>COMPINST04</v>
      </c>
      <c r="C358" s="23" t="str">
        <f>VLOOKUP(A358,MEMORIA!$A:$N,3,FALSE)</f>
        <v>PRÓPRIA</v>
      </c>
      <c r="D358" s="24" t="str">
        <f>VLOOKUP(A358,MEMORIA!$A:$N,4,FALSE)</f>
        <v>LUMINÁRIA ARANDELA TIPO MEIA-LUA COM VIDRO FOSCO *30 X 15* CM, PARA 1 LÂMPADA (SINAPI ADAPTADO 97605)</v>
      </c>
      <c r="E358" s="23" t="str">
        <f>VLOOKUP(A358,MEMORIA!$A:$N,5,FALSE)</f>
        <v>UN</v>
      </c>
      <c r="F358" s="5">
        <f>VLOOKUP(A358,MEMORIA!$A:$N,14,FALSE)</f>
        <v>1</v>
      </c>
      <c r="G358" s="5">
        <f>VLOOKUP(A358,ORCAMENTO!$A:$I,7,FALSE)</f>
        <v>83.039999999999992</v>
      </c>
      <c r="H358" s="5">
        <f>VLOOKUP(A358,ORCAMENTO!$A:$I,8,FALSE)</f>
        <v>103.66999999999999</v>
      </c>
      <c r="I358" s="5">
        <f t="shared" si="106"/>
        <v>103.67</v>
      </c>
      <c r="J358" s="5">
        <f t="shared" si="107"/>
        <v>0</v>
      </c>
      <c r="K358" s="5">
        <v>0</v>
      </c>
      <c r="L358" s="25">
        <f t="shared" si="100"/>
        <v>0</v>
      </c>
      <c r="M358" s="5">
        <f t="shared" si="108"/>
        <v>103.67</v>
      </c>
      <c r="N358" s="5">
        <f t="shared" si="99"/>
        <v>1</v>
      </c>
      <c r="O358" s="25">
        <f t="shared" si="101"/>
        <v>1</v>
      </c>
      <c r="P358" s="5">
        <f t="shared" si="109"/>
        <v>0</v>
      </c>
      <c r="Q358" s="5">
        <v>0</v>
      </c>
      <c r="R358" s="25">
        <f t="shared" si="102"/>
        <v>0</v>
      </c>
      <c r="S358" s="5">
        <f t="shared" si="103"/>
        <v>103.67</v>
      </c>
      <c r="T358" s="25">
        <f t="shared" si="104"/>
        <v>1</v>
      </c>
      <c r="U358" s="25">
        <f t="shared" si="105"/>
        <v>1.4243922312628222E-4</v>
      </c>
    </row>
    <row r="359" spans="1:21" x14ac:dyDescent="0.3">
      <c r="A359" s="12" t="s">
        <v>101</v>
      </c>
      <c r="B359" s="46" t="str">
        <f>VLOOKUP(A359,MEMORIA!$A:$N,2,FALSE)</f>
        <v>ADUÇÃO</v>
      </c>
      <c r="C359" s="47"/>
      <c r="D359" s="47"/>
      <c r="E359" s="47"/>
      <c r="F359" s="47"/>
      <c r="G359" s="47"/>
      <c r="H359" s="48"/>
      <c r="I359" s="13">
        <f>SUM(I$360,I$363,I$365,)</f>
        <v>1351.72</v>
      </c>
      <c r="J359" s="13">
        <f>SUM(J$360,J$363,J$365,)</f>
        <v>0</v>
      </c>
      <c r="K359" s="13"/>
      <c r="L359" s="14">
        <f t="shared" si="100"/>
        <v>0</v>
      </c>
      <c r="M359" s="13">
        <f>SUM(M$360,M$363,M$365,)</f>
        <v>1351.72</v>
      </c>
      <c r="N359" s="13"/>
      <c r="O359" s="14">
        <f t="shared" si="101"/>
        <v>1</v>
      </c>
      <c r="P359" s="13">
        <f>SUM(P$360,P$363,P$365,)</f>
        <v>0</v>
      </c>
      <c r="Q359" s="13"/>
      <c r="R359" s="14">
        <f t="shared" si="102"/>
        <v>0</v>
      </c>
      <c r="S359" s="13">
        <f t="shared" si="103"/>
        <v>1351.72</v>
      </c>
      <c r="T359" s="14">
        <f t="shared" si="104"/>
        <v>1</v>
      </c>
      <c r="U359" s="14">
        <f t="shared" si="105"/>
        <v>1.8572195107963557E-3</v>
      </c>
    </row>
    <row r="360" spans="1:21" x14ac:dyDescent="0.3">
      <c r="A360" s="15" t="s">
        <v>102</v>
      </c>
      <c r="B360" s="49" t="str">
        <f>VLOOKUP(A360,MEMORIA!$A:$N,2,FALSE)</f>
        <v>MOVIMENTO DE TERRA</v>
      </c>
      <c r="C360" s="50"/>
      <c r="D360" s="50"/>
      <c r="E360" s="50"/>
      <c r="F360" s="50"/>
      <c r="G360" s="50"/>
      <c r="H360" s="51"/>
      <c r="I360" s="16">
        <f>SUM(I$361:I$362)</f>
        <v>423.02</v>
      </c>
      <c r="J360" s="16">
        <f>SUM(J$361:J$362)</f>
        <v>0</v>
      </c>
      <c r="K360" s="16"/>
      <c r="L360" s="17">
        <f t="shared" si="100"/>
        <v>0</v>
      </c>
      <c r="M360" s="16">
        <f>SUM(M$361:M$362)</f>
        <v>423.02</v>
      </c>
      <c r="N360" s="16"/>
      <c r="O360" s="17">
        <f t="shared" si="101"/>
        <v>1</v>
      </c>
      <c r="P360" s="16">
        <f>SUM(P$361:P$362)</f>
        <v>0</v>
      </c>
      <c r="Q360" s="16"/>
      <c r="R360" s="17">
        <f t="shared" si="102"/>
        <v>0</v>
      </c>
      <c r="S360" s="16">
        <f t="shared" si="103"/>
        <v>423.02</v>
      </c>
      <c r="T360" s="17">
        <f t="shared" si="104"/>
        <v>1</v>
      </c>
      <c r="U360" s="17">
        <f t="shared" si="105"/>
        <v>5.8121578245278187E-4</v>
      </c>
    </row>
    <row r="361" spans="1:21" x14ac:dyDescent="0.3">
      <c r="A361" s="23" t="s">
        <v>412</v>
      </c>
      <c r="B361" s="23">
        <f>VLOOKUP(A361,MEMORIA!$A:$N,2,FALSE)</f>
        <v>93358</v>
      </c>
      <c r="C361" s="23" t="str">
        <f>VLOOKUP(A361,MEMORIA!$A:$N,3,FALSE)</f>
        <v>SINAPI</v>
      </c>
      <c r="D361" s="24" t="str">
        <f>VLOOKUP(A361,MEMORIA!$A:$N,4,FALSE)</f>
        <v>ESCAVAÇÃO MANUAL DE VALA. AF_09/2024</v>
      </c>
      <c r="E361" s="23" t="str">
        <f>VLOOKUP(A361,MEMORIA!$A:$N,5,FALSE)</f>
        <v>M3</v>
      </c>
      <c r="F361" s="5">
        <f>VLOOKUP(A361,MEMORIA!$A:$N,14,FALSE)</f>
        <v>2.76</v>
      </c>
      <c r="G361" s="5">
        <f>VLOOKUP(A361,ORCAMENTO!$A:$I,7,FALSE)</f>
        <v>85.87</v>
      </c>
      <c r="H361" s="5">
        <f>VLOOKUP(A361,ORCAMENTO!$A:$I,8,FALSE)</f>
        <v>107.2</v>
      </c>
      <c r="I361" s="5">
        <f>ROUND(F361*H361,2)</f>
        <v>295.87</v>
      </c>
      <c r="J361" s="5">
        <f>ROUND(K361*$H361,2)</f>
        <v>0</v>
      </c>
      <c r="K361" s="5">
        <v>0</v>
      </c>
      <c r="L361" s="25">
        <f t="shared" si="100"/>
        <v>0</v>
      </c>
      <c r="M361" s="5">
        <f>ROUND(N361*$H361,2)</f>
        <v>295.87</v>
      </c>
      <c r="N361" s="5">
        <f t="shared" ref="N361:N362" si="110">F361</f>
        <v>2.76</v>
      </c>
      <c r="O361" s="25">
        <f t="shared" si="101"/>
        <v>1</v>
      </c>
      <c r="P361" s="5">
        <f>ROUND(Q361*$H361,2)</f>
        <v>0</v>
      </c>
      <c r="Q361" s="5">
        <v>0</v>
      </c>
      <c r="R361" s="25">
        <f t="shared" si="102"/>
        <v>0</v>
      </c>
      <c r="S361" s="5">
        <f t="shared" si="103"/>
        <v>295.87</v>
      </c>
      <c r="T361" s="25">
        <f t="shared" si="104"/>
        <v>1</v>
      </c>
      <c r="U361" s="25">
        <f t="shared" si="105"/>
        <v>4.0651579961775941E-4</v>
      </c>
    </row>
    <row r="362" spans="1:21" x14ac:dyDescent="0.3">
      <c r="A362" s="23" t="s">
        <v>413</v>
      </c>
      <c r="B362" s="23" t="str">
        <f>VLOOKUP(A362,MEMORIA!$A:$N,2,FALSE)</f>
        <v>COMPOS28</v>
      </c>
      <c r="C362" s="23" t="str">
        <f>VLOOKUP(A362,MEMORIA!$A:$N,3,FALSE)</f>
        <v>PRÓPRIA</v>
      </c>
      <c r="D362" s="24" t="str">
        <f>VLOOKUP(A362,MEMORIA!$A:$N,4,FALSE)</f>
        <v>REATERRO DE VALA COM COMPACTAÇÃO MANUAL</v>
      </c>
      <c r="E362" s="23" t="str">
        <f>VLOOKUP(A362,MEMORIA!$A:$N,5,FALSE)</f>
        <v>M³</v>
      </c>
      <c r="F362" s="5">
        <f>VLOOKUP(A362,MEMORIA!$A:$N,14,FALSE)</f>
        <v>2.76</v>
      </c>
      <c r="G362" s="5">
        <f>VLOOKUP(A362,ORCAMENTO!$A:$I,7,FALSE)</f>
        <v>36.9</v>
      </c>
      <c r="H362" s="5">
        <f>VLOOKUP(A362,ORCAMENTO!$A:$I,8,FALSE)</f>
        <v>46.07</v>
      </c>
      <c r="I362" s="5">
        <f>ROUND(F362*H362,2)</f>
        <v>127.15</v>
      </c>
      <c r="J362" s="5">
        <f>ROUND(K362*$H362,2)</f>
        <v>0</v>
      </c>
      <c r="K362" s="5">
        <v>0</v>
      </c>
      <c r="L362" s="25">
        <f t="shared" si="100"/>
        <v>0</v>
      </c>
      <c r="M362" s="5">
        <f>ROUND(N362*$H362,2)</f>
        <v>127.15</v>
      </c>
      <c r="N362" s="5">
        <f t="shared" si="110"/>
        <v>2.76</v>
      </c>
      <c r="O362" s="25">
        <f t="shared" si="101"/>
        <v>1</v>
      </c>
      <c r="P362" s="5">
        <f>ROUND(Q362*$H362,2)</f>
        <v>0</v>
      </c>
      <c r="Q362" s="5">
        <v>0</v>
      </c>
      <c r="R362" s="25">
        <f t="shared" si="102"/>
        <v>0</v>
      </c>
      <c r="S362" s="5">
        <f t="shared" si="103"/>
        <v>127.15</v>
      </c>
      <c r="T362" s="25">
        <f t="shared" si="104"/>
        <v>1</v>
      </c>
      <c r="U362" s="25">
        <f t="shared" si="105"/>
        <v>1.7469998283502252E-4</v>
      </c>
    </row>
    <row r="363" spans="1:21" x14ac:dyDescent="0.3">
      <c r="A363" s="15" t="s">
        <v>103</v>
      </c>
      <c r="B363" s="49" t="str">
        <f>VLOOKUP(A363,MEMORIA!$A:$N,2,FALSE)</f>
        <v>INFRAESTRUTURA</v>
      </c>
      <c r="C363" s="50"/>
      <c r="D363" s="50"/>
      <c r="E363" s="50"/>
      <c r="F363" s="50"/>
      <c r="G363" s="50"/>
      <c r="H363" s="51"/>
      <c r="I363" s="16">
        <f>SUM(I$364:I$364)</f>
        <v>265.19</v>
      </c>
      <c r="J363" s="16">
        <f>SUM(J$364:J$364)</f>
        <v>0</v>
      </c>
      <c r="K363" s="16"/>
      <c r="L363" s="17">
        <f t="shared" si="100"/>
        <v>0</v>
      </c>
      <c r="M363" s="16">
        <f>SUM(M$364:M$364)</f>
        <v>265.19</v>
      </c>
      <c r="N363" s="16"/>
      <c r="O363" s="17">
        <f t="shared" si="101"/>
        <v>1</v>
      </c>
      <c r="P363" s="16">
        <f>SUM(P$364:P$364)</f>
        <v>0</v>
      </c>
      <c r="Q363" s="16"/>
      <c r="R363" s="17">
        <f t="shared" si="102"/>
        <v>0</v>
      </c>
      <c r="S363" s="16">
        <f t="shared" si="103"/>
        <v>265.19</v>
      </c>
      <c r="T363" s="17">
        <f t="shared" si="104"/>
        <v>1</v>
      </c>
      <c r="U363" s="17">
        <f t="shared" si="105"/>
        <v>3.6436247304773588E-4</v>
      </c>
    </row>
    <row r="364" spans="1:21" x14ac:dyDescent="0.3">
      <c r="A364" s="23" t="s">
        <v>414</v>
      </c>
      <c r="B364" s="23" t="str">
        <f>VLOOKUP(A364,MEMORIA!$A:$N,2,FALSE)</f>
        <v>C3403</v>
      </c>
      <c r="C364" s="23" t="str">
        <f>VLOOKUP(A364,MEMORIA!$A:$N,3,FALSE)</f>
        <v>SEINFRA</v>
      </c>
      <c r="D364" s="24" t="str">
        <f>VLOOKUP(A364,MEMORIA!$A:$N,4,FALSE)</f>
        <v>BLOCO DE ANCORAGEM EM CONCRETO SIMPLES FCK=10MPa</v>
      </c>
      <c r="E364" s="23" t="str">
        <f>VLOOKUP(A364,MEMORIA!$A:$N,5,FALSE)</f>
        <v>M3</v>
      </c>
      <c r="F364" s="5">
        <f>VLOOKUP(A364,MEMORIA!$A:$N,14,FALSE)</f>
        <v>0.26</v>
      </c>
      <c r="G364" s="5">
        <f>VLOOKUP(A364,ORCAMENTO!$A:$I,7,FALSE)</f>
        <v>817.03</v>
      </c>
      <c r="H364" s="5">
        <f>VLOOKUP(A364,ORCAMENTO!$A:$I,8,FALSE)</f>
        <v>1019.98</v>
      </c>
      <c r="I364" s="5">
        <f>ROUND(F364*H364,2)</f>
        <v>265.19</v>
      </c>
      <c r="J364" s="5">
        <f>ROUND(K364*$H364,2)</f>
        <v>0</v>
      </c>
      <c r="K364" s="5">
        <v>0</v>
      </c>
      <c r="L364" s="25">
        <f t="shared" si="100"/>
        <v>0</v>
      </c>
      <c r="M364" s="5">
        <f>ROUND(N364*$H364,2)</f>
        <v>265.19</v>
      </c>
      <c r="N364" s="5">
        <f>F364</f>
        <v>0.26</v>
      </c>
      <c r="O364" s="25">
        <f t="shared" si="101"/>
        <v>1</v>
      </c>
      <c r="P364" s="5">
        <f>ROUND(Q364*$H364,2)</f>
        <v>0</v>
      </c>
      <c r="Q364" s="5">
        <v>0</v>
      </c>
      <c r="R364" s="25">
        <f t="shared" si="102"/>
        <v>0</v>
      </c>
      <c r="S364" s="5">
        <f t="shared" si="103"/>
        <v>265.19</v>
      </c>
      <c r="T364" s="25">
        <f t="shared" si="104"/>
        <v>1</v>
      </c>
      <c r="U364" s="25">
        <f t="shared" si="105"/>
        <v>3.6436247304773588E-4</v>
      </c>
    </row>
    <row r="365" spans="1:21" x14ac:dyDescent="0.3">
      <c r="A365" s="15" t="s">
        <v>104</v>
      </c>
      <c r="B365" s="49" t="str">
        <f>VLOOKUP(A365,MEMORIA!$A:$N,2,FALSE)</f>
        <v>INSTALAÇÕES HIDRÁULICAS</v>
      </c>
      <c r="C365" s="50"/>
      <c r="D365" s="50"/>
      <c r="E365" s="50"/>
      <c r="F365" s="50"/>
      <c r="G365" s="50"/>
      <c r="H365" s="51"/>
      <c r="I365" s="16">
        <f>SUM(I$366:I$367)</f>
        <v>663.51</v>
      </c>
      <c r="J365" s="16">
        <f>SUM(J$366:J$367)</f>
        <v>0</v>
      </c>
      <c r="K365" s="16"/>
      <c r="L365" s="17">
        <f t="shared" si="100"/>
        <v>0</v>
      </c>
      <c r="M365" s="16">
        <f>SUM(M$366:M$367)</f>
        <v>663.51</v>
      </c>
      <c r="N365" s="16"/>
      <c r="O365" s="17">
        <f t="shared" si="101"/>
        <v>1</v>
      </c>
      <c r="P365" s="16">
        <f>SUM(P$366:P$367)</f>
        <v>0</v>
      </c>
      <c r="Q365" s="16"/>
      <c r="R365" s="17">
        <f t="shared" si="102"/>
        <v>0</v>
      </c>
      <c r="S365" s="16">
        <f t="shared" si="103"/>
        <v>663.51</v>
      </c>
      <c r="T365" s="17">
        <f t="shared" si="104"/>
        <v>1</v>
      </c>
      <c r="U365" s="17">
        <f t="shared" si="105"/>
        <v>9.1164125529583789E-4</v>
      </c>
    </row>
    <row r="366" spans="1:21" ht="28.8" x14ac:dyDescent="0.3">
      <c r="A366" s="23" t="s">
        <v>415</v>
      </c>
      <c r="B366" s="23" t="str">
        <f>VLOOKUP(A366,MEMORIA!$A:$N,2,FALSE)</f>
        <v>COMPOS27</v>
      </c>
      <c r="C366" s="23" t="str">
        <f>VLOOKUP(A366,MEMORIA!$A:$N,3,FALSE)</f>
        <v>PRÓPRIA</v>
      </c>
      <c r="D366" s="24" t="str">
        <f>VLOOKUP(A366,MEMORIA!$A:$N,4,FALSE)</f>
        <v>AQUISIÇÃO E ASSENTAMENTO DE TUBO RÍGIDO PVC, CLASSE 12, DN 50 MM, INCLUSO CONEXÕES</v>
      </c>
      <c r="E366" s="23" t="str">
        <f>VLOOKUP(A366,MEMORIA!$A:$N,5,FALSE)</f>
        <v>M</v>
      </c>
      <c r="F366" s="5">
        <f>VLOOKUP(A366,MEMORIA!$A:$N,14,FALSE)</f>
        <v>16</v>
      </c>
      <c r="G366" s="5">
        <f>VLOOKUP(A366,ORCAMENTO!$A:$I,7,FALSE)</f>
        <v>25.79</v>
      </c>
      <c r="H366" s="5">
        <f>VLOOKUP(A366,ORCAMENTO!$A:$I,8,FALSE)</f>
        <v>32.200000000000003</v>
      </c>
      <c r="I366" s="5">
        <f>ROUND(F366*H366,2)</f>
        <v>515.20000000000005</v>
      </c>
      <c r="J366" s="5">
        <f>ROUND(K366*$H366,2)</f>
        <v>0</v>
      </c>
      <c r="K366" s="5">
        <v>0</v>
      </c>
      <c r="L366" s="25">
        <f t="shared" si="100"/>
        <v>0</v>
      </c>
      <c r="M366" s="5">
        <f>ROUND(N366*$H366,2)</f>
        <v>515.20000000000005</v>
      </c>
      <c r="N366" s="5">
        <f>F366</f>
        <v>16</v>
      </c>
      <c r="O366" s="25">
        <f t="shared" si="101"/>
        <v>1</v>
      </c>
      <c r="P366" s="5">
        <f>ROUND(Q366*$H366,2)</f>
        <v>0</v>
      </c>
      <c r="Q366" s="5">
        <v>0</v>
      </c>
      <c r="R366" s="25">
        <f t="shared" si="102"/>
        <v>0</v>
      </c>
      <c r="S366" s="5">
        <f t="shared" si="103"/>
        <v>515.20000000000005</v>
      </c>
      <c r="T366" s="25">
        <f t="shared" si="104"/>
        <v>1</v>
      </c>
      <c r="U366" s="25">
        <f t="shared" si="105"/>
        <v>7.078681176295997E-4</v>
      </c>
    </row>
    <row r="367" spans="1:21" ht="28.8" x14ac:dyDescent="0.3">
      <c r="A367" s="23" t="s">
        <v>416</v>
      </c>
      <c r="B367" s="23">
        <f>VLOOKUP(A367,MEMORIA!$A:$N,2,FALSE)</f>
        <v>94497</v>
      </c>
      <c r="C367" s="23" t="str">
        <f>VLOOKUP(A367,MEMORIA!$A:$N,3,FALSE)</f>
        <v>SINAPI</v>
      </c>
      <c r="D367" s="24" t="str">
        <f>VLOOKUP(A367,MEMORIA!$A:$N,4,FALSE)</f>
        <v>REGISTRO DE GAVETA BRUTO, LATÃO, ROSCÁVEL, 1 1/2" - FORNECIMENTO E INSTALAÇÃO. AF_08/2021</v>
      </c>
      <c r="E367" s="23" t="str">
        <f>VLOOKUP(A367,MEMORIA!$A:$N,5,FALSE)</f>
        <v>UN</v>
      </c>
      <c r="F367" s="5">
        <f>VLOOKUP(A367,MEMORIA!$A:$N,14,FALSE)</f>
        <v>1</v>
      </c>
      <c r="G367" s="5">
        <f>VLOOKUP(A367,ORCAMENTO!$A:$I,7,FALSE)</f>
        <v>118.80000000000001</v>
      </c>
      <c r="H367" s="5">
        <f>VLOOKUP(A367,ORCAMENTO!$A:$I,8,FALSE)</f>
        <v>148.31</v>
      </c>
      <c r="I367" s="5">
        <f>ROUND(F367*H367,2)</f>
        <v>148.31</v>
      </c>
      <c r="J367" s="5">
        <f>ROUND(K367*$H367,2)</f>
        <v>0</v>
      </c>
      <c r="K367" s="5">
        <v>0</v>
      </c>
      <c r="L367" s="25">
        <f t="shared" si="100"/>
        <v>0</v>
      </c>
      <c r="M367" s="5">
        <f>ROUND(N367*$H367,2)</f>
        <v>148.31</v>
      </c>
      <c r="N367" s="5">
        <f>F367</f>
        <v>1</v>
      </c>
      <c r="O367" s="25">
        <f t="shared" si="101"/>
        <v>1</v>
      </c>
      <c r="P367" s="5">
        <f>ROUND(Q367*$H367,2)</f>
        <v>0</v>
      </c>
      <c r="Q367" s="5">
        <v>0</v>
      </c>
      <c r="R367" s="25">
        <f t="shared" si="102"/>
        <v>0</v>
      </c>
      <c r="S367" s="5">
        <f t="shared" si="103"/>
        <v>148.31</v>
      </c>
      <c r="T367" s="25">
        <f t="shared" si="104"/>
        <v>1</v>
      </c>
      <c r="U367" s="25">
        <f t="shared" si="105"/>
        <v>2.0377313766623822E-4</v>
      </c>
    </row>
    <row r="368" spans="1:21" x14ac:dyDescent="0.3">
      <c r="A368" s="12" t="s">
        <v>105</v>
      </c>
      <c r="B368" s="46" t="str">
        <f>VLOOKUP(A368,MEMORIA!$A:$N,2,FALSE)</f>
        <v>RESERVAÇÃO</v>
      </c>
      <c r="C368" s="47"/>
      <c r="D368" s="47"/>
      <c r="E368" s="47"/>
      <c r="F368" s="47"/>
      <c r="G368" s="47"/>
      <c r="H368" s="48"/>
      <c r="I368" s="13">
        <f>SUM(I$369:I$369)</f>
        <v>20347.62</v>
      </c>
      <c r="J368" s="13">
        <f>SUM(J$369:J$369)</f>
        <v>0</v>
      </c>
      <c r="K368" s="13"/>
      <c r="L368" s="14">
        <f t="shared" si="100"/>
        <v>0</v>
      </c>
      <c r="M368" s="13">
        <f>SUM(M$369:M$369)</f>
        <v>20347.62</v>
      </c>
      <c r="N368" s="13"/>
      <c r="O368" s="14">
        <f t="shared" si="101"/>
        <v>1</v>
      </c>
      <c r="P368" s="13">
        <f>SUM(P$369:P$369)</f>
        <v>0</v>
      </c>
      <c r="Q368" s="13"/>
      <c r="R368" s="14">
        <f t="shared" si="102"/>
        <v>0</v>
      </c>
      <c r="S368" s="13">
        <f t="shared" si="103"/>
        <v>20347.62</v>
      </c>
      <c r="T368" s="14">
        <f t="shared" si="104"/>
        <v>1</v>
      </c>
      <c r="U368" s="14">
        <f t="shared" si="105"/>
        <v>2.7956971016386636E-2</v>
      </c>
    </row>
    <row r="369" spans="1:21" ht="57.6" x14ac:dyDescent="0.3">
      <c r="A369" s="23" t="s">
        <v>417</v>
      </c>
      <c r="B369" s="23" t="str">
        <f>VLOOKUP(A369,MEMORIA!$A:$N,2,FALSE)</f>
        <v>COMPOS32</v>
      </c>
      <c r="C369" s="23" t="str">
        <f>VLOOKUP(A369,MEMORIA!$A:$N,3,FALSE)</f>
        <v>PRÓPRIA</v>
      </c>
      <c r="D369" s="24" t="str">
        <f>VLOOKUP(A369,MEMORIA!$A:$N,4,FALSE)</f>
        <v>RESERVATÓRIO ELEVADO C/ CAIXA D'AGUA EM FIBRA DE VIDRO DE 10.000 LITROS APOIADO EM ESTRUTURA PRÉ-MOLDADA EM CONCRETO, COMPOSTA DE CAPITEL P/APOIO DA CAIXA E PILAR C/ALTURA ÚTIL = 7,00M, INCLUSO FRETE E MONTAGEM NO LOCAL, EXCETO INST. HIDRÁULICA</v>
      </c>
      <c r="E369" s="23" t="str">
        <f>VLOOKUP(A369,MEMORIA!$A:$N,5,FALSE)</f>
        <v>UND</v>
      </c>
      <c r="F369" s="5">
        <f>VLOOKUP(A369,MEMORIA!$A:$N,14,FALSE)</f>
        <v>1</v>
      </c>
      <c r="G369" s="5">
        <f>VLOOKUP(A369,ORCAMENTO!$A:$I,7,FALSE)</f>
        <v>16298.96</v>
      </c>
      <c r="H369" s="5">
        <f>VLOOKUP(A369,ORCAMENTO!$A:$I,8,FALSE)</f>
        <v>20347.62</v>
      </c>
      <c r="I369" s="5">
        <f>ROUND(F369*H369,2)</f>
        <v>20347.62</v>
      </c>
      <c r="J369" s="5">
        <f>ROUND(K369*$H369,2)</f>
        <v>0</v>
      </c>
      <c r="K369" s="5">
        <v>0</v>
      </c>
      <c r="L369" s="25">
        <f t="shared" si="100"/>
        <v>0</v>
      </c>
      <c r="M369" s="5">
        <f>ROUND(N369*$H369,2)</f>
        <v>20347.62</v>
      </c>
      <c r="N369" s="5">
        <f>F369</f>
        <v>1</v>
      </c>
      <c r="O369" s="25">
        <f t="shared" si="101"/>
        <v>1</v>
      </c>
      <c r="P369" s="5">
        <f>ROUND(Q369*$H369,2)</f>
        <v>0</v>
      </c>
      <c r="Q369" s="5">
        <v>0</v>
      </c>
      <c r="R369" s="25">
        <f t="shared" si="102"/>
        <v>0</v>
      </c>
      <c r="S369" s="5">
        <f t="shared" si="103"/>
        <v>20347.62</v>
      </c>
      <c r="T369" s="25">
        <f t="shared" si="104"/>
        <v>1</v>
      </c>
      <c r="U369" s="25">
        <f t="shared" si="105"/>
        <v>2.7956971016386636E-2</v>
      </c>
    </row>
    <row r="370" spans="1:21" x14ac:dyDescent="0.3">
      <c r="A370" s="12" t="s">
        <v>106</v>
      </c>
      <c r="B370" s="46" t="str">
        <f>VLOOKUP(A370,MEMORIA!$A:$N,2,FALSE)</f>
        <v>DISTRIBUIÇÃO (CHAFARIZ)</v>
      </c>
      <c r="C370" s="47"/>
      <c r="D370" s="47"/>
      <c r="E370" s="47"/>
      <c r="F370" s="47"/>
      <c r="G370" s="47"/>
      <c r="H370" s="48"/>
      <c r="I370" s="13">
        <f>SUM(I$371:I$382)</f>
        <v>2831.9999999999995</v>
      </c>
      <c r="J370" s="13">
        <f>SUM(J$371:J$382)</f>
        <v>0</v>
      </c>
      <c r="K370" s="13"/>
      <c r="L370" s="14">
        <f t="shared" si="100"/>
        <v>0</v>
      </c>
      <c r="M370" s="13">
        <f>SUM(M$371:M$382)</f>
        <v>2831.9999999999995</v>
      </c>
      <c r="N370" s="13"/>
      <c r="O370" s="14">
        <f t="shared" si="101"/>
        <v>1</v>
      </c>
      <c r="P370" s="13">
        <f>SUM(P$371:P$382)</f>
        <v>0</v>
      </c>
      <c r="Q370" s="13"/>
      <c r="R370" s="14">
        <f t="shared" si="102"/>
        <v>0</v>
      </c>
      <c r="S370" s="13">
        <f t="shared" si="103"/>
        <v>2831.9999999999995</v>
      </c>
      <c r="T370" s="14">
        <f t="shared" si="104"/>
        <v>1</v>
      </c>
      <c r="U370" s="14">
        <f t="shared" si="105"/>
        <v>3.8910762987714015E-3</v>
      </c>
    </row>
    <row r="371" spans="1:21" ht="28.8" x14ac:dyDescent="0.3">
      <c r="A371" s="23" t="s">
        <v>418</v>
      </c>
      <c r="B371" s="23" t="str">
        <f>VLOOKUP(A371,MEMORIA!$A:$N,2,FALSE)</f>
        <v>COMPOS27</v>
      </c>
      <c r="C371" s="23" t="str">
        <f>VLOOKUP(A371,MEMORIA!$A:$N,3,FALSE)</f>
        <v>PRÓPRIA</v>
      </c>
      <c r="D371" s="24" t="str">
        <f>VLOOKUP(A371,MEMORIA!$A:$N,4,FALSE)</f>
        <v>AQUISIÇÃO E ASSENTAMENTO DE TUBO RÍGIDO PVC, CLASSE 12, DN 50 MM, INCLUSO CONEXÕES</v>
      </c>
      <c r="E371" s="23" t="str">
        <f>VLOOKUP(A371,MEMORIA!$A:$N,5,FALSE)</f>
        <v>M</v>
      </c>
      <c r="F371" s="5">
        <f>VLOOKUP(A371,MEMORIA!$A:$N,14,FALSE)</f>
        <v>18</v>
      </c>
      <c r="G371" s="5">
        <f>VLOOKUP(A371,ORCAMENTO!$A:$I,7,FALSE)</f>
        <v>25.79</v>
      </c>
      <c r="H371" s="5">
        <f>VLOOKUP(A371,ORCAMENTO!$A:$I,8,FALSE)</f>
        <v>32.200000000000003</v>
      </c>
      <c r="I371" s="5">
        <f t="shared" ref="I371:I382" si="111">ROUND(F371*H371,2)</f>
        <v>579.6</v>
      </c>
      <c r="J371" s="5">
        <f t="shared" ref="J371:J382" si="112">ROUND(K371*$H371,2)</f>
        <v>0</v>
      </c>
      <c r="K371" s="5">
        <v>0</v>
      </c>
      <c r="L371" s="25">
        <f t="shared" si="100"/>
        <v>0</v>
      </c>
      <c r="M371" s="5">
        <f t="shared" ref="M371:M382" si="113">ROUND(N371*$H371,2)</f>
        <v>579.6</v>
      </c>
      <c r="N371" s="5">
        <f>F371</f>
        <v>18</v>
      </c>
      <c r="O371" s="25">
        <f t="shared" si="101"/>
        <v>1</v>
      </c>
      <c r="P371" s="5">
        <f t="shared" ref="P371:P382" si="114">ROUND(Q371*$H371,2)</f>
        <v>0</v>
      </c>
      <c r="Q371" s="5">
        <v>0</v>
      </c>
      <c r="R371" s="25">
        <f t="shared" si="102"/>
        <v>0</v>
      </c>
      <c r="S371" s="5">
        <f t="shared" si="103"/>
        <v>579.6</v>
      </c>
      <c r="T371" s="25">
        <f t="shared" si="104"/>
        <v>1</v>
      </c>
      <c r="U371" s="25">
        <f t="shared" si="105"/>
        <v>7.963516323332997E-4</v>
      </c>
    </row>
    <row r="372" spans="1:21" ht="28.8" x14ac:dyDescent="0.3">
      <c r="A372" s="23" t="s">
        <v>419</v>
      </c>
      <c r="B372" s="23" t="str">
        <f>VLOOKUP(A372,MEMORIA!$A:$N,2,FALSE)</f>
        <v>06457/ORSE</v>
      </c>
      <c r="C372" s="23" t="str">
        <f>VLOOKUP(A372,MEMORIA!$A:$N,3,FALSE)</f>
        <v>ORSE</v>
      </c>
      <c r="D372" s="24" t="str">
        <f>VLOOKUP(A372,MEMORIA!$A:$N,4,FALSE)</f>
        <v>CONCRETO ARMADO FCK=15MPA FABRICADO NA OBRA, ADENSADO E LANÇADO, PARA USO GERAL, COM FORMAS PLANAS EM COMPENSADO RESINADO 12MM (05 USOS)</v>
      </c>
      <c r="E372" s="23" t="str">
        <f>VLOOKUP(A372,MEMORIA!$A:$N,5,FALSE)</f>
        <v>M3</v>
      </c>
      <c r="F372" s="5">
        <f>VLOOKUP(A372,MEMORIA!$A:$N,14,FALSE)</f>
        <v>0.26</v>
      </c>
      <c r="G372" s="5">
        <f>VLOOKUP(A372,ORCAMENTO!$A:$I,7,FALSE)</f>
        <v>2617.91</v>
      </c>
      <c r="H372" s="5">
        <f>VLOOKUP(A372,ORCAMENTO!$A:$I,8,FALSE)</f>
        <v>3268.2</v>
      </c>
      <c r="I372" s="5">
        <f t="shared" si="111"/>
        <v>849.73</v>
      </c>
      <c r="J372" s="5">
        <f t="shared" si="112"/>
        <v>0</v>
      </c>
      <c r="K372" s="5">
        <v>0</v>
      </c>
      <c r="L372" s="25">
        <f t="shared" si="100"/>
        <v>0</v>
      </c>
      <c r="M372" s="5">
        <f t="shared" si="113"/>
        <v>849.73</v>
      </c>
      <c r="N372" s="5">
        <f t="shared" ref="N372:N382" si="115">F372</f>
        <v>0.26</v>
      </c>
      <c r="O372" s="25">
        <f t="shared" si="101"/>
        <v>1</v>
      </c>
      <c r="P372" s="5">
        <f t="shared" si="114"/>
        <v>0</v>
      </c>
      <c r="Q372" s="5">
        <v>0</v>
      </c>
      <c r="R372" s="25">
        <f t="shared" si="102"/>
        <v>0</v>
      </c>
      <c r="S372" s="5">
        <f t="shared" si="103"/>
        <v>849.73</v>
      </c>
      <c r="T372" s="25">
        <f t="shared" si="104"/>
        <v>1</v>
      </c>
      <c r="U372" s="25">
        <f t="shared" si="105"/>
        <v>1.1675015054219715E-3</v>
      </c>
    </row>
    <row r="373" spans="1:21" ht="28.8" x14ac:dyDescent="0.3">
      <c r="A373" s="23" t="s">
        <v>420</v>
      </c>
      <c r="B373" s="23">
        <f>VLOOKUP(A373,MEMORIA!$A:$N,2,FALSE)</f>
        <v>86906</v>
      </c>
      <c r="C373" s="23" t="str">
        <f>VLOOKUP(A373,MEMORIA!$A:$N,3,FALSE)</f>
        <v>SINAPI</v>
      </c>
      <c r="D373" s="24" t="str">
        <f>VLOOKUP(A373,MEMORIA!$A:$N,4,FALSE)</f>
        <v>TORNEIRA CROMADA DE MESA, 1/2" OU 3/4", PARA LAVATÓRIO, PADRÃO POPULAR - FORNECIMENTO E INSTALAÇÃO. AF_01/2020</v>
      </c>
      <c r="E373" s="23" t="str">
        <f>VLOOKUP(A373,MEMORIA!$A:$N,5,FALSE)</f>
        <v>UN</v>
      </c>
      <c r="F373" s="5">
        <f>VLOOKUP(A373,MEMORIA!$A:$N,14,FALSE)</f>
        <v>4</v>
      </c>
      <c r="G373" s="5">
        <f>VLOOKUP(A373,ORCAMENTO!$A:$I,7,FALSE)</f>
        <v>81.239999999999995</v>
      </c>
      <c r="H373" s="5">
        <f>VLOOKUP(A373,ORCAMENTO!$A:$I,8,FALSE)</f>
        <v>101.41999999999999</v>
      </c>
      <c r="I373" s="5">
        <f t="shared" si="111"/>
        <v>405.68</v>
      </c>
      <c r="J373" s="5">
        <f t="shared" si="112"/>
        <v>0</v>
      </c>
      <c r="K373" s="5">
        <v>0</v>
      </c>
      <c r="L373" s="25">
        <f t="shared" si="100"/>
        <v>0</v>
      </c>
      <c r="M373" s="5">
        <f t="shared" si="113"/>
        <v>405.68</v>
      </c>
      <c r="N373" s="5">
        <f t="shared" si="115"/>
        <v>4</v>
      </c>
      <c r="O373" s="25">
        <f t="shared" si="101"/>
        <v>1</v>
      </c>
      <c r="P373" s="5">
        <f t="shared" si="114"/>
        <v>0</v>
      </c>
      <c r="Q373" s="5">
        <v>0</v>
      </c>
      <c r="R373" s="25">
        <f t="shared" si="102"/>
        <v>0</v>
      </c>
      <c r="S373" s="5">
        <f t="shared" si="103"/>
        <v>405.68</v>
      </c>
      <c r="T373" s="25">
        <f t="shared" si="104"/>
        <v>1</v>
      </c>
      <c r="U373" s="25">
        <f t="shared" si="105"/>
        <v>5.5739118392852483E-4</v>
      </c>
    </row>
    <row r="374" spans="1:21" ht="43.2" x14ac:dyDescent="0.3">
      <c r="A374" s="23" t="s">
        <v>421</v>
      </c>
      <c r="B374" s="23">
        <f>VLOOKUP(A374,MEMORIA!$A:$N,2,FALSE)</f>
        <v>92920</v>
      </c>
      <c r="C374" s="23" t="str">
        <f>VLOOKUP(A374,MEMORIA!$A:$N,3,FALSE)</f>
        <v>SINAPI</v>
      </c>
      <c r="D374" s="24" t="str">
        <f>VLOOKUP(A374,MEMORIA!$A:$N,4,FALSE)</f>
        <v>LUVA DE REDUÇÃO, EM FERRO GALVANIZADO, 1" X 3/4", CONEXÃO ROSQUEADA, INSTALADO EM REDE DE ALIMENTAÇÃO PARA HIDRANTE - FORNECIMENTO E INSTALAÇÃO. AF_10/2020</v>
      </c>
      <c r="E374" s="23" t="str">
        <f>VLOOKUP(A374,MEMORIA!$A:$N,5,FALSE)</f>
        <v>UN</v>
      </c>
      <c r="F374" s="5">
        <f>VLOOKUP(A374,MEMORIA!$A:$N,14,FALSE)</f>
        <v>4</v>
      </c>
      <c r="G374" s="5">
        <f>VLOOKUP(A374,ORCAMENTO!$A:$I,7,FALSE)</f>
        <v>35.64</v>
      </c>
      <c r="H374" s="5">
        <f>VLOOKUP(A374,ORCAMENTO!$A:$I,8,FALSE)</f>
        <v>44.49</v>
      </c>
      <c r="I374" s="5">
        <f t="shared" si="111"/>
        <v>177.96</v>
      </c>
      <c r="J374" s="5">
        <f t="shared" si="112"/>
        <v>0</v>
      </c>
      <c r="K374" s="5">
        <v>0</v>
      </c>
      <c r="L374" s="25">
        <f t="shared" si="100"/>
        <v>0</v>
      </c>
      <c r="M374" s="5">
        <f t="shared" si="113"/>
        <v>177.96</v>
      </c>
      <c r="N374" s="5">
        <f t="shared" si="115"/>
        <v>4</v>
      </c>
      <c r="O374" s="25">
        <f t="shared" si="101"/>
        <v>1</v>
      </c>
      <c r="P374" s="5">
        <f t="shared" si="114"/>
        <v>0</v>
      </c>
      <c r="Q374" s="5">
        <v>0</v>
      </c>
      <c r="R374" s="25">
        <f t="shared" si="102"/>
        <v>0</v>
      </c>
      <c r="S374" s="5">
        <f t="shared" si="103"/>
        <v>177.96</v>
      </c>
      <c r="T374" s="25">
        <f t="shared" si="104"/>
        <v>1</v>
      </c>
      <c r="U374" s="25">
        <f t="shared" si="105"/>
        <v>2.4451127758805041E-4</v>
      </c>
    </row>
    <row r="375" spans="1:21" x14ac:dyDescent="0.3">
      <c r="A375" s="23" t="s">
        <v>422</v>
      </c>
      <c r="B375" s="23" t="str">
        <f>VLOOKUP(A375,MEMORIA!$A:$N,2,FALSE)</f>
        <v>COMPCH08</v>
      </c>
      <c r="C375" s="23" t="str">
        <f>VLOOKUP(A375,MEMORIA!$A:$N,3,FALSE)</f>
        <v>PRÓPRIA</v>
      </c>
      <c r="D375" s="24" t="str">
        <f>VLOOKUP(A375,MEMORIA!$A:$N,4,FALSE)</f>
        <v>CRUZETA DE FERRO GALVANIZADO, COM ROSCA BSP, DE 1"</v>
      </c>
      <c r="E375" s="23" t="str">
        <f>VLOOKUP(A375,MEMORIA!$A:$N,5,FALSE)</f>
        <v>UN</v>
      </c>
      <c r="F375" s="5">
        <f>VLOOKUP(A375,MEMORIA!$A:$N,14,FALSE)</f>
        <v>1</v>
      </c>
      <c r="G375" s="5">
        <f>VLOOKUP(A375,ORCAMENTO!$A:$I,7,FALSE)</f>
        <v>85.84</v>
      </c>
      <c r="H375" s="5">
        <f>VLOOKUP(A375,ORCAMENTO!$A:$I,8,FALSE)</f>
        <v>107.16</v>
      </c>
      <c r="I375" s="5">
        <f t="shared" si="111"/>
        <v>107.16</v>
      </c>
      <c r="J375" s="5">
        <f t="shared" si="112"/>
        <v>0</v>
      </c>
      <c r="K375" s="5">
        <v>0</v>
      </c>
      <c r="L375" s="25">
        <f t="shared" si="100"/>
        <v>0</v>
      </c>
      <c r="M375" s="5">
        <f t="shared" si="113"/>
        <v>107.16</v>
      </c>
      <c r="N375" s="5">
        <f t="shared" si="115"/>
        <v>1</v>
      </c>
      <c r="O375" s="25">
        <f t="shared" si="101"/>
        <v>1</v>
      </c>
      <c r="P375" s="5">
        <f t="shared" si="114"/>
        <v>0</v>
      </c>
      <c r="Q375" s="5">
        <v>0</v>
      </c>
      <c r="R375" s="25">
        <f t="shared" si="102"/>
        <v>0</v>
      </c>
      <c r="S375" s="5">
        <f t="shared" si="103"/>
        <v>107.16</v>
      </c>
      <c r="T375" s="25">
        <f t="shared" si="104"/>
        <v>1</v>
      </c>
      <c r="U375" s="25">
        <f t="shared" si="105"/>
        <v>1.4723437011876533E-4</v>
      </c>
    </row>
    <row r="376" spans="1:21" ht="28.8" x14ac:dyDescent="0.3">
      <c r="A376" s="23" t="s">
        <v>423</v>
      </c>
      <c r="B376" s="23" t="str">
        <f>VLOOKUP(A376,MEMORIA!$A:$N,2,FALSE)</f>
        <v>COMPCH01</v>
      </c>
      <c r="C376" s="23" t="str">
        <f>VLOOKUP(A376,MEMORIA!$A:$N,3,FALSE)</f>
        <v>PRÓPRIA</v>
      </c>
      <c r="D376" s="24" t="str">
        <f>VLOOKUP(A376,MEMORIA!$A:$N,4,FALSE)</f>
        <v>TÊ, EM FERRO GALVANIZADO, 1", CONEXÃO ROSQUEADA, INSTALADO EM PRUMADAS - FORNECIMENTO E INSTALAÇÃO.</v>
      </c>
      <c r="E376" s="23" t="str">
        <f>VLOOKUP(A376,MEMORIA!$A:$N,5,FALSE)</f>
        <v>UN</v>
      </c>
      <c r="F376" s="5">
        <f>VLOOKUP(A376,MEMORIA!$A:$N,14,FALSE)</f>
        <v>1</v>
      </c>
      <c r="G376" s="5">
        <f>VLOOKUP(A376,ORCAMENTO!$A:$I,7,FALSE)</f>
        <v>69.28</v>
      </c>
      <c r="H376" s="5">
        <f>VLOOKUP(A376,ORCAMENTO!$A:$I,8,FALSE)</f>
        <v>86.490000000000009</v>
      </c>
      <c r="I376" s="5">
        <f t="shared" si="111"/>
        <v>86.49</v>
      </c>
      <c r="J376" s="5">
        <f t="shared" si="112"/>
        <v>0</v>
      </c>
      <c r="K376" s="5">
        <v>0</v>
      </c>
      <c r="L376" s="25">
        <f t="shared" si="100"/>
        <v>0</v>
      </c>
      <c r="M376" s="5">
        <f t="shared" si="113"/>
        <v>86.49</v>
      </c>
      <c r="N376" s="5">
        <f t="shared" si="115"/>
        <v>1</v>
      </c>
      <c r="O376" s="25">
        <f t="shared" si="101"/>
        <v>1</v>
      </c>
      <c r="P376" s="5">
        <f t="shared" si="114"/>
        <v>0</v>
      </c>
      <c r="Q376" s="5">
        <v>0</v>
      </c>
      <c r="R376" s="25">
        <f t="shared" si="102"/>
        <v>0</v>
      </c>
      <c r="S376" s="5">
        <f t="shared" si="103"/>
        <v>86.49</v>
      </c>
      <c r="T376" s="25">
        <f t="shared" si="104"/>
        <v>1</v>
      </c>
      <c r="U376" s="25">
        <f t="shared" si="105"/>
        <v>1.1883445942116473E-4</v>
      </c>
    </row>
    <row r="377" spans="1:21" x14ac:dyDescent="0.3">
      <c r="A377" s="23" t="s">
        <v>424</v>
      </c>
      <c r="B377" s="23" t="str">
        <f>VLOOKUP(A377,MEMORIA!$A:$N,2,FALSE)</f>
        <v>COMPCH02</v>
      </c>
      <c r="C377" s="23" t="str">
        <f>VLOOKUP(A377,MEMORIA!$A:$N,3,FALSE)</f>
        <v>PRÓPRIA</v>
      </c>
      <c r="D377" s="24" t="str">
        <f>VLOOKUP(A377,MEMORIA!$A:$N,4,FALSE)</f>
        <v>LUVA DE FERRO GALVANIZADO, COM ROSCA BSP, DE 1"- FORNECIMENTO E INSTALAÇÃO</v>
      </c>
      <c r="E377" s="23" t="str">
        <f>VLOOKUP(A377,MEMORIA!$A:$N,5,FALSE)</f>
        <v>UN</v>
      </c>
      <c r="F377" s="5">
        <f>VLOOKUP(A377,MEMORIA!$A:$N,14,FALSE)</f>
        <v>1</v>
      </c>
      <c r="G377" s="5">
        <f>VLOOKUP(A377,ORCAMENTO!$A:$I,7,FALSE)</f>
        <v>21.18</v>
      </c>
      <c r="H377" s="5">
        <f>VLOOKUP(A377,ORCAMENTO!$A:$I,8,FALSE)</f>
        <v>26.439999999999998</v>
      </c>
      <c r="I377" s="5">
        <f t="shared" si="111"/>
        <v>26.44</v>
      </c>
      <c r="J377" s="5">
        <f t="shared" si="112"/>
        <v>0</v>
      </c>
      <c r="K377" s="5">
        <v>0</v>
      </c>
      <c r="L377" s="25">
        <f t="shared" si="100"/>
        <v>0</v>
      </c>
      <c r="M377" s="5">
        <f t="shared" si="113"/>
        <v>26.44</v>
      </c>
      <c r="N377" s="5">
        <f t="shared" si="115"/>
        <v>1</v>
      </c>
      <c r="O377" s="25">
        <f t="shared" si="101"/>
        <v>1</v>
      </c>
      <c r="P377" s="5">
        <f t="shared" si="114"/>
        <v>0</v>
      </c>
      <c r="Q377" s="5">
        <v>0</v>
      </c>
      <c r="R377" s="25">
        <f t="shared" si="102"/>
        <v>0</v>
      </c>
      <c r="S377" s="5">
        <f t="shared" si="103"/>
        <v>26.44</v>
      </c>
      <c r="T377" s="25">
        <f t="shared" si="104"/>
        <v>1</v>
      </c>
      <c r="U377" s="25">
        <f t="shared" si="105"/>
        <v>3.6327703862823399E-5</v>
      </c>
    </row>
    <row r="378" spans="1:21" ht="28.8" x14ac:dyDescent="0.3">
      <c r="A378" s="23" t="s">
        <v>425</v>
      </c>
      <c r="B378" s="23" t="str">
        <f>VLOOKUP(A378,MEMORIA!$A:$N,2,FALSE)</f>
        <v>COMPCH03</v>
      </c>
      <c r="C378" s="23" t="str">
        <f>VLOOKUP(A378,MEMORIA!$A:$N,3,FALSE)</f>
        <v>PRÓPRIA</v>
      </c>
      <c r="D378" s="24" t="str">
        <f>VLOOKUP(A378,MEMORIA!$A:$N,4,FALSE)</f>
        <v>CURVA 90 GRAUS DE FERRO GALVANIZADO, COM ROSCA BSP FEMEA, DE 1"- FORNECIMENTO E INSTALAÇÃO</v>
      </c>
      <c r="E378" s="23" t="str">
        <f>VLOOKUP(A378,MEMORIA!$A:$N,5,FALSE)</f>
        <v>UN</v>
      </c>
      <c r="F378" s="5">
        <f>VLOOKUP(A378,MEMORIA!$A:$N,14,FALSE)</f>
        <v>1</v>
      </c>
      <c r="G378" s="5">
        <f>VLOOKUP(A378,ORCAMENTO!$A:$I,7,FALSE)</f>
        <v>55.2</v>
      </c>
      <c r="H378" s="5">
        <f>VLOOKUP(A378,ORCAMENTO!$A:$I,8,FALSE)</f>
        <v>68.91</v>
      </c>
      <c r="I378" s="5">
        <f t="shared" si="111"/>
        <v>68.91</v>
      </c>
      <c r="J378" s="5">
        <f t="shared" si="112"/>
        <v>0</v>
      </c>
      <c r="K378" s="5">
        <v>0</v>
      </c>
      <c r="L378" s="25">
        <f t="shared" si="100"/>
        <v>0</v>
      </c>
      <c r="M378" s="5">
        <f t="shared" si="113"/>
        <v>68.91</v>
      </c>
      <c r="N378" s="5">
        <f t="shared" si="115"/>
        <v>1</v>
      </c>
      <c r="O378" s="25">
        <f t="shared" si="101"/>
        <v>1</v>
      </c>
      <c r="P378" s="5">
        <f t="shared" si="114"/>
        <v>0</v>
      </c>
      <c r="Q378" s="5">
        <v>0</v>
      </c>
      <c r="R378" s="25">
        <f t="shared" si="102"/>
        <v>0</v>
      </c>
      <c r="S378" s="5">
        <f t="shared" si="103"/>
        <v>68.91</v>
      </c>
      <c r="T378" s="25">
        <f t="shared" si="104"/>
        <v>1</v>
      </c>
      <c r="U378" s="25">
        <f t="shared" si="105"/>
        <v>9.46801086681982E-5</v>
      </c>
    </row>
    <row r="379" spans="1:21" ht="28.8" x14ac:dyDescent="0.3">
      <c r="A379" s="23" t="s">
        <v>426</v>
      </c>
      <c r="B379" s="23" t="str">
        <f>VLOOKUP(A379,MEMORIA!$A:$N,2,FALSE)</f>
        <v>COMPCH04</v>
      </c>
      <c r="C379" s="23" t="str">
        <f>VLOOKUP(A379,MEMORIA!$A:$N,3,FALSE)</f>
        <v>PRÓPRIA</v>
      </c>
      <c r="D379" s="24" t="str">
        <f>VLOOKUP(A379,MEMORIA!$A:$N,4,FALSE)</f>
        <v>TUBO DE AÇO GALVANIZADO COM COSTURA 1" (25MM), INCLUSIVE CONEXOES - FORNECIMENTO E INSTALAÇÃO</v>
      </c>
      <c r="E379" s="23" t="str">
        <f>VLOOKUP(A379,MEMORIA!$A:$N,5,FALSE)</f>
        <v>M</v>
      </c>
      <c r="F379" s="5">
        <f>VLOOKUP(A379,MEMORIA!$A:$N,14,FALSE)</f>
        <v>3</v>
      </c>
      <c r="G379" s="5">
        <f>VLOOKUP(A379,ORCAMENTO!$A:$I,7,FALSE)</f>
        <v>46.050000000000004</v>
      </c>
      <c r="H379" s="5">
        <f>VLOOKUP(A379,ORCAMENTO!$A:$I,8,FALSE)</f>
        <v>57.49</v>
      </c>
      <c r="I379" s="5">
        <f t="shared" si="111"/>
        <v>172.47</v>
      </c>
      <c r="J379" s="5">
        <f t="shared" si="112"/>
        <v>0</v>
      </c>
      <c r="K379" s="5">
        <v>0</v>
      </c>
      <c r="L379" s="25">
        <f t="shared" si="100"/>
        <v>0</v>
      </c>
      <c r="M379" s="5">
        <f t="shared" si="113"/>
        <v>172.47</v>
      </c>
      <c r="N379" s="5">
        <f t="shared" si="115"/>
        <v>3</v>
      </c>
      <c r="O379" s="25">
        <f t="shared" si="101"/>
        <v>1</v>
      </c>
      <c r="P379" s="5">
        <f t="shared" si="114"/>
        <v>0</v>
      </c>
      <c r="Q379" s="5">
        <v>0</v>
      </c>
      <c r="R379" s="25">
        <f t="shared" si="102"/>
        <v>0</v>
      </c>
      <c r="S379" s="5">
        <f t="shared" si="103"/>
        <v>172.47</v>
      </c>
      <c r="T379" s="25">
        <f t="shared" si="104"/>
        <v>1</v>
      </c>
      <c r="U379" s="25">
        <f t="shared" si="105"/>
        <v>2.3696819535632194E-4</v>
      </c>
    </row>
    <row r="380" spans="1:21" ht="28.8" x14ac:dyDescent="0.3">
      <c r="A380" s="23" t="s">
        <v>427</v>
      </c>
      <c r="B380" s="23" t="str">
        <f>VLOOKUP(A380,MEMORIA!$A:$N,2,FALSE)</f>
        <v>COMPCH05</v>
      </c>
      <c r="C380" s="23" t="str">
        <f>VLOOKUP(A380,MEMORIA!$A:$N,3,FALSE)</f>
        <v>PRÓPRIA</v>
      </c>
      <c r="D380" s="24" t="str">
        <f>VLOOKUP(A380,MEMORIA!$A:$N,4,FALSE)</f>
        <v>BUCHA DE REDUCAO DE FERRO GALVANIZADO, COM ROSCA BSP, DE 1 1/2" X 1"- FORNECIMENTO E INSTALAÇÃO</v>
      </c>
      <c r="E380" s="23" t="str">
        <f>VLOOKUP(A380,MEMORIA!$A:$N,5,FALSE)</f>
        <v>UN</v>
      </c>
      <c r="F380" s="5">
        <f>VLOOKUP(A380,MEMORIA!$A:$N,14,FALSE)</f>
        <v>1</v>
      </c>
      <c r="G380" s="5">
        <f>VLOOKUP(A380,ORCAMENTO!$A:$I,7,FALSE)</f>
        <v>37.659999999999997</v>
      </c>
      <c r="H380" s="5">
        <f>VLOOKUP(A380,ORCAMENTO!$A:$I,8,FALSE)</f>
        <v>47.01</v>
      </c>
      <c r="I380" s="5">
        <f t="shared" si="111"/>
        <v>47.01</v>
      </c>
      <c r="J380" s="5">
        <f t="shared" si="112"/>
        <v>0</v>
      </c>
      <c r="K380" s="5">
        <v>0</v>
      </c>
      <c r="L380" s="25">
        <f t="shared" si="100"/>
        <v>0</v>
      </c>
      <c r="M380" s="5">
        <f t="shared" si="113"/>
        <v>47.01</v>
      </c>
      <c r="N380" s="5">
        <f t="shared" si="115"/>
        <v>1</v>
      </c>
      <c r="O380" s="25">
        <f t="shared" si="101"/>
        <v>1</v>
      </c>
      <c r="P380" s="5">
        <f t="shared" si="114"/>
        <v>0</v>
      </c>
      <c r="Q380" s="5">
        <v>0</v>
      </c>
      <c r="R380" s="25">
        <f t="shared" si="102"/>
        <v>0</v>
      </c>
      <c r="S380" s="5">
        <f t="shared" si="103"/>
        <v>47.01</v>
      </c>
      <c r="T380" s="25">
        <f t="shared" si="104"/>
        <v>1</v>
      </c>
      <c r="U380" s="25">
        <f t="shared" si="105"/>
        <v>6.4590217798461724E-5</v>
      </c>
    </row>
    <row r="381" spans="1:21" ht="28.8" x14ac:dyDescent="0.3">
      <c r="A381" s="23" t="s">
        <v>428</v>
      </c>
      <c r="B381" s="23">
        <f>VLOOKUP(A381,MEMORIA!$A:$N,2,FALSE)</f>
        <v>94497</v>
      </c>
      <c r="C381" s="23" t="str">
        <f>VLOOKUP(A381,MEMORIA!$A:$N,3,FALSE)</f>
        <v>SINAPI</v>
      </c>
      <c r="D381" s="24" t="str">
        <f>VLOOKUP(A381,MEMORIA!$A:$N,4,FALSE)</f>
        <v>REGISTRO DE GAVETA BRUTO, LATÃO, ROSCÁVEL, 1 1/2" - FORNECIMENTO E INSTALAÇÃO. AF_08/2021</v>
      </c>
      <c r="E381" s="23" t="str">
        <f>VLOOKUP(A381,MEMORIA!$A:$N,5,FALSE)</f>
        <v>UN</v>
      </c>
      <c r="F381" s="5">
        <f>VLOOKUP(A381,MEMORIA!$A:$N,14,FALSE)</f>
        <v>2</v>
      </c>
      <c r="G381" s="5">
        <f>VLOOKUP(A381,ORCAMENTO!$A:$I,7,FALSE)</f>
        <v>118.80000000000001</v>
      </c>
      <c r="H381" s="5">
        <f>VLOOKUP(A381,ORCAMENTO!$A:$I,8,FALSE)</f>
        <v>148.31</v>
      </c>
      <c r="I381" s="5">
        <f t="shared" si="111"/>
        <v>296.62</v>
      </c>
      <c r="J381" s="5">
        <f t="shared" si="112"/>
        <v>0</v>
      </c>
      <c r="K381" s="5">
        <v>0</v>
      </c>
      <c r="L381" s="25">
        <f t="shared" si="100"/>
        <v>0</v>
      </c>
      <c r="M381" s="5">
        <f t="shared" si="113"/>
        <v>296.62</v>
      </c>
      <c r="N381" s="5">
        <f t="shared" si="115"/>
        <v>2</v>
      </c>
      <c r="O381" s="25">
        <f t="shared" si="101"/>
        <v>1</v>
      </c>
      <c r="P381" s="5">
        <f t="shared" si="114"/>
        <v>0</v>
      </c>
      <c r="Q381" s="5">
        <v>0</v>
      </c>
      <c r="R381" s="25">
        <f t="shared" si="102"/>
        <v>0</v>
      </c>
      <c r="S381" s="5">
        <f t="shared" si="103"/>
        <v>296.62</v>
      </c>
      <c r="T381" s="25">
        <f t="shared" si="104"/>
        <v>1</v>
      </c>
      <c r="U381" s="25">
        <f t="shared" si="105"/>
        <v>4.0754627533247644E-4</v>
      </c>
    </row>
    <row r="382" spans="1:21" ht="28.8" x14ac:dyDescent="0.3">
      <c r="A382" s="23" t="s">
        <v>429</v>
      </c>
      <c r="B382" s="23" t="str">
        <f>VLOOKUP(A382,MEMORIA!$A:$N,2,FALSE)</f>
        <v>COMPCH07</v>
      </c>
      <c r="C382" s="23" t="str">
        <f>VLOOKUP(A382,MEMORIA!$A:$N,3,FALSE)</f>
        <v>PRÓPRIA</v>
      </c>
      <c r="D382" s="24" t="str">
        <f>VLOOKUP(A382,MEMORIA!$A:$N,4,FALSE)</f>
        <v>ADAPTADOR CURTO COM BOLSA E ROSCA PARA REGISTRO, PVC, SOLDÁVEL, DN 40MM X 1.1/2, INSTALADO EM PRUMADA DE ÁGUA - FORNECIMENTO E INSTALAÇÃO</v>
      </c>
      <c r="E382" s="23" t="str">
        <f>VLOOKUP(A382,MEMORIA!$A:$N,5,FALSE)</f>
        <v>UN</v>
      </c>
      <c r="F382" s="5">
        <f>VLOOKUP(A382,MEMORIA!$A:$N,14,FALSE)</f>
        <v>1</v>
      </c>
      <c r="G382" s="5">
        <f>VLOOKUP(A382,ORCAMENTO!$A:$I,7,FALSE)</f>
        <v>11.16</v>
      </c>
      <c r="H382" s="5">
        <f>VLOOKUP(A382,ORCAMENTO!$A:$I,8,FALSE)</f>
        <v>13.93</v>
      </c>
      <c r="I382" s="5">
        <f t="shared" si="111"/>
        <v>13.93</v>
      </c>
      <c r="J382" s="5">
        <f t="shared" si="112"/>
        <v>0</v>
      </c>
      <c r="K382" s="5">
        <v>0</v>
      </c>
      <c r="L382" s="25">
        <f t="shared" si="100"/>
        <v>0</v>
      </c>
      <c r="M382" s="5">
        <f t="shared" si="113"/>
        <v>13.93</v>
      </c>
      <c r="N382" s="5">
        <f t="shared" si="115"/>
        <v>1</v>
      </c>
      <c r="O382" s="25">
        <f t="shared" si="101"/>
        <v>1</v>
      </c>
      <c r="P382" s="5">
        <f t="shared" si="114"/>
        <v>0</v>
      </c>
      <c r="Q382" s="5">
        <v>0</v>
      </c>
      <c r="R382" s="25">
        <f t="shared" si="102"/>
        <v>0</v>
      </c>
      <c r="S382" s="5">
        <f t="shared" si="103"/>
        <v>13.93</v>
      </c>
      <c r="T382" s="25">
        <f t="shared" si="104"/>
        <v>1</v>
      </c>
      <c r="U382" s="25">
        <f t="shared" si="105"/>
        <v>1.9139368941343795E-5</v>
      </c>
    </row>
    <row r="383" spans="1:21" x14ac:dyDescent="0.3">
      <c r="A383" s="9">
        <v>6</v>
      </c>
      <c r="B383" s="52" t="str">
        <f>VLOOKUP(A383,MEMORIA!$A:$N,2,FALSE)</f>
        <v>COMUNIDADE VÁRZEA</v>
      </c>
      <c r="C383" s="53"/>
      <c r="D383" s="53"/>
      <c r="E383" s="53"/>
      <c r="F383" s="53"/>
      <c r="G383" s="53"/>
      <c r="H383" s="54"/>
      <c r="I383" s="10">
        <f>SUM(I$384,I$402,I$409,I$443,I$452,I$461,I$463,)</f>
        <v>136808.64000000001</v>
      </c>
      <c r="J383" s="10">
        <f>SUM(J$384,J$402,J$409,J$443,J$452,J$461,J$463,)</f>
        <v>0</v>
      </c>
      <c r="K383" s="10"/>
      <c r="L383" s="11">
        <f t="shared" si="100"/>
        <v>0</v>
      </c>
      <c r="M383" s="10">
        <f>SUM(M$384,M$402,M$409,M$443,M$452,M$461,M$463,)</f>
        <v>0</v>
      </c>
      <c r="N383" s="10"/>
      <c r="O383" s="11">
        <f t="shared" si="101"/>
        <v>0</v>
      </c>
      <c r="P383" s="10">
        <f>SUM(P$384,P$402,P$409,P$443,P$452,P$461,P$463,)</f>
        <v>136808.64000000001</v>
      </c>
      <c r="Q383" s="10"/>
      <c r="R383" s="11">
        <f t="shared" si="102"/>
        <v>1</v>
      </c>
      <c r="S383" s="10">
        <f t="shared" si="103"/>
        <v>136808.64000000001</v>
      </c>
      <c r="T383" s="11">
        <f t="shared" si="104"/>
        <v>1</v>
      </c>
      <c r="U383" s="11">
        <f t="shared" si="105"/>
        <v>0.18797064144461484</v>
      </c>
    </row>
    <row r="384" spans="1:21" x14ac:dyDescent="0.3">
      <c r="A384" s="12" t="s">
        <v>107</v>
      </c>
      <c r="B384" s="46" t="str">
        <f>VLOOKUP(A384,MEMORIA!$A:$N,2,FALSE)</f>
        <v>PERFURAÇÃO DE POÇO TUBULAR</v>
      </c>
      <c r="C384" s="47"/>
      <c r="D384" s="47"/>
      <c r="E384" s="47"/>
      <c r="F384" s="47"/>
      <c r="G384" s="47"/>
      <c r="H384" s="48"/>
      <c r="I384" s="13">
        <f>SUM(I$385:I$401)</f>
        <v>65232.94</v>
      </c>
      <c r="J384" s="13">
        <f>SUM(J$385:J$401)</f>
        <v>0</v>
      </c>
      <c r="K384" s="13"/>
      <c r="L384" s="14">
        <f t="shared" si="100"/>
        <v>0</v>
      </c>
      <c r="M384" s="13">
        <f>SUM(M$385:M$401)</f>
        <v>0</v>
      </c>
      <c r="N384" s="13"/>
      <c r="O384" s="14">
        <f t="shared" si="101"/>
        <v>0</v>
      </c>
      <c r="P384" s="13">
        <f>SUM(P$385:P$401)</f>
        <v>65232.94</v>
      </c>
      <c r="Q384" s="13"/>
      <c r="R384" s="14">
        <f t="shared" si="102"/>
        <v>1</v>
      </c>
      <c r="S384" s="13">
        <f t="shared" si="103"/>
        <v>65232.94</v>
      </c>
      <c r="T384" s="14">
        <f t="shared" si="104"/>
        <v>1</v>
      </c>
      <c r="U384" s="14">
        <f t="shared" si="105"/>
        <v>8.9627947292788473E-2</v>
      </c>
    </row>
    <row r="385" spans="1:21" x14ac:dyDescent="0.3">
      <c r="A385" s="23" t="s">
        <v>430</v>
      </c>
      <c r="B385" s="23" t="str">
        <f>VLOOKUP(A385,MEMORIA!$A:$N,2,FALSE)</f>
        <v>COMPOS3</v>
      </c>
      <c r="C385" s="23" t="str">
        <f>VLOOKUP(A385,MEMORIA!$A:$N,3,FALSE)</f>
        <v>PRÓPRIA</v>
      </c>
      <c r="D385" s="24" t="str">
        <f>VLOOKUP(A385,MEMORIA!$A:$N,4,FALSE)</f>
        <v>LOCAÇÃO DO POÇO COM ESTUDO GEOLÓGICO/HIDROGEOLÓGICO/GEOFÍSICO</v>
      </c>
      <c r="E385" s="23" t="str">
        <f>VLOOKUP(A385,MEMORIA!$A:$N,5,FALSE)</f>
        <v>UN</v>
      </c>
      <c r="F385" s="5">
        <f>VLOOKUP(A385,MEMORIA!$A:$N,14,FALSE)</f>
        <v>1</v>
      </c>
      <c r="G385" s="5">
        <f>VLOOKUP(A385,ORCAMENTO!$A:$I,7,FALSE)</f>
        <v>1692.3999999999999</v>
      </c>
      <c r="H385" s="5">
        <f>VLOOKUP(A385,ORCAMENTO!$A:$I,8,FALSE)</f>
        <v>2112.79</v>
      </c>
      <c r="I385" s="5">
        <f t="shared" ref="I385:I401" si="116">ROUND(F385*H385,2)</f>
        <v>2112.79</v>
      </c>
      <c r="J385" s="5">
        <f t="shared" ref="J385:J401" si="117">ROUND(K385*$H385,2)</f>
        <v>0</v>
      </c>
      <c r="K385" s="5">
        <v>0</v>
      </c>
      <c r="L385" s="25">
        <f t="shared" si="100"/>
        <v>0</v>
      </c>
      <c r="M385" s="5">
        <f t="shared" ref="M385:M401" si="118">ROUND(N385*$H385,2)</f>
        <v>0</v>
      </c>
      <c r="N385" s="5">
        <v>0</v>
      </c>
      <c r="O385" s="25">
        <f t="shared" si="101"/>
        <v>0</v>
      </c>
      <c r="P385" s="5">
        <f t="shared" ref="P385:P401" si="119">ROUND(Q385*$H385,2)</f>
        <v>2112.79</v>
      </c>
      <c r="Q385" s="5">
        <f>F385</f>
        <v>1</v>
      </c>
      <c r="R385" s="25">
        <f t="shared" si="102"/>
        <v>1</v>
      </c>
      <c r="S385" s="5">
        <f t="shared" si="103"/>
        <v>2112.79</v>
      </c>
      <c r="T385" s="25">
        <f t="shared" si="104"/>
        <v>1</v>
      </c>
      <c r="U385" s="25">
        <f t="shared" si="105"/>
        <v>2.9029050470625812E-3</v>
      </c>
    </row>
    <row r="386" spans="1:21" x14ac:dyDescent="0.3">
      <c r="A386" s="23" t="s">
        <v>431</v>
      </c>
      <c r="B386" s="23" t="str">
        <f>VLOOKUP(A386,MEMORIA!$A:$N,2,FALSE)</f>
        <v>COMPOS4</v>
      </c>
      <c r="C386" s="23" t="str">
        <f>VLOOKUP(A386,MEMORIA!$A:$N,3,FALSE)</f>
        <v>PRÓPRIA</v>
      </c>
      <c r="D386" s="24" t="str">
        <f>VLOOKUP(A386,MEMORIA!$A:$N,4,FALSE)</f>
        <v>TRANSPORTE DE MÁQUINAS E EQUIPAMENTOS</v>
      </c>
      <c r="E386" s="23" t="str">
        <f>VLOOKUP(A386,MEMORIA!$A:$N,5,FALSE)</f>
        <v>KM</v>
      </c>
      <c r="F386" s="5">
        <f>VLOOKUP(A386,MEMORIA!$A:$N,14,FALSE)</f>
        <v>66.7</v>
      </c>
      <c r="G386" s="5">
        <f>VLOOKUP(A386,ORCAMENTO!$A:$I,7,FALSE)</f>
        <v>5.5</v>
      </c>
      <c r="H386" s="5">
        <f>VLOOKUP(A386,ORCAMENTO!$A:$I,8,FALSE)</f>
        <v>6.87</v>
      </c>
      <c r="I386" s="5">
        <f t="shared" si="116"/>
        <v>458.23</v>
      </c>
      <c r="J386" s="5">
        <f t="shared" si="117"/>
        <v>0</v>
      </c>
      <c r="K386" s="5">
        <v>0</v>
      </c>
      <c r="L386" s="25">
        <f t="shared" si="100"/>
        <v>0</v>
      </c>
      <c r="M386" s="5">
        <f t="shared" si="118"/>
        <v>0</v>
      </c>
      <c r="N386" s="5">
        <v>0</v>
      </c>
      <c r="O386" s="25">
        <f t="shared" si="101"/>
        <v>0</v>
      </c>
      <c r="P386" s="5">
        <f t="shared" si="119"/>
        <v>458.23</v>
      </c>
      <c r="Q386" s="5">
        <f t="shared" ref="Q386:Q408" si="120">F386</f>
        <v>66.7</v>
      </c>
      <c r="R386" s="25">
        <f t="shared" si="102"/>
        <v>1</v>
      </c>
      <c r="S386" s="5">
        <f t="shared" si="103"/>
        <v>458.23</v>
      </c>
      <c r="T386" s="25">
        <f t="shared" si="104"/>
        <v>1</v>
      </c>
      <c r="U386" s="25">
        <f t="shared" si="105"/>
        <v>6.295931823396962E-4</v>
      </c>
    </row>
    <row r="387" spans="1:21" x14ac:dyDescent="0.3">
      <c r="A387" s="23" t="s">
        <v>432</v>
      </c>
      <c r="B387" s="23" t="str">
        <f>VLOOKUP(A387,MEMORIA!$A:$N,2,FALSE)</f>
        <v>COMPOS4</v>
      </c>
      <c r="C387" s="23" t="str">
        <f>VLOOKUP(A387,MEMORIA!$A:$N,3,FALSE)</f>
        <v>PRÓPRIA</v>
      </c>
      <c r="D387" s="24" t="str">
        <f>VLOOKUP(A387,MEMORIA!$A:$N,4,FALSE)</f>
        <v>TRANSPORTE DE MÁQUINAS E EQUIPAMENTOS</v>
      </c>
      <c r="E387" s="23" t="str">
        <f>VLOOKUP(A387,MEMORIA!$A:$N,5,FALSE)</f>
        <v>KM</v>
      </c>
      <c r="F387" s="5">
        <f>VLOOKUP(A387,MEMORIA!$A:$N,14,FALSE)</f>
        <v>66.7</v>
      </c>
      <c r="G387" s="5">
        <f>VLOOKUP(A387,ORCAMENTO!$A:$I,7,FALSE)</f>
        <v>5.5</v>
      </c>
      <c r="H387" s="5">
        <f>VLOOKUP(A387,ORCAMENTO!$A:$I,8,FALSE)</f>
        <v>6.87</v>
      </c>
      <c r="I387" s="5">
        <f t="shared" si="116"/>
        <v>458.23</v>
      </c>
      <c r="J387" s="5">
        <f t="shared" si="117"/>
        <v>0</v>
      </c>
      <c r="K387" s="5">
        <v>0</v>
      </c>
      <c r="L387" s="25">
        <f t="shared" si="100"/>
        <v>0</v>
      </c>
      <c r="M387" s="5">
        <f t="shared" si="118"/>
        <v>0</v>
      </c>
      <c r="N387" s="5">
        <v>0</v>
      </c>
      <c r="O387" s="25">
        <f t="shared" si="101"/>
        <v>0</v>
      </c>
      <c r="P387" s="5">
        <f t="shared" si="119"/>
        <v>458.23</v>
      </c>
      <c r="Q387" s="5">
        <f t="shared" si="120"/>
        <v>66.7</v>
      </c>
      <c r="R387" s="25">
        <f t="shared" si="102"/>
        <v>1</v>
      </c>
      <c r="S387" s="5">
        <f t="shared" si="103"/>
        <v>458.23</v>
      </c>
      <c r="T387" s="25">
        <f t="shared" si="104"/>
        <v>1</v>
      </c>
      <c r="U387" s="25">
        <f t="shared" si="105"/>
        <v>6.295931823396962E-4</v>
      </c>
    </row>
    <row r="388" spans="1:21" x14ac:dyDescent="0.3">
      <c r="A388" s="23" t="s">
        <v>433</v>
      </c>
      <c r="B388" s="23" t="str">
        <f>VLOOKUP(A388,MEMORIA!$A:$N,2,FALSE)</f>
        <v>COMPOS5</v>
      </c>
      <c r="C388" s="23" t="str">
        <f>VLOOKUP(A388,MEMORIA!$A:$N,3,FALSE)</f>
        <v>PRÓPRIA</v>
      </c>
      <c r="D388" s="24" t="str">
        <f>VLOOKUP(A388,MEMORIA!$A:$N,4,FALSE)</f>
        <v>PERFILAGEM ÓTICA</v>
      </c>
      <c r="E388" s="23" t="str">
        <f>VLOOKUP(A388,MEMORIA!$A:$N,5,FALSE)</f>
        <v>UN</v>
      </c>
      <c r="F388" s="5">
        <f>VLOOKUP(A388,MEMORIA!$A:$N,14,FALSE)</f>
        <v>1</v>
      </c>
      <c r="G388" s="5">
        <f>VLOOKUP(A388,ORCAMENTO!$A:$I,7,FALSE)</f>
        <v>2908.88</v>
      </c>
      <c r="H388" s="5">
        <f>VLOOKUP(A388,ORCAMENTO!$A:$I,8,FALSE)</f>
        <v>3631.4500000000003</v>
      </c>
      <c r="I388" s="5">
        <f t="shared" si="116"/>
        <v>3631.45</v>
      </c>
      <c r="J388" s="5">
        <f t="shared" si="117"/>
        <v>0</v>
      </c>
      <c r="K388" s="5">
        <v>0</v>
      </c>
      <c r="L388" s="25">
        <f t="shared" si="100"/>
        <v>0</v>
      </c>
      <c r="M388" s="5">
        <f t="shared" si="118"/>
        <v>0</v>
      </c>
      <c r="N388" s="5">
        <v>0</v>
      </c>
      <c r="O388" s="25">
        <f t="shared" si="101"/>
        <v>0</v>
      </c>
      <c r="P388" s="5">
        <f t="shared" si="119"/>
        <v>3631.45</v>
      </c>
      <c r="Q388" s="5">
        <f t="shared" si="120"/>
        <v>1</v>
      </c>
      <c r="R388" s="25">
        <f t="shared" si="102"/>
        <v>1</v>
      </c>
      <c r="S388" s="5">
        <f t="shared" si="103"/>
        <v>3631.45</v>
      </c>
      <c r="T388" s="25">
        <f t="shared" si="104"/>
        <v>1</v>
      </c>
      <c r="U388" s="25">
        <f t="shared" si="105"/>
        <v>4.9894947122787452E-3</v>
      </c>
    </row>
    <row r="389" spans="1:21" x14ac:dyDescent="0.3">
      <c r="A389" s="23" t="s">
        <v>434</v>
      </c>
      <c r="B389" s="23" t="str">
        <f>VLOOKUP(A389,MEMORIA!$A:$N,2,FALSE)</f>
        <v>COMPOS6</v>
      </c>
      <c r="C389" s="23" t="str">
        <f>VLOOKUP(A389,MEMORIA!$A:$N,3,FALSE)</f>
        <v>PRÓPRIA</v>
      </c>
      <c r="D389" s="24" t="str">
        <f>VLOOKUP(A389,MEMORIA!$A:$N,4,FALSE)</f>
        <v>PERFURAÇÃO EM 10'' (SEDIMENTO)</v>
      </c>
      <c r="E389" s="23" t="str">
        <f>VLOOKUP(A389,MEMORIA!$A:$N,5,FALSE)</f>
        <v>M</v>
      </c>
      <c r="F389" s="5">
        <f>VLOOKUP(A389,MEMORIA!$A:$N,14,FALSE)</f>
        <v>35</v>
      </c>
      <c r="G389" s="5">
        <f>VLOOKUP(A389,ORCAMENTO!$A:$I,7,FALSE)</f>
        <v>288.94</v>
      </c>
      <c r="H389" s="5">
        <f>VLOOKUP(A389,ORCAMENTO!$A:$I,8,FALSE)</f>
        <v>360.71</v>
      </c>
      <c r="I389" s="5">
        <f t="shared" si="116"/>
        <v>12624.85</v>
      </c>
      <c r="J389" s="5">
        <f t="shared" si="117"/>
        <v>0</v>
      </c>
      <c r="K389" s="5">
        <v>0</v>
      </c>
      <c r="L389" s="25">
        <f t="shared" si="100"/>
        <v>0</v>
      </c>
      <c r="M389" s="5">
        <f t="shared" si="118"/>
        <v>0</v>
      </c>
      <c r="N389" s="5">
        <v>0</v>
      </c>
      <c r="O389" s="25">
        <f t="shared" si="101"/>
        <v>0</v>
      </c>
      <c r="P389" s="5">
        <f t="shared" si="119"/>
        <v>12624.85</v>
      </c>
      <c r="Q389" s="5">
        <f t="shared" si="120"/>
        <v>35</v>
      </c>
      <c r="R389" s="25">
        <f t="shared" si="102"/>
        <v>1</v>
      </c>
      <c r="S389" s="5">
        <f t="shared" si="103"/>
        <v>12624.85</v>
      </c>
      <c r="T389" s="25">
        <f t="shared" si="104"/>
        <v>1</v>
      </c>
      <c r="U389" s="25">
        <f t="shared" si="105"/>
        <v>1.7346135102593269E-2</v>
      </c>
    </row>
    <row r="390" spans="1:21" x14ac:dyDescent="0.3">
      <c r="A390" s="23" t="s">
        <v>435</v>
      </c>
      <c r="B390" s="23" t="str">
        <f>VLOOKUP(A390,MEMORIA!$A:$N,2,FALSE)</f>
        <v>COMPOS7</v>
      </c>
      <c r="C390" s="23" t="str">
        <f>VLOOKUP(A390,MEMORIA!$A:$N,3,FALSE)</f>
        <v>PRÓPRIA</v>
      </c>
      <c r="D390" s="24" t="str">
        <f>VLOOKUP(A390,MEMORIA!$A:$N,4,FALSE)</f>
        <v>PERFURAÇÃO EM 8'' (ROCHA CRISTALINA)</v>
      </c>
      <c r="E390" s="23" t="str">
        <f>VLOOKUP(A390,MEMORIA!$A:$N,5,FALSE)</f>
        <v>M</v>
      </c>
      <c r="F390" s="5">
        <f>VLOOKUP(A390,MEMORIA!$A:$N,14,FALSE)</f>
        <v>0</v>
      </c>
      <c r="G390" s="5">
        <f>VLOOKUP(A390,ORCAMENTO!$A:$I,7,FALSE)</f>
        <v>368.84000000000003</v>
      </c>
      <c r="H390" s="5">
        <f>VLOOKUP(A390,ORCAMENTO!$A:$I,8,FALSE)</f>
        <v>460.46000000000004</v>
      </c>
      <c r="I390" s="5">
        <f t="shared" si="116"/>
        <v>0</v>
      </c>
      <c r="J390" s="5">
        <f t="shared" si="117"/>
        <v>0</v>
      </c>
      <c r="K390" s="5">
        <v>0</v>
      </c>
      <c r="L390" s="25" t="e">
        <f t="shared" si="100"/>
        <v>#DIV/0!</v>
      </c>
      <c r="M390" s="5">
        <f t="shared" si="118"/>
        <v>0</v>
      </c>
      <c r="N390" s="5">
        <v>0</v>
      </c>
      <c r="O390" s="25" t="e">
        <f t="shared" si="101"/>
        <v>#DIV/0!</v>
      </c>
      <c r="P390" s="5">
        <f t="shared" si="119"/>
        <v>0</v>
      </c>
      <c r="Q390" s="5">
        <f t="shared" si="120"/>
        <v>0</v>
      </c>
      <c r="R390" s="25" t="e">
        <f t="shared" si="102"/>
        <v>#DIV/0!</v>
      </c>
      <c r="S390" s="5">
        <f t="shared" si="103"/>
        <v>0</v>
      </c>
      <c r="T390" s="25" t="e">
        <f t="shared" si="104"/>
        <v>#DIV/0!</v>
      </c>
      <c r="U390" s="25">
        <f t="shared" si="105"/>
        <v>0</v>
      </c>
    </row>
    <row r="391" spans="1:21" x14ac:dyDescent="0.3">
      <c r="A391" s="23" t="s">
        <v>436</v>
      </c>
      <c r="B391" s="23" t="str">
        <f>VLOOKUP(A391,MEMORIA!$A:$N,2,FALSE)</f>
        <v>COMPOS8</v>
      </c>
      <c r="C391" s="23" t="str">
        <f>VLOOKUP(A391,MEMORIA!$A:$N,3,FALSE)</f>
        <v>PRÓPRIA</v>
      </c>
      <c r="D391" s="24" t="str">
        <f>VLOOKUP(A391,MEMORIA!$A:$N,4,FALSE)</f>
        <v>PERFURAÇÃO EM 6'' (SEDIMENTO)</v>
      </c>
      <c r="E391" s="23" t="str">
        <f>VLOOKUP(A391,MEMORIA!$A:$N,5,FALSE)</f>
        <v>M</v>
      </c>
      <c r="F391" s="5">
        <f>VLOOKUP(A391,MEMORIA!$A:$N,14,FALSE)</f>
        <v>95</v>
      </c>
      <c r="G391" s="5">
        <f>VLOOKUP(A391,ORCAMENTO!$A:$I,7,FALSE)</f>
        <v>231.16</v>
      </c>
      <c r="H391" s="5">
        <f>VLOOKUP(A391,ORCAMENTO!$A:$I,8,FALSE)</f>
        <v>288.58</v>
      </c>
      <c r="I391" s="5">
        <f t="shared" si="116"/>
        <v>27415.1</v>
      </c>
      <c r="J391" s="5">
        <f t="shared" si="117"/>
        <v>0</v>
      </c>
      <c r="K391" s="5">
        <v>0</v>
      </c>
      <c r="L391" s="25">
        <f t="shared" si="100"/>
        <v>0</v>
      </c>
      <c r="M391" s="5">
        <f t="shared" si="118"/>
        <v>0</v>
      </c>
      <c r="N391" s="5">
        <v>0</v>
      </c>
      <c r="O391" s="25">
        <f t="shared" si="101"/>
        <v>0</v>
      </c>
      <c r="P391" s="5">
        <f t="shared" si="119"/>
        <v>27415.1</v>
      </c>
      <c r="Q391" s="5">
        <f t="shared" si="120"/>
        <v>95</v>
      </c>
      <c r="R391" s="25">
        <f t="shared" si="102"/>
        <v>1</v>
      </c>
      <c r="S391" s="5">
        <f t="shared" si="103"/>
        <v>27415.1</v>
      </c>
      <c r="T391" s="25">
        <f t="shared" si="104"/>
        <v>1</v>
      </c>
      <c r="U391" s="25">
        <f t="shared" si="105"/>
        <v>3.7667459688717465E-2</v>
      </c>
    </row>
    <row r="392" spans="1:21" x14ac:dyDescent="0.3">
      <c r="A392" s="23" t="s">
        <v>437</v>
      </c>
      <c r="B392" s="23" t="str">
        <f>VLOOKUP(A392,MEMORIA!$A:$N,2,FALSE)</f>
        <v>COMPOS9</v>
      </c>
      <c r="C392" s="23" t="str">
        <f>VLOOKUP(A392,MEMORIA!$A:$N,3,FALSE)</f>
        <v>PRÓPRIA</v>
      </c>
      <c r="D392" s="24" t="str">
        <f>VLOOKUP(A392,MEMORIA!$A:$N,4,FALSE)</f>
        <v>PERFURAÇÃO EM 6'' (ROCHA CRISTALINA)</v>
      </c>
      <c r="E392" s="23" t="str">
        <f>VLOOKUP(A392,MEMORIA!$A:$N,5,FALSE)</f>
        <v>M</v>
      </c>
      <c r="F392" s="5">
        <f>VLOOKUP(A392,MEMORIA!$A:$N,14,FALSE)</f>
        <v>0</v>
      </c>
      <c r="G392" s="5">
        <f>VLOOKUP(A392,ORCAMENTO!$A:$I,7,FALSE)</f>
        <v>330.20000000000005</v>
      </c>
      <c r="H392" s="5">
        <f>VLOOKUP(A392,ORCAMENTO!$A:$I,8,FALSE)</f>
        <v>412.22</v>
      </c>
      <c r="I392" s="5">
        <f t="shared" si="116"/>
        <v>0</v>
      </c>
      <c r="J392" s="5">
        <f t="shared" si="117"/>
        <v>0</v>
      </c>
      <c r="K392" s="5">
        <v>0</v>
      </c>
      <c r="L392" s="25" t="e">
        <f t="shared" ref="L392:L455" si="121">J392/$I392</f>
        <v>#DIV/0!</v>
      </c>
      <c r="M392" s="5">
        <f t="shared" si="118"/>
        <v>0</v>
      </c>
      <c r="N392" s="5">
        <v>0</v>
      </c>
      <c r="O392" s="25" t="e">
        <f t="shared" ref="O392:O455" si="122">M392/$I392</f>
        <v>#DIV/0!</v>
      </c>
      <c r="P392" s="5">
        <f t="shared" si="119"/>
        <v>0</v>
      </c>
      <c r="Q392" s="5">
        <f t="shared" si="120"/>
        <v>0</v>
      </c>
      <c r="R392" s="25" t="e">
        <f t="shared" ref="R392:R455" si="123">P392/$I392</f>
        <v>#DIV/0!</v>
      </c>
      <c r="S392" s="5">
        <f t="shared" ref="S392:S455" si="124">SUM(J392,M392,P392,)</f>
        <v>0</v>
      </c>
      <c r="T392" s="25" t="e">
        <f t="shared" ref="T392:T455" si="125">SUM(L392,O392,R392,)</f>
        <v>#DIV/0!</v>
      </c>
      <c r="U392" s="25">
        <f t="shared" ref="U392:U455" si="126">S392/$I$476</f>
        <v>0</v>
      </c>
    </row>
    <row r="393" spans="1:21" x14ac:dyDescent="0.3">
      <c r="A393" s="23" t="s">
        <v>438</v>
      </c>
      <c r="B393" s="23" t="str">
        <f>VLOOKUP(A393,MEMORIA!$A:$N,2,FALSE)</f>
        <v>COMPOS10</v>
      </c>
      <c r="C393" s="23" t="str">
        <f>VLOOKUP(A393,MEMORIA!$A:$N,3,FALSE)</f>
        <v>PRÓPRIA</v>
      </c>
      <c r="D393" s="24" t="str">
        <f>VLOOKUP(A393,MEMORIA!$A:$N,4,FALSE)</f>
        <v>CIMENTAÇÃO SANITÁRIA</v>
      </c>
      <c r="E393" s="23" t="str">
        <f>VLOOKUP(A393,MEMORIA!$A:$N,5,FALSE)</f>
        <v>M³</v>
      </c>
      <c r="F393" s="5">
        <f>VLOOKUP(A393,MEMORIA!$A:$N,14,FALSE)</f>
        <v>4.55</v>
      </c>
      <c r="G393" s="5">
        <f>VLOOKUP(A393,ORCAMENTO!$A:$I,7,FALSE)</f>
        <v>164.58999999999997</v>
      </c>
      <c r="H393" s="5">
        <f>VLOOKUP(A393,ORCAMENTO!$A:$I,8,FALSE)</f>
        <v>205.46999999999997</v>
      </c>
      <c r="I393" s="5">
        <f t="shared" si="116"/>
        <v>934.89</v>
      </c>
      <c r="J393" s="5">
        <f t="shared" si="117"/>
        <v>0</v>
      </c>
      <c r="K393" s="5">
        <v>0</v>
      </c>
      <c r="L393" s="25">
        <f t="shared" si="121"/>
        <v>0</v>
      </c>
      <c r="M393" s="5">
        <f t="shared" si="118"/>
        <v>0</v>
      </c>
      <c r="N393" s="5">
        <v>0</v>
      </c>
      <c r="O393" s="25">
        <f t="shared" si="122"/>
        <v>0</v>
      </c>
      <c r="P393" s="5">
        <f t="shared" si="119"/>
        <v>934.89</v>
      </c>
      <c r="Q393" s="5">
        <f t="shared" si="120"/>
        <v>4.55</v>
      </c>
      <c r="R393" s="25">
        <f t="shared" si="123"/>
        <v>1</v>
      </c>
      <c r="S393" s="5">
        <f t="shared" si="124"/>
        <v>934.89</v>
      </c>
      <c r="T393" s="25">
        <f t="shared" si="125"/>
        <v>1</v>
      </c>
      <c r="U393" s="25">
        <f t="shared" si="126"/>
        <v>1.284508587909038E-3</v>
      </c>
    </row>
    <row r="394" spans="1:21" x14ac:dyDescent="0.3">
      <c r="A394" s="23" t="s">
        <v>439</v>
      </c>
      <c r="B394" s="23" t="str">
        <f>VLOOKUP(A394,MEMORIA!$A:$N,2,FALSE)</f>
        <v>COMPOS11</v>
      </c>
      <c r="C394" s="23" t="str">
        <f>VLOOKUP(A394,MEMORIA!$A:$N,3,FALSE)</f>
        <v>PRÓPRIA</v>
      </c>
      <c r="D394" s="24" t="str">
        <f>VLOOKUP(A394,MEMORIA!$A:$N,4,FALSE)</f>
        <v>LAJE DE PROTEÇÃO EM CONCRETO (1,0 M X 1,0 M X 0,15 M)</v>
      </c>
      <c r="E394" s="23" t="str">
        <f>VLOOKUP(A394,MEMORIA!$A:$N,5,FALSE)</f>
        <v>M³</v>
      </c>
      <c r="F394" s="5">
        <f>VLOOKUP(A394,MEMORIA!$A:$N,14,FALSE)</f>
        <v>0.15</v>
      </c>
      <c r="G394" s="5">
        <f>VLOOKUP(A394,ORCAMENTO!$A:$I,7,FALSE)</f>
        <v>1259.1399999999999</v>
      </c>
      <c r="H394" s="5">
        <f>VLOOKUP(A394,ORCAMENTO!$A:$I,8,FALSE)</f>
        <v>1571.9099999999999</v>
      </c>
      <c r="I394" s="5">
        <f t="shared" si="116"/>
        <v>235.79</v>
      </c>
      <c r="J394" s="5">
        <f t="shared" si="117"/>
        <v>0</v>
      </c>
      <c r="K394" s="5">
        <v>0</v>
      </c>
      <c r="L394" s="25">
        <f t="shared" si="121"/>
        <v>0</v>
      </c>
      <c r="M394" s="5">
        <f t="shared" si="118"/>
        <v>0</v>
      </c>
      <c r="N394" s="5">
        <v>0</v>
      </c>
      <c r="O394" s="25">
        <f t="shared" si="122"/>
        <v>0</v>
      </c>
      <c r="P394" s="5">
        <f t="shared" si="119"/>
        <v>235.79</v>
      </c>
      <c r="Q394" s="5">
        <f t="shared" si="120"/>
        <v>0.15</v>
      </c>
      <c r="R394" s="25">
        <f t="shared" si="123"/>
        <v>1</v>
      </c>
      <c r="S394" s="5">
        <f t="shared" si="124"/>
        <v>235.79</v>
      </c>
      <c r="T394" s="25">
        <f t="shared" si="125"/>
        <v>1</v>
      </c>
      <c r="U394" s="25">
        <f t="shared" si="126"/>
        <v>3.2396782503082939E-4</v>
      </c>
    </row>
    <row r="395" spans="1:21" x14ac:dyDescent="0.3">
      <c r="A395" s="23" t="s">
        <v>440</v>
      </c>
      <c r="B395" s="23" t="str">
        <f>VLOOKUP(A395,MEMORIA!$A:$N,2,FALSE)</f>
        <v>COMPOS12</v>
      </c>
      <c r="C395" s="23" t="str">
        <f>VLOOKUP(A395,MEMORIA!$A:$N,3,FALSE)</f>
        <v>PRÓPRIA</v>
      </c>
      <c r="D395" s="24" t="str">
        <f>VLOOKUP(A395,MEMORIA!$A:$N,4,FALSE)</f>
        <v>DESENVOLVIMENTO COM BOMBA SUBMERSA</v>
      </c>
      <c r="E395" s="23" t="str">
        <f>VLOOKUP(A395,MEMORIA!$A:$N,5,FALSE)</f>
        <v>H</v>
      </c>
      <c r="F395" s="5">
        <f>VLOOKUP(A395,MEMORIA!$A:$N,14,FALSE)</f>
        <v>6</v>
      </c>
      <c r="G395" s="5">
        <f>VLOOKUP(A395,ORCAMENTO!$A:$I,7,FALSE)</f>
        <v>513.45000000000005</v>
      </c>
      <c r="H395" s="5">
        <f>VLOOKUP(A395,ORCAMENTO!$A:$I,8,FALSE)</f>
        <v>640.99</v>
      </c>
      <c r="I395" s="5">
        <f t="shared" si="116"/>
        <v>3845.94</v>
      </c>
      <c r="J395" s="5">
        <f t="shared" si="117"/>
        <v>0</v>
      </c>
      <c r="K395" s="5">
        <v>0</v>
      </c>
      <c r="L395" s="25">
        <f t="shared" si="121"/>
        <v>0</v>
      </c>
      <c r="M395" s="5">
        <f t="shared" si="118"/>
        <v>0</v>
      </c>
      <c r="N395" s="5">
        <v>0</v>
      </c>
      <c r="O395" s="25">
        <f t="shared" si="122"/>
        <v>0</v>
      </c>
      <c r="P395" s="5">
        <f t="shared" si="119"/>
        <v>3845.94</v>
      </c>
      <c r="Q395" s="5">
        <f t="shared" si="120"/>
        <v>6</v>
      </c>
      <c r="R395" s="25">
        <f t="shared" si="123"/>
        <v>1</v>
      </c>
      <c r="S395" s="5">
        <f t="shared" si="124"/>
        <v>3845.94</v>
      </c>
      <c r="T395" s="25">
        <f t="shared" si="125"/>
        <v>1</v>
      </c>
      <c r="U395" s="25">
        <f t="shared" si="126"/>
        <v>5.2841970270116126E-3</v>
      </c>
    </row>
    <row r="396" spans="1:21" x14ac:dyDescent="0.3">
      <c r="A396" s="23" t="s">
        <v>441</v>
      </c>
      <c r="B396" s="23" t="str">
        <f>VLOOKUP(A396,MEMORIA!$A:$N,2,FALSE)</f>
        <v>COMPOS13</v>
      </c>
      <c r="C396" s="23" t="str">
        <f>VLOOKUP(A396,MEMORIA!$A:$N,3,FALSE)</f>
        <v>PRÓPRIA</v>
      </c>
      <c r="D396" s="24" t="str">
        <f>VLOOKUP(A396,MEMORIA!$A:$N,4,FALSE)</f>
        <v>TESTE VAZÃO COM BOMBA SUBMERSA</v>
      </c>
      <c r="E396" s="23" t="str">
        <f>VLOOKUP(A396,MEMORIA!$A:$N,5,FALSE)</f>
        <v>H</v>
      </c>
      <c r="F396" s="5">
        <f>VLOOKUP(A396,MEMORIA!$A:$N,14,FALSE)</f>
        <v>24</v>
      </c>
      <c r="G396" s="5">
        <f>VLOOKUP(A396,ORCAMENTO!$A:$I,7,FALSE)</f>
        <v>95.539999999999992</v>
      </c>
      <c r="H396" s="5">
        <f>VLOOKUP(A396,ORCAMENTO!$A:$I,8,FALSE)</f>
        <v>119.27</v>
      </c>
      <c r="I396" s="5">
        <f t="shared" si="116"/>
        <v>2862.48</v>
      </c>
      <c r="J396" s="5">
        <f t="shared" si="117"/>
        <v>0</v>
      </c>
      <c r="K396" s="5">
        <v>0</v>
      </c>
      <c r="L396" s="25">
        <f t="shared" si="121"/>
        <v>0</v>
      </c>
      <c r="M396" s="5">
        <f t="shared" si="118"/>
        <v>0</v>
      </c>
      <c r="N396" s="5">
        <v>0</v>
      </c>
      <c r="O396" s="25">
        <f t="shared" si="122"/>
        <v>0</v>
      </c>
      <c r="P396" s="5">
        <f t="shared" si="119"/>
        <v>2862.48</v>
      </c>
      <c r="Q396" s="5">
        <f t="shared" si="120"/>
        <v>24</v>
      </c>
      <c r="R396" s="25">
        <f t="shared" si="123"/>
        <v>1</v>
      </c>
      <c r="S396" s="5">
        <f t="shared" si="124"/>
        <v>2862.48</v>
      </c>
      <c r="T396" s="25">
        <f t="shared" si="125"/>
        <v>1</v>
      </c>
      <c r="U396" s="25">
        <f t="shared" si="126"/>
        <v>3.932954831817501E-3</v>
      </c>
    </row>
    <row r="397" spans="1:21" x14ac:dyDescent="0.3">
      <c r="A397" s="23" t="s">
        <v>442</v>
      </c>
      <c r="B397" s="23" t="str">
        <f>VLOOKUP(A397,MEMORIA!$A:$N,2,FALSE)</f>
        <v>COMPOS14</v>
      </c>
      <c r="C397" s="23" t="str">
        <f>VLOOKUP(A397,MEMORIA!$A:$N,3,FALSE)</f>
        <v>PRÓPRIA</v>
      </c>
      <c r="D397" s="24" t="str">
        <f>VLOOKUP(A397,MEMORIA!$A:$N,4,FALSE)</f>
        <v>DESINFECÇÃO</v>
      </c>
      <c r="E397" s="23" t="str">
        <f>VLOOKUP(A397,MEMORIA!$A:$N,5,FALSE)</f>
        <v>H</v>
      </c>
      <c r="F397" s="5">
        <f>VLOOKUP(A397,MEMORIA!$A:$N,14,FALSE)</f>
        <v>6</v>
      </c>
      <c r="G397" s="5">
        <f>VLOOKUP(A397,ORCAMENTO!$A:$I,7,FALSE)</f>
        <v>100.11000000000003</v>
      </c>
      <c r="H397" s="5">
        <f>VLOOKUP(A397,ORCAMENTO!$A:$I,8,FALSE)</f>
        <v>124.98000000000003</v>
      </c>
      <c r="I397" s="5">
        <f t="shared" si="116"/>
        <v>749.88</v>
      </c>
      <c r="J397" s="5">
        <f t="shared" si="117"/>
        <v>0</v>
      </c>
      <c r="K397" s="5">
        <v>0</v>
      </c>
      <c r="L397" s="25">
        <f t="shared" si="121"/>
        <v>0</v>
      </c>
      <c r="M397" s="5">
        <f t="shared" si="118"/>
        <v>0</v>
      </c>
      <c r="N397" s="5">
        <v>0</v>
      </c>
      <c r="O397" s="25">
        <f t="shared" si="122"/>
        <v>0</v>
      </c>
      <c r="P397" s="5">
        <f t="shared" si="119"/>
        <v>749.88</v>
      </c>
      <c r="Q397" s="5">
        <f t="shared" si="120"/>
        <v>6</v>
      </c>
      <c r="R397" s="25">
        <f t="shared" si="123"/>
        <v>1</v>
      </c>
      <c r="S397" s="5">
        <f t="shared" si="124"/>
        <v>749.88</v>
      </c>
      <c r="T397" s="25">
        <f t="shared" si="125"/>
        <v>1</v>
      </c>
      <c r="U397" s="25">
        <f t="shared" si="126"/>
        <v>1.0303108386026478E-3</v>
      </c>
    </row>
    <row r="398" spans="1:21" x14ac:dyDescent="0.3">
      <c r="A398" s="23" t="s">
        <v>443</v>
      </c>
      <c r="B398" s="23" t="str">
        <f>VLOOKUP(A398,MEMORIA!$A:$N,2,FALSE)</f>
        <v>COMPOS15</v>
      </c>
      <c r="C398" s="23" t="str">
        <f>VLOOKUP(A398,MEMORIA!$A:$N,3,FALSE)</f>
        <v>PRÓPRIA</v>
      </c>
      <c r="D398" s="24" t="str">
        <f>VLOOKUP(A398,MEMORIA!$A:$N,4,FALSE)</f>
        <v>RELATÓRIO TÉCNICO</v>
      </c>
      <c r="E398" s="23" t="str">
        <f>VLOOKUP(A398,MEMORIA!$A:$N,5,FALSE)</f>
        <v>UN</v>
      </c>
      <c r="F398" s="5">
        <f>VLOOKUP(A398,MEMORIA!$A:$N,14,FALSE)</f>
        <v>1</v>
      </c>
      <c r="G398" s="5">
        <f>VLOOKUP(A398,ORCAMENTO!$A:$I,7,FALSE)</f>
        <v>1110.2</v>
      </c>
      <c r="H398" s="5">
        <f>VLOOKUP(A398,ORCAMENTO!$A:$I,8,FALSE)</f>
        <v>1385.97</v>
      </c>
      <c r="I398" s="5">
        <f t="shared" si="116"/>
        <v>1385.97</v>
      </c>
      <c r="J398" s="5">
        <f t="shared" si="117"/>
        <v>0</v>
      </c>
      <c r="K398" s="5">
        <v>0</v>
      </c>
      <c r="L398" s="25">
        <f t="shared" si="121"/>
        <v>0</v>
      </c>
      <c r="M398" s="5">
        <f t="shared" si="118"/>
        <v>0</v>
      </c>
      <c r="N398" s="5">
        <v>0</v>
      </c>
      <c r="O398" s="25">
        <f t="shared" si="122"/>
        <v>0</v>
      </c>
      <c r="P398" s="5">
        <f t="shared" si="119"/>
        <v>1385.97</v>
      </c>
      <c r="Q398" s="5">
        <f t="shared" si="120"/>
        <v>1</v>
      </c>
      <c r="R398" s="25">
        <f t="shared" si="123"/>
        <v>1</v>
      </c>
      <c r="S398" s="5">
        <f t="shared" si="124"/>
        <v>1385.97</v>
      </c>
      <c r="T398" s="25">
        <f t="shared" si="125"/>
        <v>1</v>
      </c>
      <c r="U398" s="25">
        <f t="shared" si="126"/>
        <v>1.9042779017684323E-3</v>
      </c>
    </row>
    <row r="399" spans="1:21" x14ac:dyDescent="0.3">
      <c r="A399" s="23" t="s">
        <v>444</v>
      </c>
      <c r="B399" s="23" t="str">
        <f>VLOOKUP(A399,MEMORIA!$A:$N,2,FALSE)</f>
        <v>COMPOS16</v>
      </c>
      <c r="C399" s="23" t="str">
        <f>VLOOKUP(A399,MEMORIA!$A:$N,3,FALSE)</f>
        <v>PRÓPRIA</v>
      </c>
      <c r="D399" s="24" t="str">
        <f>VLOOKUP(A399,MEMORIA!$A:$N,4,FALSE)</f>
        <v>ANÁLISE FÍSICO-QUÍMICA DA ÁGUA</v>
      </c>
      <c r="E399" s="23" t="str">
        <f>VLOOKUP(A399,MEMORIA!$A:$N,5,FALSE)</f>
        <v>UN</v>
      </c>
      <c r="F399" s="5">
        <f>VLOOKUP(A399,MEMORIA!$A:$N,14,FALSE)</f>
        <v>1</v>
      </c>
      <c r="G399" s="5">
        <f>VLOOKUP(A399,ORCAMENTO!$A:$I,7,FALSE)</f>
        <v>565.21</v>
      </c>
      <c r="H399" s="5">
        <f>VLOOKUP(A399,ORCAMENTO!$A:$I,8,FALSE)</f>
        <v>705.61</v>
      </c>
      <c r="I399" s="5">
        <f t="shared" si="116"/>
        <v>705.61</v>
      </c>
      <c r="J399" s="5">
        <f t="shared" si="117"/>
        <v>0</v>
      </c>
      <c r="K399" s="5">
        <v>0</v>
      </c>
      <c r="L399" s="25">
        <f t="shared" si="121"/>
        <v>0</v>
      </c>
      <c r="M399" s="5">
        <f t="shared" si="118"/>
        <v>0</v>
      </c>
      <c r="N399" s="5">
        <v>0</v>
      </c>
      <c r="O399" s="25">
        <f t="shared" si="122"/>
        <v>0</v>
      </c>
      <c r="P399" s="5">
        <f t="shared" si="119"/>
        <v>705.61</v>
      </c>
      <c r="Q399" s="5">
        <f t="shared" si="120"/>
        <v>1</v>
      </c>
      <c r="R399" s="25">
        <f t="shared" si="123"/>
        <v>1</v>
      </c>
      <c r="S399" s="5">
        <f t="shared" si="124"/>
        <v>705.61</v>
      </c>
      <c r="T399" s="25">
        <f t="shared" si="125"/>
        <v>1</v>
      </c>
      <c r="U399" s="25">
        <f t="shared" si="126"/>
        <v>9.6948529208195234E-4</v>
      </c>
    </row>
    <row r="400" spans="1:21" x14ac:dyDescent="0.3">
      <c r="A400" s="23" t="s">
        <v>445</v>
      </c>
      <c r="B400" s="23" t="str">
        <f>VLOOKUP(A400,MEMORIA!$A:$N,2,FALSE)</f>
        <v>COMPOS1</v>
      </c>
      <c r="C400" s="23" t="str">
        <f>VLOOKUP(A400,MEMORIA!$A:$N,3,FALSE)</f>
        <v>PRÓPRIA</v>
      </c>
      <c r="D400" s="24" t="str">
        <f>VLOOKUP(A400,MEMORIA!$A:$N,4,FALSE)</f>
        <v>FORNECIMENTO E INSTALAÇÃO DE REVESTIMENTO GEOMECÂNICO STANDART DN-154-S</v>
      </c>
      <c r="E400" s="23" t="str">
        <f>VLOOKUP(A400,MEMORIA!$A:$N,5,FALSE)</f>
        <v>M</v>
      </c>
      <c r="F400" s="5">
        <f>VLOOKUP(A400,MEMORIA!$A:$N,14,FALSE)</f>
        <v>36</v>
      </c>
      <c r="G400" s="5">
        <f>VLOOKUP(A400,ORCAMENTO!$A:$I,7,FALSE)</f>
        <v>170.76</v>
      </c>
      <c r="H400" s="5">
        <f>VLOOKUP(A400,ORCAMENTO!$A:$I,8,FALSE)</f>
        <v>213.18</v>
      </c>
      <c r="I400" s="5">
        <f t="shared" si="116"/>
        <v>7674.48</v>
      </c>
      <c r="J400" s="5">
        <f t="shared" si="117"/>
        <v>0</v>
      </c>
      <c r="K400" s="5">
        <v>0</v>
      </c>
      <c r="L400" s="25">
        <f t="shared" si="121"/>
        <v>0</v>
      </c>
      <c r="M400" s="5">
        <f t="shared" si="118"/>
        <v>0</v>
      </c>
      <c r="N400" s="5">
        <v>0</v>
      </c>
      <c r="O400" s="25">
        <f t="shared" si="122"/>
        <v>0</v>
      </c>
      <c r="P400" s="5">
        <f t="shared" si="119"/>
        <v>7674.48</v>
      </c>
      <c r="Q400" s="5">
        <f t="shared" si="120"/>
        <v>36</v>
      </c>
      <c r="R400" s="25">
        <f t="shared" si="123"/>
        <v>1</v>
      </c>
      <c r="S400" s="5">
        <f t="shared" si="124"/>
        <v>7674.48</v>
      </c>
      <c r="T400" s="25">
        <f t="shared" si="125"/>
        <v>1</v>
      </c>
      <c r="U400" s="25">
        <f t="shared" si="126"/>
        <v>1.0544487017441789E-2</v>
      </c>
    </row>
    <row r="401" spans="1:21" x14ac:dyDescent="0.3">
      <c r="A401" s="23" t="s">
        <v>446</v>
      </c>
      <c r="B401" s="23" t="str">
        <f>VLOOKUP(A401,MEMORIA!$A:$N,2,FALSE)</f>
        <v>COMPOS2</v>
      </c>
      <c r="C401" s="23" t="str">
        <f>VLOOKUP(A401,MEMORIA!$A:$N,3,FALSE)</f>
        <v>PRÓPRIA</v>
      </c>
      <c r="D401" s="24" t="str">
        <f>VLOOKUP(A401,MEMORIA!$A:$N,4,FALSE)</f>
        <v>FORNECIMENTO E INSTALAÇÃO DE TAMPA PARA POÇO</v>
      </c>
      <c r="E401" s="23" t="str">
        <f>VLOOKUP(A401,MEMORIA!$A:$N,5,FALSE)</f>
        <v>UN</v>
      </c>
      <c r="F401" s="5">
        <f>VLOOKUP(A401,MEMORIA!$A:$N,14,FALSE)</f>
        <v>1</v>
      </c>
      <c r="G401" s="5">
        <f>VLOOKUP(A401,ORCAMENTO!$A:$I,7,FALSE)</f>
        <v>109.94</v>
      </c>
      <c r="H401" s="5">
        <f>VLOOKUP(A401,ORCAMENTO!$A:$I,8,FALSE)</f>
        <v>137.25</v>
      </c>
      <c r="I401" s="5">
        <f t="shared" si="116"/>
        <v>137.25</v>
      </c>
      <c r="J401" s="5">
        <f t="shared" si="117"/>
        <v>0</v>
      </c>
      <c r="K401" s="5">
        <v>0</v>
      </c>
      <c r="L401" s="25">
        <f t="shared" si="121"/>
        <v>0</v>
      </c>
      <c r="M401" s="5">
        <f t="shared" si="118"/>
        <v>0</v>
      </c>
      <c r="N401" s="5">
        <v>0</v>
      </c>
      <c r="O401" s="25">
        <f t="shared" si="122"/>
        <v>0</v>
      </c>
      <c r="P401" s="5">
        <f t="shared" si="119"/>
        <v>137.25</v>
      </c>
      <c r="Q401" s="5">
        <f t="shared" si="120"/>
        <v>1</v>
      </c>
      <c r="R401" s="25">
        <f t="shared" si="123"/>
        <v>1</v>
      </c>
      <c r="S401" s="5">
        <f t="shared" si="124"/>
        <v>137.25</v>
      </c>
      <c r="T401" s="25">
        <f t="shared" si="125"/>
        <v>1</v>
      </c>
      <c r="U401" s="25">
        <f t="shared" si="126"/>
        <v>1.8857705579321149E-4</v>
      </c>
    </row>
    <row r="402" spans="1:21" x14ac:dyDescent="0.3">
      <c r="A402" s="12" t="s">
        <v>108</v>
      </c>
      <c r="B402" s="46" t="str">
        <f>VLOOKUP(A402,MEMORIA!$A:$N,2,FALSE)</f>
        <v>AQUISIÇÃO E INSTALAÇÃO DE EQUIPAMENTOS DE BOMBEAMENTO, RECALQUE/BARRILETE E CONEXÕES PARA INTERLIGAÇÃO COM RESERVATÓRIO</v>
      </c>
      <c r="C402" s="47"/>
      <c r="D402" s="47"/>
      <c r="E402" s="47"/>
      <c r="F402" s="47"/>
      <c r="G402" s="47"/>
      <c r="H402" s="48"/>
      <c r="I402" s="13">
        <f>SUM(I$403:I$408)</f>
        <v>19625.579999999998</v>
      </c>
      <c r="J402" s="13">
        <f>SUM(J$403:J$408)</f>
        <v>0</v>
      </c>
      <c r="K402" s="13"/>
      <c r="L402" s="14">
        <f t="shared" si="121"/>
        <v>0</v>
      </c>
      <c r="M402" s="13">
        <f>SUM(M$403:M$408)</f>
        <v>0</v>
      </c>
      <c r="N402" s="13"/>
      <c r="O402" s="14">
        <f t="shared" si="122"/>
        <v>0</v>
      </c>
      <c r="P402" s="13">
        <f>SUM(P$403:P$408)</f>
        <v>19625.579999999998</v>
      </c>
      <c r="Q402" s="13"/>
      <c r="R402" s="14">
        <f t="shared" si="123"/>
        <v>1</v>
      </c>
      <c r="S402" s="13">
        <f t="shared" si="124"/>
        <v>19625.579999999998</v>
      </c>
      <c r="T402" s="14">
        <f t="shared" si="125"/>
        <v>1</v>
      </c>
      <c r="U402" s="14">
        <f t="shared" si="126"/>
        <v>2.6964911436314281E-2</v>
      </c>
    </row>
    <row r="403" spans="1:21" ht="28.8" x14ac:dyDescent="0.3">
      <c r="A403" s="23" t="s">
        <v>447</v>
      </c>
      <c r="B403" s="23" t="str">
        <f>VLOOKUP(A403,MEMORIA!$A:$N,2,FALSE)</f>
        <v>COMPOS17</v>
      </c>
      <c r="C403" s="23" t="str">
        <f>VLOOKUP(A403,MEMORIA!$A:$N,3,FALSE)</f>
        <v>PRÓPRIA</v>
      </c>
      <c r="D403" s="24" t="str">
        <f>VLOOKUP(A403,MEMORIA!$A:$N,4,FALSE)</f>
        <v>FORNECIMENTO E INSTALAÇÃO DE BOMBA SUBMERSA DE 3CV, MONOFÁSICA, 220 V, LEÃO OU SIMILAR</v>
      </c>
      <c r="E403" s="23" t="str">
        <f>VLOOKUP(A403,MEMORIA!$A:$N,5,FALSE)</f>
        <v>UN</v>
      </c>
      <c r="F403" s="5">
        <f>VLOOKUP(A403,MEMORIA!$A:$N,14,FALSE)</f>
        <v>1</v>
      </c>
      <c r="G403" s="5">
        <f>VLOOKUP(A403,ORCAMENTO!$A:$I,7,FALSE)</f>
        <v>3515.68</v>
      </c>
      <c r="H403" s="5">
        <f>VLOOKUP(A403,ORCAMENTO!$A:$I,8,FALSE)</f>
        <v>4388.9699999999993</v>
      </c>
      <c r="I403" s="5">
        <f t="shared" ref="I403:I408" si="127">ROUND(F403*H403,2)</f>
        <v>4388.97</v>
      </c>
      <c r="J403" s="5">
        <f t="shared" ref="J403:J408" si="128">ROUND(K403*$H403,2)</f>
        <v>0</v>
      </c>
      <c r="K403" s="5">
        <v>0</v>
      </c>
      <c r="L403" s="25">
        <f t="shared" si="121"/>
        <v>0</v>
      </c>
      <c r="M403" s="5">
        <f t="shared" ref="M403:M408" si="129">ROUND(N403*$H403,2)</f>
        <v>0</v>
      </c>
      <c r="N403" s="5">
        <v>0</v>
      </c>
      <c r="O403" s="25">
        <f t="shared" si="122"/>
        <v>0</v>
      </c>
      <c r="P403" s="5">
        <f t="shared" ref="P403:P408" si="130">ROUND(Q403*$H403,2)</f>
        <v>4388.97</v>
      </c>
      <c r="Q403" s="5">
        <f t="shared" si="120"/>
        <v>1</v>
      </c>
      <c r="R403" s="25">
        <f t="shared" si="123"/>
        <v>1</v>
      </c>
      <c r="S403" s="5">
        <f t="shared" si="124"/>
        <v>4388.97</v>
      </c>
      <c r="T403" s="25">
        <f t="shared" si="125"/>
        <v>1</v>
      </c>
      <c r="U403" s="25">
        <f t="shared" si="126"/>
        <v>6.0303026634953112E-3</v>
      </c>
    </row>
    <row r="404" spans="1:21" ht="28.8" x14ac:dyDescent="0.3">
      <c r="A404" s="23" t="s">
        <v>448</v>
      </c>
      <c r="B404" s="23" t="str">
        <f>VLOOKUP(A404,MEMORIA!$A:$N,2,FALSE)</f>
        <v>COMPOS29</v>
      </c>
      <c r="C404" s="23" t="str">
        <f>VLOOKUP(A404,MEMORIA!$A:$N,3,FALSE)</f>
        <v>PRÓPRIA</v>
      </c>
      <c r="D404" s="24" t="str">
        <f>VLOOKUP(A404,MEMORIA!$A:$N,4,FALSE)</f>
        <v>FORNECIMENTO E INSTALAÇÃO DE PAINEL DE COMANDO ELÉTRICO PARA BOMBA 3CV, MONOFÁSICO</v>
      </c>
      <c r="E404" s="23" t="str">
        <f>VLOOKUP(A404,MEMORIA!$A:$N,5,FALSE)</f>
        <v>UN</v>
      </c>
      <c r="F404" s="5">
        <f>VLOOKUP(A404,MEMORIA!$A:$N,14,FALSE)</f>
        <v>1</v>
      </c>
      <c r="G404" s="5">
        <f>VLOOKUP(A404,ORCAMENTO!$A:$I,7,FALSE)</f>
        <v>773.3</v>
      </c>
      <c r="H404" s="5">
        <f>VLOOKUP(A404,ORCAMENTO!$A:$I,8,FALSE)</f>
        <v>965.39</v>
      </c>
      <c r="I404" s="5">
        <f t="shared" si="127"/>
        <v>965.39</v>
      </c>
      <c r="J404" s="5">
        <f t="shared" si="128"/>
        <v>0</v>
      </c>
      <c r="K404" s="5">
        <v>0</v>
      </c>
      <c r="L404" s="25">
        <f t="shared" si="121"/>
        <v>0</v>
      </c>
      <c r="M404" s="5">
        <f t="shared" si="129"/>
        <v>0</v>
      </c>
      <c r="N404" s="5">
        <v>0</v>
      </c>
      <c r="O404" s="25">
        <f t="shared" si="122"/>
        <v>0</v>
      </c>
      <c r="P404" s="5">
        <f t="shared" si="130"/>
        <v>965.39</v>
      </c>
      <c r="Q404" s="5">
        <f t="shared" si="120"/>
        <v>1</v>
      </c>
      <c r="R404" s="25">
        <f t="shared" si="123"/>
        <v>1</v>
      </c>
      <c r="S404" s="5">
        <f t="shared" si="124"/>
        <v>965.39</v>
      </c>
      <c r="T404" s="25">
        <f t="shared" si="125"/>
        <v>1</v>
      </c>
      <c r="U404" s="25">
        <f t="shared" si="126"/>
        <v>1.3264146003075295E-3</v>
      </c>
    </row>
    <row r="405" spans="1:21" x14ac:dyDescent="0.3">
      <c r="A405" s="23" t="s">
        <v>449</v>
      </c>
      <c r="B405" s="23" t="str">
        <f>VLOOKUP(A405,MEMORIA!$A:$N,2,FALSE)</f>
        <v>COMPOS19</v>
      </c>
      <c r="C405" s="23" t="str">
        <f>VLOOKUP(A405,MEMORIA!$A:$N,3,FALSE)</f>
        <v>PRÓPRIA</v>
      </c>
      <c r="D405" s="24" t="str">
        <f>VLOOKUP(A405,MEMORIA!$A:$N,4,FALSE)</f>
        <v>FORNECIMENTO E INSTALAÇÃO DE TUBO EDUTOR DE PVC DE 1.1/2'' COM LUVA</v>
      </c>
      <c r="E405" s="23" t="str">
        <f>VLOOKUP(A405,MEMORIA!$A:$N,5,FALSE)</f>
        <v>M</v>
      </c>
      <c r="F405" s="5">
        <f>VLOOKUP(A405,MEMORIA!$A:$N,14,FALSE)</f>
        <v>110</v>
      </c>
      <c r="G405" s="5">
        <f>VLOOKUP(A405,ORCAMENTO!$A:$I,7,FALSE)</f>
        <v>46.25</v>
      </c>
      <c r="H405" s="5">
        <f>VLOOKUP(A405,ORCAMENTO!$A:$I,8,FALSE)</f>
        <v>57.74</v>
      </c>
      <c r="I405" s="5">
        <f t="shared" si="127"/>
        <v>6351.4</v>
      </c>
      <c r="J405" s="5">
        <f t="shared" si="128"/>
        <v>0</v>
      </c>
      <c r="K405" s="5">
        <v>0</v>
      </c>
      <c r="L405" s="25">
        <f t="shared" si="121"/>
        <v>0</v>
      </c>
      <c r="M405" s="5">
        <f t="shared" si="129"/>
        <v>0</v>
      </c>
      <c r="N405" s="5">
        <v>0</v>
      </c>
      <c r="O405" s="25">
        <f t="shared" si="122"/>
        <v>0</v>
      </c>
      <c r="P405" s="5">
        <f t="shared" si="130"/>
        <v>6351.4</v>
      </c>
      <c r="Q405" s="5">
        <f t="shared" si="120"/>
        <v>110</v>
      </c>
      <c r="R405" s="25">
        <f t="shared" si="123"/>
        <v>1</v>
      </c>
      <c r="S405" s="5">
        <f t="shared" si="124"/>
        <v>6351.4</v>
      </c>
      <c r="T405" s="25">
        <f t="shared" si="125"/>
        <v>1</v>
      </c>
      <c r="U405" s="25">
        <f t="shared" si="126"/>
        <v>8.726617939271427E-3</v>
      </c>
    </row>
    <row r="406" spans="1:21" x14ac:dyDescent="0.3">
      <c r="A406" s="23" t="s">
        <v>450</v>
      </c>
      <c r="B406" s="23" t="str">
        <f>VLOOKUP(A406,MEMORIA!$A:$N,2,FALSE)</f>
        <v>COMPOS24</v>
      </c>
      <c r="C406" s="23" t="str">
        <f>VLOOKUP(A406,MEMORIA!$A:$N,3,FALSE)</f>
        <v>PRÓPRIA</v>
      </c>
      <c r="D406" s="24" t="str">
        <f>VLOOKUP(A406,MEMORIA!$A:$N,4,FALSE)</f>
        <v>FORNECIMENTO E INSTALAÇÃO DE CABO CHATO SUBMERSO DE 3 X 6 MM²</v>
      </c>
      <c r="E406" s="23" t="str">
        <f>VLOOKUP(A406,MEMORIA!$A:$N,5,FALSE)</f>
        <v>M</v>
      </c>
      <c r="F406" s="5">
        <f>VLOOKUP(A406,MEMORIA!$A:$N,14,FALSE)</f>
        <v>120</v>
      </c>
      <c r="G406" s="5">
        <f>VLOOKUP(A406,ORCAMENTO!$A:$I,7,FALSE)</f>
        <v>25.98</v>
      </c>
      <c r="H406" s="5">
        <f>VLOOKUP(A406,ORCAMENTO!$A:$I,8,FALSE)</f>
        <v>32.43</v>
      </c>
      <c r="I406" s="5">
        <f t="shared" si="127"/>
        <v>3891.6</v>
      </c>
      <c r="J406" s="5">
        <f t="shared" si="128"/>
        <v>0</v>
      </c>
      <c r="K406" s="5">
        <v>0</v>
      </c>
      <c r="L406" s="25">
        <f t="shared" si="121"/>
        <v>0</v>
      </c>
      <c r="M406" s="5">
        <f t="shared" si="129"/>
        <v>0</v>
      </c>
      <c r="N406" s="5">
        <v>0</v>
      </c>
      <c r="O406" s="25">
        <f t="shared" si="122"/>
        <v>0</v>
      </c>
      <c r="P406" s="5">
        <f t="shared" si="130"/>
        <v>3891.6</v>
      </c>
      <c r="Q406" s="5">
        <f t="shared" si="120"/>
        <v>120</v>
      </c>
      <c r="R406" s="25">
        <f t="shared" si="123"/>
        <v>1</v>
      </c>
      <c r="S406" s="5">
        <f t="shared" si="124"/>
        <v>3891.6</v>
      </c>
      <c r="T406" s="25">
        <f t="shared" si="125"/>
        <v>1</v>
      </c>
      <c r="U406" s="25">
        <f t="shared" si="126"/>
        <v>5.3469323885235835E-3</v>
      </c>
    </row>
    <row r="407" spans="1:21" x14ac:dyDescent="0.3">
      <c r="A407" s="23" t="s">
        <v>451</v>
      </c>
      <c r="B407" s="23" t="str">
        <f>VLOOKUP(A407,MEMORIA!$A:$N,2,FALSE)</f>
        <v>COMPOS21</v>
      </c>
      <c r="C407" s="23" t="str">
        <f>VLOOKUP(A407,MEMORIA!$A:$N,3,FALSE)</f>
        <v>PRÓPRIA</v>
      </c>
      <c r="D407" s="24" t="str">
        <f>VLOOKUP(A407,MEMORIA!$A:$N,4,FALSE)</f>
        <v>BARRILETE (CURVAS E CONEXÕES)</v>
      </c>
      <c r="E407" s="23" t="str">
        <f>VLOOKUP(A407,MEMORIA!$A:$N,5,FALSE)</f>
        <v>UN</v>
      </c>
      <c r="F407" s="5">
        <f>VLOOKUP(A407,MEMORIA!$A:$N,14,FALSE)</f>
        <v>1</v>
      </c>
      <c r="G407" s="5">
        <f>VLOOKUP(A407,ORCAMENTO!$A:$I,7,FALSE)</f>
        <v>2135.96</v>
      </c>
      <c r="H407" s="5">
        <f>VLOOKUP(A407,ORCAMENTO!$A:$I,8,FALSE)</f>
        <v>2666.53</v>
      </c>
      <c r="I407" s="5">
        <f t="shared" si="127"/>
        <v>2666.53</v>
      </c>
      <c r="J407" s="5">
        <f t="shared" si="128"/>
        <v>0</v>
      </c>
      <c r="K407" s="5">
        <v>0</v>
      </c>
      <c r="L407" s="25">
        <f t="shared" si="121"/>
        <v>0</v>
      </c>
      <c r="M407" s="5">
        <f t="shared" si="129"/>
        <v>0</v>
      </c>
      <c r="N407" s="5">
        <v>0</v>
      </c>
      <c r="O407" s="25">
        <f t="shared" si="122"/>
        <v>0</v>
      </c>
      <c r="P407" s="5">
        <f t="shared" si="130"/>
        <v>2666.53</v>
      </c>
      <c r="Q407" s="5">
        <f t="shared" si="120"/>
        <v>1</v>
      </c>
      <c r="R407" s="25">
        <f t="shared" si="123"/>
        <v>1</v>
      </c>
      <c r="S407" s="5">
        <f t="shared" si="124"/>
        <v>2666.53</v>
      </c>
      <c r="T407" s="25">
        <f t="shared" si="125"/>
        <v>1</v>
      </c>
      <c r="U407" s="25">
        <f t="shared" si="126"/>
        <v>3.6637258767524389E-3</v>
      </c>
    </row>
    <row r="408" spans="1:21" x14ac:dyDescent="0.3">
      <c r="A408" s="23" t="s">
        <v>452</v>
      </c>
      <c r="B408" s="23" t="str">
        <f>VLOOKUP(A408,MEMORIA!$A:$N,2,FALSE)</f>
        <v>COMPOS26</v>
      </c>
      <c r="C408" s="23" t="str">
        <f>VLOOKUP(A408,MEMORIA!$A:$N,3,FALSE)</f>
        <v>PRÓPRIA</v>
      </c>
      <c r="D408" s="24" t="str">
        <f>VLOOKUP(A408,MEMORIA!$A:$N,4,FALSE)</f>
        <v>AQUISIÇÃO E INSTALAÇÃO DE DOSADOR DE CLORO</v>
      </c>
      <c r="E408" s="23" t="str">
        <f>VLOOKUP(A408,MEMORIA!$A:$N,5,FALSE)</f>
        <v>UND</v>
      </c>
      <c r="F408" s="5">
        <f>VLOOKUP(A408,MEMORIA!$A:$N,14,FALSE)</f>
        <v>1</v>
      </c>
      <c r="G408" s="5">
        <f>VLOOKUP(A408,ORCAMENTO!$A:$I,7,FALSE)</f>
        <v>1090.75</v>
      </c>
      <c r="H408" s="5">
        <f>VLOOKUP(A408,ORCAMENTO!$A:$I,8,FALSE)</f>
        <v>1361.69</v>
      </c>
      <c r="I408" s="5">
        <f t="shared" si="127"/>
        <v>1361.69</v>
      </c>
      <c r="J408" s="5">
        <f t="shared" si="128"/>
        <v>0</v>
      </c>
      <c r="K408" s="5">
        <v>0</v>
      </c>
      <c r="L408" s="25">
        <f t="shared" si="121"/>
        <v>0</v>
      </c>
      <c r="M408" s="5">
        <f t="shared" si="129"/>
        <v>0</v>
      </c>
      <c r="N408" s="5">
        <v>0</v>
      </c>
      <c r="O408" s="25">
        <f t="shared" si="122"/>
        <v>0</v>
      </c>
      <c r="P408" s="5">
        <f t="shared" si="130"/>
        <v>1361.69</v>
      </c>
      <c r="Q408" s="5">
        <f t="shared" si="120"/>
        <v>1</v>
      </c>
      <c r="R408" s="25">
        <f t="shared" si="123"/>
        <v>1</v>
      </c>
      <c r="S408" s="5">
        <f t="shared" si="124"/>
        <v>1361.69</v>
      </c>
      <c r="T408" s="25">
        <f t="shared" si="125"/>
        <v>1</v>
      </c>
      <c r="U408" s="25">
        <f t="shared" si="126"/>
        <v>1.8709179679639938E-3</v>
      </c>
    </row>
    <row r="409" spans="1:21" x14ac:dyDescent="0.3">
      <c r="A409" s="12" t="s">
        <v>109</v>
      </c>
      <c r="B409" s="46" t="str">
        <f>VLOOKUP(A409,MEMORIA!$A:$N,2,FALSE)</f>
        <v>CONSTRUÇÃO DA CASA DE COMANDO</v>
      </c>
      <c r="C409" s="47"/>
      <c r="D409" s="47"/>
      <c r="E409" s="47"/>
      <c r="F409" s="47"/>
      <c r="G409" s="47"/>
      <c r="H409" s="48"/>
      <c r="I409" s="13">
        <f>SUM(I$410,I$413,I$415,I$419,I$422,I$425,I$428,I$432,I$435,I$438,I$441,)</f>
        <v>25565.510000000002</v>
      </c>
      <c r="J409" s="13">
        <f>SUM(J$410,J$413,J$415,J$419,J$422,J$425,J$428,J$432,J$435,J$438,J$441,)</f>
        <v>0</v>
      </c>
      <c r="K409" s="13"/>
      <c r="L409" s="14">
        <f t="shared" si="121"/>
        <v>0</v>
      </c>
      <c r="M409" s="13">
        <f>SUM(M$410,M$413,M$415,M$419,M$422,M$425,M$428,M$432,M$435,M$438,M$441,)</f>
        <v>0</v>
      </c>
      <c r="N409" s="13"/>
      <c r="O409" s="14">
        <f t="shared" si="122"/>
        <v>0</v>
      </c>
      <c r="P409" s="13">
        <f>SUM(P$410,P$413,P$415,P$419,P$422,P$425,P$428,P$432,P$435,P$438,P$441,)</f>
        <v>25565.510000000002</v>
      </c>
      <c r="Q409" s="13"/>
      <c r="R409" s="14">
        <f t="shared" si="123"/>
        <v>1</v>
      </c>
      <c r="S409" s="13">
        <f t="shared" si="124"/>
        <v>25565.510000000002</v>
      </c>
      <c r="T409" s="14">
        <f t="shared" si="125"/>
        <v>1</v>
      </c>
      <c r="U409" s="14">
        <f t="shared" si="126"/>
        <v>3.5126182919139576E-2</v>
      </c>
    </row>
    <row r="410" spans="1:21" x14ac:dyDescent="0.3">
      <c r="A410" s="15" t="s">
        <v>110</v>
      </c>
      <c r="B410" s="49" t="str">
        <f>VLOOKUP(A410,MEMORIA!$A:$N,2,FALSE)</f>
        <v>SERVIÇOS PRELIMINARES</v>
      </c>
      <c r="C410" s="50"/>
      <c r="D410" s="50"/>
      <c r="E410" s="50"/>
      <c r="F410" s="50"/>
      <c r="G410" s="50"/>
      <c r="H410" s="51"/>
      <c r="I410" s="16">
        <f>SUM(I$411:I$412)</f>
        <v>3887.12</v>
      </c>
      <c r="J410" s="16">
        <f>SUM(J$411:J$412)</f>
        <v>0</v>
      </c>
      <c r="K410" s="16"/>
      <c r="L410" s="17">
        <f t="shared" si="121"/>
        <v>0</v>
      </c>
      <c r="M410" s="16">
        <f>SUM(M$411:M$412)</f>
        <v>0</v>
      </c>
      <c r="N410" s="16"/>
      <c r="O410" s="17">
        <f t="shared" si="122"/>
        <v>0</v>
      </c>
      <c r="P410" s="16">
        <f>SUM(P$411:P$412)</f>
        <v>3887.12</v>
      </c>
      <c r="Q410" s="16"/>
      <c r="R410" s="17">
        <f t="shared" si="123"/>
        <v>1</v>
      </c>
      <c r="S410" s="16">
        <f t="shared" si="124"/>
        <v>3887.12</v>
      </c>
      <c r="T410" s="17">
        <f t="shared" si="125"/>
        <v>1</v>
      </c>
      <c r="U410" s="17">
        <f t="shared" si="126"/>
        <v>5.3407770135876732E-3</v>
      </c>
    </row>
    <row r="411" spans="1:21" x14ac:dyDescent="0.3">
      <c r="A411" s="23" t="s">
        <v>453</v>
      </c>
      <c r="B411" s="23">
        <f>VLOOKUP(A411,MEMORIA!$A:$N,2,FALSE)</f>
        <v>98524</v>
      </c>
      <c r="C411" s="23" t="str">
        <f>VLOOKUP(A411,MEMORIA!$A:$N,3,FALSE)</f>
        <v>SINAPI</v>
      </c>
      <c r="D411" s="24" t="str">
        <f>VLOOKUP(A411,MEMORIA!$A:$N,4,FALSE)</f>
        <v>LIMPEZA MANUAL DE VEGETAÇÃO EM TERRENO COM ENXADA. AF_03/2024</v>
      </c>
      <c r="E411" s="23" t="str">
        <f>VLOOKUP(A411,MEMORIA!$A:$N,5,FALSE)</f>
        <v>M2</v>
      </c>
      <c r="F411" s="5">
        <f>VLOOKUP(A411,MEMORIA!$A:$N,14,FALSE)</f>
        <v>100</v>
      </c>
      <c r="G411" s="5">
        <f>VLOOKUP(A411,ORCAMENTO!$A:$I,7,FALSE)</f>
        <v>4.62</v>
      </c>
      <c r="H411" s="5">
        <f>VLOOKUP(A411,ORCAMENTO!$A:$I,8,FALSE)</f>
        <v>5.77</v>
      </c>
      <c r="I411" s="5">
        <f>ROUND(F411*H411,2)</f>
        <v>577</v>
      </c>
      <c r="J411" s="5">
        <f>ROUND(K411*$H411,2)</f>
        <v>0</v>
      </c>
      <c r="K411" s="5">
        <v>0</v>
      </c>
      <c r="L411" s="25">
        <f t="shared" si="121"/>
        <v>0</v>
      </c>
      <c r="M411" s="5">
        <f>ROUND(N411*$H411,2)</f>
        <v>0</v>
      </c>
      <c r="N411" s="5">
        <v>0</v>
      </c>
      <c r="O411" s="25">
        <f t="shared" si="122"/>
        <v>0</v>
      </c>
      <c r="P411" s="5">
        <f>ROUND(Q411*$H411,2)</f>
        <v>577</v>
      </c>
      <c r="Q411" s="5">
        <f t="shared" ref="Q411:Q451" si="131">F411</f>
        <v>100</v>
      </c>
      <c r="R411" s="25">
        <f t="shared" si="123"/>
        <v>1</v>
      </c>
      <c r="S411" s="5">
        <f t="shared" si="124"/>
        <v>577</v>
      </c>
      <c r="T411" s="25">
        <f t="shared" si="125"/>
        <v>1</v>
      </c>
      <c r="U411" s="25">
        <f t="shared" si="126"/>
        <v>7.9277931652228068E-4</v>
      </c>
    </row>
    <row r="412" spans="1:21" ht="28.8" x14ac:dyDescent="0.3">
      <c r="A412" s="23" t="s">
        <v>454</v>
      </c>
      <c r="B412" s="23">
        <f>VLOOKUP(A412,MEMORIA!$A:$N,2,FALSE)</f>
        <v>99059</v>
      </c>
      <c r="C412" s="23" t="str">
        <f>VLOOKUP(A412,MEMORIA!$A:$N,3,FALSE)</f>
        <v>SINAPI</v>
      </c>
      <c r="D412" s="24" t="str">
        <f>VLOOKUP(A412,MEMORIA!$A:$N,4,FALSE)</f>
        <v>LOCAÇÃO CONVENCIONAL DE OBRA, UTILIZANDO GABARITO DE TÁBUAS CORRIDAS PONTALETADAS A CADA 2,00M - 2 UTILIZAÇÕES. AF_03/2024</v>
      </c>
      <c r="E412" s="23" t="str">
        <f>VLOOKUP(A412,MEMORIA!$A:$N,5,FALSE)</f>
        <v>M</v>
      </c>
      <c r="F412" s="5">
        <f>VLOOKUP(A412,MEMORIA!$A:$N,14,FALSE)</f>
        <v>44</v>
      </c>
      <c r="G412" s="5">
        <f>VLOOKUP(A412,ORCAMENTO!$A:$I,7,FALSE)</f>
        <v>60.260000000000005</v>
      </c>
      <c r="H412" s="5">
        <f>VLOOKUP(A412,ORCAMENTO!$A:$I,8,FALSE)</f>
        <v>75.23</v>
      </c>
      <c r="I412" s="5">
        <f>ROUND(F412*H412,2)</f>
        <v>3310.12</v>
      </c>
      <c r="J412" s="5">
        <f>ROUND(K412*$H412,2)</f>
        <v>0</v>
      </c>
      <c r="K412" s="5">
        <v>0</v>
      </c>
      <c r="L412" s="25">
        <f t="shared" si="121"/>
        <v>0</v>
      </c>
      <c r="M412" s="5">
        <f>ROUND(N412*$H412,2)</f>
        <v>0</v>
      </c>
      <c r="N412" s="5">
        <v>0</v>
      </c>
      <c r="O412" s="25">
        <f t="shared" si="122"/>
        <v>0</v>
      </c>
      <c r="P412" s="5">
        <f>ROUND(Q412*$H412,2)</f>
        <v>3310.12</v>
      </c>
      <c r="Q412" s="5">
        <f t="shared" si="131"/>
        <v>44</v>
      </c>
      <c r="R412" s="25">
        <f t="shared" si="123"/>
        <v>1</v>
      </c>
      <c r="S412" s="5">
        <f t="shared" si="124"/>
        <v>3310.12</v>
      </c>
      <c r="T412" s="25">
        <f t="shared" si="125"/>
        <v>1</v>
      </c>
      <c r="U412" s="25">
        <f t="shared" si="126"/>
        <v>4.5479976970653931E-3</v>
      </c>
    </row>
    <row r="413" spans="1:21" x14ac:dyDescent="0.3">
      <c r="A413" s="15" t="s">
        <v>111</v>
      </c>
      <c r="B413" s="49" t="str">
        <f>VLOOKUP(A413,MEMORIA!$A:$N,2,FALSE)</f>
        <v>MOVIMENTO DE TERRA</v>
      </c>
      <c r="C413" s="50"/>
      <c r="D413" s="50"/>
      <c r="E413" s="50"/>
      <c r="F413" s="50"/>
      <c r="G413" s="50"/>
      <c r="H413" s="51"/>
      <c r="I413" s="16">
        <f>SUM(I$414:I$414)</f>
        <v>165.09</v>
      </c>
      <c r="J413" s="16">
        <f>SUM(J$414:J$414)</f>
        <v>0</v>
      </c>
      <c r="K413" s="16"/>
      <c r="L413" s="17">
        <f t="shared" si="121"/>
        <v>0</v>
      </c>
      <c r="M413" s="16">
        <f>SUM(M$414:M$414)</f>
        <v>0</v>
      </c>
      <c r="N413" s="16"/>
      <c r="O413" s="17">
        <f t="shared" si="122"/>
        <v>0</v>
      </c>
      <c r="P413" s="16">
        <f>SUM(P$414:P$414)</f>
        <v>165.09</v>
      </c>
      <c r="Q413" s="16"/>
      <c r="R413" s="17">
        <f t="shared" si="123"/>
        <v>1</v>
      </c>
      <c r="S413" s="16">
        <f t="shared" si="124"/>
        <v>165.09</v>
      </c>
      <c r="T413" s="17">
        <f t="shared" si="125"/>
        <v>1</v>
      </c>
      <c r="U413" s="17">
        <f t="shared" si="126"/>
        <v>2.2682831432350661E-4</v>
      </c>
    </row>
    <row r="414" spans="1:21" x14ac:dyDescent="0.3">
      <c r="A414" s="23" t="s">
        <v>455</v>
      </c>
      <c r="B414" s="23">
        <f>VLOOKUP(A414,MEMORIA!$A:$N,2,FALSE)</f>
        <v>93358</v>
      </c>
      <c r="C414" s="23" t="str">
        <f>VLOOKUP(A414,MEMORIA!$A:$N,3,FALSE)</f>
        <v>SINAPI</v>
      </c>
      <c r="D414" s="24" t="str">
        <f>VLOOKUP(A414,MEMORIA!$A:$N,4,FALSE)</f>
        <v>ESCAVAÇÃO MANUAL DE VALA. AF_09/2024</v>
      </c>
      <c r="E414" s="23" t="str">
        <f>VLOOKUP(A414,MEMORIA!$A:$N,5,FALSE)</f>
        <v>M3</v>
      </c>
      <c r="F414" s="5">
        <f>VLOOKUP(A414,MEMORIA!$A:$N,14,FALSE)</f>
        <v>1.54</v>
      </c>
      <c r="G414" s="5">
        <f>VLOOKUP(A414,ORCAMENTO!$A:$I,7,FALSE)</f>
        <v>85.87</v>
      </c>
      <c r="H414" s="5">
        <f>VLOOKUP(A414,ORCAMENTO!$A:$I,8,FALSE)</f>
        <v>107.2</v>
      </c>
      <c r="I414" s="5">
        <f>ROUND(F414*H414,2)</f>
        <v>165.09</v>
      </c>
      <c r="J414" s="5">
        <f>ROUND(K414*$H414,2)</f>
        <v>0</v>
      </c>
      <c r="K414" s="5">
        <v>0</v>
      </c>
      <c r="L414" s="25">
        <f t="shared" si="121"/>
        <v>0</v>
      </c>
      <c r="M414" s="5">
        <f>ROUND(N414*$H414,2)</f>
        <v>0</v>
      </c>
      <c r="N414" s="5">
        <v>0</v>
      </c>
      <c r="O414" s="25">
        <f t="shared" si="122"/>
        <v>0</v>
      </c>
      <c r="P414" s="5">
        <f>ROUND(Q414*$H414,2)</f>
        <v>165.09</v>
      </c>
      <c r="Q414" s="5">
        <f t="shared" si="131"/>
        <v>1.54</v>
      </c>
      <c r="R414" s="25">
        <f t="shared" si="123"/>
        <v>1</v>
      </c>
      <c r="S414" s="5">
        <f t="shared" si="124"/>
        <v>165.09</v>
      </c>
      <c r="T414" s="25">
        <f t="shared" si="125"/>
        <v>1</v>
      </c>
      <c r="U414" s="25">
        <f t="shared" si="126"/>
        <v>2.2682831432350661E-4</v>
      </c>
    </row>
    <row r="415" spans="1:21" x14ac:dyDescent="0.3">
      <c r="A415" s="15" t="s">
        <v>112</v>
      </c>
      <c r="B415" s="49" t="str">
        <f>VLOOKUP(A415,MEMORIA!$A:$N,2,FALSE)</f>
        <v>INFRAESTRUTURA</v>
      </c>
      <c r="C415" s="50"/>
      <c r="D415" s="50"/>
      <c r="E415" s="50"/>
      <c r="F415" s="50"/>
      <c r="G415" s="50"/>
      <c r="H415" s="51"/>
      <c r="I415" s="16">
        <f>SUM(I$416:I$418)</f>
        <v>1275.5</v>
      </c>
      <c r="J415" s="16">
        <f>SUM(J$416:J$418)</f>
        <v>0</v>
      </c>
      <c r="K415" s="16"/>
      <c r="L415" s="17">
        <f t="shared" si="121"/>
        <v>0</v>
      </c>
      <c r="M415" s="16">
        <f>SUM(M$416:M$418)</f>
        <v>0</v>
      </c>
      <c r="N415" s="16"/>
      <c r="O415" s="17">
        <f t="shared" si="122"/>
        <v>0</v>
      </c>
      <c r="P415" s="16">
        <f>SUM(P$416:P$418)</f>
        <v>1275.5</v>
      </c>
      <c r="Q415" s="16"/>
      <c r="R415" s="17">
        <f t="shared" si="123"/>
        <v>1</v>
      </c>
      <c r="S415" s="16">
        <f t="shared" si="124"/>
        <v>1275.5</v>
      </c>
      <c r="T415" s="17">
        <f t="shared" si="125"/>
        <v>1</v>
      </c>
      <c r="U415" s="17">
        <f t="shared" si="126"/>
        <v>1.7524956988287158E-3</v>
      </c>
    </row>
    <row r="416" spans="1:21" ht="28.8" x14ac:dyDescent="0.3">
      <c r="A416" s="23" t="s">
        <v>456</v>
      </c>
      <c r="B416" s="23">
        <f>VLOOKUP(A416,MEMORIA!$A:$N,2,FALSE)</f>
        <v>96617</v>
      </c>
      <c r="C416" s="23" t="str">
        <f>VLOOKUP(A416,MEMORIA!$A:$N,3,FALSE)</f>
        <v>SINAPI</v>
      </c>
      <c r="D416" s="24" t="str">
        <f>VLOOKUP(A416,MEMORIA!$A:$N,4,FALSE)</f>
        <v>LASTRO DE CONCRETO MAGRO, APLICADO EM BLOCOS DE COROAMENTO OU SAPATAS, ESPESSURA DE 3 CM. AF_01/2024</v>
      </c>
      <c r="E416" s="23" t="str">
        <f>VLOOKUP(A416,MEMORIA!$A:$N,5,FALSE)</f>
        <v>M2</v>
      </c>
      <c r="F416" s="5">
        <f>VLOOKUP(A416,MEMORIA!$A:$N,14,FALSE)</f>
        <v>2.58</v>
      </c>
      <c r="G416" s="5">
        <f>VLOOKUP(A416,ORCAMENTO!$A:$I,7,FALSE)</f>
        <v>23.990000000000002</v>
      </c>
      <c r="H416" s="5">
        <f>VLOOKUP(A416,ORCAMENTO!$A:$I,8,FALSE)</f>
        <v>29.950000000000003</v>
      </c>
      <c r="I416" s="5">
        <f>ROUND(F416*H416,2)</f>
        <v>77.27</v>
      </c>
      <c r="J416" s="5">
        <f>ROUND(K416*$H416,2)</f>
        <v>0</v>
      </c>
      <c r="K416" s="5">
        <v>0</v>
      </c>
      <c r="L416" s="25">
        <f t="shared" si="121"/>
        <v>0</v>
      </c>
      <c r="M416" s="5">
        <f>ROUND(N416*$H416,2)</f>
        <v>0</v>
      </c>
      <c r="N416" s="5">
        <v>0</v>
      </c>
      <c r="O416" s="25">
        <f t="shared" si="122"/>
        <v>0</v>
      </c>
      <c r="P416" s="5">
        <f>ROUND(Q416*$H416,2)</f>
        <v>77.27</v>
      </c>
      <c r="Q416" s="5">
        <f t="shared" si="131"/>
        <v>2.58</v>
      </c>
      <c r="R416" s="25">
        <f t="shared" si="123"/>
        <v>1</v>
      </c>
      <c r="S416" s="5">
        <f t="shared" si="124"/>
        <v>77.27</v>
      </c>
      <c r="T416" s="25">
        <f t="shared" si="125"/>
        <v>1</v>
      </c>
      <c r="U416" s="25">
        <f t="shared" si="126"/>
        <v>1.0616647796824372E-4</v>
      </c>
    </row>
    <row r="417" spans="1:21" ht="28.8" x14ac:dyDescent="0.3">
      <c r="A417" s="23" t="s">
        <v>457</v>
      </c>
      <c r="B417" s="23">
        <f>VLOOKUP(A417,MEMORIA!$A:$N,2,FALSE)</f>
        <v>103800</v>
      </c>
      <c r="C417" s="23" t="str">
        <f>VLOOKUP(A417,MEMORIA!$A:$N,3,FALSE)</f>
        <v>SINAPI</v>
      </c>
      <c r="D417" s="24" t="str">
        <f>VLOOKUP(A417,MEMORIA!$A:$N,4,FALSE)</f>
        <v>PEDRA ARGAMASSADA COM CIMENTO E AREIA 1:3, 40% DE ARGAMASSA EM VOLUME - AREIA E PEDRA DE MÃO COMERCIAIS - FORNECIMENTO E ASSENTAMENTO. AF_08/2022</v>
      </c>
      <c r="E417" s="23" t="str">
        <f>VLOOKUP(A417,MEMORIA!$A:$N,5,FALSE)</f>
        <v>M3</v>
      </c>
      <c r="F417" s="5">
        <f>VLOOKUP(A417,MEMORIA!$A:$N,14,FALSE)</f>
        <v>1.04</v>
      </c>
      <c r="G417" s="5">
        <f>VLOOKUP(A417,ORCAMENTO!$A:$I,7,FALSE)</f>
        <v>680.59</v>
      </c>
      <c r="H417" s="5">
        <f>VLOOKUP(A417,ORCAMENTO!$A:$I,8,FALSE)</f>
        <v>849.65000000000009</v>
      </c>
      <c r="I417" s="5">
        <f>ROUND(F417*H417,2)</f>
        <v>883.64</v>
      </c>
      <c r="J417" s="5">
        <f>ROUND(K417*$H417,2)</f>
        <v>0</v>
      </c>
      <c r="K417" s="5">
        <v>0</v>
      </c>
      <c r="L417" s="25">
        <f t="shared" si="121"/>
        <v>0</v>
      </c>
      <c r="M417" s="5">
        <f>ROUND(N417*$H417,2)</f>
        <v>0</v>
      </c>
      <c r="N417" s="5">
        <v>0</v>
      </c>
      <c r="O417" s="25">
        <f t="shared" si="122"/>
        <v>0</v>
      </c>
      <c r="P417" s="5">
        <f>ROUND(Q417*$H417,2)</f>
        <v>883.64</v>
      </c>
      <c r="Q417" s="5">
        <f t="shared" si="131"/>
        <v>1.04</v>
      </c>
      <c r="R417" s="25">
        <f t="shared" si="123"/>
        <v>1</v>
      </c>
      <c r="S417" s="5">
        <f t="shared" si="124"/>
        <v>883.64</v>
      </c>
      <c r="T417" s="25">
        <f t="shared" si="125"/>
        <v>1</v>
      </c>
      <c r="U417" s="25">
        <f t="shared" si="126"/>
        <v>1.2140927474033763E-3</v>
      </c>
    </row>
    <row r="418" spans="1:21" ht="43.2" x14ac:dyDescent="0.3">
      <c r="A418" s="23" t="s">
        <v>458</v>
      </c>
      <c r="B418" s="23">
        <f>VLOOKUP(A418,MEMORIA!$A:$N,2,FALSE)</f>
        <v>103335</v>
      </c>
      <c r="C418" s="23" t="str">
        <f>VLOOKUP(A418,MEMORIA!$A:$N,3,FALSE)</f>
        <v>SINAPI</v>
      </c>
      <c r="D418" s="24" t="str">
        <f>VLOOKUP(A418,MEMORIA!$A:$N,4,FALSE)</f>
        <v>ALVENARIA DE VEDAÇÃO DE BLOCOS CERÂMICOS FURADOS NA HORIZONTAL DE 14X9X19 CM (ESPESSURA 14 CM, BLOCO DEITADO) E ARGAMASSA DE ASSENTAMENTO COM PREPARO MANUAL. AF_12/2021</v>
      </c>
      <c r="E418" s="23" t="str">
        <f>VLOOKUP(A418,MEMORIA!$A:$N,5,FALSE)</f>
        <v>M2</v>
      </c>
      <c r="F418" s="5">
        <f>VLOOKUP(A418,MEMORIA!$A:$N,14,FALSE)</f>
        <v>1.7200000000000002</v>
      </c>
      <c r="G418" s="5">
        <f>VLOOKUP(A418,ORCAMENTO!$A:$I,7,FALSE)</f>
        <v>146.51</v>
      </c>
      <c r="H418" s="5">
        <f>VLOOKUP(A418,ORCAMENTO!$A:$I,8,FALSE)</f>
        <v>182.89999999999998</v>
      </c>
      <c r="I418" s="5">
        <f>ROUND(F418*H418,2)</f>
        <v>314.58999999999997</v>
      </c>
      <c r="J418" s="5">
        <f>ROUND(K418*$H418,2)</f>
        <v>0</v>
      </c>
      <c r="K418" s="5">
        <v>0</v>
      </c>
      <c r="L418" s="25">
        <f t="shared" si="121"/>
        <v>0</v>
      </c>
      <c r="M418" s="5">
        <f>ROUND(N418*$H418,2)</f>
        <v>0</v>
      </c>
      <c r="N418" s="5">
        <v>0</v>
      </c>
      <c r="O418" s="25">
        <f t="shared" si="122"/>
        <v>0</v>
      </c>
      <c r="P418" s="5">
        <f>ROUND(Q418*$H418,2)</f>
        <v>314.58999999999997</v>
      </c>
      <c r="Q418" s="5">
        <f t="shared" si="131"/>
        <v>1.7200000000000002</v>
      </c>
      <c r="R418" s="25">
        <f t="shared" si="123"/>
        <v>1</v>
      </c>
      <c r="S418" s="5">
        <f t="shared" si="124"/>
        <v>314.58999999999997</v>
      </c>
      <c r="T418" s="25">
        <f t="shared" si="125"/>
        <v>1</v>
      </c>
      <c r="U418" s="25">
        <f t="shared" si="126"/>
        <v>4.3223647345709575E-4</v>
      </c>
    </row>
    <row r="419" spans="1:21" x14ac:dyDescent="0.3">
      <c r="A419" s="15" t="s">
        <v>113</v>
      </c>
      <c r="B419" s="49" t="str">
        <f>VLOOKUP(A419,MEMORIA!$A:$N,2,FALSE)</f>
        <v>SUPERESTRUTURA</v>
      </c>
      <c r="C419" s="50"/>
      <c r="D419" s="50"/>
      <c r="E419" s="50"/>
      <c r="F419" s="50"/>
      <c r="G419" s="50"/>
      <c r="H419" s="51"/>
      <c r="I419" s="16">
        <f>SUM(I$420:I$421)</f>
        <v>1347.9099999999999</v>
      </c>
      <c r="J419" s="16">
        <f>SUM(J$420:J$421)</f>
        <v>0</v>
      </c>
      <c r="K419" s="16"/>
      <c r="L419" s="17">
        <f t="shared" si="121"/>
        <v>0</v>
      </c>
      <c r="M419" s="16">
        <f>SUM(M$420:M$421)</f>
        <v>0</v>
      </c>
      <c r="N419" s="16"/>
      <c r="O419" s="17">
        <f t="shared" si="122"/>
        <v>0</v>
      </c>
      <c r="P419" s="16">
        <f>SUM(P$420:P$421)</f>
        <v>1347.9099999999999</v>
      </c>
      <c r="Q419" s="16"/>
      <c r="R419" s="17">
        <f t="shared" si="123"/>
        <v>1</v>
      </c>
      <c r="S419" s="16">
        <f t="shared" si="124"/>
        <v>1347.9099999999999</v>
      </c>
      <c r="T419" s="17">
        <f t="shared" si="125"/>
        <v>1</v>
      </c>
      <c r="U419" s="17">
        <f t="shared" si="126"/>
        <v>1.8519846941655932E-3</v>
      </c>
    </row>
    <row r="420" spans="1:21" x14ac:dyDescent="0.3">
      <c r="A420" s="23" t="s">
        <v>459</v>
      </c>
      <c r="B420" s="23" t="str">
        <f>VLOOKUP(A420,MEMORIA!$A:$N,2,FALSE)</f>
        <v>COMPCOM01</v>
      </c>
      <c r="C420" s="23" t="str">
        <f>VLOOKUP(A420,MEMORIA!$A:$N,3,FALSE)</f>
        <v>PRÓPRIA</v>
      </c>
      <c r="D420" s="24" t="str">
        <f>VLOOKUP(A420,MEMORIA!$A:$N,4,FALSE)</f>
        <v>CINTA DE AMARRAÇÃO DE ALVENARIA MOLDADA IN LOCO EM CONCRETO</v>
      </c>
      <c r="E420" s="23" t="str">
        <f>VLOOKUP(A420,MEMORIA!$A:$N,5,FALSE)</f>
        <v>M</v>
      </c>
      <c r="F420" s="5">
        <f>VLOOKUP(A420,MEMORIA!$A:$N,14,FALSE)</f>
        <v>8.6</v>
      </c>
      <c r="G420" s="5">
        <f>VLOOKUP(A420,ORCAMENTO!$A:$I,7,FALSE)</f>
        <v>81.56</v>
      </c>
      <c r="H420" s="5">
        <f>VLOOKUP(A420,ORCAMENTO!$A:$I,8,FALSE)</f>
        <v>101.82000000000001</v>
      </c>
      <c r="I420" s="5">
        <f>ROUND(F420*H420,2)</f>
        <v>875.65</v>
      </c>
      <c r="J420" s="5">
        <f>ROUND(K420*$H420,2)</f>
        <v>0</v>
      </c>
      <c r="K420" s="5">
        <v>0</v>
      </c>
      <c r="L420" s="25">
        <f t="shared" si="121"/>
        <v>0</v>
      </c>
      <c r="M420" s="5">
        <f>ROUND(N420*$H420,2)</f>
        <v>0</v>
      </c>
      <c r="N420" s="5">
        <v>0</v>
      </c>
      <c r="O420" s="25">
        <f t="shared" si="122"/>
        <v>0</v>
      </c>
      <c r="P420" s="5">
        <f>ROUND(Q420*$H420,2)</f>
        <v>875.65</v>
      </c>
      <c r="Q420" s="5">
        <f t="shared" si="131"/>
        <v>8.6</v>
      </c>
      <c r="R420" s="25">
        <f t="shared" si="123"/>
        <v>1</v>
      </c>
      <c r="S420" s="5">
        <f t="shared" si="124"/>
        <v>875.65</v>
      </c>
      <c r="T420" s="25">
        <f t="shared" si="125"/>
        <v>1</v>
      </c>
      <c r="U420" s="25">
        <f t="shared" si="126"/>
        <v>1.2031147461225911E-3</v>
      </c>
    </row>
    <row r="421" spans="1:21" ht="28.8" x14ac:dyDescent="0.3">
      <c r="A421" s="23" t="s">
        <v>460</v>
      </c>
      <c r="B421" s="23" t="str">
        <f>VLOOKUP(A421,MEMORIA!$A:$N,2,FALSE)</f>
        <v>COMPCOM02</v>
      </c>
      <c r="C421" s="23" t="str">
        <f>VLOOKUP(A421,MEMORIA!$A:$N,3,FALSE)</f>
        <v>PRÓPRIA</v>
      </c>
      <c r="D421" s="24" t="str">
        <f>VLOOKUP(A421,MEMORIA!$A:$N,4,FALSE)</f>
        <v>(COMPOSIÇÃO REPRESENTATIVA) EXECUÇÃO DE ESTRUTURAS DE CONCRETO ARMADO, PARA EDIFICAÇÃO INSTITUCIONAL TÉRREA, FCK = 25 MPA</v>
      </c>
      <c r="E421" s="23" t="str">
        <f>VLOOKUP(A421,MEMORIA!$A:$N,5,FALSE)</f>
        <v>M³</v>
      </c>
      <c r="F421" s="5">
        <f>VLOOKUP(A421,MEMORIA!$A:$N,14,FALSE)</f>
        <v>0.30000000000000004</v>
      </c>
      <c r="G421" s="5">
        <f>VLOOKUP(A421,ORCAMENTO!$A:$I,7,FALSE)</f>
        <v>1260.97</v>
      </c>
      <c r="H421" s="5">
        <f>VLOOKUP(A421,ORCAMENTO!$A:$I,8,FALSE)</f>
        <v>1574.19</v>
      </c>
      <c r="I421" s="5">
        <f>ROUND(F421*H421,2)</f>
        <v>472.26</v>
      </c>
      <c r="J421" s="5">
        <f>ROUND(K421*$H421,2)</f>
        <v>0</v>
      </c>
      <c r="K421" s="5">
        <v>0</v>
      </c>
      <c r="L421" s="25">
        <f t="shared" si="121"/>
        <v>0</v>
      </c>
      <c r="M421" s="5">
        <f>ROUND(N421*$H421,2)</f>
        <v>0</v>
      </c>
      <c r="N421" s="5">
        <v>0</v>
      </c>
      <c r="O421" s="25">
        <f t="shared" si="122"/>
        <v>0</v>
      </c>
      <c r="P421" s="5">
        <f>ROUND(Q421*$H421,2)</f>
        <v>472.26</v>
      </c>
      <c r="Q421" s="5">
        <f t="shared" si="131"/>
        <v>0.30000000000000004</v>
      </c>
      <c r="R421" s="25">
        <f t="shared" si="123"/>
        <v>1</v>
      </c>
      <c r="S421" s="5">
        <f t="shared" si="124"/>
        <v>472.26</v>
      </c>
      <c r="T421" s="25">
        <f t="shared" si="125"/>
        <v>1</v>
      </c>
      <c r="U421" s="25">
        <f t="shared" si="126"/>
        <v>6.4886994804300223E-4</v>
      </c>
    </row>
    <row r="422" spans="1:21" x14ac:dyDescent="0.3">
      <c r="A422" s="15" t="s">
        <v>114</v>
      </c>
      <c r="B422" s="49" t="str">
        <f>VLOOKUP(A422,MEMORIA!$A:$N,2,FALSE)</f>
        <v>VEDAÇÃO VERTICAL</v>
      </c>
      <c r="C422" s="50"/>
      <c r="D422" s="50"/>
      <c r="E422" s="50"/>
      <c r="F422" s="50"/>
      <c r="G422" s="50"/>
      <c r="H422" s="51"/>
      <c r="I422" s="16">
        <f>SUM(I$423:I$424)</f>
        <v>2674.92</v>
      </c>
      <c r="J422" s="16">
        <f>SUM(J$423:J$424)</f>
        <v>0</v>
      </c>
      <c r="K422" s="16"/>
      <c r="L422" s="17">
        <f t="shared" si="121"/>
        <v>0</v>
      </c>
      <c r="M422" s="16">
        <f>SUM(M$423:M$424)</f>
        <v>0</v>
      </c>
      <c r="N422" s="16"/>
      <c r="O422" s="17">
        <f t="shared" si="122"/>
        <v>0</v>
      </c>
      <c r="P422" s="16">
        <f>SUM(P$423:P$424)</f>
        <v>2674.92</v>
      </c>
      <c r="Q422" s="16"/>
      <c r="R422" s="17">
        <f t="shared" si="123"/>
        <v>1</v>
      </c>
      <c r="S422" s="16">
        <f t="shared" si="124"/>
        <v>2674.92</v>
      </c>
      <c r="T422" s="17">
        <f t="shared" si="125"/>
        <v>1</v>
      </c>
      <c r="U422" s="17">
        <f t="shared" si="126"/>
        <v>3.6752534650810729E-3</v>
      </c>
    </row>
    <row r="423" spans="1:21" ht="43.2" x14ac:dyDescent="0.3">
      <c r="A423" s="23" t="s">
        <v>461</v>
      </c>
      <c r="B423" s="23">
        <f>VLOOKUP(A423,MEMORIA!$A:$N,2,FALSE)</f>
        <v>103329</v>
      </c>
      <c r="C423" s="23" t="str">
        <f>VLOOKUP(A423,MEMORIA!$A:$N,3,FALSE)</f>
        <v>SINAPI</v>
      </c>
      <c r="D423" s="24" t="str">
        <f>VLOOKUP(A423,MEMORIA!$A:$N,4,FALSE)</f>
        <v>ALVENARIA DE VEDAÇÃO DE BLOCOS CERÂMICOS FURADOS NA HORIZONTAL DE 9X19X19 CM (ESPESSURA 9 CM) E ARGAMASSA DE ASSENTAMENTO COM PREPARO MANUAL. AF_12/2021</v>
      </c>
      <c r="E423" s="23" t="str">
        <f>VLOOKUP(A423,MEMORIA!$A:$N,5,FALSE)</f>
        <v>M2</v>
      </c>
      <c r="F423" s="5">
        <f>VLOOKUP(A423,MEMORIA!$A:$N,14,FALSE)</f>
        <v>19.310000000000002</v>
      </c>
      <c r="G423" s="5">
        <f>VLOOKUP(A423,ORCAMENTO!$A:$I,7,FALSE)</f>
        <v>95.08</v>
      </c>
      <c r="H423" s="5">
        <f>VLOOKUP(A423,ORCAMENTO!$A:$I,8,FALSE)</f>
        <v>118.7</v>
      </c>
      <c r="I423" s="5">
        <f>ROUND(F423*H423,2)</f>
        <v>2292.1</v>
      </c>
      <c r="J423" s="5">
        <f>ROUND(K423*$H423,2)</f>
        <v>0</v>
      </c>
      <c r="K423" s="5">
        <v>0</v>
      </c>
      <c r="L423" s="25">
        <f t="shared" si="121"/>
        <v>0</v>
      </c>
      <c r="M423" s="5">
        <f>ROUND(N423*$H423,2)</f>
        <v>0</v>
      </c>
      <c r="N423" s="5">
        <v>0</v>
      </c>
      <c r="O423" s="25">
        <f t="shared" si="122"/>
        <v>0</v>
      </c>
      <c r="P423" s="5">
        <f>ROUND(Q423*$H423,2)</f>
        <v>2292.1</v>
      </c>
      <c r="Q423" s="5">
        <f t="shared" si="131"/>
        <v>19.310000000000002</v>
      </c>
      <c r="R423" s="25">
        <f t="shared" si="123"/>
        <v>1</v>
      </c>
      <c r="S423" s="5">
        <f t="shared" si="124"/>
        <v>2292.1</v>
      </c>
      <c r="T423" s="25">
        <f t="shared" si="125"/>
        <v>1</v>
      </c>
      <c r="U423" s="25">
        <f t="shared" si="126"/>
        <v>3.149271180937122E-3</v>
      </c>
    </row>
    <row r="424" spans="1:21" ht="43.2" x14ac:dyDescent="0.3">
      <c r="A424" s="23" t="s">
        <v>462</v>
      </c>
      <c r="B424" s="23">
        <f>VLOOKUP(A424,MEMORIA!$A:$N,2,FALSE)</f>
        <v>101161</v>
      </c>
      <c r="C424" s="23" t="str">
        <f>VLOOKUP(A424,MEMORIA!$A:$N,3,FALSE)</f>
        <v>SINAPI</v>
      </c>
      <c r="D424" s="24" t="str">
        <f>VLOOKUP(A424,MEMORIA!$A:$N,4,FALSE)</f>
        <v>ALVENARIA DE VEDAÇÃO COM ELEMENTO VAZADO DE CONCRETO (COBOGÓ) DE 7X50X50CM E ARGAMASSA DE ASSENTAMENTO COM PREPARO EM BETONEIRA. AF_05/2020</v>
      </c>
      <c r="E424" s="23" t="str">
        <f>VLOOKUP(A424,MEMORIA!$A:$N,5,FALSE)</f>
        <v>M2</v>
      </c>
      <c r="F424" s="5">
        <f>VLOOKUP(A424,MEMORIA!$A:$N,14,FALSE)</f>
        <v>1.5</v>
      </c>
      <c r="G424" s="5">
        <f>VLOOKUP(A424,ORCAMENTO!$A:$I,7,FALSE)</f>
        <v>204.43</v>
      </c>
      <c r="H424" s="5">
        <f>VLOOKUP(A424,ORCAMENTO!$A:$I,8,FALSE)</f>
        <v>255.21</v>
      </c>
      <c r="I424" s="5">
        <f>ROUND(F424*H424,2)</f>
        <v>382.82</v>
      </c>
      <c r="J424" s="5">
        <f>ROUND(K424*$H424,2)</f>
        <v>0</v>
      </c>
      <c r="K424" s="5">
        <v>0</v>
      </c>
      <c r="L424" s="25">
        <f t="shared" si="121"/>
        <v>0</v>
      </c>
      <c r="M424" s="5">
        <f>ROUND(N424*$H424,2)</f>
        <v>0</v>
      </c>
      <c r="N424" s="5">
        <v>0</v>
      </c>
      <c r="O424" s="25">
        <f t="shared" si="122"/>
        <v>0</v>
      </c>
      <c r="P424" s="5">
        <f>ROUND(Q424*$H424,2)</f>
        <v>382.82</v>
      </c>
      <c r="Q424" s="5">
        <f t="shared" si="131"/>
        <v>1.5</v>
      </c>
      <c r="R424" s="25">
        <f t="shared" si="123"/>
        <v>1</v>
      </c>
      <c r="S424" s="5">
        <f t="shared" si="124"/>
        <v>382.82</v>
      </c>
      <c r="T424" s="25">
        <f t="shared" si="125"/>
        <v>1</v>
      </c>
      <c r="U424" s="25">
        <f t="shared" si="126"/>
        <v>5.2598228414395059E-4</v>
      </c>
    </row>
    <row r="425" spans="1:21" x14ac:dyDescent="0.3">
      <c r="A425" s="15" t="s">
        <v>115</v>
      </c>
      <c r="B425" s="49" t="str">
        <f>VLOOKUP(A425,MEMORIA!$A:$N,2,FALSE)</f>
        <v>COBERTURA</v>
      </c>
      <c r="C425" s="50"/>
      <c r="D425" s="50"/>
      <c r="E425" s="50"/>
      <c r="F425" s="50"/>
      <c r="G425" s="50"/>
      <c r="H425" s="51"/>
      <c r="I425" s="16">
        <f>SUM(I$426:I$427)</f>
        <v>1332.15</v>
      </c>
      <c r="J425" s="16">
        <f>SUM(J$426:J$427)</f>
        <v>0</v>
      </c>
      <c r="K425" s="16"/>
      <c r="L425" s="17">
        <f t="shared" si="121"/>
        <v>0</v>
      </c>
      <c r="M425" s="16">
        <f>SUM(M$426:M$427)</f>
        <v>0</v>
      </c>
      <c r="N425" s="16"/>
      <c r="O425" s="17">
        <f t="shared" si="122"/>
        <v>0</v>
      </c>
      <c r="P425" s="16">
        <f>SUM(P$426:P$427)</f>
        <v>1332.15</v>
      </c>
      <c r="Q425" s="16"/>
      <c r="R425" s="17">
        <f t="shared" si="123"/>
        <v>1</v>
      </c>
      <c r="S425" s="16">
        <f t="shared" si="124"/>
        <v>1332.15</v>
      </c>
      <c r="T425" s="17">
        <f t="shared" si="125"/>
        <v>1</v>
      </c>
      <c r="U425" s="17">
        <f t="shared" si="126"/>
        <v>1.8303309644803402E-3</v>
      </c>
    </row>
    <row r="426" spans="1:21" ht="28.8" x14ac:dyDescent="0.3">
      <c r="A426" s="23" t="s">
        <v>463</v>
      </c>
      <c r="B426" s="23" t="str">
        <f>VLOOKUP(A426,MEMORIA!$A:$N,2,FALSE)</f>
        <v>COMPCOM03</v>
      </c>
      <c r="C426" s="23" t="str">
        <f>VLOOKUP(A426,MEMORIA!$A:$N,3,FALSE)</f>
        <v>PRÓPRIA</v>
      </c>
      <c r="D426" s="24" t="str">
        <f>VLOOKUP(A426,MEMORIA!$A:$N,4,FALSE)</f>
        <v>TELHAMENTO COM TELHA CERÂMICA CAPA-CANAL, TIPO COLONIAL, COM ATÉ 2 ÁGUAS, INCLUSO TRANSPORTE VERTICAL</v>
      </c>
      <c r="E426" s="23" t="str">
        <f>VLOOKUP(A426,MEMORIA!$A:$N,5,FALSE)</f>
        <v>M²</v>
      </c>
      <c r="F426" s="5">
        <f>VLOOKUP(A426,MEMORIA!$A:$N,14,FALSE)</f>
        <v>10.23</v>
      </c>
      <c r="G426" s="5">
        <f>VLOOKUP(A426,ORCAMENTO!$A:$I,7,FALSE)</f>
        <v>37.64</v>
      </c>
      <c r="H426" s="5">
        <f>VLOOKUP(A426,ORCAMENTO!$A:$I,8,FALSE)</f>
        <v>46.99</v>
      </c>
      <c r="I426" s="5">
        <f>ROUND(F426*H426,2)</f>
        <v>480.71</v>
      </c>
      <c r="J426" s="5">
        <f>ROUND(K426*$H426,2)</f>
        <v>0</v>
      </c>
      <c r="K426" s="5">
        <v>0</v>
      </c>
      <c r="L426" s="25">
        <f t="shared" si="121"/>
        <v>0</v>
      </c>
      <c r="M426" s="5">
        <f>ROUND(N426*$H426,2)</f>
        <v>0</v>
      </c>
      <c r="N426" s="5">
        <v>0</v>
      </c>
      <c r="O426" s="25">
        <f t="shared" si="122"/>
        <v>0</v>
      </c>
      <c r="P426" s="5">
        <f>ROUND(Q426*$H426,2)</f>
        <v>480.71</v>
      </c>
      <c r="Q426" s="5">
        <f t="shared" si="131"/>
        <v>10.23</v>
      </c>
      <c r="R426" s="25">
        <f t="shared" si="123"/>
        <v>1</v>
      </c>
      <c r="S426" s="5">
        <f t="shared" si="124"/>
        <v>480.71</v>
      </c>
      <c r="T426" s="25">
        <f t="shared" si="125"/>
        <v>1</v>
      </c>
      <c r="U426" s="25">
        <f t="shared" si="126"/>
        <v>6.6047997442881374E-4</v>
      </c>
    </row>
    <row r="427" spans="1:21" ht="28.8" x14ac:dyDescent="0.3">
      <c r="A427" s="23" t="s">
        <v>464</v>
      </c>
      <c r="B427" s="23" t="str">
        <f>VLOOKUP(A427,MEMORIA!$A:$N,2,FALSE)</f>
        <v>COMPCOM04</v>
      </c>
      <c r="C427" s="23" t="str">
        <f>VLOOKUP(A427,MEMORIA!$A:$N,3,FALSE)</f>
        <v>PRÓPRIA</v>
      </c>
      <c r="D427" s="24" t="str">
        <f>VLOOKUP(A427,MEMORIA!$A:$N,4,FALSE)</f>
        <v>TRAMA DE MADEIRA COMPOSTA POR RIPAS, CAIBROS E TERÇAS PARA TELHADOS DE ATÉ 2 ÁGUAS PARA TELHA CERÂMICA CAPA-CANAL, INCLUSO TRANSPORTE VERTICAL</v>
      </c>
      <c r="E427" s="23" t="str">
        <f>VLOOKUP(A427,MEMORIA!$A:$N,5,FALSE)</f>
        <v>M²</v>
      </c>
      <c r="F427" s="5">
        <f>VLOOKUP(A427,MEMORIA!$A:$N,14,FALSE)</f>
        <v>10.23</v>
      </c>
      <c r="G427" s="5">
        <f>VLOOKUP(A427,ORCAMENTO!$A:$I,7,FALSE)</f>
        <v>66.67</v>
      </c>
      <c r="H427" s="5">
        <f>VLOOKUP(A427,ORCAMENTO!$A:$I,8,FALSE)</f>
        <v>83.23</v>
      </c>
      <c r="I427" s="5">
        <f>ROUND(F427*H427,2)</f>
        <v>851.44</v>
      </c>
      <c r="J427" s="5">
        <f>ROUND(K427*$H427,2)</f>
        <v>0</v>
      </c>
      <c r="K427" s="5">
        <v>0</v>
      </c>
      <c r="L427" s="25">
        <f t="shared" si="121"/>
        <v>0</v>
      </c>
      <c r="M427" s="5">
        <f>ROUND(N427*$H427,2)</f>
        <v>0</v>
      </c>
      <c r="N427" s="5">
        <v>0</v>
      </c>
      <c r="O427" s="25">
        <f t="shared" si="122"/>
        <v>0</v>
      </c>
      <c r="P427" s="5">
        <f>ROUND(Q427*$H427,2)</f>
        <v>851.44</v>
      </c>
      <c r="Q427" s="5">
        <f t="shared" si="131"/>
        <v>10.23</v>
      </c>
      <c r="R427" s="25">
        <f t="shared" si="123"/>
        <v>1</v>
      </c>
      <c r="S427" s="5">
        <f t="shared" si="124"/>
        <v>851.44</v>
      </c>
      <c r="T427" s="25">
        <f t="shared" si="125"/>
        <v>1</v>
      </c>
      <c r="U427" s="25">
        <f t="shared" si="126"/>
        <v>1.1698509900515263E-3</v>
      </c>
    </row>
    <row r="428" spans="1:21" x14ac:dyDescent="0.3">
      <c r="A428" s="15" t="s">
        <v>116</v>
      </c>
      <c r="B428" s="49" t="str">
        <f>VLOOKUP(A428,MEMORIA!$A:$N,2,FALSE)</f>
        <v>PISO</v>
      </c>
      <c r="C428" s="50"/>
      <c r="D428" s="50"/>
      <c r="E428" s="50"/>
      <c r="F428" s="50"/>
      <c r="G428" s="50"/>
      <c r="H428" s="51"/>
      <c r="I428" s="16">
        <f>SUM(I$429:I$431)</f>
        <v>1208.82</v>
      </c>
      <c r="J428" s="16">
        <f>SUM(J$429:J$431)</f>
        <v>0</v>
      </c>
      <c r="K428" s="16"/>
      <c r="L428" s="17">
        <f t="shared" si="121"/>
        <v>0</v>
      </c>
      <c r="M428" s="16">
        <f>SUM(M$429:M$431)</f>
        <v>0</v>
      </c>
      <c r="N428" s="16"/>
      <c r="O428" s="17">
        <f t="shared" si="122"/>
        <v>0</v>
      </c>
      <c r="P428" s="16">
        <f>SUM(P$429:P$431)</f>
        <v>1208.82</v>
      </c>
      <c r="Q428" s="16"/>
      <c r="R428" s="17">
        <f t="shared" si="123"/>
        <v>1</v>
      </c>
      <c r="S428" s="16">
        <f t="shared" si="124"/>
        <v>1208.82</v>
      </c>
      <c r="T428" s="17">
        <f t="shared" si="125"/>
        <v>1</v>
      </c>
      <c r="U428" s="17">
        <f t="shared" si="126"/>
        <v>1.6608795379522761E-3</v>
      </c>
    </row>
    <row r="429" spans="1:21" ht="28.8" x14ac:dyDescent="0.3">
      <c r="A429" s="23" t="s">
        <v>465</v>
      </c>
      <c r="B429" s="23">
        <f>VLOOKUP(A429,MEMORIA!$A:$N,2,FALSE)</f>
        <v>96617</v>
      </c>
      <c r="C429" s="23" t="str">
        <f>VLOOKUP(A429,MEMORIA!$A:$N,3,FALSE)</f>
        <v>SINAPI</v>
      </c>
      <c r="D429" s="24" t="str">
        <f>VLOOKUP(A429,MEMORIA!$A:$N,4,FALSE)</f>
        <v>LASTRO DE CONCRETO MAGRO, APLICADO EM BLOCOS DE COROAMENTO OU SAPATAS, ESPESSURA DE 3 CM. AF_01/2024</v>
      </c>
      <c r="E429" s="23" t="str">
        <f>VLOOKUP(A429,MEMORIA!$A:$N,5,FALSE)</f>
        <v>M2</v>
      </c>
      <c r="F429" s="5">
        <f>VLOOKUP(A429,MEMORIA!$A:$N,14,FALSE)</f>
        <v>4</v>
      </c>
      <c r="G429" s="5">
        <f>VLOOKUP(A429,ORCAMENTO!$A:$I,7,FALSE)</f>
        <v>23.990000000000002</v>
      </c>
      <c r="H429" s="5">
        <f>VLOOKUP(A429,ORCAMENTO!$A:$I,8,FALSE)</f>
        <v>29.950000000000003</v>
      </c>
      <c r="I429" s="5">
        <f>ROUND(F429*H429,2)</f>
        <v>119.8</v>
      </c>
      <c r="J429" s="5">
        <f>ROUND(K429*$H429,2)</f>
        <v>0</v>
      </c>
      <c r="K429" s="5">
        <v>0</v>
      </c>
      <c r="L429" s="25">
        <f t="shared" si="121"/>
        <v>0</v>
      </c>
      <c r="M429" s="5">
        <f>ROUND(N429*$H429,2)</f>
        <v>0</v>
      </c>
      <c r="N429" s="5">
        <v>0</v>
      </c>
      <c r="O429" s="25">
        <f t="shared" si="122"/>
        <v>0</v>
      </c>
      <c r="P429" s="5">
        <f>ROUND(Q429*$H429,2)</f>
        <v>119.8</v>
      </c>
      <c r="Q429" s="5">
        <f t="shared" si="131"/>
        <v>4</v>
      </c>
      <c r="R429" s="25">
        <f t="shared" si="123"/>
        <v>1</v>
      </c>
      <c r="S429" s="5">
        <f t="shared" si="124"/>
        <v>119.8</v>
      </c>
      <c r="T429" s="25">
        <f t="shared" si="125"/>
        <v>1</v>
      </c>
      <c r="U429" s="25">
        <f t="shared" si="126"/>
        <v>1.6460132083079588E-4</v>
      </c>
    </row>
    <row r="430" spans="1:21" ht="28.8" x14ac:dyDescent="0.3">
      <c r="A430" s="23" t="s">
        <v>466</v>
      </c>
      <c r="B430" s="23">
        <f>VLOOKUP(A430,MEMORIA!$A:$N,2,FALSE)</f>
        <v>101749</v>
      </c>
      <c r="C430" s="23" t="str">
        <f>VLOOKUP(A430,MEMORIA!$A:$N,3,FALSE)</f>
        <v>SINAPI</v>
      </c>
      <c r="D430" s="24" t="str">
        <f>VLOOKUP(A430,MEMORIA!$A:$N,4,FALSE)</f>
        <v>PISO CIMENTADO, TRAÇO 1:3 (CIMENTO E AREIA), ACABAMENTO LISO, ESPESSURA 4,0 CM, PREPARO MECÂNICO DA ARGAMASSA. AF_09/2020</v>
      </c>
      <c r="E430" s="23" t="str">
        <f>VLOOKUP(A430,MEMORIA!$A:$N,5,FALSE)</f>
        <v>M2</v>
      </c>
      <c r="F430" s="5">
        <f>VLOOKUP(A430,MEMORIA!$A:$N,14,FALSE)</f>
        <v>4</v>
      </c>
      <c r="G430" s="5">
        <f>VLOOKUP(A430,ORCAMENTO!$A:$I,7,FALSE)</f>
        <v>64.739999999999995</v>
      </c>
      <c r="H430" s="5">
        <f>VLOOKUP(A430,ORCAMENTO!$A:$I,8,FALSE)</f>
        <v>80.819999999999993</v>
      </c>
      <c r="I430" s="5">
        <f>ROUND(F430*H430,2)</f>
        <v>323.27999999999997</v>
      </c>
      <c r="J430" s="5">
        <f>ROUND(K430*$H430,2)</f>
        <v>0</v>
      </c>
      <c r="K430" s="5">
        <v>0</v>
      </c>
      <c r="L430" s="25">
        <f t="shared" si="121"/>
        <v>0</v>
      </c>
      <c r="M430" s="5">
        <f>ROUND(N430*$H430,2)</f>
        <v>0</v>
      </c>
      <c r="N430" s="5">
        <v>0</v>
      </c>
      <c r="O430" s="25">
        <f t="shared" si="122"/>
        <v>0</v>
      </c>
      <c r="P430" s="5">
        <f>ROUND(Q430*$H430,2)</f>
        <v>323.27999999999997</v>
      </c>
      <c r="Q430" s="5">
        <f t="shared" si="131"/>
        <v>4</v>
      </c>
      <c r="R430" s="25">
        <f t="shared" si="123"/>
        <v>1</v>
      </c>
      <c r="S430" s="5">
        <f t="shared" si="124"/>
        <v>323.27999999999997</v>
      </c>
      <c r="T430" s="25">
        <f t="shared" si="125"/>
        <v>1</v>
      </c>
      <c r="U430" s="25">
        <f t="shared" si="126"/>
        <v>4.4417625207161679E-4</v>
      </c>
    </row>
    <row r="431" spans="1:21" ht="43.2" x14ac:dyDescent="0.3">
      <c r="A431" s="23" t="s">
        <v>467</v>
      </c>
      <c r="B431" s="23">
        <f>VLOOKUP(A431,MEMORIA!$A:$N,2,FALSE)</f>
        <v>94994</v>
      </c>
      <c r="C431" s="23" t="str">
        <f>VLOOKUP(A431,MEMORIA!$A:$N,3,FALSE)</f>
        <v>SINAPI</v>
      </c>
      <c r="D431" s="24" t="str">
        <f>VLOOKUP(A431,MEMORIA!$A:$N,4,FALSE)</f>
        <v>EXECUÇÃO DE PASSEIO (CALÇADA) OU PISO DE CONCRETO COM CONCRETO MOLDADO IN LOCO, FEITO EM OBRA, ACABAMENTO CONVENCIONAL, ESPESSURA 8 CM, ARMADO. AF_08/2022</v>
      </c>
      <c r="E431" s="23" t="str">
        <f>VLOOKUP(A431,MEMORIA!$A:$N,5,FALSE)</f>
        <v>M2</v>
      </c>
      <c r="F431" s="5">
        <f>VLOOKUP(A431,MEMORIA!$A:$N,14,FALSE)</f>
        <v>5.6</v>
      </c>
      <c r="G431" s="5">
        <f>VLOOKUP(A431,ORCAMENTO!$A:$I,7,FALSE)</f>
        <v>109.53000000000002</v>
      </c>
      <c r="H431" s="5">
        <f>VLOOKUP(A431,ORCAMENTO!$A:$I,8,FALSE)</f>
        <v>136.74</v>
      </c>
      <c r="I431" s="5">
        <f>ROUND(F431*H431,2)</f>
        <v>765.74</v>
      </c>
      <c r="J431" s="5">
        <f>ROUND(K431*$H431,2)</f>
        <v>0</v>
      </c>
      <c r="K431" s="5">
        <v>0</v>
      </c>
      <c r="L431" s="25">
        <f t="shared" si="121"/>
        <v>0</v>
      </c>
      <c r="M431" s="5">
        <f>ROUND(N431*$H431,2)</f>
        <v>0</v>
      </c>
      <c r="N431" s="5">
        <v>0</v>
      </c>
      <c r="O431" s="25">
        <f t="shared" si="122"/>
        <v>0</v>
      </c>
      <c r="P431" s="5">
        <f>ROUND(Q431*$H431,2)</f>
        <v>765.74</v>
      </c>
      <c r="Q431" s="5">
        <f t="shared" si="131"/>
        <v>5.6</v>
      </c>
      <c r="R431" s="25">
        <f t="shared" si="123"/>
        <v>1</v>
      </c>
      <c r="S431" s="5">
        <f t="shared" si="124"/>
        <v>765.74</v>
      </c>
      <c r="T431" s="25">
        <f t="shared" si="125"/>
        <v>1</v>
      </c>
      <c r="U431" s="25">
        <f t="shared" si="126"/>
        <v>1.0521019650498635E-3</v>
      </c>
    </row>
    <row r="432" spans="1:21" x14ac:dyDescent="0.3">
      <c r="A432" s="15" t="s">
        <v>117</v>
      </c>
      <c r="B432" s="49" t="str">
        <f>VLOOKUP(A432,MEMORIA!$A:$N,2,FALSE)</f>
        <v>REVESTIMENTO</v>
      </c>
      <c r="C432" s="50"/>
      <c r="D432" s="50"/>
      <c r="E432" s="50"/>
      <c r="F432" s="50"/>
      <c r="G432" s="50"/>
      <c r="H432" s="51"/>
      <c r="I432" s="16">
        <f>SUM(I$433:I$434)</f>
        <v>2396.75</v>
      </c>
      <c r="J432" s="16">
        <f>SUM(J$433:J$434)</f>
        <v>0</v>
      </c>
      <c r="K432" s="16"/>
      <c r="L432" s="17">
        <f t="shared" si="121"/>
        <v>0</v>
      </c>
      <c r="M432" s="16">
        <f>SUM(M$433:M$434)</f>
        <v>0</v>
      </c>
      <c r="N432" s="16"/>
      <c r="O432" s="17">
        <f t="shared" si="122"/>
        <v>0</v>
      </c>
      <c r="P432" s="16">
        <f>SUM(P$433:P$434)</f>
        <v>2396.75</v>
      </c>
      <c r="Q432" s="16"/>
      <c r="R432" s="17">
        <f t="shared" si="123"/>
        <v>1</v>
      </c>
      <c r="S432" s="16">
        <f t="shared" si="124"/>
        <v>2396.75</v>
      </c>
      <c r="T432" s="17">
        <f t="shared" si="125"/>
        <v>1</v>
      </c>
      <c r="U432" s="17">
        <f t="shared" si="126"/>
        <v>3.2930568923306347E-3</v>
      </c>
    </row>
    <row r="433" spans="1:21" ht="43.2" x14ac:dyDescent="0.3">
      <c r="A433" s="23" t="s">
        <v>468</v>
      </c>
      <c r="B433" s="23">
        <f>VLOOKUP(A433,MEMORIA!$A:$N,2,FALSE)</f>
        <v>87904</v>
      </c>
      <c r="C433" s="23" t="str">
        <f>VLOOKUP(A433,MEMORIA!$A:$N,3,FALSE)</f>
        <v>SINAPI</v>
      </c>
      <c r="D433" s="24" t="str">
        <f>VLOOKUP(A433,MEMORIA!$A:$N,4,FALSE)</f>
        <v>CHAPISCO APLICADO EM ALVENARIA (COM PRESENÇA DE VÃOS) E ESTRUTURAS DE CONCRETO DE FACHADA, COM COLHER DE PEDREIRO. ARGAMASSA TRAÇO 1:3 COM PREPARO MANUAL. AF_10/2022</v>
      </c>
      <c r="E433" s="23" t="str">
        <f>VLOOKUP(A433,MEMORIA!$A:$N,5,FALSE)</f>
        <v>M2</v>
      </c>
      <c r="F433" s="5">
        <f>VLOOKUP(A433,MEMORIA!$A:$N,14,FALSE)</f>
        <v>38.619999999999997</v>
      </c>
      <c r="G433" s="5">
        <f>VLOOKUP(A433,ORCAMENTO!$A:$I,7,FALSE)</f>
        <v>8.74</v>
      </c>
      <c r="H433" s="5">
        <f>VLOOKUP(A433,ORCAMENTO!$A:$I,8,FALSE)</f>
        <v>10.91</v>
      </c>
      <c r="I433" s="5">
        <f>ROUND(F433*H433,2)</f>
        <v>421.34</v>
      </c>
      <c r="J433" s="5">
        <f>ROUND(K433*$H433,2)</f>
        <v>0</v>
      </c>
      <c r="K433" s="5">
        <v>0</v>
      </c>
      <c r="L433" s="25">
        <f t="shared" si="121"/>
        <v>0</v>
      </c>
      <c r="M433" s="5">
        <f>ROUND(N433*$H433,2)</f>
        <v>0</v>
      </c>
      <c r="N433" s="5">
        <v>0</v>
      </c>
      <c r="O433" s="25">
        <f t="shared" si="122"/>
        <v>0</v>
      </c>
      <c r="P433" s="5">
        <f>ROUND(Q433*$H433,2)</f>
        <v>421.34</v>
      </c>
      <c r="Q433" s="5">
        <f t="shared" si="131"/>
        <v>38.619999999999997</v>
      </c>
      <c r="R433" s="25">
        <f t="shared" si="123"/>
        <v>1</v>
      </c>
      <c r="S433" s="5">
        <f t="shared" si="124"/>
        <v>421.34</v>
      </c>
      <c r="T433" s="25">
        <f t="shared" si="125"/>
        <v>1</v>
      </c>
      <c r="U433" s="25">
        <f t="shared" si="126"/>
        <v>5.7890751685181583E-4</v>
      </c>
    </row>
    <row r="434" spans="1:21" ht="43.2" x14ac:dyDescent="0.3">
      <c r="A434" s="23" t="s">
        <v>469</v>
      </c>
      <c r="B434" s="23">
        <f>VLOOKUP(A434,MEMORIA!$A:$N,2,FALSE)</f>
        <v>87530</v>
      </c>
      <c r="C434" s="23" t="str">
        <f>VLOOKUP(A434,MEMORIA!$A:$N,3,FALSE)</f>
        <v>SINAPI</v>
      </c>
      <c r="D434" s="24" t="str">
        <f>VLOOKUP(A434,MEMORIA!$A:$N,4,FALSE)</f>
        <v>MASSA ÚNICA, EM ARGAMASSA TRAÇO 1:2:8, PREPARO MANUAL, APLICADA MANUALMENTE EM PAREDES INTERNAS DE AMBIENTES COM ÁREA ENTRE 5M² E 10M², E = 17,5MM, COM TALISCAS. AF_03/2024</v>
      </c>
      <c r="E434" s="23" t="str">
        <f>VLOOKUP(A434,MEMORIA!$A:$N,5,FALSE)</f>
        <v>M2</v>
      </c>
      <c r="F434" s="5">
        <f>VLOOKUP(A434,MEMORIA!$A:$N,14,FALSE)</f>
        <v>38.619999999999997</v>
      </c>
      <c r="G434" s="5">
        <f>VLOOKUP(A434,ORCAMENTO!$A:$I,7,FALSE)</f>
        <v>40.97</v>
      </c>
      <c r="H434" s="5">
        <f>VLOOKUP(A434,ORCAMENTO!$A:$I,8,FALSE)</f>
        <v>51.15</v>
      </c>
      <c r="I434" s="5">
        <f>ROUND(F434*H434,2)</f>
        <v>1975.41</v>
      </c>
      <c r="J434" s="5">
        <f>ROUND(K434*$H434,2)</f>
        <v>0</v>
      </c>
      <c r="K434" s="5">
        <v>0</v>
      </c>
      <c r="L434" s="25">
        <f t="shared" si="121"/>
        <v>0</v>
      </c>
      <c r="M434" s="5">
        <f>ROUND(N434*$H434,2)</f>
        <v>0</v>
      </c>
      <c r="N434" s="5">
        <v>0</v>
      </c>
      <c r="O434" s="25">
        <f t="shared" si="122"/>
        <v>0</v>
      </c>
      <c r="P434" s="5">
        <f>ROUND(Q434*$H434,2)</f>
        <v>1975.41</v>
      </c>
      <c r="Q434" s="5">
        <f t="shared" si="131"/>
        <v>38.619999999999997</v>
      </c>
      <c r="R434" s="25">
        <f t="shared" si="123"/>
        <v>1</v>
      </c>
      <c r="S434" s="5">
        <f t="shared" si="124"/>
        <v>1975.41</v>
      </c>
      <c r="T434" s="25">
        <f t="shared" si="125"/>
        <v>1</v>
      </c>
      <c r="U434" s="25">
        <f t="shared" si="126"/>
        <v>2.7141493754788189E-3</v>
      </c>
    </row>
    <row r="435" spans="1:21" x14ac:dyDescent="0.3">
      <c r="A435" s="15" t="s">
        <v>118</v>
      </c>
      <c r="B435" s="49" t="str">
        <f>VLOOKUP(A435,MEMORIA!$A:$N,2,FALSE)</f>
        <v>ESQUADRIAS</v>
      </c>
      <c r="C435" s="50"/>
      <c r="D435" s="50"/>
      <c r="E435" s="50"/>
      <c r="F435" s="50"/>
      <c r="G435" s="50"/>
      <c r="H435" s="51"/>
      <c r="I435" s="16">
        <f>SUM(I$436:I$437)</f>
        <v>4550.21</v>
      </c>
      <c r="J435" s="16">
        <f>SUM(J$436:J$437)</f>
        <v>0</v>
      </c>
      <c r="K435" s="16"/>
      <c r="L435" s="17">
        <f t="shared" si="121"/>
        <v>0</v>
      </c>
      <c r="M435" s="16">
        <f>SUM(M$436:M$437)</f>
        <v>0</v>
      </c>
      <c r="N435" s="16"/>
      <c r="O435" s="17">
        <f t="shared" si="122"/>
        <v>0</v>
      </c>
      <c r="P435" s="16">
        <f>SUM(P$436:P$437)</f>
        <v>4550.21</v>
      </c>
      <c r="Q435" s="16"/>
      <c r="R435" s="17">
        <f t="shared" si="123"/>
        <v>1</v>
      </c>
      <c r="S435" s="16">
        <f t="shared" si="124"/>
        <v>4550.21</v>
      </c>
      <c r="T435" s="17">
        <f t="shared" si="125"/>
        <v>1</v>
      </c>
      <c r="U435" s="17">
        <f t="shared" si="126"/>
        <v>6.2518412024832699E-3</v>
      </c>
    </row>
    <row r="436" spans="1:21" x14ac:dyDescent="0.3">
      <c r="A436" s="23" t="s">
        <v>470</v>
      </c>
      <c r="B436" s="23">
        <f>VLOOKUP(A436,MEMORIA!$A:$N,2,FALSE)</f>
        <v>100701</v>
      </c>
      <c r="C436" s="23" t="str">
        <f>VLOOKUP(A436,MEMORIA!$A:$N,3,FALSE)</f>
        <v>SINAPI</v>
      </c>
      <c r="D436" s="24" t="str">
        <f>VLOOKUP(A436,MEMORIA!$A:$N,4,FALSE)</f>
        <v>PORTA DE FERRO, DE ABRIR, TIPO GRADE COM CHAPA, COM GUARNIÇÕES. AF_12/2019</v>
      </c>
      <c r="E436" s="23" t="str">
        <f>VLOOKUP(A436,MEMORIA!$A:$N,5,FALSE)</f>
        <v>M2</v>
      </c>
      <c r="F436" s="5">
        <f>VLOOKUP(A436,MEMORIA!$A:$N,14,FALSE)</f>
        <v>1.68</v>
      </c>
      <c r="G436" s="5">
        <f>VLOOKUP(A436,ORCAMENTO!$A:$I,7,FALSE)</f>
        <v>415.3</v>
      </c>
      <c r="H436" s="5">
        <f>VLOOKUP(A436,ORCAMENTO!$A:$I,8,FALSE)</f>
        <v>518.46</v>
      </c>
      <c r="I436" s="5">
        <f>ROUND(F436*H436,2)</f>
        <v>871.01</v>
      </c>
      <c r="J436" s="5">
        <f>ROUND(K436*$H436,2)</f>
        <v>0</v>
      </c>
      <c r="K436" s="5">
        <v>0</v>
      </c>
      <c r="L436" s="25">
        <f t="shared" si="121"/>
        <v>0</v>
      </c>
      <c r="M436" s="5">
        <f>ROUND(N436*$H436,2)</f>
        <v>0</v>
      </c>
      <c r="N436" s="5">
        <v>0</v>
      </c>
      <c r="O436" s="25">
        <f t="shared" si="122"/>
        <v>0</v>
      </c>
      <c r="P436" s="5">
        <f>ROUND(Q436*$H436,2)</f>
        <v>871.01</v>
      </c>
      <c r="Q436" s="5">
        <f t="shared" si="131"/>
        <v>1.68</v>
      </c>
      <c r="R436" s="25">
        <f t="shared" si="123"/>
        <v>1</v>
      </c>
      <c r="S436" s="5">
        <f t="shared" si="124"/>
        <v>871.01</v>
      </c>
      <c r="T436" s="25">
        <f t="shared" si="125"/>
        <v>1</v>
      </c>
      <c r="U436" s="25">
        <f t="shared" si="126"/>
        <v>1.196739536367542E-3</v>
      </c>
    </row>
    <row r="437" spans="1:21" ht="28.8" x14ac:dyDescent="0.3">
      <c r="A437" s="23" t="s">
        <v>471</v>
      </c>
      <c r="B437" s="23" t="str">
        <f>VLOOKUP(A437,MEMORIA!$A:$N,2,FALSE)</f>
        <v>C3659</v>
      </c>
      <c r="C437" s="23" t="str">
        <f>VLOOKUP(A437,MEMORIA!$A:$N,3,FALSE)</f>
        <v>SEINFRA</v>
      </c>
      <c r="D437" s="24" t="str">
        <f>VLOOKUP(A437,MEMORIA!$A:$N,4,FALSE)</f>
        <v>PORTÃO DE METALON E BARRA CHATA DE FERRO C/FECHADURA E DOBRADIÇA, INCLUS. PINTURA ESMALTE SINTÉTICO</v>
      </c>
      <c r="E437" s="23" t="str">
        <f>VLOOKUP(A437,MEMORIA!$A:$N,5,FALSE)</f>
        <v>M2</v>
      </c>
      <c r="F437" s="5">
        <f>VLOOKUP(A437,MEMORIA!$A:$N,14,FALSE)</f>
        <v>6</v>
      </c>
      <c r="G437" s="5">
        <f>VLOOKUP(A437,ORCAMENTO!$A:$I,7,FALSE)</f>
        <v>491.19000000000005</v>
      </c>
      <c r="H437" s="5">
        <f>VLOOKUP(A437,ORCAMENTO!$A:$I,8,FALSE)</f>
        <v>613.20000000000005</v>
      </c>
      <c r="I437" s="5">
        <f>ROUND(F437*H437,2)</f>
        <v>3679.2</v>
      </c>
      <c r="J437" s="5">
        <f>ROUND(K437*$H437,2)</f>
        <v>0</v>
      </c>
      <c r="K437" s="5">
        <v>0</v>
      </c>
      <c r="L437" s="25">
        <f t="shared" si="121"/>
        <v>0</v>
      </c>
      <c r="M437" s="5">
        <f>ROUND(N437*$H437,2)</f>
        <v>0</v>
      </c>
      <c r="N437" s="5">
        <v>0</v>
      </c>
      <c r="O437" s="25">
        <f t="shared" si="122"/>
        <v>0</v>
      </c>
      <c r="P437" s="5">
        <f>ROUND(Q437*$H437,2)</f>
        <v>3679.2</v>
      </c>
      <c r="Q437" s="5">
        <f t="shared" si="131"/>
        <v>6</v>
      </c>
      <c r="R437" s="25">
        <f t="shared" si="123"/>
        <v>1</v>
      </c>
      <c r="S437" s="5">
        <f t="shared" si="124"/>
        <v>3679.2</v>
      </c>
      <c r="T437" s="25">
        <f t="shared" si="125"/>
        <v>1</v>
      </c>
      <c r="U437" s="25">
        <f t="shared" si="126"/>
        <v>5.0551016661157279E-3</v>
      </c>
    </row>
    <row r="438" spans="1:21" x14ac:dyDescent="0.3">
      <c r="A438" s="15" t="s">
        <v>119</v>
      </c>
      <c r="B438" s="49" t="str">
        <f>VLOOKUP(A438,MEMORIA!$A:$N,2,FALSE)</f>
        <v>PINTURA</v>
      </c>
      <c r="C438" s="50"/>
      <c r="D438" s="50"/>
      <c r="E438" s="50"/>
      <c r="F438" s="50"/>
      <c r="G438" s="50"/>
      <c r="H438" s="51"/>
      <c r="I438" s="16">
        <f>SUM(I$439:I$440)</f>
        <v>663.11</v>
      </c>
      <c r="J438" s="16">
        <f>SUM(J$439:J$440)</f>
        <v>0</v>
      </c>
      <c r="K438" s="16"/>
      <c r="L438" s="17">
        <f t="shared" si="121"/>
        <v>0</v>
      </c>
      <c r="M438" s="16">
        <f>SUM(M$439:M$440)</f>
        <v>0</v>
      </c>
      <c r="N438" s="16"/>
      <c r="O438" s="17">
        <f t="shared" si="122"/>
        <v>0</v>
      </c>
      <c r="P438" s="16">
        <f>SUM(P$439:P$440)</f>
        <v>663.11</v>
      </c>
      <c r="Q438" s="16"/>
      <c r="R438" s="17">
        <f t="shared" si="123"/>
        <v>1</v>
      </c>
      <c r="S438" s="16">
        <f t="shared" si="124"/>
        <v>663.11</v>
      </c>
      <c r="T438" s="17">
        <f t="shared" si="125"/>
        <v>1</v>
      </c>
      <c r="U438" s="17">
        <f t="shared" si="126"/>
        <v>9.1109166824798889E-4</v>
      </c>
    </row>
    <row r="439" spans="1:21" x14ac:dyDescent="0.3">
      <c r="A439" s="23" t="s">
        <v>472</v>
      </c>
      <c r="B439" s="23" t="str">
        <f>VLOOKUP(A439,MEMORIA!$A:$N,2,FALSE)</f>
        <v>COMP205</v>
      </c>
      <c r="C439" s="23" t="str">
        <f>VLOOKUP(A439,MEMORIA!$A:$N,3,FALSE)</f>
        <v>PRÓPRIA</v>
      </c>
      <c r="D439" s="24" t="str">
        <f>VLOOKUP(A439,MEMORIA!$A:$N,4,FALSE)</f>
        <v>CAIAÇÃO EM TRES DEMÃOS EM PAREDES (REF: C0589-SEINFRA 28)</v>
      </c>
      <c r="E439" s="23" t="str">
        <f>VLOOKUP(A439,MEMORIA!$A:$N,5,FALSE)</f>
        <v>M2</v>
      </c>
      <c r="F439" s="5">
        <f>VLOOKUP(A439,MEMORIA!$A:$N,14,FALSE)</f>
        <v>38.619999999999997</v>
      </c>
      <c r="G439" s="5">
        <f>VLOOKUP(A439,ORCAMENTO!$A:$I,7,FALSE)</f>
        <v>9.3800000000000008</v>
      </c>
      <c r="H439" s="5">
        <f>VLOOKUP(A439,ORCAMENTO!$A:$I,8,FALSE)</f>
        <v>11.71</v>
      </c>
      <c r="I439" s="5">
        <f>ROUND(F439*H439,2)</f>
        <v>452.24</v>
      </c>
      <c r="J439" s="5">
        <f>ROUND(K439*$H439,2)</f>
        <v>0</v>
      </c>
      <c r="K439" s="5">
        <v>0</v>
      </c>
      <c r="L439" s="25">
        <f t="shared" si="121"/>
        <v>0</v>
      </c>
      <c r="M439" s="5">
        <f>ROUND(N439*$H439,2)</f>
        <v>0</v>
      </c>
      <c r="N439" s="5">
        <v>0</v>
      </c>
      <c r="O439" s="25">
        <f t="shared" si="122"/>
        <v>0</v>
      </c>
      <c r="P439" s="5">
        <f>ROUND(Q439*$H439,2)</f>
        <v>452.24</v>
      </c>
      <c r="Q439" s="5">
        <f t="shared" si="131"/>
        <v>38.619999999999997</v>
      </c>
      <c r="R439" s="25">
        <f t="shared" si="123"/>
        <v>1</v>
      </c>
      <c r="S439" s="5">
        <f t="shared" si="124"/>
        <v>452.24</v>
      </c>
      <c r="T439" s="25">
        <f t="shared" si="125"/>
        <v>1</v>
      </c>
      <c r="U439" s="25">
        <f t="shared" si="126"/>
        <v>6.2136311629815643E-4</v>
      </c>
    </row>
    <row r="440" spans="1:21" ht="43.2" x14ac:dyDescent="0.3">
      <c r="A440" s="23" t="s">
        <v>473</v>
      </c>
      <c r="B440" s="23">
        <f>VLOOKUP(A440,MEMORIA!$A:$N,2,FALSE)</f>
        <v>100758</v>
      </c>
      <c r="C440" s="23" t="str">
        <f>VLOOKUP(A440,MEMORIA!$A:$N,3,FALSE)</f>
        <v>SINAPI</v>
      </c>
      <c r="D440" s="24" t="str">
        <f>VLOOKUP(A440,MEMORIA!$A:$N,4,FALSE)</f>
        <v>PINTURA COM TINTA ALQUÍDICA DE ACABAMENTO (ESMALTE SINTÉTICO ACETINADO) APLICADA A ROLO OU PINCEL SOBRE SUPERFÍCIES METÁLICAS (EXCETO PERFIL) EXECUTADO EM OBRA (02 DEMÃOS). AF_01/2020</v>
      </c>
      <c r="E440" s="23" t="str">
        <f>VLOOKUP(A440,MEMORIA!$A:$N,5,FALSE)</f>
        <v>M2</v>
      </c>
      <c r="F440" s="5">
        <f>VLOOKUP(A440,MEMORIA!$A:$N,14,FALSE)</f>
        <v>3.36</v>
      </c>
      <c r="G440" s="5">
        <f>VLOOKUP(A440,ORCAMENTO!$A:$I,7,FALSE)</f>
        <v>50.269999999999996</v>
      </c>
      <c r="H440" s="5">
        <f>VLOOKUP(A440,ORCAMENTO!$A:$I,8,FALSE)</f>
        <v>62.76</v>
      </c>
      <c r="I440" s="5">
        <f>ROUND(F440*H440,2)</f>
        <v>210.87</v>
      </c>
      <c r="J440" s="5">
        <f>ROUND(K440*$H440,2)</f>
        <v>0</v>
      </c>
      <c r="K440" s="5">
        <v>0</v>
      </c>
      <c r="L440" s="25">
        <f t="shared" si="121"/>
        <v>0</v>
      </c>
      <c r="M440" s="5">
        <f>ROUND(N440*$H440,2)</f>
        <v>0</v>
      </c>
      <c r="N440" s="5">
        <v>0</v>
      </c>
      <c r="O440" s="25">
        <f t="shared" si="122"/>
        <v>0</v>
      </c>
      <c r="P440" s="5">
        <f>ROUND(Q440*$H440,2)</f>
        <v>210.87</v>
      </c>
      <c r="Q440" s="5">
        <f t="shared" si="131"/>
        <v>3.36</v>
      </c>
      <c r="R440" s="25">
        <f t="shared" si="123"/>
        <v>1</v>
      </c>
      <c r="S440" s="5">
        <f t="shared" si="124"/>
        <v>210.87</v>
      </c>
      <c r="T440" s="25">
        <f t="shared" si="125"/>
        <v>1</v>
      </c>
      <c r="U440" s="25">
        <f t="shared" si="126"/>
        <v>2.8972855194983247E-4</v>
      </c>
    </row>
    <row r="441" spans="1:21" x14ac:dyDescent="0.3">
      <c r="A441" s="15" t="s">
        <v>120</v>
      </c>
      <c r="B441" s="49" t="str">
        <f>VLOOKUP(A441,MEMORIA!$A:$N,2,FALSE)</f>
        <v>CERCAMENTO</v>
      </c>
      <c r="C441" s="50"/>
      <c r="D441" s="50"/>
      <c r="E441" s="50"/>
      <c r="F441" s="50"/>
      <c r="G441" s="50"/>
      <c r="H441" s="51"/>
      <c r="I441" s="16">
        <f>SUM(I$442:I$442)</f>
        <v>6063.93</v>
      </c>
      <c r="J441" s="16">
        <f>SUM(J$442:J$442)</f>
        <v>0</v>
      </c>
      <c r="K441" s="16"/>
      <c r="L441" s="17">
        <f t="shared" si="121"/>
        <v>0</v>
      </c>
      <c r="M441" s="16">
        <f>SUM(M$442:M$442)</f>
        <v>0</v>
      </c>
      <c r="N441" s="16"/>
      <c r="O441" s="17">
        <f t="shared" si="122"/>
        <v>0</v>
      </c>
      <c r="P441" s="16">
        <f>SUM(P$442:P$442)</f>
        <v>6063.93</v>
      </c>
      <c r="Q441" s="16"/>
      <c r="R441" s="17">
        <f t="shared" si="123"/>
        <v>1</v>
      </c>
      <c r="S441" s="16">
        <f t="shared" si="124"/>
        <v>6063.93</v>
      </c>
      <c r="T441" s="17">
        <f t="shared" si="125"/>
        <v>1</v>
      </c>
      <c r="U441" s="17">
        <f t="shared" si="126"/>
        <v>8.3316434676584984E-3</v>
      </c>
    </row>
    <row r="442" spans="1:21" ht="43.2" x14ac:dyDescent="0.3">
      <c r="A442" s="23" t="s">
        <v>474</v>
      </c>
      <c r="B442" s="23">
        <f>VLOOKUP(A442,MEMORIA!$A:$N,2,FALSE)</f>
        <v>101197</v>
      </c>
      <c r="C442" s="23" t="str">
        <f>VLOOKUP(A442,MEMORIA!$A:$N,3,FALSE)</f>
        <v>SINAPI</v>
      </c>
      <c r="D442" s="24" t="str">
        <f>VLOOKUP(A442,MEMORIA!$A:$N,4,FALSE)</f>
        <v>CERCA COM MOURÕES DE CONCRETO, SEÇÃO "T" PONTA INCLINADA, 10X10 CM, ESPAÇAMENTO DE 2,5 M, CRAVADOS 0,5 M, COM 11 FIOS DE ARAME FARPADO Nº 14 - FORNECIMENTO E INSTALAÇÃO. AF_05/2020</v>
      </c>
      <c r="E442" s="23" t="str">
        <f>VLOOKUP(A442,MEMORIA!$A:$N,5,FALSE)</f>
        <v>M</v>
      </c>
      <c r="F442" s="5">
        <f>VLOOKUP(A442,MEMORIA!$A:$N,14,FALSE)</f>
        <v>37</v>
      </c>
      <c r="G442" s="5">
        <f>VLOOKUP(A442,ORCAMENTO!$A:$I,7,FALSE)</f>
        <v>131.28</v>
      </c>
      <c r="H442" s="5">
        <f>VLOOKUP(A442,ORCAMENTO!$A:$I,8,FALSE)</f>
        <v>163.89</v>
      </c>
      <c r="I442" s="5">
        <f>ROUND(F442*H442,2)</f>
        <v>6063.93</v>
      </c>
      <c r="J442" s="5">
        <f>ROUND(K442*$H442,2)</f>
        <v>0</v>
      </c>
      <c r="K442" s="5">
        <v>0</v>
      </c>
      <c r="L442" s="25">
        <f t="shared" si="121"/>
        <v>0</v>
      </c>
      <c r="M442" s="5">
        <f>ROUND(N442*$H442,2)</f>
        <v>0</v>
      </c>
      <c r="N442" s="5">
        <v>0</v>
      </c>
      <c r="O442" s="25">
        <f t="shared" si="122"/>
        <v>0</v>
      </c>
      <c r="P442" s="5">
        <f>ROUND(Q442*$H442,2)</f>
        <v>6063.93</v>
      </c>
      <c r="Q442" s="5">
        <f t="shared" si="131"/>
        <v>37</v>
      </c>
      <c r="R442" s="25">
        <f t="shared" si="123"/>
        <v>1</v>
      </c>
      <c r="S442" s="5">
        <f t="shared" si="124"/>
        <v>6063.93</v>
      </c>
      <c r="T442" s="25">
        <f t="shared" si="125"/>
        <v>1</v>
      </c>
      <c r="U442" s="25">
        <f t="shared" si="126"/>
        <v>8.3316434676584984E-3</v>
      </c>
    </row>
    <row r="443" spans="1:21" x14ac:dyDescent="0.3">
      <c r="A443" s="12" t="s">
        <v>121</v>
      </c>
      <c r="B443" s="46" t="str">
        <f>VLOOKUP(A443,MEMORIA!$A:$N,2,FALSE)</f>
        <v>INSTALAÇÕES ELÉTRICAS</v>
      </c>
      <c r="C443" s="47"/>
      <c r="D443" s="47"/>
      <c r="E443" s="47"/>
      <c r="F443" s="47"/>
      <c r="G443" s="47"/>
      <c r="H443" s="48"/>
      <c r="I443" s="13">
        <f>SUM(I$444:I$451)</f>
        <v>1853.2700000000002</v>
      </c>
      <c r="J443" s="13">
        <f>SUM(J$444:J$451)</f>
        <v>0</v>
      </c>
      <c r="K443" s="13"/>
      <c r="L443" s="14">
        <f t="shared" si="121"/>
        <v>0</v>
      </c>
      <c r="M443" s="13">
        <f>SUM(M$444:M$451)</f>
        <v>0</v>
      </c>
      <c r="N443" s="13"/>
      <c r="O443" s="14">
        <f t="shared" si="122"/>
        <v>0</v>
      </c>
      <c r="P443" s="13">
        <f>SUM(P$444:P$451)</f>
        <v>1853.2700000000002</v>
      </c>
      <c r="Q443" s="13"/>
      <c r="R443" s="14">
        <f t="shared" si="123"/>
        <v>1</v>
      </c>
      <c r="S443" s="13">
        <f t="shared" si="124"/>
        <v>1853.2700000000002</v>
      </c>
      <c r="T443" s="14">
        <f t="shared" si="125"/>
        <v>1</v>
      </c>
      <c r="U443" s="14">
        <f t="shared" si="126"/>
        <v>2.5463329704181062E-3</v>
      </c>
    </row>
    <row r="444" spans="1:21" ht="43.2" x14ac:dyDescent="0.3">
      <c r="A444" s="23" t="s">
        <v>475</v>
      </c>
      <c r="B444" s="23" t="str">
        <f>VLOOKUP(A444,MEMORIA!$A:$N,2,FALSE)</f>
        <v>COMPINST05</v>
      </c>
      <c r="C444" s="23" t="str">
        <f>VLOOKUP(A444,MEMORIA!$A:$N,3,FALSE)</f>
        <v>PRÓPRIA</v>
      </c>
      <c r="D444" s="24" t="str">
        <f>VLOOKUP(A444,MEMORIA!$A:$N,4,FALSE)</f>
        <v>ENTRADA DE ENERGIA ELÉTRICA, AÉREA, MONOFÁSICA, COM CAIXA DE EMBUTIR, CABO DE 10 MM2 E DISJUNTOR DIN 50A (NÃO INCLUSO O POSTE DE CONCRETO). AF_07/2020_PS (REF: 101493-SINAPI-06/2025)</v>
      </c>
      <c r="E444" s="23" t="str">
        <f>VLOOKUP(A444,MEMORIA!$A:$N,5,FALSE)</f>
        <v>UN</v>
      </c>
      <c r="F444" s="5">
        <f>VLOOKUP(A444,MEMORIA!$A:$N,14,FALSE)</f>
        <v>1</v>
      </c>
      <c r="G444" s="5">
        <f>VLOOKUP(A444,ORCAMENTO!$A:$I,7,FALSE)</f>
        <v>967.24</v>
      </c>
      <c r="H444" s="5">
        <f>VLOOKUP(A444,ORCAMENTO!$A:$I,8,FALSE)</f>
        <v>1207.5</v>
      </c>
      <c r="I444" s="5">
        <f t="shared" ref="I444:I451" si="132">ROUND(F444*H444,2)</f>
        <v>1207.5</v>
      </c>
      <c r="J444" s="5">
        <f t="shared" ref="J444:J451" si="133">ROUND(K444*$H444,2)</f>
        <v>0</v>
      </c>
      <c r="K444" s="5">
        <v>0</v>
      </c>
      <c r="L444" s="25">
        <f t="shared" si="121"/>
        <v>0</v>
      </c>
      <c r="M444" s="5">
        <f t="shared" ref="M444:M451" si="134">ROUND(N444*$H444,2)</f>
        <v>0</v>
      </c>
      <c r="N444" s="5">
        <v>0</v>
      </c>
      <c r="O444" s="25">
        <f t="shared" si="122"/>
        <v>0</v>
      </c>
      <c r="P444" s="5">
        <f t="shared" ref="P444:P451" si="135">ROUND(Q444*$H444,2)</f>
        <v>1207.5</v>
      </c>
      <c r="Q444" s="5">
        <f t="shared" si="131"/>
        <v>1</v>
      </c>
      <c r="R444" s="25">
        <f t="shared" si="123"/>
        <v>1</v>
      </c>
      <c r="S444" s="5">
        <f t="shared" si="124"/>
        <v>1207.5</v>
      </c>
      <c r="T444" s="25">
        <f t="shared" si="125"/>
        <v>1</v>
      </c>
      <c r="U444" s="25">
        <f t="shared" si="126"/>
        <v>1.6590659006943743E-3</v>
      </c>
    </row>
    <row r="445" spans="1:21" ht="28.8" x14ac:dyDescent="0.3">
      <c r="A445" s="23" t="s">
        <v>476</v>
      </c>
      <c r="B445" s="23">
        <f>VLOOKUP(A445,MEMORIA!$A:$N,2,FALSE)</f>
        <v>93656</v>
      </c>
      <c r="C445" s="23" t="str">
        <f>VLOOKUP(A445,MEMORIA!$A:$N,3,FALSE)</f>
        <v>SINAPI</v>
      </c>
      <c r="D445" s="24" t="str">
        <f>VLOOKUP(A445,MEMORIA!$A:$N,4,FALSE)</f>
        <v>DISJUNTOR MONOPOLAR TIPO DIN, CORRENTE NOMINAL DE 25A - FORNECIMENTO E INSTALAÇÃO. AF_10/2020</v>
      </c>
      <c r="E445" s="23" t="str">
        <f>VLOOKUP(A445,MEMORIA!$A:$N,5,FALSE)</f>
        <v>UN</v>
      </c>
      <c r="F445" s="5">
        <f>VLOOKUP(A445,MEMORIA!$A:$N,14,FALSE)</f>
        <v>1</v>
      </c>
      <c r="G445" s="5">
        <f>VLOOKUP(A445,ORCAMENTO!$A:$I,7,FALSE)</f>
        <v>13.33</v>
      </c>
      <c r="H445" s="5">
        <f>VLOOKUP(A445,ORCAMENTO!$A:$I,8,FALSE)</f>
        <v>16.64</v>
      </c>
      <c r="I445" s="5">
        <f t="shared" si="132"/>
        <v>16.64</v>
      </c>
      <c r="J445" s="5">
        <f t="shared" si="133"/>
        <v>0</v>
      </c>
      <c r="K445" s="5">
        <v>0</v>
      </c>
      <c r="L445" s="25">
        <f t="shared" si="121"/>
        <v>0</v>
      </c>
      <c r="M445" s="5">
        <f t="shared" si="134"/>
        <v>0</v>
      </c>
      <c r="N445" s="5">
        <v>0</v>
      </c>
      <c r="O445" s="25">
        <f t="shared" si="122"/>
        <v>0</v>
      </c>
      <c r="P445" s="5">
        <f t="shared" si="135"/>
        <v>16.64</v>
      </c>
      <c r="Q445" s="5">
        <f t="shared" si="131"/>
        <v>1</v>
      </c>
      <c r="R445" s="25">
        <f t="shared" si="123"/>
        <v>1</v>
      </c>
      <c r="S445" s="5">
        <f t="shared" si="124"/>
        <v>16.64</v>
      </c>
      <c r="T445" s="25">
        <f t="shared" si="125"/>
        <v>1</v>
      </c>
      <c r="U445" s="25">
        <f t="shared" si="126"/>
        <v>2.2862821190521232E-5</v>
      </c>
    </row>
    <row r="446" spans="1:21" ht="28.8" x14ac:dyDescent="0.3">
      <c r="A446" s="23" t="s">
        <v>477</v>
      </c>
      <c r="B446" s="23">
        <f>VLOOKUP(A446,MEMORIA!$A:$N,2,FALSE)</f>
        <v>93653</v>
      </c>
      <c r="C446" s="23" t="str">
        <f>VLOOKUP(A446,MEMORIA!$A:$N,3,FALSE)</f>
        <v>SINAPI</v>
      </c>
      <c r="D446" s="24" t="str">
        <f>VLOOKUP(A446,MEMORIA!$A:$N,4,FALSE)</f>
        <v>DISJUNTOR MONOPOLAR TIPO DIN, CORRENTE NOMINAL DE 10A - FORNECIMENTO E INSTALAÇÃO. AF_10/2020</v>
      </c>
      <c r="E446" s="23" t="str">
        <f>VLOOKUP(A446,MEMORIA!$A:$N,5,FALSE)</f>
        <v>UN</v>
      </c>
      <c r="F446" s="5">
        <f>VLOOKUP(A446,MEMORIA!$A:$N,14,FALSE)</f>
        <v>1</v>
      </c>
      <c r="G446" s="5">
        <f>VLOOKUP(A446,ORCAMENTO!$A:$I,7,FALSE)</f>
        <v>11.379999999999999</v>
      </c>
      <c r="H446" s="5">
        <f>VLOOKUP(A446,ORCAMENTO!$A:$I,8,FALSE)</f>
        <v>14.209999999999999</v>
      </c>
      <c r="I446" s="5">
        <f t="shared" si="132"/>
        <v>14.21</v>
      </c>
      <c r="J446" s="5">
        <f t="shared" si="133"/>
        <v>0</v>
      </c>
      <c r="K446" s="5">
        <v>0</v>
      </c>
      <c r="L446" s="25">
        <f t="shared" si="121"/>
        <v>0</v>
      </c>
      <c r="M446" s="5">
        <f t="shared" si="134"/>
        <v>0</v>
      </c>
      <c r="N446" s="5">
        <v>0</v>
      </c>
      <c r="O446" s="25">
        <f t="shared" si="122"/>
        <v>0</v>
      </c>
      <c r="P446" s="5">
        <f t="shared" si="135"/>
        <v>14.21</v>
      </c>
      <c r="Q446" s="5">
        <f t="shared" si="131"/>
        <v>1</v>
      </c>
      <c r="R446" s="25">
        <f t="shared" si="123"/>
        <v>1</v>
      </c>
      <c r="S446" s="5">
        <f t="shared" si="124"/>
        <v>14.21</v>
      </c>
      <c r="T446" s="25">
        <f t="shared" si="125"/>
        <v>1</v>
      </c>
      <c r="U446" s="25">
        <f t="shared" si="126"/>
        <v>1.9524079874838143E-5</v>
      </c>
    </row>
    <row r="447" spans="1:21" x14ac:dyDescent="0.3">
      <c r="A447" s="23" t="s">
        <v>478</v>
      </c>
      <c r="B447" s="23" t="str">
        <f>VLOOKUP(A447,MEMORIA!$A:$N,2,FALSE)</f>
        <v>09041/ORSE</v>
      </c>
      <c r="C447" s="23" t="str">
        <f>VLOOKUP(A447,MEMORIA!$A:$N,3,FALSE)</f>
        <v>ORSE</v>
      </c>
      <c r="D447" s="24" t="str">
        <f>VLOOKUP(A447,MEMORIA!$A:$N,4,FALSE)</f>
        <v>DISPOSITIVO DE PROTEÇÃO CONTRA SURTO DE TENSÃO DPS 60KA - 275V</v>
      </c>
      <c r="E447" s="23" t="str">
        <f>VLOOKUP(A447,MEMORIA!$A:$N,5,FALSE)</f>
        <v>UN</v>
      </c>
      <c r="F447" s="5">
        <f>VLOOKUP(A447,MEMORIA!$A:$N,14,FALSE)</f>
        <v>1</v>
      </c>
      <c r="G447" s="5">
        <f>VLOOKUP(A447,ORCAMENTO!$A:$I,7,FALSE)</f>
        <v>88.050000000000011</v>
      </c>
      <c r="H447" s="5">
        <f>VLOOKUP(A447,ORCAMENTO!$A:$I,8,FALSE)</f>
        <v>109.92000000000002</v>
      </c>
      <c r="I447" s="5">
        <f t="shared" si="132"/>
        <v>109.92</v>
      </c>
      <c r="J447" s="5">
        <f t="shared" si="133"/>
        <v>0</v>
      </c>
      <c r="K447" s="5">
        <v>0</v>
      </c>
      <c r="L447" s="25">
        <f t="shared" si="121"/>
        <v>0</v>
      </c>
      <c r="M447" s="5">
        <f t="shared" si="134"/>
        <v>0</v>
      </c>
      <c r="N447" s="5">
        <v>0</v>
      </c>
      <c r="O447" s="25">
        <f t="shared" si="122"/>
        <v>0</v>
      </c>
      <c r="P447" s="5">
        <f t="shared" si="135"/>
        <v>109.92</v>
      </c>
      <c r="Q447" s="5">
        <f t="shared" si="131"/>
        <v>1</v>
      </c>
      <c r="R447" s="25">
        <f t="shared" si="123"/>
        <v>1</v>
      </c>
      <c r="S447" s="5">
        <f t="shared" si="124"/>
        <v>109.92</v>
      </c>
      <c r="T447" s="25">
        <f t="shared" si="125"/>
        <v>1</v>
      </c>
      <c r="U447" s="25">
        <f t="shared" si="126"/>
        <v>1.510265207489239E-4</v>
      </c>
    </row>
    <row r="448" spans="1:21" ht="28.8" x14ac:dyDescent="0.3">
      <c r="A448" s="23" t="s">
        <v>479</v>
      </c>
      <c r="B448" s="23">
        <f>VLOOKUP(A448,MEMORIA!$A:$N,2,FALSE)</f>
        <v>101877</v>
      </c>
      <c r="C448" s="23" t="str">
        <f>VLOOKUP(A448,MEMORIA!$A:$N,3,FALSE)</f>
        <v>SINAPI</v>
      </c>
      <c r="D448" s="24" t="str">
        <f>VLOOKUP(A448,MEMORIA!$A:$N,4,FALSE)</f>
        <v>QUADRO DE DISTRIBUIÇÃO DE ENERGIA EM PVC, DE EMBUTIR, SEM BARRAMENTO, PARA 3 DISJUNTORES - FORNECIMENTO E INSTALAÇÃO. AF_10/2020</v>
      </c>
      <c r="E448" s="23" t="str">
        <f>VLOOKUP(A448,MEMORIA!$A:$N,5,FALSE)</f>
        <v>UN</v>
      </c>
      <c r="F448" s="5">
        <f>VLOOKUP(A448,MEMORIA!$A:$N,14,FALSE)</f>
        <v>1</v>
      </c>
      <c r="G448" s="5">
        <f>VLOOKUP(A448,ORCAMENTO!$A:$I,7,FALSE)</f>
        <v>63.51</v>
      </c>
      <c r="H448" s="5">
        <f>VLOOKUP(A448,ORCAMENTO!$A:$I,8,FALSE)</f>
        <v>79.289999999999992</v>
      </c>
      <c r="I448" s="5">
        <f t="shared" si="132"/>
        <v>79.290000000000006</v>
      </c>
      <c r="J448" s="5">
        <f t="shared" si="133"/>
        <v>0</v>
      </c>
      <c r="K448" s="5">
        <v>0</v>
      </c>
      <c r="L448" s="25">
        <f t="shared" si="121"/>
        <v>0</v>
      </c>
      <c r="M448" s="5">
        <f t="shared" si="134"/>
        <v>0</v>
      </c>
      <c r="N448" s="5">
        <v>0</v>
      </c>
      <c r="O448" s="25">
        <f t="shared" si="122"/>
        <v>0</v>
      </c>
      <c r="P448" s="5">
        <f t="shared" si="135"/>
        <v>79.290000000000006</v>
      </c>
      <c r="Q448" s="5">
        <f t="shared" si="131"/>
        <v>1</v>
      </c>
      <c r="R448" s="25">
        <f t="shared" si="123"/>
        <v>1</v>
      </c>
      <c r="S448" s="5">
        <f t="shared" si="124"/>
        <v>79.290000000000006</v>
      </c>
      <c r="T448" s="25">
        <f t="shared" si="125"/>
        <v>1</v>
      </c>
      <c r="U448" s="25">
        <f t="shared" si="126"/>
        <v>1.0894189255988153E-4</v>
      </c>
    </row>
    <row r="449" spans="1:21" ht="43.2" x14ac:dyDescent="0.3">
      <c r="A449" s="23" t="s">
        <v>480</v>
      </c>
      <c r="B449" s="23" t="str">
        <f>VLOOKUP(A449,MEMORIA!$A:$N,2,FALSE)</f>
        <v>COMPINST02</v>
      </c>
      <c r="C449" s="23" t="str">
        <f>VLOOKUP(A449,MEMORIA!$A:$N,3,FALSE)</f>
        <v>PRÓPRIA</v>
      </c>
      <c r="D449" s="24" t="str">
        <f>VLOOKUP(A449,MEMORIA!$A:$N,4,FALSE)</f>
        <v>PONTO DE ILUMINAÇÃO E TOMADA, RESIDENCIAL, INCLUINDO INTERRUPTOR SIMPLES E TOMADA 10A/250V, CAIXA ELÉTRICA, ELETRODUTO, CABO, RASGO, QUEBRA E CHUMBAMENTO (EXCLUINDO LUMINÁRIA E LÂMPADA)</v>
      </c>
      <c r="E449" s="23" t="str">
        <f>VLOOKUP(A449,MEMORIA!$A:$N,5,FALSE)</f>
        <v>UN</v>
      </c>
      <c r="F449" s="5">
        <f>VLOOKUP(A449,MEMORIA!$A:$N,14,FALSE)</f>
        <v>1</v>
      </c>
      <c r="G449" s="5">
        <f>VLOOKUP(A449,ORCAMENTO!$A:$I,7,FALSE)</f>
        <v>244.91000000000003</v>
      </c>
      <c r="H449" s="5">
        <f>VLOOKUP(A449,ORCAMENTO!$A:$I,8,FALSE)</f>
        <v>305.75</v>
      </c>
      <c r="I449" s="5">
        <f t="shared" si="132"/>
        <v>305.75</v>
      </c>
      <c r="J449" s="5">
        <f t="shared" si="133"/>
        <v>0</v>
      </c>
      <c r="K449" s="5">
        <v>0</v>
      </c>
      <c r="L449" s="25">
        <f t="shared" si="121"/>
        <v>0</v>
      </c>
      <c r="M449" s="5">
        <f t="shared" si="134"/>
        <v>0</v>
      </c>
      <c r="N449" s="5">
        <v>0</v>
      </c>
      <c r="O449" s="25">
        <f t="shared" si="122"/>
        <v>0</v>
      </c>
      <c r="P449" s="5">
        <f t="shared" si="135"/>
        <v>305.75</v>
      </c>
      <c r="Q449" s="5">
        <f t="shared" si="131"/>
        <v>1</v>
      </c>
      <c r="R449" s="25">
        <f t="shared" si="123"/>
        <v>1</v>
      </c>
      <c r="S449" s="5">
        <f t="shared" si="124"/>
        <v>305.75</v>
      </c>
      <c r="T449" s="25">
        <f t="shared" si="125"/>
        <v>1</v>
      </c>
      <c r="U449" s="25">
        <f t="shared" si="126"/>
        <v>4.200905996996314E-4</v>
      </c>
    </row>
    <row r="450" spans="1:21" ht="28.8" x14ac:dyDescent="0.3">
      <c r="A450" s="23" t="s">
        <v>481</v>
      </c>
      <c r="B450" s="23">
        <f>VLOOKUP(A450,MEMORIA!$A:$N,2,FALSE)</f>
        <v>97610</v>
      </c>
      <c r="C450" s="23" t="str">
        <f>VLOOKUP(A450,MEMORIA!$A:$N,3,FALSE)</f>
        <v>SINAPI</v>
      </c>
      <c r="D450" s="24" t="str">
        <f>VLOOKUP(A450,MEMORIA!$A:$N,4,FALSE)</f>
        <v>LÂMPADA COMPACTA DE LED 10 W, BASE E27 - FORNECIMENTO E INSTALAÇÃO. AF_09/2024</v>
      </c>
      <c r="E450" s="23" t="str">
        <f>VLOOKUP(A450,MEMORIA!$A:$N,5,FALSE)</f>
        <v>UN</v>
      </c>
      <c r="F450" s="5">
        <f>VLOOKUP(A450,MEMORIA!$A:$N,14,FALSE)</f>
        <v>1</v>
      </c>
      <c r="G450" s="5">
        <f>VLOOKUP(A450,ORCAMENTO!$A:$I,7,FALSE)</f>
        <v>13.05</v>
      </c>
      <c r="H450" s="5">
        <f>VLOOKUP(A450,ORCAMENTO!$A:$I,8,FALSE)</f>
        <v>16.29</v>
      </c>
      <c r="I450" s="5">
        <f t="shared" si="132"/>
        <v>16.29</v>
      </c>
      <c r="J450" s="5">
        <f t="shared" si="133"/>
        <v>0</v>
      </c>
      <c r="K450" s="5">
        <v>0</v>
      </c>
      <c r="L450" s="25">
        <f t="shared" si="121"/>
        <v>0</v>
      </c>
      <c r="M450" s="5">
        <f t="shared" si="134"/>
        <v>0</v>
      </c>
      <c r="N450" s="5">
        <v>0</v>
      </c>
      <c r="O450" s="25">
        <f t="shared" si="122"/>
        <v>0</v>
      </c>
      <c r="P450" s="5">
        <f t="shared" si="135"/>
        <v>16.29</v>
      </c>
      <c r="Q450" s="5">
        <f t="shared" si="131"/>
        <v>1</v>
      </c>
      <c r="R450" s="25">
        <f t="shared" si="123"/>
        <v>1</v>
      </c>
      <c r="S450" s="5">
        <f t="shared" si="124"/>
        <v>16.29</v>
      </c>
      <c r="T450" s="25">
        <f t="shared" si="125"/>
        <v>1</v>
      </c>
      <c r="U450" s="25">
        <f t="shared" si="126"/>
        <v>2.2381932523653296E-5</v>
      </c>
    </row>
    <row r="451" spans="1:21" ht="28.8" x14ac:dyDescent="0.3">
      <c r="A451" s="23" t="s">
        <v>482</v>
      </c>
      <c r="B451" s="23" t="str">
        <f>VLOOKUP(A451,MEMORIA!$A:$N,2,FALSE)</f>
        <v>COMPINST04</v>
      </c>
      <c r="C451" s="23" t="str">
        <f>VLOOKUP(A451,MEMORIA!$A:$N,3,FALSE)</f>
        <v>PRÓPRIA</v>
      </c>
      <c r="D451" s="24" t="str">
        <f>VLOOKUP(A451,MEMORIA!$A:$N,4,FALSE)</f>
        <v>LUMINÁRIA ARANDELA TIPO MEIA-LUA COM VIDRO FOSCO *30 X 15* CM, PARA 1 LÂMPADA (SINAPI ADAPTADO 97605)</v>
      </c>
      <c r="E451" s="23" t="str">
        <f>VLOOKUP(A451,MEMORIA!$A:$N,5,FALSE)</f>
        <v>UN</v>
      </c>
      <c r="F451" s="5">
        <f>VLOOKUP(A451,MEMORIA!$A:$N,14,FALSE)</f>
        <v>1</v>
      </c>
      <c r="G451" s="5">
        <f>VLOOKUP(A451,ORCAMENTO!$A:$I,7,FALSE)</f>
        <v>83.039999999999992</v>
      </c>
      <c r="H451" s="5">
        <f>VLOOKUP(A451,ORCAMENTO!$A:$I,8,FALSE)</f>
        <v>103.66999999999999</v>
      </c>
      <c r="I451" s="5">
        <f t="shared" si="132"/>
        <v>103.67</v>
      </c>
      <c r="J451" s="5">
        <f t="shared" si="133"/>
        <v>0</v>
      </c>
      <c r="K451" s="5">
        <v>0</v>
      </c>
      <c r="L451" s="25">
        <f t="shared" si="121"/>
        <v>0</v>
      </c>
      <c r="M451" s="5">
        <f t="shared" si="134"/>
        <v>0</v>
      </c>
      <c r="N451" s="5">
        <v>0</v>
      </c>
      <c r="O451" s="25">
        <f t="shared" si="122"/>
        <v>0</v>
      </c>
      <c r="P451" s="5">
        <f t="shared" si="135"/>
        <v>103.67</v>
      </c>
      <c r="Q451" s="5">
        <f t="shared" si="131"/>
        <v>1</v>
      </c>
      <c r="R451" s="25">
        <f t="shared" si="123"/>
        <v>1</v>
      </c>
      <c r="S451" s="5">
        <f t="shared" si="124"/>
        <v>103.67</v>
      </c>
      <c r="T451" s="25">
        <f t="shared" si="125"/>
        <v>1</v>
      </c>
      <c r="U451" s="25">
        <f t="shared" si="126"/>
        <v>1.4243922312628222E-4</v>
      </c>
    </row>
    <row r="452" spans="1:21" x14ac:dyDescent="0.3">
      <c r="A452" s="12" t="s">
        <v>122</v>
      </c>
      <c r="B452" s="46" t="str">
        <f>VLOOKUP(A452,MEMORIA!$A:$N,2,FALSE)</f>
        <v>ADUÇÃO</v>
      </c>
      <c r="C452" s="47"/>
      <c r="D452" s="47"/>
      <c r="E452" s="47"/>
      <c r="F452" s="47"/>
      <c r="G452" s="47"/>
      <c r="H452" s="48"/>
      <c r="I452" s="13">
        <f>SUM(I$453,I$456,I$458,)</f>
        <v>1351.72</v>
      </c>
      <c r="J452" s="13">
        <f>SUM(J$453,J$456,J$458,)</f>
        <v>0</v>
      </c>
      <c r="K452" s="13"/>
      <c r="L452" s="14">
        <f t="shared" si="121"/>
        <v>0</v>
      </c>
      <c r="M452" s="13">
        <f>SUM(M$453,M$456,M$458,)</f>
        <v>0</v>
      </c>
      <c r="N452" s="13"/>
      <c r="O452" s="14">
        <f t="shared" si="122"/>
        <v>0</v>
      </c>
      <c r="P452" s="13">
        <f>SUM(P$453,P$456,P$458,)</f>
        <v>1351.72</v>
      </c>
      <c r="Q452" s="13"/>
      <c r="R452" s="14">
        <f t="shared" si="123"/>
        <v>1</v>
      </c>
      <c r="S452" s="13">
        <f t="shared" si="124"/>
        <v>1351.72</v>
      </c>
      <c r="T452" s="14">
        <f t="shared" si="125"/>
        <v>1</v>
      </c>
      <c r="U452" s="14">
        <f t="shared" si="126"/>
        <v>1.8572195107963557E-3</v>
      </c>
    </row>
    <row r="453" spans="1:21" x14ac:dyDescent="0.3">
      <c r="A453" s="15" t="s">
        <v>123</v>
      </c>
      <c r="B453" s="49" t="str">
        <f>VLOOKUP(A453,MEMORIA!$A:$N,2,FALSE)</f>
        <v>MOVIMENTO DE TERRA</v>
      </c>
      <c r="C453" s="50"/>
      <c r="D453" s="50"/>
      <c r="E453" s="50"/>
      <c r="F453" s="50"/>
      <c r="G453" s="50"/>
      <c r="H453" s="51"/>
      <c r="I453" s="16">
        <f>SUM(I$454:I$455)</f>
        <v>423.02</v>
      </c>
      <c r="J453" s="16">
        <f>SUM(J$454:J$455)</f>
        <v>0</v>
      </c>
      <c r="K453" s="16"/>
      <c r="L453" s="17">
        <f t="shared" si="121"/>
        <v>0</v>
      </c>
      <c r="M453" s="16">
        <f>SUM(M$454:M$455)</f>
        <v>0</v>
      </c>
      <c r="N453" s="16"/>
      <c r="O453" s="17">
        <f t="shared" si="122"/>
        <v>0</v>
      </c>
      <c r="P453" s="16">
        <f>SUM(P$454:P$455)</f>
        <v>423.02</v>
      </c>
      <c r="Q453" s="16"/>
      <c r="R453" s="17">
        <f t="shared" si="123"/>
        <v>1</v>
      </c>
      <c r="S453" s="16">
        <f t="shared" si="124"/>
        <v>423.02</v>
      </c>
      <c r="T453" s="17">
        <f t="shared" si="125"/>
        <v>1</v>
      </c>
      <c r="U453" s="17">
        <f t="shared" si="126"/>
        <v>5.8121578245278187E-4</v>
      </c>
    </row>
    <row r="454" spans="1:21" x14ac:dyDescent="0.3">
      <c r="A454" s="23" t="s">
        <v>483</v>
      </c>
      <c r="B454" s="23">
        <f>VLOOKUP(A454,MEMORIA!$A:$N,2,FALSE)</f>
        <v>93358</v>
      </c>
      <c r="C454" s="23" t="str">
        <f>VLOOKUP(A454,MEMORIA!$A:$N,3,FALSE)</f>
        <v>SINAPI</v>
      </c>
      <c r="D454" s="24" t="str">
        <f>VLOOKUP(A454,MEMORIA!$A:$N,4,FALSE)</f>
        <v>ESCAVAÇÃO MANUAL DE VALA. AF_09/2024</v>
      </c>
      <c r="E454" s="23" t="str">
        <f>VLOOKUP(A454,MEMORIA!$A:$N,5,FALSE)</f>
        <v>M3</v>
      </c>
      <c r="F454" s="5">
        <f>VLOOKUP(A454,MEMORIA!$A:$N,14,FALSE)</f>
        <v>2.76</v>
      </c>
      <c r="G454" s="5">
        <f>VLOOKUP(A454,ORCAMENTO!$A:$I,7,FALSE)</f>
        <v>85.87</v>
      </c>
      <c r="H454" s="5">
        <f>VLOOKUP(A454,ORCAMENTO!$A:$I,8,FALSE)</f>
        <v>107.2</v>
      </c>
      <c r="I454" s="5">
        <f>ROUND(F454*H454,2)</f>
        <v>295.87</v>
      </c>
      <c r="J454" s="5">
        <f>ROUND(K454*$H454,2)</f>
        <v>0</v>
      </c>
      <c r="K454" s="5">
        <v>0</v>
      </c>
      <c r="L454" s="25">
        <f t="shared" si="121"/>
        <v>0</v>
      </c>
      <c r="M454" s="5">
        <f>ROUND(N454*$H454,2)</f>
        <v>0</v>
      </c>
      <c r="N454" s="5">
        <v>0</v>
      </c>
      <c r="O454" s="25">
        <f t="shared" si="122"/>
        <v>0</v>
      </c>
      <c r="P454" s="5">
        <f>ROUND(Q454*$H454,2)</f>
        <v>295.87</v>
      </c>
      <c r="Q454" s="5">
        <f t="shared" ref="Q454:Q475" si="136">F454</f>
        <v>2.76</v>
      </c>
      <c r="R454" s="25">
        <f t="shared" si="123"/>
        <v>1</v>
      </c>
      <c r="S454" s="5">
        <f t="shared" si="124"/>
        <v>295.87</v>
      </c>
      <c r="T454" s="25">
        <f t="shared" si="125"/>
        <v>1</v>
      </c>
      <c r="U454" s="25">
        <f t="shared" si="126"/>
        <v>4.0651579961775941E-4</v>
      </c>
    </row>
    <row r="455" spans="1:21" x14ac:dyDescent="0.3">
      <c r="A455" s="23" t="s">
        <v>484</v>
      </c>
      <c r="B455" s="23" t="str">
        <f>VLOOKUP(A455,MEMORIA!$A:$N,2,FALSE)</f>
        <v>COMPOS28</v>
      </c>
      <c r="C455" s="23" t="str">
        <f>VLOOKUP(A455,MEMORIA!$A:$N,3,FALSE)</f>
        <v>PRÓPRIA</v>
      </c>
      <c r="D455" s="24" t="str">
        <f>VLOOKUP(A455,MEMORIA!$A:$N,4,FALSE)</f>
        <v>REATERRO DE VALA COM COMPACTAÇÃO MANUAL</v>
      </c>
      <c r="E455" s="23" t="str">
        <f>VLOOKUP(A455,MEMORIA!$A:$N,5,FALSE)</f>
        <v>M³</v>
      </c>
      <c r="F455" s="5">
        <f>VLOOKUP(A455,MEMORIA!$A:$N,14,FALSE)</f>
        <v>2.76</v>
      </c>
      <c r="G455" s="5">
        <f>VLOOKUP(A455,ORCAMENTO!$A:$I,7,FALSE)</f>
        <v>36.9</v>
      </c>
      <c r="H455" s="5">
        <f>VLOOKUP(A455,ORCAMENTO!$A:$I,8,FALSE)</f>
        <v>46.07</v>
      </c>
      <c r="I455" s="5">
        <f>ROUND(F455*H455,2)</f>
        <v>127.15</v>
      </c>
      <c r="J455" s="5">
        <f>ROUND(K455*$H455,2)</f>
        <v>0</v>
      </c>
      <c r="K455" s="5">
        <v>0</v>
      </c>
      <c r="L455" s="25">
        <f t="shared" si="121"/>
        <v>0</v>
      </c>
      <c r="M455" s="5">
        <f>ROUND(N455*$H455,2)</f>
        <v>0</v>
      </c>
      <c r="N455" s="5">
        <v>0</v>
      </c>
      <c r="O455" s="25">
        <f t="shared" si="122"/>
        <v>0</v>
      </c>
      <c r="P455" s="5">
        <f>ROUND(Q455*$H455,2)</f>
        <v>127.15</v>
      </c>
      <c r="Q455" s="5">
        <f t="shared" si="136"/>
        <v>2.76</v>
      </c>
      <c r="R455" s="25">
        <f t="shared" si="123"/>
        <v>1</v>
      </c>
      <c r="S455" s="5">
        <f t="shared" si="124"/>
        <v>127.15</v>
      </c>
      <c r="T455" s="25">
        <f t="shared" si="125"/>
        <v>1</v>
      </c>
      <c r="U455" s="25">
        <f t="shared" si="126"/>
        <v>1.7469998283502252E-4</v>
      </c>
    </row>
    <row r="456" spans="1:21" x14ac:dyDescent="0.3">
      <c r="A456" s="15" t="s">
        <v>124</v>
      </c>
      <c r="B456" s="49" t="str">
        <f>VLOOKUP(A456,MEMORIA!$A:$N,2,FALSE)</f>
        <v>INFRAESTRUTURA</v>
      </c>
      <c r="C456" s="50"/>
      <c r="D456" s="50"/>
      <c r="E456" s="50"/>
      <c r="F456" s="50"/>
      <c r="G456" s="50"/>
      <c r="H456" s="51"/>
      <c r="I456" s="16">
        <f>SUM(I$457:I$457)</f>
        <v>265.19</v>
      </c>
      <c r="J456" s="16">
        <f>SUM(J$457:J$457)</f>
        <v>0</v>
      </c>
      <c r="K456" s="16"/>
      <c r="L456" s="17">
        <f t="shared" ref="L456:L476" si="137">J456/$I456</f>
        <v>0</v>
      </c>
      <c r="M456" s="16">
        <f>SUM(M$457:M$457)</f>
        <v>0</v>
      </c>
      <c r="N456" s="16"/>
      <c r="O456" s="17">
        <f t="shared" ref="O456:O476" si="138">M456/$I456</f>
        <v>0</v>
      </c>
      <c r="P456" s="16">
        <f>SUM(P$457:P$457)</f>
        <v>265.19</v>
      </c>
      <c r="Q456" s="16"/>
      <c r="R456" s="17">
        <f t="shared" ref="R456:R476" si="139">P456/$I456</f>
        <v>1</v>
      </c>
      <c r="S456" s="16">
        <f t="shared" ref="S456:S475" si="140">SUM(J456,M456,P456,)</f>
        <v>265.19</v>
      </c>
      <c r="T456" s="17">
        <f t="shared" ref="T456:T476" si="141">SUM(L456,O456,R456,)</f>
        <v>1</v>
      </c>
      <c r="U456" s="17">
        <f t="shared" ref="U456:U475" si="142">S456/$I$476</f>
        <v>3.6436247304773588E-4</v>
      </c>
    </row>
    <row r="457" spans="1:21" x14ac:dyDescent="0.3">
      <c r="A457" s="23" t="s">
        <v>485</v>
      </c>
      <c r="B457" s="23" t="str">
        <f>VLOOKUP(A457,MEMORIA!$A:$N,2,FALSE)</f>
        <v>C3403</v>
      </c>
      <c r="C457" s="23" t="str">
        <f>VLOOKUP(A457,MEMORIA!$A:$N,3,FALSE)</f>
        <v>SEINFRA</v>
      </c>
      <c r="D457" s="24" t="str">
        <f>VLOOKUP(A457,MEMORIA!$A:$N,4,FALSE)</f>
        <v>BLOCO DE ANCORAGEM EM CONCRETO SIMPLES FCK=10MPa</v>
      </c>
      <c r="E457" s="23" t="str">
        <f>VLOOKUP(A457,MEMORIA!$A:$N,5,FALSE)</f>
        <v>M3</v>
      </c>
      <c r="F457" s="5">
        <f>VLOOKUP(A457,MEMORIA!$A:$N,14,FALSE)</f>
        <v>0.26</v>
      </c>
      <c r="G457" s="5">
        <f>VLOOKUP(A457,ORCAMENTO!$A:$I,7,FALSE)</f>
        <v>817.03</v>
      </c>
      <c r="H457" s="5">
        <f>VLOOKUP(A457,ORCAMENTO!$A:$I,8,FALSE)</f>
        <v>1019.98</v>
      </c>
      <c r="I457" s="5">
        <f>ROUND(F457*H457,2)</f>
        <v>265.19</v>
      </c>
      <c r="J457" s="5">
        <f>ROUND(K457*$H457,2)</f>
        <v>0</v>
      </c>
      <c r="K457" s="5">
        <v>0</v>
      </c>
      <c r="L457" s="25">
        <f t="shared" si="137"/>
        <v>0</v>
      </c>
      <c r="M457" s="5">
        <f>ROUND(N457*$H457,2)</f>
        <v>0</v>
      </c>
      <c r="N457" s="5">
        <v>0</v>
      </c>
      <c r="O457" s="25">
        <f t="shared" si="138"/>
        <v>0</v>
      </c>
      <c r="P457" s="5">
        <f>ROUND(Q457*$H457,2)</f>
        <v>265.19</v>
      </c>
      <c r="Q457" s="5">
        <f t="shared" si="136"/>
        <v>0.26</v>
      </c>
      <c r="R457" s="25">
        <f t="shared" si="139"/>
        <v>1</v>
      </c>
      <c r="S457" s="5">
        <f t="shared" si="140"/>
        <v>265.19</v>
      </c>
      <c r="T457" s="25">
        <f t="shared" si="141"/>
        <v>1</v>
      </c>
      <c r="U457" s="25">
        <f t="shared" si="142"/>
        <v>3.6436247304773588E-4</v>
      </c>
    </row>
    <row r="458" spans="1:21" x14ac:dyDescent="0.3">
      <c r="A458" s="15" t="s">
        <v>125</v>
      </c>
      <c r="B458" s="49" t="str">
        <f>VLOOKUP(A458,MEMORIA!$A:$N,2,FALSE)</f>
        <v>INSTALAÇÕES HIDRÁULICAS</v>
      </c>
      <c r="C458" s="50"/>
      <c r="D458" s="50"/>
      <c r="E458" s="50"/>
      <c r="F458" s="50"/>
      <c r="G458" s="50"/>
      <c r="H458" s="51"/>
      <c r="I458" s="16">
        <f>SUM(I$459:I$460)</f>
        <v>663.51</v>
      </c>
      <c r="J458" s="16">
        <f>SUM(J$459:J$460)</f>
        <v>0</v>
      </c>
      <c r="K458" s="16"/>
      <c r="L458" s="17">
        <f t="shared" si="137"/>
        <v>0</v>
      </c>
      <c r="M458" s="16">
        <f>SUM(M$459:M$460)</f>
        <v>0</v>
      </c>
      <c r="N458" s="16"/>
      <c r="O458" s="17">
        <f t="shared" si="138"/>
        <v>0</v>
      </c>
      <c r="P458" s="16">
        <f>SUM(P$459:P$460)</f>
        <v>663.51</v>
      </c>
      <c r="Q458" s="16"/>
      <c r="R458" s="17">
        <f t="shared" si="139"/>
        <v>1</v>
      </c>
      <c r="S458" s="16">
        <f t="shared" si="140"/>
        <v>663.51</v>
      </c>
      <c r="T458" s="17">
        <f t="shared" si="141"/>
        <v>1</v>
      </c>
      <c r="U458" s="17">
        <f t="shared" si="142"/>
        <v>9.1164125529583789E-4</v>
      </c>
    </row>
    <row r="459" spans="1:21" ht="28.8" x14ac:dyDescent="0.3">
      <c r="A459" s="23" t="s">
        <v>486</v>
      </c>
      <c r="B459" s="23" t="str">
        <f>VLOOKUP(A459,MEMORIA!$A:$N,2,FALSE)</f>
        <v>COMPOS27</v>
      </c>
      <c r="C459" s="23" t="str">
        <f>VLOOKUP(A459,MEMORIA!$A:$N,3,FALSE)</f>
        <v>PRÓPRIA</v>
      </c>
      <c r="D459" s="24" t="str">
        <f>VLOOKUP(A459,MEMORIA!$A:$N,4,FALSE)</f>
        <v>AQUISIÇÃO E ASSENTAMENTO DE TUBO RÍGIDO PVC, CLASSE 12, DN 50 MM, INCLUSO CONEXÕES</v>
      </c>
      <c r="E459" s="23" t="str">
        <f>VLOOKUP(A459,MEMORIA!$A:$N,5,FALSE)</f>
        <v>M</v>
      </c>
      <c r="F459" s="5">
        <f>VLOOKUP(A459,MEMORIA!$A:$N,14,FALSE)</f>
        <v>16</v>
      </c>
      <c r="G459" s="5">
        <f>VLOOKUP(A459,ORCAMENTO!$A:$I,7,FALSE)</f>
        <v>25.79</v>
      </c>
      <c r="H459" s="5">
        <f>VLOOKUP(A459,ORCAMENTO!$A:$I,8,FALSE)</f>
        <v>32.200000000000003</v>
      </c>
      <c r="I459" s="5">
        <f>ROUND(F459*H459,2)</f>
        <v>515.20000000000005</v>
      </c>
      <c r="J459" s="5">
        <f>ROUND(K459*$H459,2)</f>
        <v>0</v>
      </c>
      <c r="K459" s="5">
        <v>0</v>
      </c>
      <c r="L459" s="25">
        <f t="shared" si="137"/>
        <v>0</v>
      </c>
      <c r="M459" s="5">
        <f>ROUND(N459*$H459,2)</f>
        <v>0</v>
      </c>
      <c r="N459" s="5">
        <v>0</v>
      </c>
      <c r="O459" s="25">
        <f t="shared" si="138"/>
        <v>0</v>
      </c>
      <c r="P459" s="5">
        <f>ROUND(Q459*$H459,2)</f>
        <v>515.20000000000005</v>
      </c>
      <c r="Q459" s="5">
        <f t="shared" si="136"/>
        <v>16</v>
      </c>
      <c r="R459" s="25">
        <f t="shared" si="139"/>
        <v>1</v>
      </c>
      <c r="S459" s="5">
        <f t="shared" si="140"/>
        <v>515.20000000000005</v>
      </c>
      <c r="T459" s="25">
        <f t="shared" si="141"/>
        <v>1</v>
      </c>
      <c r="U459" s="25">
        <f t="shared" si="142"/>
        <v>7.078681176295997E-4</v>
      </c>
    </row>
    <row r="460" spans="1:21" ht="28.8" x14ac:dyDescent="0.3">
      <c r="A460" s="23" t="s">
        <v>487</v>
      </c>
      <c r="B460" s="23">
        <f>VLOOKUP(A460,MEMORIA!$A:$N,2,FALSE)</f>
        <v>94497</v>
      </c>
      <c r="C460" s="23" t="str">
        <f>VLOOKUP(A460,MEMORIA!$A:$N,3,FALSE)</f>
        <v>SINAPI</v>
      </c>
      <c r="D460" s="24" t="str">
        <f>VLOOKUP(A460,MEMORIA!$A:$N,4,FALSE)</f>
        <v>REGISTRO DE GAVETA BRUTO, LATÃO, ROSCÁVEL, 1 1/2" - FORNECIMENTO E INSTALAÇÃO. AF_08/2021</v>
      </c>
      <c r="E460" s="23" t="str">
        <f>VLOOKUP(A460,MEMORIA!$A:$N,5,FALSE)</f>
        <v>UN</v>
      </c>
      <c r="F460" s="5">
        <f>VLOOKUP(A460,MEMORIA!$A:$N,14,FALSE)</f>
        <v>1</v>
      </c>
      <c r="G460" s="5">
        <f>VLOOKUP(A460,ORCAMENTO!$A:$I,7,FALSE)</f>
        <v>118.80000000000001</v>
      </c>
      <c r="H460" s="5">
        <f>VLOOKUP(A460,ORCAMENTO!$A:$I,8,FALSE)</f>
        <v>148.31</v>
      </c>
      <c r="I460" s="5">
        <f>ROUND(F460*H460,2)</f>
        <v>148.31</v>
      </c>
      <c r="J460" s="5">
        <f>ROUND(K460*$H460,2)</f>
        <v>0</v>
      </c>
      <c r="K460" s="5">
        <v>0</v>
      </c>
      <c r="L460" s="25">
        <f t="shared" si="137"/>
        <v>0</v>
      </c>
      <c r="M460" s="5">
        <f>ROUND(N460*$H460,2)</f>
        <v>0</v>
      </c>
      <c r="N460" s="5">
        <v>0</v>
      </c>
      <c r="O460" s="25">
        <f t="shared" si="138"/>
        <v>0</v>
      </c>
      <c r="P460" s="5">
        <f>ROUND(Q460*$H460,2)</f>
        <v>148.31</v>
      </c>
      <c r="Q460" s="5">
        <f t="shared" si="136"/>
        <v>1</v>
      </c>
      <c r="R460" s="25">
        <f t="shared" si="139"/>
        <v>1</v>
      </c>
      <c r="S460" s="5">
        <f t="shared" si="140"/>
        <v>148.31</v>
      </c>
      <c r="T460" s="25">
        <f t="shared" si="141"/>
        <v>1</v>
      </c>
      <c r="U460" s="25">
        <f t="shared" si="142"/>
        <v>2.0377313766623822E-4</v>
      </c>
    </row>
    <row r="461" spans="1:21" x14ac:dyDescent="0.3">
      <c r="A461" s="12" t="s">
        <v>126</v>
      </c>
      <c r="B461" s="46" t="str">
        <f>VLOOKUP(A461,MEMORIA!$A:$N,2,FALSE)</f>
        <v>RESERVAÇÃO</v>
      </c>
      <c r="C461" s="47"/>
      <c r="D461" s="47"/>
      <c r="E461" s="47"/>
      <c r="F461" s="47"/>
      <c r="G461" s="47"/>
      <c r="H461" s="48"/>
      <c r="I461" s="13">
        <f>SUM(I$462:I$462)</f>
        <v>20347.62</v>
      </c>
      <c r="J461" s="13">
        <f>SUM(J$462:J$462)</f>
        <v>0</v>
      </c>
      <c r="K461" s="13"/>
      <c r="L461" s="14">
        <f t="shared" si="137"/>
        <v>0</v>
      </c>
      <c r="M461" s="13">
        <f>SUM(M$462:M$462)</f>
        <v>0</v>
      </c>
      <c r="N461" s="13"/>
      <c r="O461" s="14">
        <f t="shared" si="138"/>
        <v>0</v>
      </c>
      <c r="P461" s="13">
        <f>SUM(P$462:P$462)</f>
        <v>20347.62</v>
      </c>
      <c r="Q461" s="13"/>
      <c r="R461" s="14">
        <f t="shared" si="139"/>
        <v>1</v>
      </c>
      <c r="S461" s="13">
        <f t="shared" si="140"/>
        <v>20347.62</v>
      </c>
      <c r="T461" s="14">
        <f t="shared" si="141"/>
        <v>1</v>
      </c>
      <c r="U461" s="14">
        <f t="shared" si="142"/>
        <v>2.7956971016386636E-2</v>
      </c>
    </row>
    <row r="462" spans="1:21" ht="57.6" x14ac:dyDescent="0.3">
      <c r="A462" s="23" t="s">
        <v>488</v>
      </c>
      <c r="B462" s="23" t="str">
        <f>VLOOKUP(A462,MEMORIA!$A:$N,2,FALSE)</f>
        <v>COMPOS32</v>
      </c>
      <c r="C462" s="23" t="str">
        <f>VLOOKUP(A462,MEMORIA!$A:$N,3,FALSE)</f>
        <v>PRÓPRIA</v>
      </c>
      <c r="D462" s="24" t="str">
        <f>VLOOKUP(A462,MEMORIA!$A:$N,4,FALSE)</f>
        <v>RESERVATÓRIO ELEVADO C/ CAIXA D'AGUA EM FIBRA DE VIDRO DE 10.000 LITROS APOIADO EM ESTRUTURA PRÉ-MOLDADA EM CONCRETO, COMPOSTA DE CAPITEL P/APOIO DA CAIXA E PILAR C/ALTURA ÚTIL = 7,00M, INCLUSO FRETE E MONTAGEM NO LOCAL, EXCETO INST. HIDRÁULICA</v>
      </c>
      <c r="E462" s="23" t="str">
        <f>VLOOKUP(A462,MEMORIA!$A:$N,5,FALSE)</f>
        <v>UND</v>
      </c>
      <c r="F462" s="5">
        <f>VLOOKUP(A462,MEMORIA!$A:$N,14,FALSE)</f>
        <v>1</v>
      </c>
      <c r="G462" s="5">
        <f>VLOOKUP(A462,ORCAMENTO!$A:$I,7,FALSE)</f>
        <v>16298.96</v>
      </c>
      <c r="H462" s="5">
        <f>VLOOKUP(A462,ORCAMENTO!$A:$I,8,FALSE)</f>
        <v>20347.62</v>
      </c>
      <c r="I462" s="5">
        <f>ROUND(F462*H462,2)</f>
        <v>20347.62</v>
      </c>
      <c r="J462" s="5">
        <f>ROUND(K462*$H462,2)</f>
        <v>0</v>
      </c>
      <c r="K462" s="5">
        <v>0</v>
      </c>
      <c r="L462" s="25">
        <f t="shared" si="137"/>
        <v>0</v>
      </c>
      <c r="M462" s="5">
        <f>ROUND(N462*$H462,2)</f>
        <v>0</v>
      </c>
      <c r="N462" s="5">
        <v>0</v>
      </c>
      <c r="O462" s="25">
        <f t="shared" si="138"/>
        <v>0</v>
      </c>
      <c r="P462" s="5">
        <f>ROUND(Q462*$H462,2)</f>
        <v>20347.62</v>
      </c>
      <c r="Q462" s="5">
        <f t="shared" si="136"/>
        <v>1</v>
      </c>
      <c r="R462" s="25">
        <f t="shared" si="139"/>
        <v>1</v>
      </c>
      <c r="S462" s="5">
        <f t="shared" si="140"/>
        <v>20347.62</v>
      </c>
      <c r="T462" s="25">
        <f t="shared" si="141"/>
        <v>1</v>
      </c>
      <c r="U462" s="25">
        <f t="shared" si="142"/>
        <v>2.7956971016386636E-2</v>
      </c>
    </row>
    <row r="463" spans="1:21" x14ac:dyDescent="0.3">
      <c r="A463" s="12" t="s">
        <v>127</v>
      </c>
      <c r="B463" s="46" t="str">
        <f>VLOOKUP(A463,MEMORIA!$A:$N,2,FALSE)</f>
        <v>DISTRIBUIÇÃO (CHAFARIZ)</v>
      </c>
      <c r="C463" s="47"/>
      <c r="D463" s="47"/>
      <c r="E463" s="47"/>
      <c r="F463" s="47"/>
      <c r="G463" s="47"/>
      <c r="H463" s="48"/>
      <c r="I463" s="13">
        <f>SUM(I$464:I$475)</f>
        <v>2831.9999999999995</v>
      </c>
      <c r="J463" s="13">
        <f>SUM(J$464:J$475)</f>
        <v>0</v>
      </c>
      <c r="K463" s="13"/>
      <c r="L463" s="14">
        <f t="shared" si="137"/>
        <v>0</v>
      </c>
      <c r="M463" s="13">
        <f>SUM(M$464:M$475)</f>
        <v>0</v>
      </c>
      <c r="N463" s="13"/>
      <c r="O463" s="14">
        <f t="shared" si="138"/>
        <v>0</v>
      </c>
      <c r="P463" s="13">
        <f>SUM(P$464:P$475)</f>
        <v>2831.9999999999995</v>
      </c>
      <c r="Q463" s="13"/>
      <c r="R463" s="14">
        <f t="shared" si="139"/>
        <v>1</v>
      </c>
      <c r="S463" s="13">
        <f t="shared" si="140"/>
        <v>2831.9999999999995</v>
      </c>
      <c r="T463" s="14">
        <f t="shared" si="141"/>
        <v>1</v>
      </c>
      <c r="U463" s="14">
        <f t="shared" si="142"/>
        <v>3.8910762987714015E-3</v>
      </c>
    </row>
    <row r="464" spans="1:21" ht="28.8" x14ac:dyDescent="0.3">
      <c r="A464" s="23" t="s">
        <v>489</v>
      </c>
      <c r="B464" s="23" t="str">
        <f>VLOOKUP(A464,MEMORIA!$A:$N,2,FALSE)</f>
        <v>COMPOS27</v>
      </c>
      <c r="C464" s="23" t="str">
        <f>VLOOKUP(A464,MEMORIA!$A:$N,3,FALSE)</f>
        <v>PRÓPRIA</v>
      </c>
      <c r="D464" s="24" t="str">
        <f>VLOOKUP(A464,MEMORIA!$A:$N,4,FALSE)</f>
        <v>AQUISIÇÃO E ASSENTAMENTO DE TUBO RÍGIDO PVC, CLASSE 12, DN 50 MM, INCLUSO CONEXÕES</v>
      </c>
      <c r="E464" s="23" t="str">
        <f>VLOOKUP(A464,MEMORIA!$A:$N,5,FALSE)</f>
        <v>M</v>
      </c>
      <c r="F464" s="5">
        <f>VLOOKUP(A464,MEMORIA!$A:$N,14,FALSE)</f>
        <v>18</v>
      </c>
      <c r="G464" s="5">
        <f>VLOOKUP(A464,ORCAMENTO!$A:$I,7,FALSE)</f>
        <v>25.79</v>
      </c>
      <c r="H464" s="5">
        <f>VLOOKUP(A464,ORCAMENTO!$A:$I,8,FALSE)</f>
        <v>32.200000000000003</v>
      </c>
      <c r="I464" s="5">
        <f t="shared" ref="I464:I475" si="143">ROUND(F464*H464,2)</f>
        <v>579.6</v>
      </c>
      <c r="J464" s="5">
        <f t="shared" ref="J464:J475" si="144">ROUND(K464*$H464,2)</f>
        <v>0</v>
      </c>
      <c r="K464" s="5">
        <v>0</v>
      </c>
      <c r="L464" s="25">
        <f t="shared" si="137"/>
        <v>0</v>
      </c>
      <c r="M464" s="5">
        <f t="shared" ref="M464:M475" si="145">ROUND(N464*$H464,2)</f>
        <v>0</v>
      </c>
      <c r="N464" s="5">
        <v>0</v>
      </c>
      <c r="O464" s="25">
        <f t="shared" si="138"/>
        <v>0</v>
      </c>
      <c r="P464" s="5">
        <f t="shared" ref="P464:P475" si="146">ROUND(Q464*$H464,2)</f>
        <v>579.6</v>
      </c>
      <c r="Q464" s="5">
        <f t="shared" si="136"/>
        <v>18</v>
      </c>
      <c r="R464" s="25">
        <f t="shared" si="139"/>
        <v>1</v>
      </c>
      <c r="S464" s="5">
        <f t="shared" si="140"/>
        <v>579.6</v>
      </c>
      <c r="T464" s="25">
        <f t="shared" si="141"/>
        <v>1</v>
      </c>
      <c r="U464" s="25">
        <f t="shared" si="142"/>
        <v>7.963516323332997E-4</v>
      </c>
    </row>
    <row r="465" spans="1:21" ht="28.8" x14ac:dyDescent="0.3">
      <c r="A465" s="23" t="s">
        <v>490</v>
      </c>
      <c r="B465" s="23" t="str">
        <f>VLOOKUP(A465,MEMORIA!$A:$N,2,FALSE)</f>
        <v>06457/ORSE</v>
      </c>
      <c r="C465" s="23" t="str">
        <f>VLOOKUP(A465,MEMORIA!$A:$N,3,FALSE)</f>
        <v>ORSE</v>
      </c>
      <c r="D465" s="24" t="str">
        <f>VLOOKUP(A465,MEMORIA!$A:$N,4,FALSE)</f>
        <v>CONCRETO ARMADO FCK=15MPA FABRICADO NA OBRA, ADENSADO E LANÇADO, PARA USO GERAL, COM FORMAS PLANAS EM COMPENSADO RESINADO 12MM (05 USOS)</v>
      </c>
      <c r="E465" s="23" t="str">
        <f>VLOOKUP(A465,MEMORIA!$A:$N,5,FALSE)</f>
        <v>M3</v>
      </c>
      <c r="F465" s="5">
        <f>VLOOKUP(A465,MEMORIA!$A:$N,14,FALSE)</f>
        <v>0.26</v>
      </c>
      <c r="G465" s="5">
        <f>VLOOKUP(A465,ORCAMENTO!$A:$I,7,FALSE)</f>
        <v>2617.91</v>
      </c>
      <c r="H465" s="5">
        <f>VLOOKUP(A465,ORCAMENTO!$A:$I,8,FALSE)</f>
        <v>3268.2</v>
      </c>
      <c r="I465" s="5">
        <f t="shared" si="143"/>
        <v>849.73</v>
      </c>
      <c r="J465" s="5">
        <f t="shared" si="144"/>
        <v>0</v>
      </c>
      <c r="K465" s="5">
        <v>0</v>
      </c>
      <c r="L465" s="25">
        <f t="shared" si="137"/>
        <v>0</v>
      </c>
      <c r="M465" s="5">
        <f t="shared" si="145"/>
        <v>0</v>
      </c>
      <c r="N465" s="5">
        <v>0</v>
      </c>
      <c r="O465" s="25">
        <f t="shared" si="138"/>
        <v>0</v>
      </c>
      <c r="P465" s="5">
        <f t="shared" si="146"/>
        <v>849.73</v>
      </c>
      <c r="Q465" s="5">
        <f t="shared" si="136"/>
        <v>0.26</v>
      </c>
      <c r="R465" s="25">
        <f t="shared" si="139"/>
        <v>1</v>
      </c>
      <c r="S465" s="5">
        <f t="shared" si="140"/>
        <v>849.73</v>
      </c>
      <c r="T465" s="25">
        <f t="shared" si="141"/>
        <v>1</v>
      </c>
      <c r="U465" s="25">
        <f t="shared" si="142"/>
        <v>1.1675015054219715E-3</v>
      </c>
    </row>
    <row r="466" spans="1:21" ht="28.8" x14ac:dyDescent="0.3">
      <c r="A466" s="23" t="s">
        <v>491</v>
      </c>
      <c r="B466" s="23">
        <f>VLOOKUP(A466,MEMORIA!$A:$N,2,FALSE)</f>
        <v>86906</v>
      </c>
      <c r="C466" s="23" t="str">
        <f>VLOOKUP(A466,MEMORIA!$A:$N,3,FALSE)</f>
        <v>SINAPI</v>
      </c>
      <c r="D466" s="24" t="str">
        <f>VLOOKUP(A466,MEMORIA!$A:$N,4,FALSE)</f>
        <v>TORNEIRA CROMADA DE MESA, 1/2" OU 3/4", PARA LAVATÓRIO, PADRÃO POPULAR - FORNECIMENTO E INSTALAÇÃO. AF_01/2020</v>
      </c>
      <c r="E466" s="23" t="str">
        <f>VLOOKUP(A466,MEMORIA!$A:$N,5,FALSE)</f>
        <v>UN</v>
      </c>
      <c r="F466" s="5">
        <f>VLOOKUP(A466,MEMORIA!$A:$N,14,FALSE)</f>
        <v>4</v>
      </c>
      <c r="G466" s="5">
        <f>VLOOKUP(A466,ORCAMENTO!$A:$I,7,FALSE)</f>
        <v>81.239999999999995</v>
      </c>
      <c r="H466" s="5">
        <f>VLOOKUP(A466,ORCAMENTO!$A:$I,8,FALSE)</f>
        <v>101.41999999999999</v>
      </c>
      <c r="I466" s="5">
        <f t="shared" si="143"/>
        <v>405.68</v>
      </c>
      <c r="J466" s="5">
        <f t="shared" si="144"/>
        <v>0</v>
      </c>
      <c r="K466" s="5">
        <v>0</v>
      </c>
      <c r="L466" s="25">
        <f t="shared" si="137"/>
        <v>0</v>
      </c>
      <c r="M466" s="5">
        <f t="shared" si="145"/>
        <v>0</v>
      </c>
      <c r="N466" s="5">
        <v>0</v>
      </c>
      <c r="O466" s="25">
        <f t="shared" si="138"/>
        <v>0</v>
      </c>
      <c r="P466" s="5">
        <f t="shared" si="146"/>
        <v>405.68</v>
      </c>
      <c r="Q466" s="5">
        <f t="shared" si="136"/>
        <v>4</v>
      </c>
      <c r="R466" s="25">
        <f t="shared" si="139"/>
        <v>1</v>
      </c>
      <c r="S466" s="5">
        <f t="shared" si="140"/>
        <v>405.68</v>
      </c>
      <c r="T466" s="25">
        <f t="shared" si="141"/>
        <v>1</v>
      </c>
      <c r="U466" s="25">
        <f t="shared" si="142"/>
        <v>5.5739118392852483E-4</v>
      </c>
    </row>
    <row r="467" spans="1:21" ht="43.2" x14ac:dyDescent="0.3">
      <c r="A467" s="23" t="s">
        <v>492</v>
      </c>
      <c r="B467" s="23">
        <f>VLOOKUP(A467,MEMORIA!$A:$N,2,FALSE)</f>
        <v>92920</v>
      </c>
      <c r="C467" s="23" t="str">
        <f>VLOOKUP(A467,MEMORIA!$A:$N,3,FALSE)</f>
        <v>SINAPI</v>
      </c>
      <c r="D467" s="24" t="str">
        <f>VLOOKUP(A467,MEMORIA!$A:$N,4,FALSE)</f>
        <v>LUVA DE REDUÇÃO, EM FERRO GALVANIZADO, 1" X 3/4", CONEXÃO ROSQUEADA, INSTALADO EM REDE DE ALIMENTAÇÃO PARA HIDRANTE - FORNECIMENTO E INSTALAÇÃO. AF_10/2020</v>
      </c>
      <c r="E467" s="23" t="str">
        <f>VLOOKUP(A467,MEMORIA!$A:$N,5,FALSE)</f>
        <v>UN</v>
      </c>
      <c r="F467" s="5">
        <f>VLOOKUP(A467,MEMORIA!$A:$N,14,FALSE)</f>
        <v>4</v>
      </c>
      <c r="G467" s="5">
        <f>VLOOKUP(A467,ORCAMENTO!$A:$I,7,FALSE)</f>
        <v>35.64</v>
      </c>
      <c r="H467" s="5">
        <f>VLOOKUP(A467,ORCAMENTO!$A:$I,8,FALSE)</f>
        <v>44.49</v>
      </c>
      <c r="I467" s="5">
        <f t="shared" si="143"/>
        <v>177.96</v>
      </c>
      <c r="J467" s="5">
        <f t="shared" si="144"/>
        <v>0</v>
      </c>
      <c r="K467" s="5">
        <v>0</v>
      </c>
      <c r="L467" s="25">
        <f t="shared" si="137"/>
        <v>0</v>
      </c>
      <c r="M467" s="5">
        <f t="shared" si="145"/>
        <v>0</v>
      </c>
      <c r="N467" s="5">
        <v>0</v>
      </c>
      <c r="O467" s="25">
        <f t="shared" si="138"/>
        <v>0</v>
      </c>
      <c r="P467" s="5">
        <f t="shared" si="146"/>
        <v>177.96</v>
      </c>
      <c r="Q467" s="5">
        <f t="shared" si="136"/>
        <v>4</v>
      </c>
      <c r="R467" s="25">
        <f t="shared" si="139"/>
        <v>1</v>
      </c>
      <c r="S467" s="5">
        <f t="shared" si="140"/>
        <v>177.96</v>
      </c>
      <c r="T467" s="25">
        <f t="shared" si="141"/>
        <v>1</v>
      </c>
      <c r="U467" s="25">
        <f t="shared" si="142"/>
        <v>2.4451127758805041E-4</v>
      </c>
    </row>
    <row r="468" spans="1:21" x14ac:dyDescent="0.3">
      <c r="A468" s="23" t="s">
        <v>493</v>
      </c>
      <c r="B468" s="23" t="str">
        <f>VLOOKUP(A468,MEMORIA!$A:$N,2,FALSE)</f>
        <v>COMPCH08</v>
      </c>
      <c r="C468" s="23" t="str">
        <f>VLOOKUP(A468,MEMORIA!$A:$N,3,FALSE)</f>
        <v>PRÓPRIA</v>
      </c>
      <c r="D468" s="24" t="str">
        <f>VLOOKUP(A468,MEMORIA!$A:$N,4,FALSE)</f>
        <v>CRUZETA DE FERRO GALVANIZADO, COM ROSCA BSP, DE 1"</v>
      </c>
      <c r="E468" s="23" t="str">
        <f>VLOOKUP(A468,MEMORIA!$A:$N,5,FALSE)</f>
        <v>UN</v>
      </c>
      <c r="F468" s="5">
        <f>VLOOKUP(A468,MEMORIA!$A:$N,14,FALSE)</f>
        <v>1</v>
      </c>
      <c r="G468" s="5">
        <f>VLOOKUP(A468,ORCAMENTO!$A:$I,7,FALSE)</f>
        <v>85.84</v>
      </c>
      <c r="H468" s="5">
        <f>VLOOKUP(A468,ORCAMENTO!$A:$I,8,FALSE)</f>
        <v>107.16</v>
      </c>
      <c r="I468" s="5">
        <f t="shared" si="143"/>
        <v>107.16</v>
      </c>
      <c r="J468" s="5">
        <f t="shared" si="144"/>
        <v>0</v>
      </c>
      <c r="K468" s="5">
        <v>0</v>
      </c>
      <c r="L468" s="25">
        <f t="shared" si="137"/>
        <v>0</v>
      </c>
      <c r="M468" s="5">
        <f t="shared" si="145"/>
        <v>0</v>
      </c>
      <c r="N468" s="5">
        <v>0</v>
      </c>
      <c r="O468" s="25">
        <f t="shared" si="138"/>
        <v>0</v>
      </c>
      <c r="P468" s="5">
        <f t="shared" si="146"/>
        <v>107.16</v>
      </c>
      <c r="Q468" s="5">
        <f t="shared" si="136"/>
        <v>1</v>
      </c>
      <c r="R468" s="25">
        <f t="shared" si="139"/>
        <v>1</v>
      </c>
      <c r="S468" s="5">
        <f t="shared" si="140"/>
        <v>107.16</v>
      </c>
      <c r="T468" s="25">
        <f t="shared" si="141"/>
        <v>1</v>
      </c>
      <c r="U468" s="25">
        <f t="shared" si="142"/>
        <v>1.4723437011876533E-4</v>
      </c>
    </row>
    <row r="469" spans="1:21" ht="28.8" x14ac:dyDescent="0.3">
      <c r="A469" s="23" t="s">
        <v>494</v>
      </c>
      <c r="B469" s="23" t="str">
        <f>VLOOKUP(A469,MEMORIA!$A:$N,2,FALSE)</f>
        <v>COMPCH01</v>
      </c>
      <c r="C469" s="23" t="str">
        <f>VLOOKUP(A469,MEMORIA!$A:$N,3,FALSE)</f>
        <v>PRÓPRIA</v>
      </c>
      <c r="D469" s="24" t="str">
        <f>VLOOKUP(A469,MEMORIA!$A:$N,4,FALSE)</f>
        <v>TÊ, EM FERRO GALVANIZADO, 1", CONEXÃO ROSQUEADA, INSTALADO EM PRUMADAS - FORNECIMENTO E INSTALAÇÃO.</v>
      </c>
      <c r="E469" s="23" t="str">
        <f>VLOOKUP(A469,MEMORIA!$A:$N,5,FALSE)</f>
        <v>UN</v>
      </c>
      <c r="F469" s="5">
        <f>VLOOKUP(A469,MEMORIA!$A:$N,14,FALSE)</f>
        <v>1</v>
      </c>
      <c r="G469" s="5">
        <f>VLOOKUP(A469,ORCAMENTO!$A:$I,7,FALSE)</f>
        <v>69.28</v>
      </c>
      <c r="H469" s="5">
        <f>VLOOKUP(A469,ORCAMENTO!$A:$I,8,FALSE)</f>
        <v>86.490000000000009</v>
      </c>
      <c r="I469" s="5">
        <f t="shared" si="143"/>
        <v>86.49</v>
      </c>
      <c r="J469" s="5">
        <f t="shared" si="144"/>
        <v>0</v>
      </c>
      <c r="K469" s="5">
        <v>0</v>
      </c>
      <c r="L469" s="25">
        <f t="shared" si="137"/>
        <v>0</v>
      </c>
      <c r="M469" s="5">
        <f t="shared" si="145"/>
        <v>0</v>
      </c>
      <c r="N469" s="5">
        <v>0</v>
      </c>
      <c r="O469" s="25">
        <f t="shared" si="138"/>
        <v>0</v>
      </c>
      <c r="P469" s="5">
        <f t="shared" si="146"/>
        <v>86.49</v>
      </c>
      <c r="Q469" s="5">
        <f t="shared" si="136"/>
        <v>1</v>
      </c>
      <c r="R469" s="25">
        <f t="shared" si="139"/>
        <v>1</v>
      </c>
      <c r="S469" s="5">
        <f t="shared" si="140"/>
        <v>86.49</v>
      </c>
      <c r="T469" s="25">
        <f t="shared" si="141"/>
        <v>1</v>
      </c>
      <c r="U469" s="25">
        <f t="shared" si="142"/>
        <v>1.1883445942116473E-4</v>
      </c>
    </row>
    <row r="470" spans="1:21" x14ac:dyDescent="0.3">
      <c r="A470" s="23" t="s">
        <v>495</v>
      </c>
      <c r="B470" s="23" t="str">
        <f>VLOOKUP(A470,MEMORIA!$A:$N,2,FALSE)</f>
        <v>COMPCH02</v>
      </c>
      <c r="C470" s="23" t="str">
        <f>VLOOKUP(A470,MEMORIA!$A:$N,3,FALSE)</f>
        <v>PRÓPRIA</v>
      </c>
      <c r="D470" s="24" t="str">
        <f>VLOOKUP(A470,MEMORIA!$A:$N,4,FALSE)</f>
        <v>LUVA DE FERRO GALVANIZADO, COM ROSCA BSP, DE 1"- FORNECIMENTO E INSTALAÇÃO</v>
      </c>
      <c r="E470" s="23" t="str">
        <f>VLOOKUP(A470,MEMORIA!$A:$N,5,FALSE)</f>
        <v>UN</v>
      </c>
      <c r="F470" s="5">
        <f>VLOOKUP(A470,MEMORIA!$A:$N,14,FALSE)</f>
        <v>1</v>
      </c>
      <c r="G470" s="5">
        <f>VLOOKUP(A470,ORCAMENTO!$A:$I,7,FALSE)</f>
        <v>21.18</v>
      </c>
      <c r="H470" s="5">
        <f>VLOOKUP(A470,ORCAMENTO!$A:$I,8,FALSE)</f>
        <v>26.439999999999998</v>
      </c>
      <c r="I470" s="5">
        <f t="shared" si="143"/>
        <v>26.44</v>
      </c>
      <c r="J470" s="5">
        <f t="shared" si="144"/>
        <v>0</v>
      </c>
      <c r="K470" s="5">
        <v>0</v>
      </c>
      <c r="L470" s="25">
        <f t="shared" si="137"/>
        <v>0</v>
      </c>
      <c r="M470" s="5">
        <f t="shared" si="145"/>
        <v>0</v>
      </c>
      <c r="N470" s="5">
        <v>0</v>
      </c>
      <c r="O470" s="25">
        <f t="shared" si="138"/>
        <v>0</v>
      </c>
      <c r="P470" s="5">
        <f t="shared" si="146"/>
        <v>26.44</v>
      </c>
      <c r="Q470" s="5">
        <f t="shared" si="136"/>
        <v>1</v>
      </c>
      <c r="R470" s="25">
        <f t="shared" si="139"/>
        <v>1</v>
      </c>
      <c r="S470" s="5">
        <f t="shared" si="140"/>
        <v>26.44</v>
      </c>
      <c r="T470" s="25">
        <f t="shared" si="141"/>
        <v>1</v>
      </c>
      <c r="U470" s="25">
        <f t="shared" si="142"/>
        <v>3.6327703862823399E-5</v>
      </c>
    </row>
    <row r="471" spans="1:21" ht="28.8" x14ac:dyDescent="0.3">
      <c r="A471" s="23" t="s">
        <v>496</v>
      </c>
      <c r="B471" s="23" t="str">
        <f>VLOOKUP(A471,MEMORIA!$A:$N,2,FALSE)</f>
        <v>COMPCH03</v>
      </c>
      <c r="C471" s="23" t="str">
        <f>VLOOKUP(A471,MEMORIA!$A:$N,3,FALSE)</f>
        <v>PRÓPRIA</v>
      </c>
      <c r="D471" s="24" t="str">
        <f>VLOOKUP(A471,MEMORIA!$A:$N,4,FALSE)</f>
        <v>CURVA 90 GRAUS DE FERRO GALVANIZADO, COM ROSCA BSP FEMEA, DE 1"- FORNECIMENTO E INSTALAÇÃO</v>
      </c>
      <c r="E471" s="23" t="str">
        <f>VLOOKUP(A471,MEMORIA!$A:$N,5,FALSE)</f>
        <v>UN</v>
      </c>
      <c r="F471" s="5">
        <f>VLOOKUP(A471,MEMORIA!$A:$N,14,FALSE)</f>
        <v>1</v>
      </c>
      <c r="G471" s="5">
        <f>VLOOKUP(A471,ORCAMENTO!$A:$I,7,FALSE)</f>
        <v>55.2</v>
      </c>
      <c r="H471" s="5">
        <f>VLOOKUP(A471,ORCAMENTO!$A:$I,8,FALSE)</f>
        <v>68.91</v>
      </c>
      <c r="I471" s="5">
        <f t="shared" si="143"/>
        <v>68.91</v>
      </c>
      <c r="J471" s="5">
        <f t="shared" si="144"/>
        <v>0</v>
      </c>
      <c r="K471" s="5">
        <v>0</v>
      </c>
      <c r="L471" s="25">
        <f t="shared" si="137"/>
        <v>0</v>
      </c>
      <c r="M471" s="5">
        <f t="shared" si="145"/>
        <v>0</v>
      </c>
      <c r="N471" s="5">
        <v>0</v>
      </c>
      <c r="O471" s="25">
        <f t="shared" si="138"/>
        <v>0</v>
      </c>
      <c r="P471" s="5">
        <f t="shared" si="146"/>
        <v>68.91</v>
      </c>
      <c r="Q471" s="5">
        <f t="shared" si="136"/>
        <v>1</v>
      </c>
      <c r="R471" s="25">
        <f t="shared" si="139"/>
        <v>1</v>
      </c>
      <c r="S471" s="5">
        <f t="shared" si="140"/>
        <v>68.91</v>
      </c>
      <c r="T471" s="25">
        <f t="shared" si="141"/>
        <v>1</v>
      </c>
      <c r="U471" s="25">
        <f t="shared" si="142"/>
        <v>9.46801086681982E-5</v>
      </c>
    </row>
    <row r="472" spans="1:21" ht="28.8" x14ac:dyDescent="0.3">
      <c r="A472" s="23" t="s">
        <v>497</v>
      </c>
      <c r="B472" s="23" t="str">
        <f>VLOOKUP(A472,MEMORIA!$A:$N,2,FALSE)</f>
        <v>COMPCH04</v>
      </c>
      <c r="C472" s="23" t="str">
        <f>VLOOKUP(A472,MEMORIA!$A:$N,3,FALSE)</f>
        <v>PRÓPRIA</v>
      </c>
      <c r="D472" s="24" t="str">
        <f>VLOOKUP(A472,MEMORIA!$A:$N,4,FALSE)</f>
        <v>TUBO DE AÇO GALVANIZADO COM COSTURA 1" (25MM), INCLUSIVE CONEXOES - FORNECIMENTO E INSTALAÇÃO</v>
      </c>
      <c r="E472" s="23" t="str">
        <f>VLOOKUP(A472,MEMORIA!$A:$N,5,FALSE)</f>
        <v>M</v>
      </c>
      <c r="F472" s="5">
        <f>VLOOKUP(A472,MEMORIA!$A:$N,14,FALSE)</f>
        <v>3</v>
      </c>
      <c r="G472" s="5">
        <f>VLOOKUP(A472,ORCAMENTO!$A:$I,7,FALSE)</f>
        <v>46.050000000000004</v>
      </c>
      <c r="H472" s="5">
        <f>VLOOKUP(A472,ORCAMENTO!$A:$I,8,FALSE)</f>
        <v>57.49</v>
      </c>
      <c r="I472" s="5">
        <f t="shared" si="143"/>
        <v>172.47</v>
      </c>
      <c r="J472" s="5">
        <f t="shared" si="144"/>
        <v>0</v>
      </c>
      <c r="K472" s="5">
        <v>0</v>
      </c>
      <c r="L472" s="25">
        <f t="shared" si="137"/>
        <v>0</v>
      </c>
      <c r="M472" s="5">
        <f t="shared" si="145"/>
        <v>0</v>
      </c>
      <c r="N472" s="5">
        <v>0</v>
      </c>
      <c r="O472" s="25">
        <f t="shared" si="138"/>
        <v>0</v>
      </c>
      <c r="P472" s="5">
        <f t="shared" si="146"/>
        <v>172.47</v>
      </c>
      <c r="Q472" s="5">
        <f t="shared" si="136"/>
        <v>3</v>
      </c>
      <c r="R472" s="25">
        <f t="shared" si="139"/>
        <v>1</v>
      </c>
      <c r="S472" s="5">
        <f t="shared" si="140"/>
        <v>172.47</v>
      </c>
      <c r="T472" s="25">
        <f t="shared" si="141"/>
        <v>1</v>
      </c>
      <c r="U472" s="25">
        <f t="shared" si="142"/>
        <v>2.3696819535632194E-4</v>
      </c>
    </row>
    <row r="473" spans="1:21" ht="28.8" x14ac:dyDescent="0.3">
      <c r="A473" s="23" t="s">
        <v>498</v>
      </c>
      <c r="B473" s="23" t="str">
        <f>VLOOKUP(A473,MEMORIA!$A:$N,2,FALSE)</f>
        <v>COMPCH05</v>
      </c>
      <c r="C473" s="23" t="str">
        <f>VLOOKUP(A473,MEMORIA!$A:$N,3,FALSE)</f>
        <v>PRÓPRIA</v>
      </c>
      <c r="D473" s="24" t="str">
        <f>VLOOKUP(A473,MEMORIA!$A:$N,4,FALSE)</f>
        <v>BUCHA DE REDUCAO DE FERRO GALVANIZADO, COM ROSCA BSP, DE 1 1/2" X 1"- FORNECIMENTO E INSTALAÇÃO</v>
      </c>
      <c r="E473" s="23" t="str">
        <f>VLOOKUP(A473,MEMORIA!$A:$N,5,FALSE)</f>
        <v>UN</v>
      </c>
      <c r="F473" s="5">
        <f>VLOOKUP(A473,MEMORIA!$A:$N,14,FALSE)</f>
        <v>1</v>
      </c>
      <c r="G473" s="5">
        <f>VLOOKUP(A473,ORCAMENTO!$A:$I,7,FALSE)</f>
        <v>37.659999999999997</v>
      </c>
      <c r="H473" s="5">
        <f>VLOOKUP(A473,ORCAMENTO!$A:$I,8,FALSE)</f>
        <v>47.01</v>
      </c>
      <c r="I473" s="5">
        <f t="shared" si="143"/>
        <v>47.01</v>
      </c>
      <c r="J473" s="5">
        <f t="shared" si="144"/>
        <v>0</v>
      </c>
      <c r="K473" s="5">
        <v>0</v>
      </c>
      <c r="L473" s="25">
        <f t="shared" si="137"/>
        <v>0</v>
      </c>
      <c r="M473" s="5">
        <f t="shared" si="145"/>
        <v>0</v>
      </c>
      <c r="N473" s="5">
        <v>0</v>
      </c>
      <c r="O473" s="25">
        <f t="shared" si="138"/>
        <v>0</v>
      </c>
      <c r="P473" s="5">
        <f t="shared" si="146"/>
        <v>47.01</v>
      </c>
      <c r="Q473" s="5">
        <f t="shared" si="136"/>
        <v>1</v>
      </c>
      <c r="R473" s="25">
        <f t="shared" si="139"/>
        <v>1</v>
      </c>
      <c r="S473" s="5">
        <f t="shared" si="140"/>
        <v>47.01</v>
      </c>
      <c r="T473" s="25">
        <f t="shared" si="141"/>
        <v>1</v>
      </c>
      <c r="U473" s="25">
        <f t="shared" si="142"/>
        <v>6.4590217798461724E-5</v>
      </c>
    </row>
    <row r="474" spans="1:21" ht="28.8" x14ac:dyDescent="0.3">
      <c r="A474" s="23" t="s">
        <v>499</v>
      </c>
      <c r="B474" s="23">
        <f>VLOOKUP(A474,MEMORIA!$A:$N,2,FALSE)</f>
        <v>94497</v>
      </c>
      <c r="C474" s="23" t="str">
        <f>VLOOKUP(A474,MEMORIA!$A:$N,3,FALSE)</f>
        <v>SINAPI</v>
      </c>
      <c r="D474" s="24" t="str">
        <f>VLOOKUP(A474,MEMORIA!$A:$N,4,FALSE)</f>
        <v>REGISTRO DE GAVETA BRUTO, LATÃO, ROSCÁVEL, 1 1/2" - FORNECIMENTO E INSTALAÇÃO. AF_08/2021</v>
      </c>
      <c r="E474" s="23" t="str">
        <f>VLOOKUP(A474,MEMORIA!$A:$N,5,FALSE)</f>
        <v>UN</v>
      </c>
      <c r="F474" s="5">
        <f>VLOOKUP(A474,MEMORIA!$A:$N,14,FALSE)</f>
        <v>2</v>
      </c>
      <c r="G474" s="5">
        <f>VLOOKUP(A474,ORCAMENTO!$A:$I,7,FALSE)</f>
        <v>118.80000000000001</v>
      </c>
      <c r="H474" s="5">
        <f>VLOOKUP(A474,ORCAMENTO!$A:$I,8,FALSE)</f>
        <v>148.31</v>
      </c>
      <c r="I474" s="5">
        <f t="shared" si="143"/>
        <v>296.62</v>
      </c>
      <c r="J474" s="5">
        <f t="shared" si="144"/>
        <v>0</v>
      </c>
      <c r="K474" s="5">
        <v>0</v>
      </c>
      <c r="L474" s="25">
        <f t="shared" si="137"/>
        <v>0</v>
      </c>
      <c r="M474" s="5">
        <f t="shared" si="145"/>
        <v>0</v>
      </c>
      <c r="N474" s="5">
        <v>0</v>
      </c>
      <c r="O474" s="25">
        <f t="shared" si="138"/>
        <v>0</v>
      </c>
      <c r="P474" s="5">
        <f t="shared" si="146"/>
        <v>296.62</v>
      </c>
      <c r="Q474" s="5">
        <f t="shared" si="136"/>
        <v>2</v>
      </c>
      <c r="R474" s="25">
        <f t="shared" si="139"/>
        <v>1</v>
      </c>
      <c r="S474" s="5">
        <f t="shared" si="140"/>
        <v>296.62</v>
      </c>
      <c r="T474" s="25">
        <f t="shared" si="141"/>
        <v>1</v>
      </c>
      <c r="U474" s="25">
        <f t="shared" si="142"/>
        <v>4.0754627533247644E-4</v>
      </c>
    </row>
    <row r="475" spans="1:21" ht="28.8" x14ac:dyDescent="0.3">
      <c r="A475" s="23" t="s">
        <v>500</v>
      </c>
      <c r="B475" s="23" t="str">
        <f>VLOOKUP(A475,MEMORIA!$A:$N,2,FALSE)</f>
        <v>COMPCH07</v>
      </c>
      <c r="C475" s="23" t="str">
        <f>VLOOKUP(A475,MEMORIA!$A:$N,3,FALSE)</f>
        <v>PRÓPRIA</v>
      </c>
      <c r="D475" s="24" t="str">
        <f>VLOOKUP(A475,MEMORIA!$A:$N,4,FALSE)</f>
        <v>ADAPTADOR CURTO COM BOLSA E ROSCA PARA REGISTRO, PVC, SOLDÁVEL, DN 40MM X 1.1/2, INSTALADO EM PRUMADA DE ÁGUA - FORNECIMENTO E INSTALAÇÃO</v>
      </c>
      <c r="E475" s="23" t="str">
        <f>VLOOKUP(A475,MEMORIA!$A:$N,5,FALSE)</f>
        <v>UN</v>
      </c>
      <c r="F475" s="5">
        <f>VLOOKUP(A475,MEMORIA!$A:$N,14,FALSE)</f>
        <v>1</v>
      </c>
      <c r="G475" s="5">
        <f>VLOOKUP(A475,ORCAMENTO!$A:$I,7,FALSE)</f>
        <v>11.16</v>
      </c>
      <c r="H475" s="5">
        <f>VLOOKUP(A475,ORCAMENTO!$A:$I,8,FALSE)</f>
        <v>13.93</v>
      </c>
      <c r="I475" s="5">
        <f t="shared" si="143"/>
        <v>13.93</v>
      </c>
      <c r="J475" s="5">
        <f t="shared" si="144"/>
        <v>0</v>
      </c>
      <c r="K475" s="5">
        <v>0</v>
      </c>
      <c r="L475" s="25">
        <f t="shared" si="137"/>
        <v>0</v>
      </c>
      <c r="M475" s="5">
        <f t="shared" si="145"/>
        <v>0</v>
      </c>
      <c r="N475" s="5">
        <v>0</v>
      </c>
      <c r="O475" s="25">
        <f t="shared" si="138"/>
        <v>0</v>
      </c>
      <c r="P475" s="5">
        <f t="shared" si="146"/>
        <v>13.93</v>
      </c>
      <c r="Q475" s="5">
        <f t="shared" si="136"/>
        <v>1</v>
      </c>
      <c r="R475" s="25">
        <f t="shared" si="139"/>
        <v>1</v>
      </c>
      <c r="S475" s="5">
        <f t="shared" si="140"/>
        <v>13.93</v>
      </c>
      <c r="T475" s="25">
        <f t="shared" si="141"/>
        <v>1</v>
      </c>
      <c r="U475" s="25">
        <f t="shared" si="142"/>
        <v>1.9139368941343795E-5</v>
      </c>
    </row>
    <row r="476" spans="1:21" x14ac:dyDescent="0.3">
      <c r="A476" s="34" t="s">
        <v>503</v>
      </c>
      <c r="B476" s="36"/>
      <c r="C476" s="36"/>
      <c r="D476" s="36"/>
      <c r="E476" s="36"/>
      <c r="F476" s="36"/>
      <c r="G476" s="36"/>
      <c r="H476" s="35"/>
      <c r="I476" s="57">
        <f>SUM(I8,I11,I104,I197,I290,I383,)</f>
        <v>727819.19000000006</v>
      </c>
      <c r="J476" s="18">
        <f>SUM(J8,J11,J104,J197,J290,J383,)</f>
        <v>291807.58000000007</v>
      </c>
      <c r="K476" s="18"/>
      <c r="L476" s="19">
        <f t="shared" si="137"/>
        <v>0.40093416608045201</v>
      </c>
      <c r="M476" s="18">
        <f>SUM(M8,M11,M104,M197,M290,M383,)</f>
        <v>290334.57000000007</v>
      </c>
      <c r="N476" s="18"/>
      <c r="O476" s="19">
        <f t="shared" si="138"/>
        <v>0.39891029803707162</v>
      </c>
      <c r="P476" s="18">
        <f>SUM(P8,P11,P104,P197,P290,P383,)</f>
        <v>145677.04</v>
      </c>
      <c r="Q476" s="18"/>
      <c r="R476" s="19">
        <f t="shared" si="139"/>
        <v>0.20015553588247653</v>
      </c>
      <c r="S476" s="57">
        <f>SUM(S8,S11,S104,S197,S290,S383,)</f>
        <v>727819.19000000006</v>
      </c>
      <c r="T476" s="59">
        <f t="shared" si="141"/>
        <v>1.0000000000000002</v>
      </c>
      <c r="U476" s="59">
        <f>SUM(U8,U11,U104,U197,U290,U383,)</f>
        <v>1</v>
      </c>
    </row>
    <row r="477" spans="1:21" x14ac:dyDescent="0.3">
      <c r="A477" s="34" t="s">
        <v>504</v>
      </c>
      <c r="B477" s="36"/>
      <c r="C477" s="36"/>
      <c r="D477" s="36"/>
      <c r="E477" s="36"/>
      <c r="F477" s="36"/>
      <c r="G477" s="36"/>
      <c r="H477" s="35"/>
      <c r="I477" s="58"/>
      <c r="J477" s="18">
        <f>J476</f>
        <v>291807.58000000007</v>
      </c>
      <c r="K477" s="18"/>
      <c r="L477" s="19">
        <f>J477/$I476</f>
        <v>0.40093416608045201</v>
      </c>
      <c r="M477" s="18">
        <f>SUM(J477,M476)</f>
        <v>582142.15000000014</v>
      </c>
      <c r="N477" s="18"/>
      <c r="O477" s="19">
        <f>M477/$I476</f>
        <v>0.79984446411752363</v>
      </c>
      <c r="P477" s="18">
        <f>SUM(M477,P476)</f>
        <v>727819.19000000018</v>
      </c>
      <c r="Q477" s="18"/>
      <c r="R477" s="19">
        <f>P477/$I476</f>
        <v>1.0000000000000002</v>
      </c>
      <c r="S477" s="58"/>
      <c r="T477" s="60"/>
      <c r="U477" s="60"/>
    </row>
    <row r="479" spans="1:21" x14ac:dyDescent="0.3">
      <c r="I479" s="31">
        <f>I476-I9</f>
        <v>683477.21000000008</v>
      </c>
      <c r="L479" s="32">
        <f>J476/I479</f>
        <v>0.42694558901239743</v>
      </c>
      <c r="O479" s="32">
        <f>M476/I479</f>
        <v>0.42479041839595505</v>
      </c>
      <c r="R479" s="32">
        <f>P476/I479</f>
        <v>0.21314103509025559</v>
      </c>
    </row>
  </sheetData>
  <mergeCells count="134">
    <mergeCell ref="A1:I1"/>
    <mergeCell ref="A2:I2"/>
    <mergeCell ref="A3:I3"/>
    <mergeCell ref="A6:A7"/>
    <mergeCell ref="B6:B7"/>
    <mergeCell ref="C6:C7"/>
    <mergeCell ref="D6:D7"/>
    <mergeCell ref="E6:E7"/>
    <mergeCell ref="F6:F7"/>
    <mergeCell ref="G6:G7"/>
    <mergeCell ref="B38:H38"/>
    <mergeCell ref="B41:H41"/>
    <mergeCell ref="B43:H43"/>
    <mergeCell ref="B47:H47"/>
    <mergeCell ref="B50:H50"/>
    <mergeCell ref="B53:H53"/>
    <mergeCell ref="T6:U6"/>
    <mergeCell ref="B8:H8"/>
    <mergeCell ref="B11:H11"/>
    <mergeCell ref="B12:H12"/>
    <mergeCell ref="B30:H30"/>
    <mergeCell ref="B37:H37"/>
    <mergeCell ref="H6:H7"/>
    <mergeCell ref="I6:I7"/>
    <mergeCell ref="J6:L6"/>
    <mergeCell ref="M6:O6"/>
    <mergeCell ref="P6:R6"/>
    <mergeCell ref="S6:S7"/>
    <mergeCell ref="B80:H80"/>
    <mergeCell ref="B81:H81"/>
    <mergeCell ref="B84:H84"/>
    <mergeCell ref="B86:H86"/>
    <mergeCell ref="B89:H89"/>
    <mergeCell ref="B91:H91"/>
    <mergeCell ref="B56:H56"/>
    <mergeCell ref="B60:H60"/>
    <mergeCell ref="B63:H63"/>
    <mergeCell ref="B66:H66"/>
    <mergeCell ref="B69:H69"/>
    <mergeCell ref="B71:H71"/>
    <mergeCell ref="B136:H136"/>
    <mergeCell ref="B140:H140"/>
    <mergeCell ref="B143:H143"/>
    <mergeCell ref="B146:H146"/>
    <mergeCell ref="B149:H149"/>
    <mergeCell ref="B153:H153"/>
    <mergeCell ref="B104:H104"/>
    <mergeCell ref="B105:H105"/>
    <mergeCell ref="B123:H123"/>
    <mergeCell ref="B130:H130"/>
    <mergeCell ref="B131:H131"/>
    <mergeCell ref="B134:H134"/>
    <mergeCell ref="B177:H177"/>
    <mergeCell ref="B179:H179"/>
    <mergeCell ref="B182:H182"/>
    <mergeCell ref="B184:H184"/>
    <mergeCell ref="B197:H197"/>
    <mergeCell ref="B198:H198"/>
    <mergeCell ref="B156:H156"/>
    <mergeCell ref="B159:H159"/>
    <mergeCell ref="B162:H162"/>
    <mergeCell ref="B164:H164"/>
    <mergeCell ref="B173:H173"/>
    <mergeCell ref="B174:H174"/>
    <mergeCell ref="B236:H236"/>
    <mergeCell ref="B239:H239"/>
    <mergeCell ref="B242:H242"/>
    <mergeCell ref="B246:H246"/>
    <mergeCell ref="B249:H249"/>
    <mergeCell ref="B252:H252"/>
    <mergeCell ref="B216:H216"/>
    <mergeCell ref="B223:H223"/>
    <mergeCell ref="B224:H224"/>
    <mergeCell ref="B227:H227"/>
    <mergeCell ref="B229:H229"/>
    <mergeCell ref="B233:H233"/>
    <mergeCell ref="B275:H275"/>
    <mergeCell ref="B277:H277"/>
    <mergeCell ref="B290:H290"/>
    <mergeCell ref="B291:H291"/>
    <mergeCell ref="B309:H309"/>
    <mergeCell ref="B316:H316"/>
    <mergeCell ref="B255:H255"/>
    <mergeCell ref="B257:H257"/>
    <mergeCell ref="B266:H266"/>
    <mergeCell ref="B267:H267"/>
    <mergeCell ref="B270:H270"/>
    <mergeCell ref="B272:H272"/>
    <mergeCell ref="B335:H335"/>
    <mergeCell ref="B339:H339"/>
    <mergeCell ref="B342:H342"/>
    <mergeCell ref="B345:H345"/>
    <mergeCell ref="B348:H348"/>
    <mergeCell ref="B350:H350"/>
    <mergeCell ref="B317:H317"/>
    <mergeCell ref="B320:H320"/>
    <mergeCell ref="B322:H322"/>
    <mergeCell ref="B326:H326"/>
    <mergeCell ref="B329:H329"/>
    <mergeCell ref="B332:H332"/>
    <mergeCell ref="B383:H383"/>
    <mergeCell ref="B384:H384"/>
    <mergeCell ref="B402:H402"/>
    <mergeCell ref="B409:H409"/>
    <mergeCell ref="B410:H410"/>
    <mergeCell ref="B413:H413"/>
    <mergeCell ref="B359:H359"/>
    <mergeCell ref="B360:H360"/>
    <mergeCell ref="B363:H363"/>
    <mergeCell ref="B365:H365"/>
    <mergeCell ref="B368:H368"/>
    <mergeCell ref="B370:H370"/>
    <mergeCell ref="B435:H435"/>
    <mergeCell ref="B438:H438"/>
    <mergeCell ref="B441:H441"/>
    <mergeCell ref="B443:H443"/>
    <mergeCell ref="B452:H452"/>
    <mergeCell ref="B453:H453"/>
    <mergeCell ref="B415:H415"/>
    <mergeCell ref="B419:H419"/>
    <mergeCell ref="B422:H422"/>
    <mergeCell ref="B425:H425"/>
    <mergeCell ref="B428:H428"/>
    <mergeCell ref="B432:H432"/>
    <mergeCell ref="S476:S477"/>
    <mergeCell ref="T476:T477"/>
    <mergeCell ref="U476:U477"/>
    <mergeCell ref="A477:H477"/>
    <mergeCell ref="B456:H456"/>
    <mergeCell ref="B458:H458"/>
    <mergeCell ref="B461:H461"/>
    <mergeCell ref="B463:H463"/>
    <mergeCell ref="A476:H476"/>
    <mergeCell ref="I476:I477"/>
  </mergeCells>
  <pageMargins left="0.78740157480314965" right="0.39370078740157483" top="1.1811023622047243" bottom="0.78740157480314965" header="0.31496062992125984" footer="0.31496062992125984"/>
  <pageSetup paperSize="9" scale="70" fitToHeight="0"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10BCA0-6C4C-4061-8E4D-B77131DE6EE0}">
  <sheetPr>
    <pageSetUpPr fitToPage="1"/>
  </sheetPr>
  <dimension ref="A1:N891"/>
  <sheetViews>
    <sheetView showGridLines="0" zoomScale="70" zoomScaleNormal="70" workbookViewId="0">
      <selection activeCell="D26" sqref="D26"/>
    </sheetView>
  </sheetViews>
  <sheetFormatPr defaultRowHeight="14.4" x14ac:dyDescent="0.3"/>
  <cols>
    <col min="1" max="3" width="12" bestFit="1" customWidth="1"/>
    <col min="4" max="4" width="74.109375" bestFit="1" customWidth="1"/>
    <col min="5" max="5" width="9.21875" bestFit="1" customWidth="1"/>
    <col min="6" max="14" width="14.77734375" bestFit="1" customWidth="1"/>
  </cols>
  <sheetData>
    <row r="1" spans="1:14" x14ac:dyDescent="0.3">
      <c r="A1" s="33" t="str">
        <f>CIDADE</f>
        <v>MUNICÍPIO DE LAGOA DO PIAUI - PI</v>
      </c>
      <c r="B1" s="33"/>
      <c r="C1" s="33"/>
      <c r="D1" s="33"/>
      <c r="E1" s="33"/>
      <c r="F1" s="33"/>
      <c r="G1" s="33"/>
      <c r="H1" s="33"/>
      <c r="I1" s="33"/>
      <c r="J1" s="33"/>
      <c r="K1" s="33"/>
      <c r="L1" s="33"/>
      <c r="M1" s="33"/>
      <c r="N1" s="33"/>
    </row>
    <row r="2" spans="1:14" x14ac:dyDescent="0.3">
      <c r="A2" s="33" t="str">
        <f>OBRA</f>
        <v>IMPLANTAÇÃO DE 5 (CINCO) SISTEMAS SIMPLIFICADOS DE ABASTECIMENTO DE ÁGUA ZONA RURAL DO MUNICÍPIO DE LAGOA DO PIAUÍ-PI</v>
      </c>
      <c r="B2" s="33"/>
      <c r="C2" s="33"/>
      <c r="D2" s="33"/>
      <c r="E2" s="33"/>
      <c r="F2" s="33"/>
      <c r="G2" s="33"/>
      <c r="H2" s="33"/>
      <c r="I2" s="33"/>
      <c r="J2" s="33"/>
      <c r="K2" s="33"/>
      <c r="L2" s="33"/>
      <c r="M2" s="33"/>
      <c r="N2" s="33"/>
    </row>
    <row r="3" spans="1:14" x14ac:dyDescent="0.3">
      <c r="A3" s="33" t="s">
        <v>505</v>
      </c>
      <c r="B3" s="33"/>
      <c r="C3" s="33"/>
      <c r="D3" s="33"/>
      <c r="E3" s="33"/>
      <c r="F3" s="33"/>
      <c r="G3" s="33"/>
      <c r="H3" s="33"/>
      <c r="I3" s="33"/>
      <c r="J3" s="33"/>
      <c r="K3" s="33"/>
      <c r="L3" s="33"/>
      <c r="M3" s="33"/>
      <c r="N3" s="33"/>
    </row>
    <row r="5" spans="1:14" x14ac:dyDescent="0.3">
      <c r="A5" s="1" t="s">
        <v>3</v>
      </c>
      <c r="B5" s="7" t="str">
        <f>FONTE&amp;FOLHA</f>
        <v>SINAPI PI 06/2025, SEINFRA CE 28, ORSE SE 05/2025, SEM DESONERAÇÃO</v>
      </c>
      <c r="C5" s="1"/>
      <c r="D5" s="1"/>
      <c r="E5" s="1"/>
      <c r="F5" s="1"/>
      <c r="G5" s="1"/>
      <c r="H5" s="1"/>
      <c r="I5" s="1"/>
      <c r="J5" s="1"/>
      <c r="K5" s="1" t="s">
        <v>10</v>
      </c>
      <c r="L5" s="8">
        <f>LEI</f>
        <v>113.33</v>
      </c>
      <c r="M5" s="1" t="s">
        <v>19</v>
      </c>
      <c r="N5" s="8">
        <f>BDI</f>
        <v>24.84</v>
      </c>
    </row>
    <row r="6" spans="1:14" x14ac:dyDescent="0.3">
      <c r="A6" s="4" t="s">
        <v>20</v>
      </c>
      <c r="B6" s="4" t="s">
        <v>138</v>
      </c>
      <c r="C6" s="4" t="s">
        <v>139</v>
      </c>
      <c r="D6" s="4" t="s">
        <v>21</v>
      </c>
      <c r="E6" s="4" t="s">
        <v>140</v>
      </c>
      <c r="F6" s="4" t="s">
        <v>141</v>
      </c>
      <c r="G6" s="4" t="s">
        <v>506</v>
      </c>
      <c r="H6" s="4" t="s">
        <v>507</v>
      </c>
      <c r="I6" s="4" t="s">
        <v>508</v>
      </c>
      <c r="J6" s="4" t="s">
        <v>509</v>
      </c>
      <c r="K6" s="4" t="s">
        <v>510</v>
      </c>
      <c r="L6" s="4" t="s">
        <v>511</v>
      </c>
      <c r="M6" s="4" t="s">
        <v>512</v>
      </c>
      <c r="N6" s="4" t="s">
        <v>128</v>
      </c>
    </row>
    <row r="7" spans="1:14" x14ac:dyDescent="0.3">
      <c r="A7" s="9">
        <v>1</v>
      </c>
      <c r="B7" s="52" t="s">
        <v>513</v>
      </c>
      <c r="C7" s="53"/>
      <c r="D7" s="53"/>
      <c r="E7" s="53"/>
      <c r="F7" s="53"/>
      <c r="G7" s="53"/>
      <c r="H7" s="53"/>
      <c r="I7" s="53"/>
      <c r="J7" s="53"/>
      <c r="K7" s="53"/>
      <c r="L7" s="53"/>
      <c r="M7" s="53"/>
      <c r="N7" s="54"/>
    </row>
    <row r="8" spans="1:14" x14ac:dyDescent="0.3">
      <c r="A8" s="23" t="s">
        <v>144</v>
      </c>
      <c r="B8" s="23" t="s">
        <v>514</v>
      </c>
      <c r="C8" s="23" t="str">
        <f>VLOOKUP(B8,CPU!$B:$J,2,FALSE)</f>
        <v>PRÓPRIA</v>
      </c>
      <c r="D8" s="24" t="str">
        <f>VLOOKUP(B8,CPU!$B:$J,3,FALSE)</f>
        <v>ADMINISTRAÇÃO LOCAL DA OBRA</v>
      </c>
      <c r="E8" s="23" t="str">
        <f>VLOOKUP(B8,CPU!$B:$J,4,FALSE)</f>
        <v>MÊS</v>
      </c>
      <c r="F8" s="23"/>
      <c r="G8" s="23"/>
      <c r="H8" s="23"/>
      <c r="I8" s="23"/>
      <c r="J8" s="23"/>
      <c r="K8" s="23"/>
      <c r="L8" s="23"/>
      <c r="M8" s="23"/>
      <c r="N8" s="5">
        <f>SUM($M$9:$M$9)</f>
        <v>3</v>
      </c>
    </row>
    <row r="9" spans="1:14" x14ac:dyDescent="0.3">
      <c r="A9" s="23" t="s">
        <v>515</v>
      </c>
      <c r="B9" s="65" t="s">
        <v>516</v>
      </c>
      <c r="C9" s="66"/>
      <c r="D9" s="66"/>
      <c r="E9" s="67"/>
      <c r="F9" s="5">
        <v>3</v>
      </c>
      <c r="G9" s="26"/>
      <c r="H9" s="5"/>
      <c r="I9" s="5"/>
      <c r="J9" s="5"/>
      <c r="K9" s="5" t="str">
        <f>IF(COUNTA(H9:J9)=2,ROUND(PRODUCT(H9:J9),2),"")</f>
        <v/>
      </c>
      <c r="L9" s="5" t="str">
        <f>IF(OR(AND(COUNTA(H9:J9)=3,K9=""),AND(COUNTA(H9:J9)=1,K9&lt;&gt;"")),ROUND(PRODUCT(H9:K9),2),"")</f>
        <v/>
      </c>
      <c r="M9" s="5">
        <f>IF(L9&lt;&gt;"",ROUND(PRODUCT(F9,G9,L9),2),IF(K9&lt;&gt;"",ROUND(PRODUCT(F9,G9,K9),2),ROUND(PRODUCT(F9:J9),2)))</f>
        <v>3</v>
      </c>
      <c r="N9" s="5"/>
    </row>
    <row r="10" spans="1:14" x14ac:dyDescent="0.3">
      <c r="A10" s="23" t="s">
        <v>145</v>
      </c>
      <c r="B10" s="23" t="s">
        <v>517</v>
      </c>
      <c r="C10" s="23" t="str">
        <f>VLOOKUP(B10,CPU!$B:$J,2,FALSE)</f>
        <v>PRÓPRIA</v>
      </c>
      <c r="D10" s="24" t="str">
        <f>VLOOKUP(B10,CPU!$B:$J,3,FALSE)</f>
        <v>PLACAS PADRÃO DE OBRA</v>
      </c>
      <c r="E10" s="23" t="str">
        <f>VLOOKUP(B10,CPU!$B:$J,4,FALSE)</f>
        <v>M2</v>
      </c>
      <c r="F10" s="23"/>
      <c r="G10" s="23"/>
      <c r="H10" s="23"/>
      <c r="I10" s="23"/>
      <c r="J10" s="23"/>
      <c r="K10" s="23"/>
      <c r="L10" s="23"/>
      <c r="M10" s="23"/>
      <c r="N10" s="5">
        <f>SUM($M$11:$M$11)</f>
        <v>6.48</v>
      </c>
    </row>
    <row r="11" spans="1:14" x14ac:dyDescent="0.3">
      <c r="A11" s="23" t="s">
        <v>518</v>
      </c>
      <c r="B11" s="65" t="s">
        <v>516</v>
      </c>
      <c r="C11" s="66"/>
      <c r="D11" s="66"/>
      <c r="E11" s="67"/>
      <c r="F11" s="5"/>
      <c r="G11" s="26"/>
      <c r="H11" s="5">
        <v>3.6</v>
      </c>
      <c r="I11" s="5"/>
      <c r="J11" s="5">
        <v>1.8</v>
      </c>
      <c r="K11" s="5">
        <f>IF(COUNTA(H11:J11)=2,ROUND(PRODUCT(H11:J11),2),"")</f>
        <v>6.48</v>
      </c>
      <c r="L11" s="5" t="str">
        <f>IF(OR(AND(COUNTA(H11:J11)=3,K11=""),AND(COUNTA(H11:J11)=1,K11&lt;&gt;"")),ROUND(PRODUCT(H11:K11),2),"")</f>
        <v/>
      </c>
      <c r="M11" s="5">
        <f>IF(L11&lt;&gt;"",ROUND(PRODUCT(F11,G11,L11),2),IF(K11&lt;&gt;"",ROUND(PRODUCT(F11,G11,K11),2),ROUND(PRODUCT(F11:J11),2)))</f>
        <v>6.48</v>
      </c>
      <c r="N11" s="5"/>
    </row>
    <row r="12" spans="1:14" x14ac:dyDescent="0.3">
      <c r="A12" s="9">
        <v>2</v>
      </c>
      <c r="B12" s="52" t="s">
        <v>519</v>
      </c>
      <c r="C12" s="53"/>
      <c r="D12" s="53"/>
      <c r="E12" s="53"/>
      <c r="F12" s="53"/>
      <c r="G12" s="53"/>
      <c r="H12" s="53"/>
      <c r="I12" s="53"/>
      <c r="J12" s="53"/>
      <c r="K12" s="53"/>
      <c r="L12" s="53"/>
      <c r="M12" s="53"/>
      <c r="N12" s="54"/>
    </row>
    <row r="13" spans="1:14" x14ac:dyDescent="0.3">
      <c r="A13" s="12" t="s">
        <v>23</v>
      </c>
      <c r="B13" s="46" t="s">
        <v>520</v>
      </c>
      <c r="C13" s="47"/>
      <c r="D13" s="47"/>
      <c r="E13" s="47"/>
      <c r="F13" s="47"/>
      <c r="G13" s="47"/>
      <c r="H13" s="47"/>
      <c r="I13" s="47"/>
      <c r="J13" s="47"/>
      <c r="K13" s="47"/>
      <c r="L13" s="47"/>
      <c r="M13" s="47"/>
      <c r="N13" s="48"/>
    </row>
    <row r="14" spans="1:14" x14ac:dyDescent="0.3">
      <c r="A14" s="23" t="s">
        <v>146</v>
      </c>
      <c r="B14" s="23" t="s">
        <v>521</v>
      </c>
      <c r="C14" s="23" t="str">
        <f>VLOOKUP(B14,CPU!$B:$J,2,FALSE)</f>
        <v>PRÓPRIA</v>
      </c>
      <c r="D14" s="24" t="str">
        <f>VLOOKUP(B14,CPU!$B:$J,3,FALSE)</f>
        <v>LOCAÇÃO DO POÇO COM ESTUDO GEOLÓGICO/HIDROGEOLÓGICO/GEOFÍSICO</v>
      </c>
      <c r="E14" s="23" t="str">
        <f>VLOOKUP(B14,CPU!$B:$J,4,FALSE)</f>
        <v>UN</v>
      </c>
      <c r="F14" s="23"/>
      <c r="G14" s="23"/>
      <c r="H14" s="23"/>
      <c r="I14" s="23"/>
      <c r="J14" s="23"/>
      <c r="K14" s="23"/>
      <c r="L14" s="23"/>
      <c r="M14" s="23"/>
      <c r="N14" s="5">
        <f>SUM($M$15:$M$15)</f>
        <v>1</v>
      </c>
    </row>
    <row r="15" spans="1:14" x14ac:dyDescent="0.3">
      <c r="A15" s="23" t="s">
        <v>522</v>
      </c>
      <c r="B15" s="65" t="s">
        <v>516</v>
      </c>
      <c r="C15" s="66"/>
      <c r="D15" s="66"/>
      <c r="E15" s="67"/>
      <c r="F15" s="5">
        <v>1</v>
      </c>
      <c r="G15" s="26"/>
      <c r="H15" s="5"/>
      <c r="I15" s="5"/>
      <c r="J15" s="5"/>
      <c r="K15" s="5" t="str">
        <f>IF(COUNTA(H15:J15)=2,ROUND(PRODUCT(H15:J15),2),"")</f>
        <v/>
      </c>
      <c r="L15" s="5" t="str">
        <f>IF(OR(AND(COUNTA(H15:J15)=3,K15=""),AND(COUNTA(H15:J15)=1,K15&lt;&gt;"")),ROUND(PRODUCT(H15:K15),2),"")</f>
        <v/>
      </c>
      <c r="M15" s="5">
        <f>IF(L15&lt;&gt;"",ROUND(PRODUCT(F15,G15,L15),2),IF(K15&lt;&gt;"",ROUND(PRODUCT(F15,G15,K15),2),ROUND(PRODUCT(F15:J15),2)))</f>
        <v>1</v>
      </c>
      <c r="N15" s="5"/>
    </row>
    <row r="16" spans="1:14" x14ac:dyDescent="0.3">
      <c r="A16" s="23" t="s">
        <v>147</v>
      </c>
      <c r="B16" s="23" t="s">
        <v>523</v>
      </c>
      <c r="C16" s="23" t="str">
        <f>VLOOKUP(B16,CPU!$B:$J,2,FALSE)</f>
        <v>PRÓPRIA</v>
      </c>
      <c r="D16" s="24" t="str">
        <f>VLOOKUP(B16,CPU!$B:$J,3,FALSE)</f>
        <v>TRANSPORTE DE MÁQUINAS E EQUIPAMENTOS</v>
      </c>
      <c r="E16" s="23" t="str">
        <f>VLOOKUP(B16,CPU!$B:$J,4,FALSE)</f>
        <v>KM</v>
      </c>
      <c r="F16" s="23"/>
      <c r="G16" s="23"/>
      <c r="H16" s="23"/>
      <c r="I16" s="23"/>
      <c r="J16" s="23"/>
      <c r="K16" s="23"/>
      <c r="L16" s="23"/>
      <c r="M16" s="23"/>
      <c r="N16" s="5">
        <f>SUM($M$17:$M$17)</f>
        <v>43.5</v>
      </c>
    </row>
    <row r="17" spans="1:14" x14ac:dyDescent="0.3">
      <c r="A17" s="23" t="s">
        <v>524</v>
      </c>
      <c r="B17" s="65" t="s">
        <v>525</v>
      </c>
      <c r="C17" s="66"/>
      <c r="D17" s="66"/>
      <c r="E17" s="67"/>
      <c r="F17" s="5">
        <v>43.5</v>
      </c>
      <c r="G17" s="26"/>
      <c r="H17" s="5"/>
      <c r="I17" s="5"/>
      <c r="J17" s="5"/>
      <c r="K17" s="5" t="str">
        <f>IF(COUNTA(H17:J17)=2,ROUND(PRODUCT(H17:J17),2),"")</f>
        <v/>
      </c>
      <c r="L17" s="5" t="str">
        <f>IF(OR(AND(COUNTA(H17:J17)=3,K17=""),AND(COUNTA(H17:J17)=1,K17&lt;&gt;"")),ROUND(PRODUCT(H17:K17),2),"")</f>
        <v/>
      </c>
      <c r="M17" s="5">
        <f>IF(L17&lt;&gt;"",ROUND(PRODUCT(F17,G17,L17),2),IF(K17&lt;&gt;"",ROUND(PRODUCT(F17,G17,K17),2),ROUND(PRODUCT(F17:J17),2)))</f>
        <v>43.5</v>
      </c>
      <c r="N17" s="5"/>
    </row>
    <row r="18" spans="1:14" x14ac:dyDescent="0.3">
      <c r="A18" s="23" t="s">
        <v>148</v>
      </c>
      <c r="B18" s="23" t="s">
        <v>523</v>
      </c>
      <c r="C18" s="23" t="str">
        <f>VLOOKUP(B18,CPU!$B:$J,2,FALSE)</f>
        <v>PRÓPRIA</v>
      </c>
      <c r="D18" s="24" t="str">
        <f>VLOOKUP(B18,CPU!$B:$J,3,FALSE)</f>
        <v>TRANSPORTE DE MÁQUINAS E EQUIPAMENTOS</v>
      </c>
      <c r="E18" s="23" t="str">
        <f>VLOOKUP(B18,CPU!$B:$J,4,FALSE)</f>
        <v>KM</v>
      </c>
      <c r="F18" s="23"/>
      <c r="G18" s="23"/>
      <c r="H18" s="23"/>
      <c r="I18" s="23"/>
      <c r="J18" s="23"/>
      <c r="K18" s="23"/>
      <c r="L18" s="23"/>
      <c r="M18" s="23"/>
      <c r="N18" s="5">
        <f>SUM($M$19:$M$19)</f>
        <v>43.5</v>
      </c>
    </row>
    <row r="19" spans="1:14" x14ac:dyDescent="0.3">
      <c r="A19" s="23" t="s">
        <v>526</v>
      </c>
      <c r="B19" s="65" t="s">
        <v>527</v>
      </c>
      <c r="C19" s="66"/>
      <c r="D19" s="66"/>
      <c r="E19" s="67"/>
      <c r="F19" s="5">
        <v>43.5</v>
      </c>
      <c r="G19" s="26"/>
      <c r="H19" s="5"/>
      <c r="I19" s="5"/>
      <c r="J19" s="5"/>
      <c r="K19" s="5" t="str">
        <f>IF(COUNTA(H19:J19)=2,ROUND(PRODUCT(H19:J19),2),"")</f>
        <v/>
      </c>
      <c r="L19" s="5" t="str">
        <f>IF(OR(AND(COUNTA(H19:J19)=3,K19=""),AND(COUNTA(H19:J19)=1,K19&lt;&gt;"")),ROUND(PRODUCT(H19:K19),2),"")</f>
        <v/>
      </c>
      <c r="M19" s="5">
        <f>IF(L19&lt;&gt;"",ROUND(PRODUCT(F19,G19,L19),2),IF(K19&lt;&gt;"",ROUND(PRODUCT(F19,G19,K19),2),ROUND(PRODUCT(F19:J19),2)))</f>
        <v>43.5</v>
      </c>
      <c r="N19" s="5"/>
    </row>
    <row r="20" spans="1:14" x14ac:dyDescent="0.3">
      <c r="A20" s="23" t="s">
        <v>149</v>
      </c>
      <c r="B20" s="23" t="s">
        <v>528</v>
      </c>
      <c r="C20" s="23" t="str">
        <f>VLOOKUP(B20,CPU!$B:$J,2,FALSE)</f>
        <v>PRÓPRIA</v>
      </c>
      <c r="D20" s="24" t="str">
        <f>VLOOKUP(B20,CPU!$B:$J,3,FALSE)</f>
        <v>PERFILAGEM ÓTICA</v>
      </c>
      <c r="E20" s="23" t="str">
        <f>VLOOKUP(B20,CPU!$B:$J,4,FALSE)</f>
        <v>UN</v>
      </c>
      <c r="F20" s="23"/>
      <c r="G20" s="23"/>
      <c r="H20" s="23"/>
      <c r="I20" s="23"/>
      <c r="J20" s="23"/>
      <c r="K20" s="23"/>
      <c r="L20" s="23"/>
      <c r="M20" s="23"/>
      <c r="N20" s="5">
        <f>SUM($M$21:$M$21)</f>
        <v>1</v>
      </c>
    </row>
    <row r="21" spans="1:14" x14ac:dyDescent="0.3">
      <c r="A21" s="23" t="s">
        <v>529</v>
      </c>
      <c r="B21" s="65" t="s">
        <v>516</v>
      </c>
      <c r="C21" s="66"/>
      <c r="D21" s="66"/>
      <c r="E21" s="67"/>
      <c r="F21" s="5">
        <v>1</v>
      </c>
      <c r="G21" s="26"/>
      <c r="H21" s="5"/>
      <c r="I21" s="5"/>
      <c r="J21" s="5"/>
      <c r="K21" s="5" t="str">
        <f>IF(COUNTA(H21:J21)=2,ROUND(PRODUCT(H21:J21),2),"")</f>
        <v/>
      </c>
      <c r="L21" s="5" t="str">
        <f>IF(OR(AND(COUNTA(H21:J21)=3,K21=""),AND(COUNTA(H21:J21)=1,K21&lt;&gt;"")),ROUND(PRODUCT(H21:K21),2),"")</f>
        <v/>
      </c>
      <c r="M21" s="5">
        <f>IF(L21&lt;&gt;"",ROUND(PRODUCT(F21,G21,L21),2),IF(K21&lt;&gt;"",ROUND(PRODUCT(F21,G21,K21),2),ROUND(PRODUCT(F21:J21),2)))</f>
        <v>1</v>
      </c>
      <c r="N21" s="5"/>
    </row>
    <row r="22" spans="1:14" x14ac:dyDescent="0.3">
      <c r="A22" s="23" t="s">
        <v>150</v>
      </c>
      <c r="B22" s="23" t="s">
        <v>530</v>
      </c>
      <c r="C22" s="23" t="str">
        <f>VLOOKUP(B22,CPU!$B:$J,2,FALSE)</f>
        <v>PRÓPRIA</v>
      </c>
      <c r="D22" s="24" t="str">
        <f>VLOOKUP(B22,CPU!$B:$J,3,FALSE)</f>
        <v>PERFURAÇÃO EM 10'' (SEDIMENTO)</v>
      </c>
      <c r="E22" s="23" t="str">
        <f>VLOOKUP(B22,CPU!$B:$J,4,FALSE)</f>
        <v>M</v>
      </c>
      <c r="F22" s="23"/>
      <c r="G22" s="23"/>
      <c r="H22" s="23"/>
      <c r="I22" s="23"/>
      <c r="J22" s="23"/>
      <c r="K22" s="23"/>
      <c r="L22" s="23"/>
      <c r="M22" s="23"/>
      <c r="N22" s="5">
        <f>SUM($M$23:$M$23)</f>
        <v>35</v>
      </c>
    </row>
    <row r="23" spans="1:14" x14ac:dyDescent="0.3">
      <c r="A23" s="23" t="s">
        <v>531</v>
      </c>
      <c r="B23" s="65" t="s">
        <v>532</v>
      </c>
      <c r="C23" s="66"/>
      <c r="D23" s="66"/>
      <c r="E23" s="67"/>
      <c r="F23" s="5">
        <v>35</v>
      </c>
      <c r="G23" s="26"/>
      <c r="H23" s="5"/>
      <c r="I23" s="5"/>
      <c r="J23" s="5"/>
      <c r="K23" s="5" t="str">
        <f>IF(COUNTA(H23:J23)=2,ROUND(PRODUCT(H23:J23),2),"")</f>
        <v/>
      </c>
      <c r="L23" s="5" t="str">
        <f>IF(OR(AND(COUNTA(H23:J23)=3,K23=""),AND(COUNTA(H23:J23)=1,K23&lt;&gt;"")),ROUND(PRODUCT(H23:K23),2),"")</f>
        <v/>
      </c>
      <c r="M23" s="5">
        <f>IF(L23&lt;&gt;"",ROUND(PRODUCT(F23,G23,L23),2),IF(K23&lt;&gt;"",ROUND(PRODUCT(F23,G23,K23),2),ROUND(PRODUCT(F23:J23),2)))</f>
        <v>35</v>
      </c>
      <c r="N23" s="5"/>
    </row>
    <row r="24" spans="1:14" x14ac:dyDescent="0.3">
      <c r="A24" s="23" t="s">
        <v>151</v>
      </c>
      <c r="B24" s="23" t="s">
        <v>533</v>
      </c>
      <c r="C24" s="23" t="str">
        <f>VLOOKUP(B24,CPU!$B:$J,2,FALSE)</f>
        <v>PRÓPRIA</v>
      </c>
      <c r="D24" s="24" t="str">
        <f>VLOOKUP(B24,CPU!$B:$J,3,FALSE)</f>
        <v>PERFURAÇÃO EM 8'' (ROCHA CRISTALINA)</v>
      </c>
      <c r="E24" s="23" t="str">
        <f>VLOOKUP(B24,CPU!$B:$J,4,FALSE)</f>
        <v>M</v>
      </c>
      <c r="F24" s="23"/>
      <c r="G24" s="23"/>
      <c r="H24" s="23"/>
      <c r="I24" s="23"/>
      <c r="J24" s="23"/>
      <c r="K24" s="23"/>
      <c r="L24" s="23"/>
      <c r="M24" s="23"/>
      <c r="N24" s="5">
        <f>SUM($M$25:$M$25)</f>
        <v>0</v>
      </c>
    </row>
    <row r="25" spans="1:14" x14ac:dyDescent="0.3">
      <c r="A25" s="23" t="s">
        <v>534</v>
      </c>
      <c r="B25" s="65" t="s">
        <v>532</v>
      </c>
      <c r="C25" s="66"/>
      <c r="D25" s="66"/>
      <c r="E25" s="67"/>
      <c r="F25" s="5">
        <v>0</v>
      </c>
      <c r="G25" s="26"/>
      <c r="H25" s="5"/>
      <c r="I25" s="5"/>
      <c r="J25" s="5"/>
      <c r="K25" s="5" t="str">
        <f>IF(COUNTA(H25:J25)=2,ROUND(PRODUCT(H25:J25),2),"")</f>
        <v/>
      </c>
      <c r="L25" s="5" t="str">
        <f>IF(OR(AND(COUNTA(H25:J25)=3,K25=""),AND(COUNTA(H25:J25)=1,K25&lt;&gt;"")),ROUND(PRODUCT(H25:K25),2),"")</f>
        <v/>
      </c>
      <c r="M25" s="5">
        <f>IF(L25&lt;&gt;"",ROUND(PRODUCT(F25,G25,L25),2),IF(K25&lt;&gt;"",ROUND(PRODUCT(F25,G25,K25),2),ROUND(PRODUCT(F25:J25),2)))</f>
        <v>0</v>
      </c>
      <c r="N25" s="5"/>
    </row>
    <row r="26" spans="1:14" x14ac:dyDescent="0.3">
      <c r="A26" s="23" t="s">
        <v>152</v>
      </c>
      <c r="B26" s="23" t="s">
        <v>535</v>
      </c>
      <c r="C26" s="23" t="str">
        <f>VLOOKUP(B26,CPU!$B:$J,2,FALSE)</f>
        <v>PRÓPRIA</v>
      </c>
      <c r="D26" s="24" t="str">
        <f>VLOOKUP(B26,CPU!$B:$J,3,FALSE)</f>
        <v>PERFURAÇÃO EM 6'' (SEDIMENTO)</v>
      </c>
      <c r="E26" s="23" t="str">
        <f>VLOOKUP(B26,CPU!$B:$J,4,FALSE)</f>
        <v>M</v>
      </c>
      <c r="F26" s="23"/>
      <c r="G26" s="23"/>
      <c r="H26" s="23"/>
      <c r="I26" s="23"/>
      <c r="J26" s="23"/>
      <c r="K26" s="23"/>
      <c r="L26" s="23"/>
      <c r="M26" s="23"/>
      <c r="N26" s="5">
        <f>SUM($M$27:$M$27)</f>
        <v>95</v>
      </c>
    </row>
    <row r="27" spans="1:14" x14ac:dyDescent="0.3">
      <c r="A27" s="23" t="s">
        <v>536</v>
      </c>
      <c r="B27" s="65" t="s">
        <v>532</v>
      </c>
      <c r="C27" s="66"/>
      <c r="D27" s="66"/>
      <c r="E27" s="67"/>
      <c r="F27" s="5">
        <v>95</v>
      </c>
      <c r="G27" s="26"/>
      <c r="H27" s="5"/>
      <c r="I27" s="5"/>
      <c r="J27" s="5"/>
      <c r="K27" s="5" t="str">
        <f>IF(COUNTA(H27:J27)=2,ROUND(PRODUCT(H27:J27),2),"")</f>
        <v/>
      </c>
      <c r="L27" s="5" t="str">
        <f>IF(OR(AND(COUNTA(H27:J27)=3,K27=""),AND(COUNTA(H27:J27)=1,K27&lt;&gt;"")),ROUND(PRODUCT(H27:K27),2),"")</f>
        <v/>
      </c>
      <c r="M27" s="5">
        <f>IF(L27&lt;&gt;"",ROUND(PRODUCT(F27,G27,L27),2),IF(K27&lt;&gt;"",ROUND(PRODUCT(F27,G27,K27),2),ROUND(PRODUCT(F27:J27),2)))</f>
        <v>95</v>
      </c>
      <c r="N27" s="5"/>
    </row>
    <row r="28" spans="1:14" x14ac:dyDescent="0.3">
      <c r="A28" s="23" t="s">
        <v>153</v>
      </c>
      <c r="B28" s="23" t="s">
        <v>537</v>
      </c>
      <c r="C28" s="23" t="str">
        <f>VLOOKUP(B28,CPU!$B:$J,2,FALSE)</f>
        <v>PRÓPRIA</v>
      </c>
      <c r="D28" s="24" t="str">
        <f>VLOOKUP(B28,CPU!$B:$J,3,FALSE)</f>
        <v>PERFURAÇÃO EM 6'' (ROCHA CRISTALINA)</v>
      </c>
      <c r="E28" s="23" t="str">
        <f>VLOOKUP(B28,CPU!$B:$J,4,FALSE)</f>
        <v>M</v>
      </c>
      <c r="F28" s="23"/>
      <c r="G28" s="23"/>
      <c r="H28" s="23"/>
      <c r="I28" s="23"/>
      <c r="J28" s="23"/>
      <c r="K28" s="23"/>
      <c r="L28" s="23"/>
      <c r="M28" s="23"/>
      <c r="N28" s="5">
        <f>SUM($M$29:$M$29)</f>
        <v>0</v>
      </c>
    </row>
    <row r="29" spans="1:14" x14ac:dyDescent="0.3">
      <c r="A29" s="23" t="s">
        <v>538</v>
      </c>
      <c r="B29" s="65" t="s">
        <v>532</v>
      </c>
      <c r="C29" s="66"/>
      <c r="D29" s="66"/>
      <c r="E29" s="67"/>
      <c r="F29" s="5">
        <v>0</v>
      </c>
      <c r="G29" s="26"/>
      <c r="H29" s="5"/>
      <c r="I29" s="5"/>
      <c r="J29" s="5"/>
      <c r="K29" s="5" t="str">
        <f>IF(COUNTA(H29:J29)=2,ROUND(PRODUCT(H29:J29),2),"")</f>
        <v/>
      </c>
      <c r="L29" s="5" t="str">
        <f>IF(OR(AND(COUNTA(H29:J29)=3,K29=""),AND(COUNTA(H29:J29)=1,K29&lt;&gt;"")),ROUND(PRODUCT(H29:K29),2),"")</f>
        <v/>
      </c>
      <c r="M29" s="5">
        <f>IF(L29&lt;&gt;"",ROUND(PRODUCT(F29,G29,L29),2),IF(K29&lt;&gt;"",ROUND(PRODUCT(F29,G29,K29),2),ROUND(PRODUCT(F29:J29),2)))</f>
        <v>0</v>
      </c>
      <c r="N29" s="5"/>
    </row>
    <row r="30" spans="1:14" x14ac:dyDescent="0.3">
      <c r="A30" s="23" t="s">
        <v>154</v>
      </c>
      <c r="B30" s="23" t="s">
        <v>539</v>
      </c>
      <c r="C30" s="23" t="str">
        <f>VLOOKUP(B30,CPU!$B:$J,2,FALSE)</f>
        <v>PRÓPRIA</v>
      </c>
      <c r="D30" s="24" t="str">
        <f>VLOOKUP(B30,CPU!$B:$J,3,FALSE)</f>
        <v>CIMENTAÇÃO SANITÁRIA</v>
      </c>
      <c r="E30" s="23" t="str">
        <f>VLOOKUP(B30,CPU!$B:$J,4,FALSE)</f>
        <v>M³</v>
      </c>
      <c r="F30" s="23"/>
      <c r="G30" s="23"/>
      <c r="H30" s="23"/>
      <c r="I30" s="23"/>
      <c r="J30" s="23"/>
      <c r="K30" s="23"/>
      <c r="L30" s="23"/>
      <c r="M30" s="23"/>
      <c r="N30" s="5">
        <f>SUM($M$31:$M$31)</f>
        <v>4.55</v>
      </c>
    </row>
    <row r="31" spans="1:14" x14ac:dyDescent="0.3">
      <c r="A31" s="23" t="s">
        <v>540</v>
      </c>
      <c r="B31" s="65" t="s">
        <v>516</v>
      </c>
      <c r="C31" s="66"/>
      <c r="D31" s="66"/>
      <c r="E31" s="67"/>
      <c r="F31" s="5"/>
      <c r="G31" s="26"/>
      <c r="H31" s="5"/>
      <c r="I31" s="5"/>
      <c r="J31" s="5">
        <v>35</v>
      </c>
      <c r="K31" s="5">
        <v>0.13</v>
      </c>
      <c r="L31" s="5">
        <f>IF(OR(AND(COUNTA(H31:J31)=3,K31=""),AND(COUNTA(H31:J31)=1,K31&lt;&gt;"")),ROUND(PRODUCT(H31:K31),2),"")</f>
        <v>4.55</v>
      </c>
      <c r="M31" s="5">
        <f>IF(L31&lt;&gt;"",ROUND(PRODUCT(F31,G31,L31),2),IF(K31&lt;&gt;"",ROUND(PRODUCT(F31,G31,K31),2),ROUND(PRODUCT(F31:J31),2)))</f>
        <v>4.55</v>
      </c>
      <c r="N31" s="5"/>
    </row>
    <row r="32" spans="1:14" x14ac:dyDescent="0.3">
      <c r="A32" s="23" t="s">
        <v>155</v>
      </c>
      <c r="B32" s="23" t="s">
        <v>541</v>
      </c>
      <c r="C32" s="23" t="str">
        <f>VLOOKUP(B32,CPU!$B:$J,2,FALSE)</f>
        <v>PRÓPRIA</v>
      </c>
      <c r="D32" s="24" t="str">
        <f>VLOOKUP(B32,CPU!$B:$J,3,FALSE)</f>
        <v>LAJE DE PROTEÇÃO EM CONCRETO (1,0 M X 1,0 M X 0,15 M)</v>
      </c>
      <c r="E32" s="23" t="str">
        <f>VLOOKUP(B32,CPU!$B:$J,4,FALSE)</f>
        <v>M³</v>
      </c>
      <c r="F32" s="23"/>
      <c r="G32" s="23"/>
      <c r="H32" s="23"/>
      <c r="I32" s="23"/>
      <c r="J32" s="23"/>
      <c r="K32" s="23"/>
      <c r="L32" s="23"/>
      <c r="M32" s="23"/>
      <c r="N32" s="5">
        <f>SUM($M$33:$M$33)</f>
        <v>0.15</v>
      </c>
    </row>
    <row r="33" spans="1:14" x14ac:dyDescent="0.3">
      <c r="A33" s="23" t="s">
        <v>542</v>
      </c>
      <c r="B33" s="65" t="s">
        <v>516</v>
      </c>
      <c r="C33" s="66"/>
      <c r="D33" s="66"/>
      <c r="E33" s="67"/>
      <c r="F33" s="5"/>
      <c r="G33" s="26"/>
      <c r="H33" s="5">
        <v>1</v>
      </c>
      <c r="I33" s="5">
        <v>1</v>
      </c>
      <c r="J33" s="5">
        <v>0.15</v>
      </c>
      <c r="K33" s="5" t="str">
        <f>IF(COUNTA(H33:J33)=2,ROUND(PRODUCT(H33:J33),2),"")</f>
        <v/>
      </c>
      <c r="L33" s="5">
        <f>IF(OR(AND(COUNTA(H33:J33)=3,K33=""),AND(COUNTA(H33:J33)=1,K33&lt;&gt;"")),ROUND(PRODUCT(H33:K33),2),"")</f>
        <v>0.15</v>
      </c>
      <c r="M33" s="5">
        <f>IF(L33&lt;&gt;"",ROUND(PRODUCT(F33,G33,L33),2),IF(K33&lt;&gt;"",ROUND(PRODUCT(F33,G33,K33),2),ROUND(PRODUCT(F33:J33),2)))</f>
        <v>0.15</v>
      </c>
      <c r="N33" s="5"/>
    </row>
    <row r="34" spans="1:14" x14ac:dyDescent="0.3">
      <c r="A34" s="23" t="s">
        <v>156</v>
      </c>
      <c r="B34" s="23" t="s">
        <v>543</v>
      </c>
      <c r="C34" s="23" t="str">
        <f>VLOOKUP(B34,CPU!$B:$J,2,FALSE)</f>
        <v>PRÓPRIA</v>
      </c>
      <c r="D34" s="24" t="str">
        <f>VLOOKUP(B34,CPU!$B:$J,3,FALSE)</f>
        <v>DESENVOLVIMENTO COM BOMBA SUBMERSA</v>
      </c>
      <c r="E34" s="23" t="str">
        <f>VLOOKUP(B34,CPU!$B:$J,4,FALSE)</f>
        <v>H</v>
      </c>
      <c r="F34" s="23"/>
      <c r="G34" s="23"/>
      <c r="H34" s="23"/>
      <c r="I34" s="23"/>
      <c r="J34" s="23"/>
      <c r="K34" s="23"/>
      <c r="L34" s="23"/>
      <c r="M34" s="23"/>
      <c r="N34" s="5">
        <f>SUM($M$35:$M$35)</f>
        <v>6</v>
      </c>
    </row>
    <row r="35" spans="1:14" x14ac:dyDescent="0.3">
      <c r="A35" s="23" t="s">
        <v>544</v>
      </c>
      <c r="B35" s="65" t="s">
        <v>516</v>
      </c>
      <c r="C35" s="66"/>
      <c r="D35" s="66"/>
      <c r="E35" s="67"/>
      <c r="F35" s="5">
        <v>6</v>
      </c>
      <c r="G35" s="26"/>
      <c r="H35" s="5"/>
      <c r="I35" s="5"/>
      <c r="J35" s="5"/>
      <c r="K35" s="5" t="str">
        <f>IF(COUNTA(H35:J35)=2,ROUND(PRODUCT(H35:J35),2),"")</f>
        <v/>
      </c>
      <c r="L35" s="5" t="str">
        <f>IF(OR(AND(COUNTA(H35:J35)=3,K35=""),AND(COUNTA(H35:J35)=1,K35&lt;&gt;"")),ROUND(PRODUCT(H35:K35),2),"")</f>
        <v/>
      </c>
      <c r="M35" s="5">
        <f>IF(L35&lt;&gt;"",ROUND(PRODUCT(F35,G35,L35),2),IF(K35&lt;&gt;"",ROUND(PRODUCT(F35,G35,K35),2),ROUND(PRODUCT(F35:J35),2)))</f>
        <v>6</v>
      </c>
      <c r="N35" s="5"/>
    </row>
    <row r="36" spans="1:14" x14ac:dyDescent="0.3">
      <c r="A36" s="23" t="s">
        <v>157</v>
      </c>
      <c r="B36" s="23" t="s">
        <v>545</v>
      </c>
      <c r="C36" s="23" t="str">
        <f>VLOOKUP(B36,CPU!$B:$J,2,FALSE)</f>
        <v>PRÓPRIA</v>
      </c>
      <c r="D36" s="24" t="str">
        <f>VLOOKUP(B36,CPU!$B:$J,3,FALSE)</f>
        <v>TESTE VAZÃO COM BOMBA SUBMERSA</v>
      </c>
      <c r="E36" s="23" t="str">
        <f>VLOOKUP(B36,CPU!$B:$J,4,FALSE)</f>
        <v>H</v>
      </c>
      <c r="F36" s="23"/>
      <c r="G36" s="23"/>
      <c r="H36" s="23"/>
      <c r="I36" s="23"/>
      <c r="J36" s="23"/>
      <c r="K36" s="23"/>
      <c r="L36" s="23"/>
      <c r="M36" s="23"/>
      <c r="N36" s="5">
        <f>SUM($M$37:$M$37)</f>
        <v>24</v>
      </c>
    </row>
    <row r="37" spans="1:14" x14ac:dyDescent="0.3">
      <c r="A37" s="23" t="s">
        <v>546</v>
      </c>
      <c r="B37" s="65" t="s">
        <v>516</v>
      </c>
      <c r="C37" s="66"/>
      <c r="D37" s="66"/>
      <c r="E37" s="67"/>
      <c r="F37" s="5">
        <v>24</v>
      </c>
      <c r="G37" s="26"/>
      <c r="H37" s="5"/>
      <c r="I37" s="5"/>
      <c r="J37" s="5"/>
      <c r="K37" s="5" t="str">
        <f>IF(COUNTA(H37:J37)=2,ROUND(PRODUCT(H37:J37),2),"")</f>
        <v/>
      </c>
      <c r="L37" s="5" t="str">
        <f>IF(OR(AND(COUNTA(H37:J37)=3,K37=""),AND(COUNTA(H37:J37)=1,K37&lt;&gt;"")),ROUND(PRODUCT(H37:K37),2),"")</f>
        <v/>
      </c>
      <c r="M37" s="5">
        <f>IF(L37&lt;&gt;"",ROUND(PRODUCT(F37,G37,L37),2),IF(K37&lt;&gt;"",ROUND(PRODUCT(F37,G37,K37),2),ROUND(PRODUCT(F37:J37),2)))</f>
        <v>24</v>
      </c>
      <c r="N37" s="5"/>
    </row>
    <row r="38" spans="1:14" x14ac:dyDescent="0.3">
      <c r="A38" s="23" t="s">
        <v>158</v>
      </c>
      <c r="B38" s="23" t="s">
        <v>547</v>
      </c>
      <c r="C38" s="23" t="str">
        <f>VLOOKUP(B38,CPU!$B:$J,2,FALSE)</f>
        <v>PRÓPRIA</v>
      </c>
      <c r="D38" s="24" t="str">
        <f>VLOOKUP(B38,CPU!$B:$J,3,FALSE)</f>
        <v>DESINFECÇÃO</v>
      </c>
      <c r="E38" s="23" t="str">
        <f>VLOOKUP(B38,CPU!$B:$J,4,FALSE)</f>
        <v>H</v>
      </c>
      <c r="F38" s="23"/>
      <c r="G38" s="23"/>
      <c r="H38" s="23"/>
      <c r="I38" s="23"/>
      <c r="J38" s="23"/>
      <c r="K38" s="23"/>
      <c r="L38" s="23"/>
      <c r="M38" s="23"/>
      <c r="N38" s="5">
        <f>SUM($M$39:$M$39)</f>
        <v>6</v>
      </c>
    </row>
    <row r="39" spans="1:14" x14ac:dyDescent="0.3">
      <c r="A39" s="23" t="s">
        <v>548</v>
      </c>
      <c r="B39" s="65" t="s">
        <v>516</v>
      </c>
      <c r="C39" s="66"/>
      <c r="D39" s="66"/>
      <c r="E39" s="67"/>
      <c r="F39" s="5">
        <v>6</v>
      </c>
      <c r="G39" s="26"/>
      <c r="H39" s="5"/>
      <c r="I39" s="5"/>
      <c r="J39" s="5"/>
      <c r="K39" s="5" t="str">
        <f>IF(COUNTA(H39:J39)=2,ROUND(PRODUCT(H39:J39),2),"")</f>
        <v/>
      </c>
      <c r="L39" s="5" t="str">
        <f>IF(OR(AND(COUNTA(H39:J39)=3,K39=""),AND(COUNTA(H39:J39)=1,K39&lt;&gt;"")),ROUND(PRODUCT(H39:K39),2),"")</f>
        <v/>
      </c>
      <c r="M39" s="5">
        <f>IF(L39&lt;&gt;"",ROUND(PRODUCT(F39,G39,L39),2),IF(K39&lt;&gt;"",ROUND(PRODUCT(F39,G39,K39),2),ROUND(PRODUCT(F39:J39),2)))</f>
        <v>6</v>
      </c>
      <c r="N39" s="5"/>
    </row>
    <row r="40" spans="1:14" x14ac:dyDescent="0.3">
      <c r="A40" s="23" t="s">
        <v>159</v>
      </c>
      <c r="B40" s="23" t="s">
        <v>549</v>
      </c>
      <c r="C40" s="23" t="str">
        <f>VLOOKUP(B40,CPU!$B:$J,2,FALSE)</f>
        <v>PRÓPRIA</v>
      </c>
      <c r="D40" s="24" t="str">
        <f>VLOOKUP(B40,CPU!$B:$J,3,FALSE)</f>
        <v>RELATÓRIO TÉCNICO</v>
      </c>
      <c r="E40" s="23" t="str">
        <f>VLOOKUP(B40,CPU!$B:$J,4,FALSE)</f>
        <v>UN</v>
      </c>
      <c r="F40" s="23"/>
      <c r="G40" s="23"/>
      <c r="H40" s="23"/>
      <c r="I40" s="23"/>
      <c r="J40" s="23"/>
      <c r="K40" s="23"/>
      <c r="L40" s="23"/>
      <c r="M40" s="23"/>
      <c r="N40" s="5">
        <f>SUM($M$41:$M$41)</f>
        <v>1</v>
      </c>
    </row>
    <row r="41" spans="1:14" x14ac:dyDescent="0.3">
      <c r="A41" s="23" t="s">
        <v>550</v>
      </c>
      <c r="B41" s="65" t="s">
        <v>516</v>
      </c>
      <c r="C41" s="66"/>
      <c r="D41" s="66"/>
      <c r="E41" s="67"/>
      <c r="F41" s="5">
        <v>1</v>
      </c>
      <c r="G41" s="26"/>
      <c r="H41" s="5"/>
      <c r="I41" s="5"/>
      <c r="J41" s="5"/>
      <c r="K41" s="5" t="str">
        <f>IF(COUNTA(H41:J41)=2,ROUND(PRODUCT(H41:J41),2),"")</f>
        <v/>
      </c>
      <c r="L41" s="5" t="str">
        <f>IF(OR(AND(COUNTA(H41:J41)=3,K41=""),AND(COUNTA(H41:J41)=1,K41&lt;&gt;"")),ROUND(PRODUCT(H41:K41),2),"")</f>
        <v/>
      </c>
      <c r="M41" s="5">
        <f>IF(L41&lt;&gt;"",ROUND(PRODUCT(F41,G41,L41),2),IF(K41&lt;&gt;"",ROUND(PRODUCT(F41,G41,K41),2),ROUND(PRODUCT(F41:J41),2)))</f>
        <v>1</v>
      </c>
      <c r="N41" s="5"/>
    </row>
    <row r="42" spans="1:14" x14ac:dyDescent="0.3">
      <c r="A42" s="23" t="s">
        <v>160</v>
      </c>
      <c r="B42" s="23" t="s">
        <v>551</v>
      </c>
      <c r="C42" s="23" t="str">
        <f>VLOOKUP(B42,CPU!$B:$J,2,FALSE)</f>
        <v>PRÓPRIA</v>
      </c>
      <c r="D42" s="24" t="str">
        <f>VLOOKUP(B42,CPU!$B:$J,3,FALSE)</f>
        <v>ANÁLISE FÍSICO-QUÍMICA DA ÁGUA</v>
      </c>
      <c r="E42" s="23" t="str">
        <f>VLOOKUP(B42,CPU!$B:$J,4,FALSE)</f>
        <v>UN</v>
      </c>
      <c r="F42" s="23"/>
      <c r="G42" s="23"/>
      <c r="H42" s="23"/>
      <c r="I42" s="23"/>
      <c r="J42" s="23"/>
      <c r="K42" s="23"/>
      <c r="L42" s="23"/>
      <c r="M42" s="23"/>
      <c r="N42" s="5">
        <f>SUM($M$43:$M$43)</f>
        <v>1</v>
      </c>
    </row>
    <row r="43" spans="1:14" x14ac:dyDescent="0.3">
      <c r="A43" s="23" t="s">
        <v>552</v>
      </c>
      <c r="B43" s="65" t="s">
        <v>516</v>
      </c>
      <c r="C43" s="66"/>
      <c r="D43" s="66"/>
      <c r="E43" s="67"/>
      <c r="F43" s="5">
        <v>1</v>
      </c>
      <c r="G43" s="26"/>
      <c r="H43" s="5"/>
      <c r="I43" s="5"/>
      <c r="J43" s="5"/>
      <c r="K43" s="5" t="str">
        <f>IF(COUNTA(H43:J43)=2,ROUND(PRODUCT(H43:J43),2),"")</f>
        <v/>
      </c>
      <c r="L43" s="5" t="str">
        <f>IF(OR(AND(COUNTA(H43:J43)=3,K43=""),AND(COUNTA(H43:J43)=1,K43&lt;&gt;"")),ROUND(PRODUCT(H43:K43),2),"")</f>
        <v/>
      </c>
      <c r="M43" s="5">
        <f>IF(L43&lt;&gt;"",ROUND(PRODUCT(F43,G43,L43),2),IF(K43&lt;&gt;"",ROUND(PRODUCT(F43,G43,K43),2),ROUND(PRODUCT(F43:J43),2)))</f>
        <v>1</v>
      </c>
      <c r="N43" s="5"/>
    </row>
    <row r="44" spans="1:14" x14ac:dyDescent="0.3">
      <c r="A44" s="23" t="s">
        <v>161</v>
      </c>
      <c r="B44" s="23" t="s">
        <v>553</v>
      </c>
      <c r="C44" s="23" t="str">
        <f>VLOOKUP(B44,CPU!$B:$J,2,FALSE)</f>
        <v>PRÓPRIA</v>
      </c>
      <c r="D44" s="24" t="str">
        <f>VLOOKUP(B44,CPU!$B:$J,3,FALSE)</f>
        <v>FORNECIMENTO E INSTALAÇÃO DE REVESTIMENTO GEOMECÂNICO STANDART DN-154-S</v>
      </c>
      <c r="E44" s="23" t="str">
        <f>VLOOKUP(B44,CPU!$B:$J,4,FALSE)</f>
        <v>M</v>
      </c>
      <c r="F44" s="23"/>
      <c r="G44" s="23"/>
      <c r="H44" s="23"/>
      <c r="I44" s="23"/>
      <c r="J44" s="23"/>
      <c r="K44" s="23"/>
      <c r="L44" s="23"/>
      <c r="M44" s="23"/>
      <c r="N44" s="5">
        <f>SUM($M$45:$M$45)</f>
        <v>36</v>
      </c>
    </row>
    <row r="45" spans="1:14" x14ac:dyDescent="0.3">
      <c r="A45" s="23" t="s">
        <v>554</v>
      </c>
      <c r="B45" s="65" t="s">
        <v>532</v>
      </c>
      <c r="C45" s="66"/>
      <c r="D45" s="66"/>
      <c r="E45" s="67"/>
      <c r="F45" s="5">
        <v>36</v>
      </c>
      <c r="G45" s="26"/>
      <c r="H45" s="5"/>
      <c r="I45" s="5"/>
      <c r="J45" s="5"/>
      <c r="K45" s="5" t="str">
        <f>IF(COUNTA(H45:J45)=2,ROUND(PRODUCT(H45:J45),2),"")</f>
        <v/>
      </c>
      <c r="L45" s="5" t="str">
        <f>IF(OR(AND(COUNTA(H45:J45)=3,K45=""),AND(COUNTA(H45:J45)=1,K45&lt;&gt;"")),ROUND(PRODUCT(H45:K45),2),"")</f>
        <v/>
      </c>
      <c r="M45" s="5">
        <f>IF(L45&lt;&gt;"",ROUND(PRODUCT(F45,G45,L45),2),IF(K45&lt;&gt;"",ROUND(PRODUCT(F45,G45,K45),2),ROUND(PRODUCT(F45:J45),2)))</f>
        <v>36</v>
      </c>
      <c r="N45" s="5"/>
    </row>
    <row r="46" spans="1:14" x14ac:dyDescent="0.3">
      <c r="A46" s="23" t="s">
        <v>162</v>
      </c>
      <c r="B46" s="23" t="s">
        <v>555</v>
      </c>
      <c r="C46" s="23" t="str">
        <f>VLOOKUP(B46,CPU!$B:$J,2,FALSE)</f>
        <v>PRÓPRIA</v>
      </c>
      <c r="D46" s="24" t="str">
        <f>VLOOKUP(B46,CPU!$B:$J,3,FALSE)</f>
        <v>FORNECIMENTO E INSTALAÇÃO DE TAMPA PARA POÇO</v>
      </c>
      <c r="E46" s="23" t="str">
        <f>VLOOKUP(B46,CPU!$B:$J,4,FALSE)</f>
        <v>UN</v>
      </c>
      <c r="F46" s="23"/>
      <c r="G46" s="23"/>
      <c r="H46" s="23"/>
      <c r="I46" s="23"/>
      <c r="J46" s="23"/>
      <c r="K46" s="23"/>
      <c r="L46" s="23"/>
      <c r="M46" s="23"/>
      <c r="N46" s="5">
        <f>SUM($M$47:$M$47)</f>
        <v>1</v>
      </c>
    </row>
    <row r="47" spans="1:14" x14ac:dyDescent="0.3">
      <c r="A47" s="23" t="s">
        <v>556</v>
      </c>
      <c r="B47" s="65" t="s">
        <v>516</v>
      </c>
      <c r="C47" s="66"/>
      <c r="D47" s="66"/>
      <c r="E47" s="67"/>
      <c r="F47" s="5">
        <v>1</v>
      </c>
      <c r="G47" s="26"/>
      <c r="H47" s="5"/>
      <c r="I47" s="5"/>
      <c r="J47" s="5"/>
      <c r="K47" s="5" t="str">
        <f>IF(COUNTA(H47:J47)=2,ROUND(PRODUCT(H47:J47),2),"")</f>
        <v/>
      </c>
      <c r="L47" s="5" t="str">
        <f>IF(OR(AND(COUNTA(H47:J47)=3,K47=""),AND(COUNTA(H47:J47)=1,K47&lt;&gt;"")),ROUND(PRODUCT(H47:K47),2),"")</f>
        <v/>
      </c>
      <c r="M47" s="5">
        <f>IF(L47&lt;&gt;"",ROUND(PRODUCT(F47,G47,L47),2),IF(K47&lt;&gt;"",ROUND(PRODUCT(F47,G47,K47),2),ROUND(PRODUCT(F47:J47),2)))</f>
        <v>1</v>
      </c>
      <c r="N47" s="5"/>
    </row>
    <row r="48" spans="1:14" x14ac:dyDescent="0.3">
      <c r="A48" s="12" t="s">
        <v>24</v>
      </c>
      <c r="B48" s="46" t="s">
        <v>557</v>
      </c>
      <c r="C48" s="47"/>
      <c r="D48" s="47"/>
      <c r="E48" s="47"/>
      <c r="F48" s="47"/>
      <c r="G48" s="47"/>
      <c r="H48" s="47"/>
      <c r="I48" s="47"/>
      <c r="J48" s="47"/>
      <c r="K48" s="47"/>
      <c r="L48" s="47"/>
      <c r="M48" s="47"/>
      <c r="N48" s="48"/>
    </row>
    <row r="49" spans="1:14" ht="28.8" x14ac:dyDescent="0.3">
      <c r="A49" s="23" t="s">
        <v>163</v>
      </c>
      <c r="B49" s="23" t="s">
        <v>558</v>
      </c>
      <c r="C49" s="23" t="str">
        <f>VLOOKUP(B49,CPU!$B:$J,2,FALSE)</f>
        <v>PRÓPRIA</v>
      </c>
      <c r="D49" s="24" t="str">
        <f>VLOOKUP(B49,CPU!$B:$J,3,FALSE)</f>
        <v>FORNECIMENTO E INSTALAÇÃO DE BOMBA SUBMERSA DE 3CV, MONOFÁSICA, 220 V, LEÃO OU SIMILAR</v>
      </c>
      <c r="E49" s="23" t="str">
        <f>VLOOKUP(B49,CPU!$B:$J,4,FALSE)</f>
        <v>UN</v>
      </c>
      <c r="F49" s="23"/>
      <c r="G49" s="23"/>
      <c r="H49" s="23"/>
      <c r="I49" s="23"/>
      <c r="J49" s="23"/>
      <c r="K49" s="23"/>
      <c r="L49" s="23"/>
      <c r="M49" s="23"/>
      <c r="N49" s="5">
        <f>SUM($M$50:$M$50)</f>
        <v>1</v>
      </c>
    </row>
    <row r="50" spans="1:14" x14ac:dyDescent="0.3">
      <c r="A50" s="23" t="s">
        <v>559</v>
      </c>
      <c r="B50" s="65" t="s">
        <v>516</v>
      </c>
      <c r="C50" s="66"/>
      <c r="D50" s="66"/>
      <c r="E50" s="67"/>
      <c r="F50" s="5">
        <v>1</v>
      </c>
      <c r="G50" s="26"/>
      <c r="H50" s="5"/>
      <c r="I50" s="5"/>
      <c r="J50" s="5"/>
      <c r="K50" s="5" t="str">
        <f>IF(COUNTA(H50:J50)=2,ROUND(PRODUCT(H50:J50),2),"")</f>
        <v/>
      </c>
      <c r="L50" s="5" t="str">
        <f>IF(OR(AND(COUNTA(H50:J50)=3,K50=""),AND(COUNTA(H50:J50)=1,K50&lt;&gt;"")),ROUND(PRODUCT(H50:K50),2),"")</f>
        <v/>
      </c>
      <c r="M50" s="5">
        <f>IF(L50&lt;&gt;"",ROUND(PRODUCT(F50,G50,L50),2),IF(K50&lt;&gt;"",ROUND(PRODUCT(F50,G50,K50),2),ROUND(PRODUCT(F50:J50),2)))</f>
        <v>1</v>
      </c>
      <c r="N50" s="5"/>
    </row>
    <row r="51" spans="1:14" ht="28.8" x14ac:dyDescent="0.3">
      <c r="A51" s="23" t="s">
        <v>164</v>
      </c>
      <c r="B51" s="23" t="s">
        <v>560</v>
      </c>
      <c r="C51" s="23" t="str">
        <f>VLOOKUP(B51,CPU!$B:$J,2,FALSE)</f>
        <v>PRÓPRIA</v>
      </c>
      <c r="D51" s="24" t="str">
        <f>VLOOKUP(B51,CPU!$B:$J,3,FALSE)</f>
        <v>FORNECIMENTO E INSTALAÇÃO DE PAINEL DE COMANDO ELÉTRICO PARA BOMBA 3CV, MONOFÁSICO</v>
      </c>
      <c r="E51" s="23" t="str">
        <f>VLOOKUP(B51,CPU!$B:$J,4,FALSE)</f>
        <v>UN</v>
      </c>
      <c r="F51" s="23"/>
      <c r="G51" s="23"/>
      <c r="H51" s="23"/>
      <c r="I51" s="23"/>
      <c r="J51" s="23"/>
      <c r="K51" s="23"/>
      <c r="L51" s="23"/>
      <c r="M51" s="23"/>
      <c r="N51" s="5">
        <f>SUM($M$52:$M$52)</f>
        <v>1</v>
      </c>
    </row>
    <row r="52" spans="1:14" x14ac:dyDescent="0.3">
      <c r="A52" s="23" t="s">
        <v>561</v>
      </c>
      <c r="B52" s="65" t="s">
        <v>516</v>
      </c>
      <c r="C52" s="66"/>
      <c r="D52" s="66"/>
      <c r="E52" s="67"/>
      <c r="F52" s="5">
        <v>1</v>
      </c>
      <c r="G52" s="26"/>
      <c r="H52" s="5"/>
      <c r="I52" s="5"/>
      <c r="J52" s="5"/>
      <c r="K52" s="5" t="str">
        <f>IF(COUNTA(H52:J52)=2,ROUND(PRODUCT(H52:J52),2),"")</f>
        <v/>
      </c>
      <c r="L52" s="5" t="str">
        <f>IF(OR(AND(COUNTA(H52:J52)=3,K52=""),AND(COUNTA(H52:J52)=1,K52&lt;&gt;"")),ROUND(PRODUCT(H52:K52),2),"")</f>
        <v/>
      </c>
      <c r="M52" s="5">
        <f>IF(L52&lt;&gt;"",ROUND(PRODUCT(F52,G52,L52),2),IF(K52&lt;&gt;"",ROUND(PRODUCT(F52,G52,K52),2),ROUND(PRODUCT(F52:J52),2)))</f>
        <v>1</v>
      </c>
      <c r="N52" s="5"/>
    </row>
    <row r="53" spans="1:14" x14ac:dyDescent="0.3">
      <c r="A53" s="23" t="s">
        <v>165</v>
      </c>
      <c r="B53" s="23" t="s">
        <v>562</v>
      </c>
      <c r="C53" s="23" t="str">
        <f>VLOOKUP(B53,CPU!$B:$J,2,FALSE)</f>
        <v>PRÓPRIA</v>
      </c>
      <c r="D53" s="24" t="str">
        <f>VLOOKUP(B53,CPU!$B:$J,3,FALSE)</f>
        <v>FORNECIMENTO E INSTALAÇÃO DE TUBO EDUTOR DE PVC DE 1.1/2'' COM LUVA</v>
      </c>
      <c r="E53" s="23" t="str">
        <f>VLOOKUP(B53,CPU!$B:$J,4,FALSE)</f>
        <v>M</v>
      </c>
      <c r="F53" s="23"/>
      <c r="G53" s="23"/>
      <c r="H53" s="23"/>
      <c r="I53" s="23"/>
      <c r="J53" s="23"/>
      <c r="K53" s="23"/>
      <c r="L53" s="23"/>
      <c r="M53" s="23"/>
      <c r="N53" s="5">
        <f>SUM($M$54:$M$54)</f>
        <v>110</v>
      </c>
    </row>
    <row r="54" spans="1:14" x14ac:dyDescent="0.3">
      <c r="A54" s="23" t="s">
        <v>563</v>
      </c>
      <c r="B54" s="65" t="s">
        <v>516</v>
      </c>
      <c r="C54" s="66"/>
      <c r="D54" s="66"/>
      <c r="E54" s="67"/>
      <c r="F54" s="5">
        <v>110</v>
      </c>
      <c r="G54" s="26"/>
      <c r="H54" s="5"/>
      <c r="I54" s="5"/>
      <c r="J54" s="5"/>
      <c r="K54" s="5" t="str">
        <f>IF(COUNTA(H54:J54)=2,ROUND(PRODUCT(H54:J54),2),"")</f>
        <v/>
      </c>
      <c r="L54" s="5" t="str">
        <f>IF(OR(AND(COUNTA(H54:J54)=3,K54=""),AND(COUNTA(H54:J54)=1,K54&lt;&gt;"")),ROUND(PRODUCT(H54:K54),2),"")</f>
        <v/>
      </c>
      <c r="M54" s="5">
        <f>IF(L54&lt;&gt;"",ROUND(PRODUCT(F54,G54,L54),2),IF(K54&lt;&gt;"",ROUND(PRODUCT(F54,G54,K54),2),ROUND(PRODUCT(F54:J54),2)))</f>
        <v>110</v>
      </c>
      <c r="N54" s="5"/>
    </row>
    <row r="55" spans="1:14" x14ac:dyDescent="0.3">
      <c r="A55" s="23" t="s">
        <v>166</v>
      </c>
      <c r="B55" s="23" t="s">
        <v>564</v>
      </c>
      <c r="C55" s="23" t="str">
        <f>VLOOKUP(B55,CPU!$B:$J,2,FALSE)</f>
        <v>PRÓPRIA</v>
      </c>
      <c r="D55" s="24" t="str">
        <f>VLOOKUP(B55,CPU!$B:$J,3,FALSE)</f>
        <v>FORNECIMENTO E INSTALAÇÃO DE CABO CHATO SUBMERSO DE 3 X 6 MM²</v>
      </c>
      <c r="E55" s="23" t="str">
        <f>VLOOKUP(B55,CPU!$B:$J,4,FALSE)</f>
        <v>M</v>
      </c>
      <c r="F55" s="23"/>
      <c r="G55" s="23"/>
      <c r="H55" s="23"/>
      <c r="I55" s="23"/>
      <c r="J55" s="23"/>
      <c r="K55" s="23"/>
      <c r="L55" s="23"/>
      <c r="M55" s="23"/>
      <c r="N55" s="5">
        <f>SUM($M$56:$M$56)</f>
        <v>120</v>
      </c>
    </row>
    <row r="56" spans="1:14" x14ac:dyDescent="0.3">
      <c r="A56" s="23" t="s">
        <v>565</v>
      </c>
      <c r="B56" s="65" t="s">
        <v>516</v>
      </c>
      <c r="C56" s="66"/>
      <c r="D56" s="66"/>
      <c r="E56" s="67"/>
      <c r="F56" s="5">
        <v>120</v>
      </c>
      <c r="G56" s="26"/>
      <c r="H56" s="5"/>
      <c r="I56" s="5"/>
      <c r="J56" s="5"/>
      <c r="K56" s="5" t="str">
        <f>IF(COUNTA(H56:J56)=2,ROUND(PRODUCT(H56:J56),2),"")</f>
        <v/>
      </c>
      <c r="L56" s="5" t="str">
        <f>IF(OR(AND(COUNTA(H56:J56)=3,K56=""),AND(COUNTA(H56:J56)=1,K56&lt;&gt;"")),ROUND(PRODUCT(H56:K56),2),"")</f>
        <v/>
      </c>
      <c r="M56" s="5">
        <f>IF(L56&lt;&gt;"",ROUND(PRODUCT(F56,G56,L56),2),IF(K56&lt;&gt;"",ROUND(PRODUCT(F56,G56,K56),2),ROUND(PRODUCT(F56:J56),2)))</f>
        <v>120</v>
      </c>
      <c r="N56" s="5"/>
    </row>
    <row r="57" spans="1:14" x14ac:dyDescent="0.3">
      <c r="A57" s="23" t="s">
        <v>167</v>
      </c>
      <c r="B57" s="23" t="s">
        <v>566</v>
      </c>
      <c r="C57" s="23" t="str">
        <f>VLOOKUP(B57,CPU!$B:$J,2,FALSE)</f>
        <v>PRÓPRIA</v>
      </c>
      <c r="D57" s="24" t="str">
        <f>VLOOKUP(B57,CPU!$B:$J,3,FALSE)</f>
        <v>BARRILETE (CURVAS E CONEXÕES)</v>
      </c>
      <c r="E57" s="23" t="str">
        <f>VLOOKUP(B57,CPU!$B:$J,4,FALSE)</f>
        <v>UN</v>
      </c>
      <c r="F57" s="23"/>
      <c r="G57" s="23"/>
      <c r="H57" s="23"/>
      <c r="I57" s="23"/>
      <c r="J57" s="23"/>
      <c r="K57" s="23"/>
      <c r="L57" s="23"/>
      <c r="M57" s="23"/>
      <c r="N57" s="5">
        <f>SUM($M$58:$M$58)</f>
        <v>1</v>
      </c>
    </row>
    <row r="58" spans="1:14" x14ac:dyDescent="0.3">
      <c r="A58" s="23" t="s">
        <v>567</v>
      </c>
      <c r="B58" s="65" t="s">
        <v>516</v>
      </c>
      <c r="C58" s="66"/>
      <c r="D58" s="66"/>
      <c r="E58" s="67"/>
      <c r="F58" s="5">
        <v>1</v>
      </c>
      <c r="G58" s="26"/>
      <c r="H58" s="5"/>
      <c r="I58" s="5"/>
      <c r="J58" s="5"/>
      <c r="K58" s="5" t="str">
        <f>IF(COUNTA(H58:J58)=2,ROUND(PRODUCT(H58:J58),2),"")</f>
        <v/>
      </c>
      <c r="L58" s="5" t="str">
        <f>IF(OR(AND(COUNTA(H58:J58)=3,K58=""),AND(COUNTA(H58:J58)=1,K58&lt;&gt;"")),ROUND(PRODUCT(H58:K58),2),"")</f>
        <v/>
      </c>
      <c r="M58" s="5">
        <f>IF(L58&lt;&gt;"",ROUND(PRODUCT(F58,G58,L58),2),IF(K58&lt;&gt;"",ROUND(PRODUCT(F58,G58,K58),2),ROUND(PRODUCT(F58:J58),2)))</f>
        <v>1</v>
      </c>
      <c r="N58" s="5"/>
    </row>
    <row r="59" spans="1:14" x14ac:dyDescent="0.3">
      <c r="A59" s="23" t="s">
        <v>168</v>
      </c>
      <c r="B59" s="23" t="s">
        <v>568</v>
      </c>
      <c r="C59" s="23" t="str">
        <f>VLOOKUP(B59,CPU!$B:$J,2,FALSE)</f>
        <v>PRÓPRIA</v>
      </c>
      <c r="D59" s="24" t="str">
        <f>VLOOKUP(B59,CPU!$B:$J,3,FALSE)</f>
        <v>AQUISIÇÃO E INSTALAÇÃO DE DOSADOR DE CLORO</v>
      </c>
      <c r="E59" s="23" t="str">
        <f>VLOOKUP(B59,CPU!$B:$J,4,FALSE)</f>
        <v>UND</v>
      </c>
      <c r="F59" s="23"/>
      <c r="G59" s="23"/>
      <c r="H59" s="23"/>
      <c r="I59" s="23"/>
      <c r="J59" s="23"/>
      <c r="K59" s="23"/>
      <c r="L59" s="23"/>
      <c r="M59" s="23"/>
      <c r="N59" s="5">
        <f>SUM($M$60:$M$60)</f>
        <v>1</v>
      </c>
    </row>
    <row r="60" spans="1:14" x14ac:dyDescent="0.3">
      <c r="A60" s="23" t="s">
        <v>569</v>
      </c>
      <c r="B60" s="65" t="s">
        <v>516</v>
      </c>
      <c r="C60" s="66"/>
      <c r="D60" s="66"/>
      <c r="E60" s="67"/>
      <c r="F60" s="5">
        <v>1</v>
      </c>
      <c r="G60" s="26"/>
      <c r="H60" s="5"/>
      <c r="I60" s="5"/>
      <c r="J60" s="5"/>
      <c r="K60" s="5" t="str">
        <f>IF(COUNTA(H60:J60)=2,ROUND(PRODUCT(H60:J60),2),"")</f>
        <v/>
      </c>
      <c r="L60" s="5" t="str">
        <f>IF(OR(AND(COUNTA(H60:J60)=3,K60=""),AND(COUNTA(H60:J60)=1,K60&lt;&gt;"")),ROUND(PRODUCT(H60:K60),2),"")</f>
        <v/>
      </c>
      <c r="M60" s="5">
        <f>IF(L60&lt;&gt;"",ROUND(PRODUCT(F60,G60,L60),2),IF(K60&lt;&gt;"",ROUND(PRODUCT(F60,G60,K60),2),ROUND(PRODUCT(F60:J60),2)))</f>
        <v>1</v>
      </c>
      <c r="N60" s="5"/>
    </row>
    <row r="61" spans="1:14" x14ac:dyDescent="0.3">
      <c r="A61" s="12" t="s">
        <v>25</v>
      </c>
      <c r="B61" s="46" t="s">
        <v>570</v>
      </c>
      <c r="C61" s="47"/>
      <c r="D61" s="47"/>
      <c r="E61" s="47"/>
      <c r="F61" s="47"/>
      <c r="G61" s="47"/>
      <c r="H61" s="47"/>
      <c r="I61" s="47"/>
      <c r="J61" s="47"/>
      <c r="K61" s="47"/>
      <c r="L61" s="47"/>
      <c r="M61" s="47"/>
      <c r="N61" s="48"/>
    </row>
    <row r="62" spans="1:14" x14ac:dyDescent="0.3">
      <c r="A62" s="15" t="s">
        <v>26</v>
      </c>
      <c r="B62" s="49" t="s">
        <v>513</v>
      </c>
      <c r="C62" s="50"/>
      <c r="D62" s="50"/>
      <c r="E62" s="50"/>
      <c r="F62" s="50"/>
      <c r="G62" s="50"/>
      <c r="H62" s="50"/>
      <c r="I62" s="50"/>
      <c r="J62" s="50"/>
      <c r="K62" s="50"/>
      <c r="L62" s="50"/>
      <c r="M62" s="50"/>
      <c r="N62" s="51"/>
    </row>
    <row r="63" spans="1:14" x14ac:dyDescent="0.3">
      <c r="A63" s="23" t="s">
        <v>169</v>
      </c>
      <c r="B63" s="23">
        <v>98524</v>
      </c>
      <c r="C63" s="23" t="str">
        <f>VLOOKUP(B63,CPU!$B:$J,2,FALSE)</f>
        <v>SINAPI</v>
      </c>
      <c r="D63" s="24" t="str">
        <f>VLOOKUP(B63,CPU!$B:$J,3,FALSE)</f>
        <v>LIMPEZA MANUAL DE VEGETAÇÃO EM TERRENO COM ENXADA. AF_03/2024</v>
      </c>
      <c r="E63" s="23" t="str">
        <f>VLOOKUP(B63,CPU!$B:$J,4,FALSE)</f>
        <v>M2</v>
      </c>
      <c r="F63" s="23"/>
      <c r="G63" s="23"/>
      <c r="H63" s="23"/>
      <c r="I63" s="23"/>
      <c r="J63" s="23"/>
      <c r="K63" s="23"/>
      <c r="L63" s="23"/>
      <c r="M63" s="23"/>
      <c r="N63" s="5">
        <f>SUM($M$64:$M$64)</f>
        <v>100</v>
      </c>
    </row>
    <row r="64" spans="1:14" x14ac:dyDescent="0.3">
      <c r="A64" s="23" t="s">
        <v>571</v>
      </c>
      <c r="B64" s="65" t="s">
        <v>516</v>
      </c>
      <c r="C64" s="66"/>
      <c r="D64" s="66"/>
      <c r="E64" s="67"/>
      <c r="F64" s="5"/>
      <c r="G64" s="26"/>
      <c r="H64" s="5"/>
      <c r="I64" s="5">
        <v>10</v>
      </c>
      <c r="J64" s="5">
        <v>10</v>
      </c>
      <c r="K64" s="5">
        <f>IF(COUNTA(H64:J64)=2,ROUND(PRODUCT(H64:J64),2),"")</f>
        <v>100</v>
      </c>
      <c r="L64" s="5" t="str">
        <f>IF(OR(AND(COUNTA(H64:J64)=3,K64=""),AND(COUNTA(H64:J64)=1,K64&lt;&gt;"")),ROUND(PRODUCT(H64:K64),2),"")</f>
        <v/>
      </c>
      <c r="M64" s="5">
        <f>IF(L64&lt;&gt;"",ROUND(PRODUCT(F64,G64,L64),2),IF(K64&lt;&gt;"",ROUND(PRODUCT(F64,G64,K64),2),ROUND(PRODUCT(F64:J64),2)))</f>
        <v>100</v>
      </c>
      <c r="N64" s="5"/>
    </row>
    <row r="65" spans="1:14" ht="28.8" x14ac:dyDescent="0.3">
      <c r="A65" s="23" t="s">
        <v>170</v>
      </c>
      <c r="B65" s="23">
        <v>99059</v>
      </c>
      <c r="C65" s="23" t="str">
        <f>VLOOKUP(B65,CPU!$B:$J,2,FALSE)</f>
        <v>SINAPI</v>
      </c>
      <c r="D65" s="24" t="str">
        <f>VLOOKUP(B65,CPU!$B:$J,3,FALSE)</f>
        <v>LOCAÇÃO CONVENCIONAL DE OBRA, UTILIZANDO GABARITO DE TÁBUAS CORRIDAS PONTALETADAS A CADA 2,00M - 2 UTILIZAÇÕES. AF_03/2024</v>
      </c>
      <c r="E65" s="23" t="str">
        <f>VLOOKUP(B65,CPU!$B:$J,4,FALSE)</f>
        <v>M</v>
      </c>
      <c r="F65" s="23"/>
      <c r="G65" s="23"/>
      <c r="H65" s="23"/>
      <c r="I65" s="23"/>
      <c r="J65" s="23"/>
      <c r="K65" s="23"/>
      <c r="L65" s="23"/>
      <c r="M65" s="23"/>
      <c r="N65" s="5">
        <f>SUM($M$66:$M$66)</f>
        <v>44</v>
      </c>
    </row>
    <row r="66" spans="1:14" x14ac:dyDescent="0.3">
      <c r="A66" s="23" t="s">
        <v>572</v>
      </c>
      <c r="B66" s="65" t="s">
        <v>516</v>
      </c>
      <c r="C66" s="66"/>
      <c r="D66" s="66"/>
      <c r="E66" s="67"/>
      <c r="F66" s="5"/>
      <c r="G66" s="26">
        <v>4</v>
      </c>
      <c r="H66" s="5">
        <v>11</v>
      </c>
      <c r="I66" s="5"/>
      <c r="J66" s="5"/>
      <c r="K66" s="5" t="str">
        <f>IF(COUNTA(H66:J66)=2,ROUND(PRODUCT(H66:J66),2),"")</f>
        <v/>
      </c>
      <c r="L66" s="5" t="str">
        <f>IF(OR(AND(COUNTA(H66:J66)=3,K66=""),AND(COUNTA(H66:J66)=1,K66&lt;&gt;"")),ROUND(PRODUCT(H66:K66),2),"")</f>
        <v/>
      </c>
      <c r="M66" s="5">
        <f>IF(L66&lt;&gt;"",ROUND(PRODUCT(F66,G66,L66),2),IF(K66&lt;&gt;"",ROUND(PRODUCT(F66,G66,K66),2),ROUND(PRODUCT(F66:J66),2)))</f>
        <v>44</v>
      </c>
      <c r="N66" s="5"/>
    </row>
    <row r="67" spans="1:14" x14ac:dyDescent="0.3">
      <c r="A67" s="15" t="s">
        <v>27</v>
      </c>
      <c r="B67" s="49" t="s">
        <v>573</v>
      </c>
      <c r="C67" s="50"/>
      <c r="D67" s="50"/>
      <c r="E67" s="50"/>
      <c r="F67" s="50"/>
      <c r="G67" s="50"/>
      <c r="H67" s="50"/>
      <c r="I67" s="50"/>
      <c r="J67" s="50"/>
      <c r="K67" s="50"/>
      <c r="L67" s="50"/>
      <c r="M67" s="50"/>
      <c r="N67" s="51"/>
    </row>
    <row r="68" spans="1:14" x14ac:dyDescent="0.3">
      <c r="A68" s="23" t="s">
        <v>171</v>
      </c>
      <c r="B68" s="23">
        <v>93358</v>
      </c>
      <c r="C68" s="23" t="str">
        <f>VLOOKUP(B68,CPU!$B:$J,2,FALSE)</f>
        <v>SINAPI</v>
      </c>
      <c r="D68" s="24" t="str">
        <f>VLOOKUP(B68,CPU!$B:$J,3,FALSE)</f>
        <v>ESCAVAÇÃO MANUAL DE VALA. AF_09/2024</v>
      </c>
      <c r="E68" s="23" t="str">
        <f>VLOOKUP(B68,CPU!$B:$J,4,FALSE)</f>
        <v>M3</v>
      </c>
      <c r="F68" s="23"/>
      <c r="G68" s="23"/>
      <c r="H68" s="23"/>
      <c r="I68" s="23"/>
      <c r="J68" s="23"/>
      <c r="K68" s="23"/>
      <c r="L68" s="23"/>
      <c r="M68" s="23"/>
      <c r="N68" s="5">
        <f>SUM($M$69:$M$70)</f>
        <v>1.54</v>
      </c>
    </row>
    <row r="69" spans="1:14" x14ac:dyDescent="0.3">
      <c r="A69" s="23" t="s">
        <v>574</v>
      </c>
      <c r="B69" s="65" t="s">
        <v>516</v>
      </c>
      <c r="C69" s="66"/>
      <c r="D69" s="66"/>
      <c r="E69" s="67"/>
      <c r="F69" s="5"/>
      <c r="G69" s="26">
        <v>2</v>
      </c>
      <c r="H69" s="5">
        <v>2.2999999999999998</v>
      </c>
      <c r="I69" s="5">
        <v>0.3</v>
      </c>
      <c r="J69" s="5">
        <v>0.6</v>
      </c>
      <c r="K69" s="5" t="str">
        <f>IF(COUNTA(H69:J69)=2,ROUND(PRODUCT(H69:J69),2),"")</f>
        <v/>
      </c>
      <c r="L69" s="5">
        <f>IF(OR(AND(COUNTA(H69:J69)=3,K69=""),AND(COUNTA(H69:J69)=1,K69&lt;&gt;"")),ROUND(PRODUCT(H69:K69),2),"")</f>
        <v>0.41</v>
      </c>
      <c r="M69" s="5">
        <f>IF(L69&lt;&gt;"",ROUND(PRODUCT(F69,G69,L69),2),IF(K69&lt;&gt;"",ROUND(PRODUCT(F69,G69,K69),2),ROUND(PRODUCT(F69:J69),2)))</f>
        <v>0.82</v>
      </c>
      <c r="N69" s="5"/>
    </row>
    <row r="70" spans="1:14" x14ac:dyDescent="0.3">
      <c r="A70" s="23" t="s">
        <v>575</v>
      </c>
      <c r="B70" s="65" t="s">
        <v>516</v>
      </c>
      <c r="C70" s="66"/>
      <c r="D70" s="66"/>
      <c r="E70" s="67"/>
      <c r="F70" s="5"/>
      <c r="G70" s="26">
        <v>2</v>
      </c>
      <c r="H70" s="5">
        <v>2</v>
      </c>
      <c r="I70" s="5">
        <v>0.3</v>
      </c>
      <c r="J70" s="5">
        <v>0.6</v>
      </c>
      <c r="K70" s="5" t="str">
        <f>IF(COUNTA(H70:J70)=2,ROUND(PRODUCT(H70:J70),2),"")</f>
        <v/>
      </c>
      <c r="L70" s="5">
        <f>IF(OR(AND(COUNTA(H70:J70)=3,K70=""),AND(COUNTA(H70:J70)=1,K70&lt;&gt;"")),ROUND(PRODUCT(H70:K70),2),"")</f>
        <v>0.36</v>
      </c>
      <c r="M70" s="5">
        <f>IF(L70&lt;&gt;"",ROUND(PRODUCT(F70,G70,L70),2),IF(K70&lt;&gt;"",ROUND(PRODUCT(F70,G70,K70),2),ROUND(PRODUCT(F70:J70),2)))</f>
        <v>0.72</v>
      </c>
      <c r="N70" s="5"/>
    </row>
    <row r="71" spans="1:14" x14ac:dyDescent="0.3">
      <c r="A71" s="15" t="s">
        <v>28</v>
      </c>
      <c r="B71" s="49" t="s">
        <v>576</v>
      </c>
      <c r="C71" s="50"/>
      <c r="D71" s="50"/>
      <c r="E71" s="50"/>
      <c r="F71" s="50"/>
      <c r="G71" s="50"/>
      <c r="H71" s="50"/>
      <c r="I71" s="50"/>
      <c r="J71" s="50"/>
      <c r="K71" s="50"/>
      <c r="L71" s="50"/>
      <c r="M71" s="50"/>
      <c r="N71" s="51"/>
    </row>
    <row r="72" spans="1:14" ht="28.8" x14ac:dyDescent="0.3">
      <c r="A72" s="23" t="s">
        <v>172</v>
      </c>
      <c r="B72" s="23">
        <v>96617</v>
      </c>
      <c r="C72" s="23" t="str">
        <f>VLOOKUP(B72,CPU!$B:$J,2,FALSE)</f>
        <v>SINAPI</v>
      </c>
      <c r="D72" s="24" t="str">
        <f>VLOOKUP(B72,CPU!$B:$J,3,FALSE)</f>
        <v>LASTRO DE CONCRETO MAGRO, APLICADO EM BLOCOS DE COROAMENTO OU SAPATAS, ESPESSURA DE 3 CM. AF_01/2024</v>
      </c>
      <c r="E72" s="23" t="str">
        <f>VLOOKUP(B72,CPU!$B:$J,4,FALSE)</f>
        <v>M2</v>
      </c>
      <c r="F72" s="23"/>
      <c r="G72" s="23"/>
      <c r="H72" s="23"/>
      <c r="I72" s="23"/>
      <c r="J72" s="23"/>
      <c r="K72" s="23"/>
      <c r="L72" s="23"/>
      <c r="M72" s="23"/>
      <c r="N72" s="5">
        <f>SUM($M$73:$M$74)</f>
        <v>2.58</v>
      </c>
    </row>
    <row r="73" spans="1:14" x14ac:dyDescent="0.3">
      <c r="A73" s="23" t="s">
        <v>577</v>
      </c>
      <c r="B73" s="65" t="s">
        <v>516</v>
      </c>
      <c r="C73" s="66"/>
      <c r="D73" s="66"/>
      <c r="E73" s="67"/>
      <c r="F73" s="5"/>
      <c r="G73" s="26">
        <v>2</v>
      </c>
      <c r="H73" s="5">
        <v>2.2999999999999998</v>
      </c>
      <c r="I73" s="5">
        <v>0.3</v>
      </c>
      <c r="J73" s="5"/>
      <c r="K73" s="5">
        <f>IF(COUNTA(H73:J73)=2,ROUND(PRODUCT(H73:J73),2),"")</f>
        <v>0.69</v>
      </c>
      <c r="L73" s="5" t="str">
        <f>IF(OR(AND(COUNTA(H73:J73)=3,K73=""),AND(COUNTA(H73:J73)=1,K73&lt;&gt;"")),ROUND(PRODUCT(H73:K73),2),"")</f>
        <v/>
      </c>
      <c r="M73" s="5">
        <f>IF(L73&lt;&gt;"",ROUND(PRODUCT(F73,G73,L73),2),IF(K73&lt;&gt;"",ROUND(PRODUCT(F73,G73,K73),2),ROUND(PRODUCT(F73:J73),2)))</f>
        <v>1.38</v>
      </c>
      <c r="N73" s="5"/>
    </row>
    <row r="74" spans="1:14" x14ac:dyDescent="0.3">
      <c r="A74" s="23" t="s">
        <v>578</v>
      </c>
      <c r="B74" s="65" t="s">
        <v>516</v>
      </c>
      <c r="C74" s="66"/>
      <c r="D74" s="66"/>
      <c r="E74" s="67"/>
      <c r="F74" s="5"/>
      <c r="G74" s="26">
        <v>2</v>
      </c>
      <c r="H74" s="5">
        <v>2</v>
      </c>
      <c r="I74" s="5">
        <v>0.3</v>
      </c>
      <c r="J74" s="5"/>
      <c r="K74" s="5">
        <f>IF(COUNTA(H74:J74)=2,ROUND(PRODUCT(H74:J74),2),"")</f>
        <v>0.6</v>
      </c>
      <c r="L74" s="5" t="str">
        <f>IF(OR(AND(COUNTA(H74:J74)=3,K74=""),AND(COUNTA(H74:J74)=1,K74&lt;&gt;"")),ROUND(PRODUCT(H74:K74),2),"")</f>
        <v/>
      </c>
      <c r="M74" s="5">
        <f>IF(L74&lt;&gt;"",ROUND(PRODUCT(F74,G74,L74),2),IF(K74&lt;&gt;"",ROUND(PRODUCT(F74,G74,K74),2),ROUND(PRODUCT(F74:J74),2)))</f>
        <v>1.2</v>
      </c>
      <c r="N74" s="5"/>
    </row>
    <row r="75" spans="1:14" ht="28.8" x14ac:dyDescent="0.3">
      <c r="A75" s="23" t="s">
        <v>173</v>
      </c>
      <c r="B75" s="23">
        <v>103800</v>
      </c>
      <c r="C75" s="23" t="str">
        <f>VLOOKUP(B75,CPU!$B:$J,2,FALSE)</f>
        <v>SINAPI</v>
      </c>
      <c r="D75" s="24" t="str">
        <f>VLOOKUP(B75,CPU!$B:$J,3,FALSE)</f>
        <v>PEDRA ARGAMASSADA COM CIMENTO E AREIA 1:3, 40% DE ARGAMASSA EM VOLUME - AREIA E PEDRA DE MÃO COMERCIAIS - FORNECIMENTO E ASSENTAMENTO. AF_08/2022</v>
      </c>
      <c r="E75" s="23" t="str">
        <f>VLOOKUP(B75,CPU!$B:$J,4,FALSE)</f>
        <v>M3</v>
      </c>
      <c r="F75" s="23"/>
      <c r="G75" s="23"/>
      <c r="H75" s="23"/>
      <c r="I75" s="23"/>
      <c r="J75" s="23"/>
      <c r="K75" s="23"/>
      <c r="L75" s="23"/>
      <c r="M75" s="23"/>
      <c r="N75" s="5">
        <f>SUM($M$76:$M$77)</f>
        <v>1.04</v>
      </c>
    </row>
    <row r="76" spans="1:14" x14ac:dyDescent="0.3">
      <c r="A76" s="23" t="s">
        <v>579</v>
      </c>
      <c r="B76" s="65" t="s">
        <v>516</v>
      </c>
      <c r="C76" s="66"/>
      <c r="D76" s="66"/>
      <c r="E76" s="67"/>
      <c r="F76" s="5"/>
      <c r="G76" s="26">
        <v>2</v>
      </c>
      <c r="H76" s="5">
        <v>2.2999999999999998</v>
      </c>
      <c r="I76" s="5">
        <v>0.3</v>
      </c>
      <c r="J76" s="5">
        <v>0.4</v>
      </c>
      <c r="K76" s="5" t="str">
        <f>IF(COUNTA(H76:J76)=2,ROUND(PRODUCT(H76:J76),2),"")</f>
        <v/>
      </c>
      <c r="L76" s="5">
        <f>IF(OR(AND(COUNTA(H76:J76)=3,K76=""),AND(COUNTA(H76:J76)=1,K76&lt;&gt;"")),ROUND(PRODUCT(H76:K76),2),"")</f>
        <v>0.28000000000000003</v>
      </c>
      <c r="M76" s="5">
        <f>IF(L76&lt;&gt;"",ROUND(PRODUCT(F76,G76,L76),2),IF(K76&lt;&gt;"",ROUND(PRODUCT(F76,G76,K76),2),ROUND(PRODUCT(F76:J76),2)))</f>
        <v>0.56000000000000005</v>
      </c>
      <c r="N76" s="5"/>
    </row>
    <row r="77" spans="1:14" x14ac:dyDescent="0.3">
      <c r="A77" s="23" t="s">
        <v>580</v>
      </c>
      <c r="B77" s="65" t="s">
        <v>516</v>
      </c>
      <c r="C77" s="66"/>
      <c r="D77" s="66"/>
      <c r="E77" s="67"/>
      <c r="F77" s="5"/>
      <c r="G77" s="26">
        <v>2</v>
      </c>
      <c r="H77" s="5">
        <v>2</v>
      </c>
      <c r="I77" s="5">
        <v>0.3</v>
      </c>
      <c r="J77" s="5">
        <v>0.4</v>
      </c>
      <c r="K77" s="5" t="str">
        <f>IF(COUNTA(H77:J77)=2,ROUND(PRODUCT(H77:J77),2),"")</f>
        <v/>
      </c>
      <c r="L77" s="5">
        <f>IF(OR(AND(COUNTA(H77:J77)=3,K77=""),AND(COUNTA(H77:J77)=1,K77&lt;&gt;"")),ROUND(PRODUCT(H77:K77),2),"")</f>
        <v>0.24</v>
      </c>
      <c r="M77" s="5">
        <f>IF(L77&lt;&gt;"",ROUND(PRODUCT(F77,G77,L77),2),IF(K77&lt;&gt;"",ROUND(PRODUCT(F77,G77,K77),2),ROUND(PRODUCT(F77:J77),2)))</f>
        <v>0.48</v>
      </c>
      <c r="N77" s="5"/>
    </row>
    <row r="78" spans="1:14" ht="43.2" x14ac:dyDescent="0.3">
      <c r="A78" s="23" t="s">
        <v>174</v>
      </c>
      <c r="B78" s="23">
        <v>103335</v>
      </c>
      <c r="C78" s="23" t="str">
        <f>VLOOKUP(B78,CPU!$B:$J,2,FALSE)</f>
        <v>SINAPI</v>
      </c>
      <c r="D78" s="24" t="str">
        <f>VLOOKUP(B78,CPU!$B:$J,3,FALSE)</f>
        <v>ALVENARIA DE VEDAÇÃO DE BLOCOS CERÂMICOS FURADOS NA HORIZONTAL DE 14X9X19 CM (ESPESSURA 14 CM, BLOCO DEITADO) E ARGAMASSA DE ASSENTAMENTO COM PREPARO MANUAL. AF_12/2021</v>
      </c>
      <c r="E78" s="23" t="str">
        <f>VLOOKUP(B78,CPU!$B:$J,4,FALSE)</f>
        <v>M2</v>
      </c>
      <c r="F78" s="23"/>
      <c r="G78" s="23"/>
      <c r="H78" s="23"/>
      <c r="I78" s="23"/>
      <c r="J78" s="23"/>
      <c r="K78" s="23"/>
      <c r="L78" s="23"/>
      <c r="M78" s="23"/>
      <c r="N78" s="5">
        <f>SUM($M$79:$M$80)</f>
        <v>1.7200000000000002</v>
      </c>
    </row>
    <row r="79" spans="1:14" x14ac:dyDescent="0.3">
      <c r="A79" s="23" t="s">
        <v>581</v>
      </c>
      <c r="B79" s="65" t="s">
        <v>516</v>
      </c>
      <c r="C79" s="66"/>
      <c r="D79" s="66"/>
      <c r="E79" s="67"/>
      <c r="F79" s="5"/>
      <c r="G79" s="26">
        <v>2</v>
      </c>
      <c r="H79" s="5">
        <v>2.2999999999999998</v>
      </c>
      <c r="I79" s="5"/>
      <c r="J79" s="5">
        <v>0.2</v>
      </c>
      <c r="K79" s="5">
        <f>IF(COUNTA(H79:J79)=2,ROUND(PRODUCT(H79:J79),2),"")</f>
        <v>0.46</v>
      </c>
      <c r="L79" s="5" t="str">
        <f>IF(OR(AND(COUNTA(H79:J79)=3,K79=""),AND(COUNTA(H79:J79)=1,K79&lt;&gt;"")),ROUND(PRODUCT(H79:K79),2),"")</f>
        <v/>
      </c>
      <c r="M79" s="5">
        <f>IF(L79&lt;&gt;"",ROUND(PRODUCT(F79,G79,L79),2),IF(K79&lt;&gt;"",ROUND(PRODUCT(F79,G79,K79),2),ROUND(PRODUCT(F79:J79),2)))</f>
        <v>0.92</v>
      </c>
      <c r="N79" s="5"/>
    </row>
    <row r="80" spans="1:14" x14ac:dyDescent="0.3">
      <c r="A80" s="23" t="s">
        <v>582</v>
      </c>
      <c r="B80" s="65" t="s">
        <v>516</v>
      </c>
      <c r="C80" s="66"/>
      <c r="D80" s="66"/>
      <c r="E80" s="67"/>
      <c r="F80" s="5"/>
      <c r="G80" s="26">
        <v>2</v>
      </c>
      <c r="H80" s="5">
        <v>2</v>
      </c>
      <c r="I80" s="5"/>
      <c r="J80" s="5">
        <v>0.2</v>
      </c>
      <c r="K80" s="5">
        <f>IF(COUNTA(H80:J80)=2,ROUND(PRODUCT(H80:J80),2),"")</f>
        <v>0.4</v>
      </c>
      <c r="L80" s="5" t="str">
        <f>IF(OR(AND(COUNTA(H80:J80)=3,K80=""),AND(COUNTA(H80:J80)=1,K80&lt;&gt;"")),ROUND(PRODUCT(H80:K80),2),"")</f>
        <v/>
      </c>
      <c r="M80" s="5">
        <f>IF(L80&lt;&gt;"",ROUND(PRODUCT(F80,G80,L80),2),IF(K80&lt;&gt;"",ROUND(PRODUCT(F80,G80,K80),2),ROUND(PRODUCT(F80:J80),2)))</f>
        <v>0.8</v>
      </c>
      <c r="N80" s="5"/>
    </row>
    <row r="81" spans="1:14" x14ac:dyDescent="0.3">
      <c r="A81" s="15" t="s">
        <v>29</v>
      </c>
      <c r="B81" s="49" t="s">
        <v>583</v>
      </c>
      <c r="C81" s="50"/>
      <c r="D81" s="50"/>
      <c r="E81" s="50"/>
      <c r="F81" s="50"/>
      <c r="G81" s="50"/>
      <c r="H81" s="50"/>
      <c r="I81" s="50"/>
      <c r="J81" s="50"/>
      <c r="K81" s="50"/>
      <c r="L81" s="50"/>
      <c r="M81" s="50"/>
      <c r="N81" s="51"/>
    </row>
    <row r="82" spans="1:14" x14ac:dyDescent="0.3">
      <c r="A82" s="23" t="s">
        <v>175</v>
      </c>
      <c r="B82" s="23" t="s">
        <v>584</v>
      </c>
      <c r="C82" s="23" t="str">
        <f>VLOOKUP(B82,CPU!$B:$J,2,FALSE)</f>
        <v>PRÓPRIA</v>
      </c>
      <c r="D82" s="24" t="str">
        <f>VLOOKUP(B82,CPU!$B:$J,3,FALSE)</f>
        <v>CINTA DE AMARRAÇÃO DE ALVENARIA MOLDADA IN LOCO EM CONCRETO</v>
      </c>
      <c r="E82" s="23" t="str">
        <f>VLOOKUP(B82,CPU!$B:$J,4,FALSE)</f>
        <v>M</v>
      </c>
      <c r="F82" s="23"/>
      <c r="G82" s="23"/>
      <c r="H82" s="23"/>
      <c r="I82" s="23"/>
      <c r="J82" s="23"/>
      <c r="K82" s="23"/>
      <c r="L82" s="23"/>
      <c r="M82" s="23"/>
      <c r="N82" s="5">
        <f>SUM($M$83:$M$84)</f>
        <v>8.6</v>
      </c>
    </row>
    <row r="83" spans="1:14" x14ac:dyDescent="0.3">
      <c r="A83" s="23" t="s">
        <v>585</v>
      </c>
      <c r="B83" s="65" t="s">
        <v>516</v>
      </c>
      <c r="C83" s="66"/>
      <c r="D83" s="66"/>
      <c r="E83" s="67"/>
      <c r="F83" s="5"/>
      <c r="G83" s="26">
        <v>2</v>
      </c>
      <c r="H83" s="5">
        <v>2.2999999999999998</v>
      </c>
      <c r="I83" s="5"/>
      <c r="J83" s="5"/>
      <c r="K83" s="5" t="str">
        <f>IF(COUNTA(H83:J83)=2,ROUND(PRODUCT(H83:J83),2),"")</f>
        <v/>
      </c>
      <c r="L83" s="5" t="str">
        <f>IF(OR(AND(COUNTA(H83:J83)=3,K83=""),AND(COUNTA(H83:J83)=1,K83&lt;&gt;"")),ROUND(PRODUCT(H83:K83),2),"")</f>
        <v/>
      </c>
      <c r="M83" s="5">
        <f>IF(L83&lt;&gt;"",ROUND(PRODUCT(F83,G83,L83),2),IF(K83&lt;&gt;"",ROUND(PRODUCT(F83,G83,K83),2),ROUND(PRODUCT(F83:J83),2)))</f>
        <v>4.5999999999999996</v>
      </c>
      <c r="N83" s="5"/>
    </row>
    <row r="84" spans="1:14" x14ac:dyDescent="0.3">
      <c r="A84" s="23" t="s">
        <v>586</v>
      </c>
      <c r="B84" s="65" t="s">
        <v>516</v>
      </c>
      <c r="C84" s="66"/>
      <c r="D84" s="66"/>
      <c r="E84" s="67"/>
      <c r="F84" s="5"/>
      <c r="G84" s="26">
        <v>2</v>
      </c>
      <c r="H84" s="5">
        <v>2</v>
      </c>
      <c r="I84" s="5"/>
      <c r="J84" s="5"/>
      <c r="K84" s="5" t="str">
        <f>IF(COUNTA(H84:J84)=2,ROUND(PRODUCT(H84:J84),2),"")</f>
        <v/>
      </c>
      <c r="L84" s="5" t="str">
        <f>IF(OR(AND(COUNTA(H84:J84)=3,K84=""),AND(COUNTA(H84:J84)=1,K84&lt;&gt;"")),ROUND(PRODUCT(H84:K84),2),"")</f>
        <v/>
      </c>
      <c r="M84" s="5">
        <f>IF(L84&lt;&gt;"",ROUND(PRODUCT(F84,G84,L84),2),IF(K84&lt;&gt;"",ROUND(PRODUCT(F84,G84,K84),2),ROUND(PRODUCT(F84:J84),2)))</f>
        <v>4</v>
      </c>
      <c r="N84" s="5"/>
    </row>
    <row r="85" spans="1:14" ht="28.8" x14ac:dyDescent="0.3">
      <c r="A85" s="23" t="s">
        <v>176</v>
      </c>
      <c r="B85" s="23" t="s">
        <v>587</v>
      </c>
      <c r="C85" s="23" t="str">
        <f>VLOOKUP(B85,CPU!$B:$J,2,FALSE)</f>
        <v>PRÓPRIA</v>
      </c>
      <c r="D85" s="24" t="str">
        <f>VLOOKUP(B85,CPU!$B:$J,3,FALSE)</f>
        <v>(COMPOSIÇÃO REPRESENTATIVA) EXECUÇÃO DE ESTRUTURAS DE CONCRETO ARMADO, PARA EDIFICAÇÃO INSTITUCIONAL TÉRREA, FCK = 25 MPA</v>
      </c>
      <c r="E85" s="23" t="str">
        <f>VLOOKUP(B85,CPU!$B:$J,4,FALSE)</f>
        <v>M³</v>
      </c>
      <c r="F85" s="23"/>
      <c r="G85" s="23"/>
      <c r="H85" s="23"/>
      <c r="I85" s="23"/>
      <c r="J85" s="23"/>
      <c r="K85" s="23"/>
      <c r="L85" s="23"/>
      <c r="M85" s="23"/>
      <c r="N85" s="5">
        <f>SUM($M$86:$M$87)</f>
        <v>0.30000000000000004</v>
      </c>
    </row>
    <row r="86" spans="1:14" x14ac:dyDescent="0.3">
      <c r="A86" s="23" t="s">
        <v>588</v>
      </c>
      <c r="B86" s="65" t="s">
        <v>589</v>
      </c>
      <c r="C86" s="66"/>
      <c r="D86" s="66"/>
      <c r="E86" s="67"/>
      <c r="F86" s="5"/>
      <c r="G86" s="26">
        <v>2</v>
      </c>
      <c r="H86" s="5">
        <v>3.53</v>
      </c>
      <c r="I86" s="5">
        <v>0.15</v>
      </c>
      <c r="J86" s="5">
        <v>0.15</v>
      </c>
      <c r="K86" s="5" t="str">
        <f>IF(COUNTA(H86:J86)=2,ROUND(PRODUCT(H86:J86),2),"")</f>
        <v/>
      </c>
      <c r="L86" s="5">
        <f>IF(OR(AND(COUNTA(H86:J86)=3,K86=""),AND(COUNTA(H86:J86)=1,K86&lt;&gt;"")),ROUND(PRODUCT(H86:K86),2),"")</f>
        <v>0.08</v>
      </c>
      <c r="M86" s="5">
        <f>IF(L86&lt;&gt;"",ROUND(PRODUCT(F86,G86,L86),2),IF(K86&lt;&gt;"",ROUND(PRODUCT(F86,G86,K86),2),ROUND(PRODUCT(F86:J86),2)))</f>
        <v>0.16</v>
      </c>
      <c r="N86" s="5"/>
    </row>
    <row r="87" spans="1:14" x14ac:dyDescent="0.3">
      <c r="A87" s="23" t="s">
        <v>590</v>
      </c>
      <c r="B87" s="65" t="s">
        <v>589</v>
      </c>
      <c r="C87" s="66"/>
      <c r="D87" s="66"/>
      <c r="E87" s="67"/>
      <c r="F87" s="5"/>
      <c r="G87" s="26">
        <v>2</v>
      </c>
      <c r="H87" s="5">
        <v>2.95</v>
      </c>
      <c r="I87" s="5">
        <v>0.15</v>
      </c>
      <c r="J87" s="5">
        <v>0.15</v>
      </c>
      <c r="K87" s="5" t="str">
        <f>IF(COUNTA(H87:J87)=2,ROUND(PRODUCT(H87:J87),2),"")</f>
        <v/>
      </c>
      <c r="L87" s="5">
        <f>IF(OR(AND(COUNTA(H87:J87)=3,K87=""),AND(COUNTA(H87:J87)=1,K87&lt;&gt;"")),ROUND(PRODUCT(H87:K87),2),"")</f>
        <v>7.0000000000000007E-2</v>
      </c>
      <c r="M87" s="5">
        <f>IF(L87&lt;&gt;"",ROUND(PRODUCT(F87,G87,L87),2),IF(K87&lt;&gt;"",ROUND(PRODUCT(F87,G87,K87),2),ROUND(PRODUCT(F87:J87),2)))</f>
        <v>0.14000000000000001</v>
      </c>
      <c r="N87" s="5"/>
    </row>
    <row r="88" spans="1:14" x14ac:dyDescent="0.3">
      <c r="A88" s="15" t="s">
        <v>30</v>
      </c>
      <c r="B88" s="49" t="s">
        <v>591</v>
      </c>
      <c r="C88" s="50"/>
      <c r="D88" s="50"/>
      <c r="E88" s="50"/>
      <c r="F88" s="50"/>
      <c r="G88" s="50"/>
      <c r="H88" s="50"/>
      <c r="I88" s="50"/>
      <c r="J88" s="50"/>
      <c r="K88" s="50"/>
      <c r="L88" s="50"/>
      <c r="M88" s="50"/>
      <c r="N88" s="51"/>
    </row>
    <row r="89" spans="1:14" ht="43.2" x14ac:dyDescent="0.3">
      <c r="A89" s="23" t="s">
        <v>177</v>
      </c>
      <c r="B89" s="23">
        <v>103329</v>
      </c>
      <c r="C89" s="23" t="str">
        <f>VLOOKUP(B89,CPU!$B:$J,2,FALSE)</f>
        <v>SINAPI</v>
      </c>
      <c r="D89" s="24" t="str">
        <f>VLOOKUP(B89,CPU!$B:$J,3,FALSE)</f>
        <v>ALVENARIA DE VEDAÇÃO DE BLOCOS CERÂMICOS FURADOS NA HORIZONTAL DE 9X19X19 CM (ESPESSURA 9 CM) E ARGAMASSA DE ASSENTAMENTO COM PREPARO MANUAL. AF_12/2021</v>
      </c>
      <c r="E89" s="23" t="str">
        <f>VLOOKUP(B89,CPU!$B:$J,4,FALSE)</f>
        <v>M2</v>
      </c>
      <c r="F89" s="23"/>
      <c r="G89" s="23"/>
      <c r="H89" s="23"/>
      <c r="I89" s="23"/>
      <c r="J89" s="23"/>
      <c r="K89" s="23"/>
      <c r="L89" s="23"/>
      <c r="M89" s="23"/>
      <c r="N89" s="5">
        <f>SUM($M$90:$M$94)</f>
        <v>19.310000000000002</v>
      </c>
    </row>
    <row r="90" spans="1:14" x14ac:dyDescent="0.3">
      <c r="A90" s="23" t="s">
        <v>592</v>
      </c>
      <c r="B90" s="65" t="s">
        <v>516</v>
      </c>
      <c r="C90" s="66"/>
      <c r="D90" s="66"/>
      <c r="E90" s="67"/>
      <c r="F90" s="5"/>
      <c r="G90" s="26">
        <v>1</v>
      </c>
      <c r="H90" s="5">
        <v>2.2999999999999998</v>
      </c>
      <c r="I90" s="5">
        <v>2.2999999999999998</v>
      </c>
      <c r="J90" s="5"/>
      <c r="K90" s="5">
        <f>IF(COUNTA(H90:J90)=2,ROUND(PRODUCT(H90:J90),2),"")</f>
        <v>5.29</v>
      </c>
      <c r="L90" s="5" t="str">
        <f>IF(OR(AND(COUNTA(H90:J90)=3,K90=""),AND(COUNTA(H90:J90)=1,K90&lt;&gt;"")),ROUND(PRODUCT(H90:K90),2),"")</f>
        <v/>
      </c>
      <c r="M90" s="5">
        <f>IF(L90&lt;&gt;"",ROUND(PRODUCT(F90,G90,L90),2),IF(K90&lt;&gt;"",ROUND(PRODUCT(F90,G90,K90),2),ROUND(PRODUCT(F90:J90),2)))</f>
        <v>5.29</v>
      </c>
      <c r="N90" s="5"/>
    </row>
    <row r="91" spans="1:14" x14ac:dyDescent="0.3">
      <c r="A91" s="23" t="s">
        <v>593</v>
      </c>
      <c r="B91" s="65" t="s">
        <v>516</v>
      </c>
      <c r="C91" s="66"/>
      <c r="D91" s="66"/>
      <c r="E91" s="67"/>
      <c r="F91" s="5"/>
      <c r="G91" s="26">
        <v>1</v>
      </c>
      <c r="H91" s="5">
        <v>2.2999999999999998</v>
      </c>
      <c r="I91" s="5">
        <v>2.88</v>
      </c>
      <c r="J91" s="5"/>
      <c r="K91" s="5">
        <f>IF(COUNTA(H91:J91)=2,ROUND(PRODUCT(H91:J91),2),"")</f>
        <v>6.62</v>
      </c>
      <c r="L91" s="5" t="str">
        <f>IF(OR(AND(COUNTA(H91:J91)=3,K91=""),AND(COUNTA(H91:J91)=1,K91&lt;&gt;"")),ROUND(PRODUCT(H91:K91),2),"")</f>
        <v/>
      </c>
      <c r="M91" s="5">
        <f>IF(L91&lt;&gt;"",ROUND(PRODUCT(F91,G91,L91),2),IF(K91&lt;&gt;"",ROUND(PRODUCT(F91,G91,K91),2),ROUND(PRODUCT(F91:J91),2)))</f>
        <v>6.62</v>
      </c>
      <c r="N91" s="5"/>
    </row>
    <row r="92" spans="1:14" x14ac:dyDescent="0.3">
      <c r="A92" s="23" t="s">
        <v>594</v>
      </c>
      <c r="B92" s="65" t="s">
        <v>516</v>
      </c>
      <c r="C92" s="66"/>
      <c r="D92" s="66"/>
      <c r="E92" s="67"/>
      <c r="F92" s="5"/>
      <c r="G92" s="26">
        <v>2</v>
      </c>
      <c r="H92" s="5">
        <v>2.2999999999999998</v>
      </c>
      <c r="I92" s="5">
        <v>2.2999999999999998</v>
      </c>
      <c r="J92" s="5"/>
      <c r="K92" s="5">
        <f>IF(COUNTA(H92:J92)=2,ROUND(PRODUCT(H92:J92),2),"")</f>
        <v>5.29</v>
      </c>
      <c r="L92" s="5" t="str">
        <f>IF(OR(AND(COUNTA(H92:J92)=3,K92=""),AND(COUNTA(H92:J92)=1,K92&lt;&gt;"")),ROUND(PRODUCT(H92:K92),2),"")</f>
        <v/>
      </c>
      <c r="M92" s="5">
        <f>IF(L92&lt;&gt;"",ROUND(PRODUCT(F92,G92,L92),2),IF(K92&lt;&gt;"",ROUND(PRODUCT(F92,G92,K92),2),ROUND(PRODUCT(F92:J92),2)))</f>
        <v>10.58</v>
      </c>
      <c r="N92" s="5"/>
    </row>
    <row r="93" spans="1:14" x14ac:dyDescent="0.3">
      <c r="A93" s="23" t="s">
        <v>595</v>
      </c>
      <c r="B93" s="65" t="s">
        <v>516</v>
      </c>
      <c r="C93" s="66"/>
      <c r="D93" s="66"/>
      <c r="E93" s="67"/>
      <c r="F93" s="5"/>
      <c r="G93" s="26">
        <v>-3</v>
      </c>
      <c r="H93" s="5">
        <v>1</v>
      </c>
      <c r="I93" s="5">
        <v>0.5</v>
      </c>
      <c r="J93" s="5"/>
      <c r="K93" s="5">
        <f>IF(COUNTA(H93:J93)=2,ROUND(PRODUCT(H93:J93),2),"")</f>
        <v>0.5</v>
      </c>
      <c r="L93" s="5" t="str">
        <f>IF(OR(AND(COUNTA(H93:J93)=3,K93=""),AND(COUNTA(H93:J93)=1,K93&lt;&gt;"")),ROUND(PRODUCT(H93:K93),2),"")</f>
        <v/>
      </c>
      <c r="M93" s="5">
        <f>IF(L93&lt;&gt;"",ROUND(PRODUCT(F93,G93,L93),2),IF(K93&lt;&gt;"",ROUND(PRODUCT(F93,G93,K93),2),ROUND(PRODUCT(F93:J93),2)))</f>
        <v>-1.5</v>
      </c>
      <c r="N93" s="5"/>
    </row>
    <row r="94" spans="1:14" x14ac:dyDescent="0.3">
      <c r="A94" s="23" t="s">
        <v>596</v>
      </c>
      <c r="B94" s="65" t="s">
        <v>516</v>
      </c>
      <c r="C94" s="66"/>
      <c r="D94" s="66"/>
      <c r="E94" s="67"/>
      <c r="F94" s="5"/>
      <c r="G94" s="26">
        <v>-1</v>
      </c>
      <c r="H94" s="5">
        <v>0.8</v>
      </c>
      <c r="I94" s="5">
        <v>2.1</v>
      </c>
      <c r="J94" s="5"/>
      <c r="K94" s="5">
        <f>IF(COUNTA(H94:J94)=2,ROUND(PRODUCT(H94:J94),2),"")</f>
        <v>1.68</v>
      </c>
      <c r="L94" s="5" t="str">
        <f>IF(OR(AND(COUNTA(H94:J94)=3,K94=""),AND(COUNTA(H94:J94)=1,K94&lt;&gt;"")),ROUND(PRODUCT(H94:K94),2),"")</f>
        <v/>
      </c>
      <c r="M94" s="5">
        <f>IF(L94&lt;&gt;"",ROUND(PRODUCT(F94,G94,L94),2),IF(K94&lt;&gt;"",ROUND(PRODUCT(F94,G94,K94),2),ROUND(PRODUCT(F94:J94),2)))</f>
        <v>-1.68</v>
      </c>
      <c r="N94" s="5"/>
    </row>
    <row r="95" spans="1:14" ht="43.2" x14ac:dyDescent="0.3">
      <c r="A95" s="23" t="s">
        <v>178</v>
      </c>
      <c r="B95" s="23">
        <v>101161</v>
      </c>
      <c r="C95" s="23" t="str">
        <f>VLOOKUP(B95,CPU!$B:$J,2,FALSE)</f>
        <v>SINAPI</v>
      </c>
      <c r="D95" s="24" t="str">
        <f>VLOOKUP(B95,CPU!$B:$J,3,FALSE)</f>
        <v>ALVENARIA DE VEDAÇÃO COM ELEMENTO VAZADO DE CONCRETO (COBOGÓ) DE 7X50X50CM E ARGAMASSA DE ASSENTAMENTO COM PREPARO EM BETONEIRA. AF_05/2020</v>
      </c>
      <c r="E95" s="23" t="str">
        <f>VLOOKUP(B95,CPU!$B:$J,4,FALSE)</f>
        <v>M2</v>
      </c>
      <c r="F95" s="23"/>
      <c r="G95" s="23"/>
      <c r="H95" s="23"/>
      <c r="I95" s="23"/>
      <c r="J95" s="23"/>
      <c r="K95" s="23"/>
      <c r="L95" s="23"/>
      <c r="M95" s="23"/>
      <c r="N95" s="5">
        <f>SUM($M$96:$M$96)</f>
        <v>1.5</v>
      </c>
    </row>
    <row r="96" spans="1:14" x14ac:dyDescent="0.3">
      <c r="A96" s="23" t="s">
        <v>597</v>
      </c>
      <c r="B96" s="65" t="s">
        <v>516</v>
      </c>
      <c r="C96" s="66"/>
      <c r="D96" s="66"/>
      <c r="E96" s="67"/>
      <c r="F96" s="5"/>
      <c r="G96" s="26">
        <v>3</v>
      </c>
      <c r="H96" s="5">
        <v>1</v>
      </c>
      <c r="I96" s="5">
        <v>0.5</v>
      </c>
      <c r="J96" s="5"/>
      <c r="K96" s="5">
        <f>IF(COUNTA(H96:J96)=2,ROUND(PRODUCT(H96:J96),2),"")</f>
        <v>0.5</v>
      </c>
      <c r="L96" s="5" t="str">
        <f>IF(OR(AND(COUNTA(H96:J96)=3,K96=""),AND(COUNTA(H96:J96)=1,K96&lt;&gt;"")),ROUND(PRODUCT(H96:K96),2),"")</f>
        <v/>
      </c>
      <c r="M96" s="5">
        <f>IF(L96&lt;&gt;"",ROUND(PRODUCT(F96,G96,L96),2),IF(K96&lt;&gt;"",ROUND(PRODUCT(F96,G96,K96),2),ROUND(PRODUCT(F96:J96),2)))</f>
        <v>1.5</v>
      </c>
      <c r="N96" s="5"/>
    </row>
    <row r="97" spans="1:14" x14ac:dyDescent="0.3">
      <c r="A97" s="15" t="s">
        <v>31</v>
      </c>
      <c r="B97" s="49" t="s">
        <v>598</v>
      </c>
      <c r="C97" s="50"/>
      <c r="D97" s="50"/>
      <c r="E97" s="50"/>
      <c r="F97" s="50"/>
      <c r="G97" s="50"/>
      <c r="H97" s="50"/>
      <c r="I97" s="50"/>
      <c r="J97" s="50"/>
      <c r="K97" s="50"/>
      <c r="L97" s="50"/>
      <c r="M97" s="50"/>
      <c r="N97" s="51"/>
    </row>
    <row r="98" spans="1:14" ht="28.8" x14ac:dyDescent="0.3">
      <c r="A98" s="23" t="s">
        <v>179</v>
      </c>
      <c r="B98" s="23" t="s">
        <v>599</v>
      </c>
      <c r="C98" s="23" t="str">
        <f>VLOOKUP(B98,CPU!$B:$J,2,FALSE)</f>
        <v>PRÓPRIA</v>
      </c>
      <c r="D98" s="24" t="str">
        <f>VLOOKUP(B98,CPU!$B:$J,3,FALSE)</f>
        <v>TELHAMENTO COM TELHA CERÂMICA CAPA-CANAL, TIPO COLONIAL, COM ATÉ 2 ÁGUAS, INCLUSO TRANSPORTE VERTICAL</v>
      </c>
      <c r="E98" s="23" t="str">
        <f>VLOOKUP(B98,CPU!$B:$J,4,FALSE)</f>
        <v>M²</v>
      </c>
      <c r="F98" s="23"/>
      <c r="G98" s="23"/>
      <c r="H98" s="23"/>
      <c r="I98" s="23"/>
      <c r="J98" s="23"/>
      <c r="K98" s="23"/>
      <c r="L98" s="23"/>
      <c r="M98" s="23"/>
      <c r="N98" s="5">
        <f>SUM($M$99:$M$99)</f>
        <v>10.23</v>
      </c>
    </row>
    <row r="99" spans="1:14" x14ac:dyDescent="0.3">
      <c r="A99" s="23" t="s">
        <v>600</v>
      </c>
      <c r="B99" s="65" t="s">
        <v>516</v>
      </c>
      <c r="C99" s="66"/>
      <c r="D99" s="66"/>
      <c r="E99" s="67"/>
      <c r="F99" s="5"/>
      <c r="G99" s="26"/>
      <c r="H99" s="5">
        <v>3.1</v>
      </c>
      <c r="I99" s="5">
        <v>3.3</v>
      </c>
      <c r="J99" s="5"/>
      <c r="K99" s="5">
        <f>IF(COUNTA(H99:J99)=2,ROUND(PRODUCT(H99:J99),2),"")</f>
        <v>10.23</v>
      </c>
      <c r="L99" s="5" t="str">
        <f>IF(OR(AND(COUNTA(H99:J99)=3,K99=""),AND(COUNTA(H99:J99)=1,K99&lt;&gt;"")),ROUND(PRODUCT(H99:K99),2),"")</f>
        <v/>
      </c>
      <c r="M99" s="5">
        <f>IF(L99&lt;&gt;"",ROUND(PRODUCT(F99,G99,L99),2),IF(K99&lt;&gt;"",ROUND(PRODUCT(F99,G99,K99),2),ROUND(PRODUCT(F99:J99),2)))</f>
        <v>10.23</v>
      </c>
      <c r="N99" s="5"/>
    </row>
    <row r="100" spans="1:14" ht="28.8" x14ac:dyDescent="0.3">
      <c r="A100" s="23" t="s">
        <v>180</v>
      </c>
      <c r="B100" s="23" t="s">
        <v>601</v>
      </c>
      <c r="C100" s="23" t="str">
        <f>VLOOKUP(B100,CPU!$B:$J,2,FALSE)</f>
        <v>PRÓPRIA</v>
      </c>
      <c r="D100" s="24" t="str">
        <f>VLOOKUP(B100,CPU!$B:$J,3,FALSE)</f>
        <v>TRAMA DE MADEIRA COMPOSTA POR RIPAS, CAIBROS E TERÇAS PARA TELHADOS DE ATÉ 2 ÁGUAS PARA TELHA CERÂMICA CAPA-CANAL, INCLUSO TRANSPORTE VERTICAL</v>
      </c>
      <c r="E100" s="23" t="str">
        <f>VLOOKUP(B100,CPU!$B:$J,4,FALSE)</f>
        <v>M²</v>
      </c>
      <c r="F100" s="23"/>
      <c r="G100" s="23"/>
      <c r="H100" s="23"/>
      <c r="I100" s="23"/>
      <c r="J100" s="23"/>
      <c r="K100" s="23"/>
      <c r="L100" s="23"/>
      <c r="M100" s="23"/>
      <c r="N100" s="5">
        <f>SUM($M$101:$M$101)</f>
        <v>10.23</v>
      </c>
    </row>
    <row r="101" spans="1:14" x14ac:dyDescent="0.3">
      <c r="A101" s="23" t="s">
        <v>602</v>
      </c>
      <c r="B101" s="65" t="s">
        <v>516</v>
      </c>
      <c r="C101" s="66"/>
      <c r="D101" s="66"/>
      <c r="E101" s="67"/>
      <c r="F101" s="5"/>
      <c r="G101" s="26"/>
      <c r="H101" s="5">
        <v>3.1</v>
      </c>
      <c r="I101" s="5">
        <v>3.3</v>
      </c>
      <c r="J101" s="5"/>
      <c r="K101" s="5">
        <f>IF(COUNTA(H101:J101)=2,ROUND(PRODUCT(H101:J101),2),"")</f>
        <v>10.23</v>
      </c>
      <c r="L101" s="5" t="str">
        <f>IF(OR(AND(COUNTA(H101:J101)=3,K101=""),AND(COUNTA(H101:J101)=1,K101&lt;&gt;"")),ROUND(PRODUCT(H101:K101),2),"")</f>
        <v/>
      </c>
      <c r="M101" s="5">
        <f>IF(L101&lt;&gt;"",ROUND(PRODUCT(F101,G101,L101),2),IF(K101&lt;&gt;"",ROUND(PRODUCT(F101,G101,K101),2),ROUND(PRODUCT(F101:J101),2)))</f>
        <v>10.23</v>
      </c>
      <c r="N101" s="5"/>
    </row>
    <row r="102" spans="1:14" x14ac:dyDescent="0.3">
      <c r="A102" s="15" t="s">
        <v>32</v>
      </c>
      <c r="B102" s="49" t="s">
        <v>603</v>
      </c>
      <c r="C102" s="50"/>
      <c r="D102" s="50"/>
      <c r="E102" s="50"/>
      <c r="F102" s="50"/>
      <c r="G102" s="50"/>
      <c r="H102" s="50"/>
      <c r="I102" s="50"/>
      <c r="J102" s="50"/>
      <c r="K102" s="50"/>
      <c r="L102" s="50"/>
      <c r="M102" s="50"/>
      <c r="N102" s="51"/>
    </row>
    <row r="103" spans="1:14" ht="28.8" x14ac:dyDescent="0.3">
      <c r="A103" s="23" t="s">
        <v>181</v>
      </c>
      <c r="B103" s="23">
        <v>96617</v>
      </c>
      <c r="C103" s="23" t="str">
        <f>VLOOKUP(B103,CPU!$B:$J,2,FALSE)</f>
        <v>SINAPI</v>
      </c>
      <c r="D103" s="24" t="str">
        <f>VLOOKUP(B103,CPU!$B:$J,3,FALSE)</f>
        <v>LASTRO DE CONCRETO MAGRO, APLICADO EM BLOCOS DE COROAMENTO OU SAPATAS, ESPESSURA DE 3 CM. AF_01/2024</v>
      </c>
      <c r="E103" s="23" t="str">
        <f>VLOOKUP(B103,CPU!$B:$J,4,FALSE)</f>
        <v>M2</v>
      </c>
      <c r="F103" s="23"/>
      <c r="G103" s="23"/>
      <c r="H103" s="23"/>
      <c r="I103" s="23"/>
      <c r="J103" s="23"/>
      <c r="K103" s="23"/>
      <c r="L103" s="23"/>
      <c r="M103" s="23"/>
      <c r="N103" s="5">
        <f>SUM($M$104:$M$104)</f>
        <v>4</v>
      </c>
    </row>
    <row r="104" spans="1:14" x14ac:dyDescent="0.3">
      <c r="A104" s="23" t="s">
        <v>604</v>
      </c>
      <c r="B104" s="65" t="s">
        <v>516</v>
      </c>
      <c r="C104" s="66"/>
      <c r="D104" s="66"/>
      <c r="E104" s="67"/>
      <c r="F104" s="5"/>
      <c r="G104" s="26"/>
      <c r="H104" s="5">
        <v>2</v>
      </c>
      <c r="I104" s="5">
        <v>2</v>
      </c>
      <c r="J104" s="5"/>
      <c r="K104" s="5">
        <f>IF(COUNTA(H104:J104)=2,ROUND(PRODUCT(H104:J104),2),"")</f>
        <v>4</v>
      </c>
      <c r="L104" s="5" t="str">
        <f>IF(OR(AND(COUNTA(H104:J104)=3,K104=""),AND(COUNTA(H104:J104)=1,K104&lt;&gt;"")),ROUND(PRODUCT(H104:K104),2),"")</f>
        <v/>
      </c>
      <c r="M104" s="5">
        <f>IF(L104&lt;&gt;"",ROUND(PRODUCT(F104,G104,L104),2),IF(K104&lt;&gt;"",ROUND(PRODUCT(F104,G104,K104),2),ROUND(PRODUCT(F104:J104),2)))</f>
        <v>4</v>
      </c>
      <c r="N104" s="5"/>
    </row>
    <row r="105" spans="1:14" ht="28.8" x14ac:dyDescent="0.3">
      <c r="A105" s="23" t="s">
        <v>182</v>
      </c>
      <c r="B105" s="23">
        <v>101749</v>
      </c>
      <c r="C105" s="23" t="str">
        <f>VLOOKUP(B105,CPU!$B:$J,2,FALSE)</f>
        <v>SINAPI</v>
      </c>
      <c r="D105" s="24" t="str">
        <f>VLOOKUP(B105,CPU!$B:$J,3,FALSE)</f>
        <v>PISO CIMENTADO, TRAÇO 1:3 (CIMENTO E AREIA), ACABAMENTO LISO, ESPESSURA 4,0 CM, PREPARO MECÂNICO DA ARGAMASSA. AF_09/2020</v>
      </c>
      <c r="E105" s="23" t="str">
        <f>VLOOKUP(B105,CPU!$B:$J,4,FALSE)</f>
        <v>M2</v>
      </c>
      <c r="F105" s="23"/>
      <c r="G105" s="23"/>
      <c r="H105" s="23"/>
      <c r="I105" s="23"/>
      <c r="J105" s="23"/>
      <c r="K105" s="23"/>
      <c r="L105" s="23"/>
      <c r="M105" s="23"/>
      <c r="N105" s="5">
        <f>SUM($M$106:$M$106)</f>
        <v>4</v>
      </c>
    </row>
    <row r="106" spans="1:14" x14ac:dyDescent="0.3">
      <c r="A106" s="23" t="s">
        <v>605</v>
      </c>
      <c r="B106" s="65" t="s">
        <v>516</v>
      </c>
      <c r="C106" s="66"/>
      <c r="D106" s="66"/>
      <c r="E106" s="67"/>
      <c r="F106" s="5"/>
      <c r="G106" s="26"/>
      <c r="H106" s="5">
        <v>2</v>
      </c>
      <c r="I106" s="5">
        <v>2</v>
      </c>
      <c r="J106" s="5"/>
      <c r="K106" s="5">
        <f>IF(COUNTA(H106:J106)=2,ROUND(PRODUCT(H106:J106),2),"")</f>
        <v>4</v>
      </c>
      <c r="L106" s="5" t="str">
        <f>IF(OR(AND(COUNTA(H106:J106)=3,K106=""),AND(COUNTA(H106:J106)=1,K106&lt;&gt;"")),ROUND(PRODUCT(H106:K106),2),"")</f>
        <v/>
      </c>
      <c r="M106" s="5">
        <f>IF(L106&lt;&gt;"",ROUND(PRODUCT(F106,G106,L106),2),IF(K106&lt;&gt;"",ROUND(PRODUCT(F106,G106,K106),2),ROUND(PRODUCT(F106:J106),2)))</f>
        <v>4</v>
      </c>
      <c r="N106" s="5"/>
    </row>
    <row r="107" spans="1:14" ht="43.2" x14ac:dyDescent="0.3">
      <c r="A107" s="23" t="s">
        <v>183</v>
      </c>
      <c r="B107" s="23">
        <v>94994</v>
      </c>
      <c r="C107" s="23" t="str">
        <f>VLOOKUP(B107,CPU!$B:$J,2,FALSE)</f>
        <v>SINAPI</v>
      </c>
      <c r="D107" s="24" t="str">
        <f>VLOOKUP(B107,CPU!$B:$J,3,FALSE)</f>
        <v>EXECUÇÃO DE PASSEIO (CALÇADA) OU PISO DE CONCRETO COM CONCRETO MOLDADO IN LOCO, FEITO EM OBRA, ACABAMENTO CONVENCIONAL, ESPESSURA 8 CM, ARMADO. AF_08/2022</v>
      </c>
      <c r="E107" s="23" t="str">
        <f>VLOOKUP(B107,CPU!$B:$J,4,FALSE)</f>
        <v>M2</v>
      </c>
      <c r="F107" s="23"/>
      <c r="G107" s="23"/>
      <c r="H107" s="23"/>
      <c r="I107" s="23"/>
      <c r="J107" s="23"/>
      <c r="K107" s="23"/>
      <c r="L107" s="23"/>
      <c r="M107" s="23"/>
      <c r="N107" s="5">
        <f>SUM($M$108:$M$109)</f>
        <v>5.6</v>
      </c>
    </row>
    <row r="108" spans="1:14" x14ac:dyDescent="0.3">
      <c r="A108" s="23" t="s">
        <v>606</v>
      </c>
      <c r="B108" s="65" t="s">
        <v>516</v>
      </c>
      <c r="C108" s="66"/>
      <c r="D108" s="66"/>
      <c r="E108" s="67"/>
      <c r="F108" s="5"/>
      <c r="G108" s="26">
        <v>2</v>
      </c>
      <c r="H108" s="5">
        <v>3.3</v>
      </c>
      <c r="I108" s="5">
        <v>0.5</v>
      </c>
      <c r="J108" s="5"/>
      <c r="K108" s="5">
        <f>IF(COUNTA(H108:J108)=2,ROUND(PRODUCT(H108:J108),2),"")</f>
        <v>1.65</v>
      </c>
      <c r="L108" s="5" t="str">
        <f>IF(OR(AND(COUNTA(H108:J108)=3,K108=""),AND(COUNTA(H108:J108)=1,K108&lt;&gt;"")),ROUND(PRODUCT(H108:K108),2),"")</f>
        <v/>
      </c>
      <c r="M108" s="5">
        <f>IF(L108&lt;&gt;"",ROUND(PRODUCT(F108,G108,L108),2),IF(K108&lt;&gt;"",ROUND(PRODUCT(F108,G108,K108),2),ROUND(PRODUCT(F108:J108),2)))</f>
        <v>3.3</v>
      </c>
      <c r="N108" s="5"/>
    </row>
    <row r="109" spans="1:14" x14ac:dyDescent="0.3">
      <c r="A109" s="23" t="s">
        <v>607</v>
      </c>
      <c r="B109" s="65" t="s">
        <v>516</v>
      </c>
      <c r="C109" s="66"/>
      <c r="D109" s="66"/>
      <c r="E109" s="67"/>
      <c r="F109" s="5"/>
      <c r="G109" s="26">
        <v>2</v>
      </c>
      <c r="H109" s="5">
        <v>2.2999999999999998</v>
      </c>
      <c r="I109" s="5">
        <v>0.5</v>
      </c>
      <c r="J109" s="5"/>
      <c r="K109" s="5">
        <f>IF(COUNTA(H109:J109)=2,ROUND(PRODUCT(H109:J109),2),"")</f>
        <v>1.1499999999999999</v>
      </c>
      <c r="L109" s="5" t="str">
        <f>IF(OR(AND(COUNTA(H109:J109)=3,K109=""),AND(COUNTA(H109:J109)=1,K109&lt;&gt;"")),ROUND(PRODUCT(H109:K109),2),"")</f>
        <v/>
      </c>
      <c r="M109" s="5">
        <f>IF(L109&lt;&gt;"",ROUND(PRODUCT(F109,G109,L109),2),IF(K109&lt;&gt;"",ROUND(PRODUCT(F109,G109,K109),2),ROUND(PRODUCT(F109:J109),2)))</f>
        <v>2.2999999999999998</v>
      </c>
      <c r="N109" s="5"/>
    </row>
    <row r="110" spans="1:14" x14ac:dyDescent="0.3">
      <c r="A110" s="15" t="s">
        <v>33</v>
      </c>
      <c r="B110" s="49" t="s">
        <v>608</v>
      </c>
      <c r="C110" s="50"/>
      <c r="D110" s="50"/>
      <c r="E110" s="50"/>
      <c r="F110" s="50"/>
      <c r="G110" s="50"/>
      <c r="H110" s="50"/>
      <c r="I110" s="50"/>
      <c r="J110" s="50"/>
      <c r="K110" s="50"/>
      <c r="L110" s="50"/>
      <c r="M110" s="50"/>
      <c r="N110" s="51"/>
    </row>
    <row r="111" spans="1:14" ht="43.2" x14ac:dyDescent="0.3">
      <c r="A111" s="23" t="s">
        <v>184</v>
      </c>
      <c r="B111" s="23">
        <v>87904</v>
      </c>
      <c r="C111" s="23" t="str">
        <f>VLOOKUP(B111,CPU!$B:$J,2,FALSE)</f>
        <v>SINAPI</v>
      </c>
      <c r="D111" s="24" t="str">
        <f>VLOOKUP(B111,CPU!$B:$J,3,FALSE)</f>
        <v>CHAPISCO APLICADO EM ALVENARIA (COM PRESENÇA DE VÃOS) E ESTRUTURAS DE CONCRETO DE FACHADA, COM COLHER DE PEDREIRO. ARGAMASSA TRAÇO 1:3 COM PREPARO MANUAL. AF_10/2022</v>
      </c>
      <c r="E111" s="23" t="str">
        <f>VLOOKUP(B111,CPU!$B:$J,4,FALSE)</f>
        <v>M2</v>
      </c>
      <c r="F111" s="23"/>
      <c r="G111" s="23"/>
      <c r="H111" s="23"/>
      <c r="I111" s="23"/>
      <c r="J111" s="23"/>
      <c r="K111" s="23"/>
      <c r="L111" s="23"/>
      <c r="M111" s="23"/>
      <c r="N111" s="5">
        <f>SUM($M$112:$M$112)</f>
        <v>38.619999999999997</v>
      </c>
    </row>
    <row r="112" spans="1:14" x14ac:dyDescent="0.3">
      <c r="A112" s="23" t="s">
        <v>609</v>
      </c>
      <c r="B112" s="65" t="s">
        <v>610</v>
      </c>
      <c r="C112" s="66"/>
      <c r="D112" s="66"/>
      <c r="E112" s="67"/>
      <c r="F112" s="5"/>
      <c r="G112" s="26">
        <v>2</v>
      </c>
      <c r="H112" s="5"/>
      <c r="I112" s="5"/>
      <c r="J112" s="5"/>
      <c r="K112" s="5">
        <v>19.309999999999999</v>
      </c>
      <c r="L112" s="5" t="str">
        <f>IF(OR(AND(COUNTA(H112:J112)=3,K112=""),AND(COUNTA(H112:J112)=1,K112&lt;&gt;"")),ROUND(PRODUCT(H112:K112),2),"")</f>
        <v/>
      </c>
      <c r="M112" s="5">
        <f>IF(L112&lt;&gt;"",ROUND(PRODUCT(F112,G112,L112),2),IF(K112&lt;&gt;"",ROUND(PRODUCT(F112,G112,K112),2),ROUND(PRODUCT(F112:J112),2)))</f>
        <v>38.619999999999997</v>
      </c>
      <c r="N112" s="5"/>
    </row>
    <row r="113" spans="1:14" ht="43.2" x14ac:dyDescent="0.3">
      <c r="A113" s="23" t="s">
        <v>185</v>
      </c>
      <c r="B113" s="23">
        <v>87530</v>
      </c>
      <c r="C113" s="23" t="str">
        <f>VLOOKUP(B113,CPU!$B:$J,2,FALSE)</f>
        <v>SINAPI</v>
      </c>
      <c r="D113" s="24" t="str">
        <f>VLOOKUP(B113,CPU!$B:$J,3,FALSE)</f>
        <v>MASSA ÚNICA, EM ARGAMASSA TRAÇO 1:2:8, PREPARO MANUAL, APLICADA MANUALMENTE EM PAREDES INTERNAS DE AMBIENTES COM ÁREA ENTRE 5M² E 10M², E = 17,5MM, COM TALISCAS. AF_03/2024</v>
      </c>
      <c r="E113" s="23" t="str">
        <f>VLOOKUP(B113,CPU!$B:$J,4,FALSE)</f>
        <v>M2</v>
      </c>
      <c r="F113" s="23"/>
      <c r="G113" s="23"/>
      <c r="H113" s="23"/>
      <c r="I113" s="23"/>
      <c r="J113" s="23"/>
      <c r="K113" s="23"/>
      <c r="L113" s="23"/>
      <c r="M113" s="23"/>
      <c r="N113" s="5">
        <f>SUM($M$114:$M$114)</f>
        <v>38.619999999999997</v>
      </c>
    </row>
    <row r="114" spans="1:14" x14ac:dyDescent="0.3">
      <c r="A114" s="23" t="s">
        <v>611</v>
      </c>
      <c r="B114" s="65" t="s">
        <v>610</v>
      </c>
      <c r="C114" s="66"/>
      <c r="D114" s="66"/>
      <c r="E114" s="67"/>
      <c r="F114" s="5"/>
      <c r="G114" s="26">
        <v>2</v>
      </c>
      <c r="H114" s="5"/>
      <c r="I114" s="5"/>
      <c r="J114" s="5"/>
      <c r="K114" s="5">
        <v>19.309999999999999</v>
      </c>
      <c r="L114" s="5" t="str">
        <f>IF(OR(AND(COUNTA(H114:J114)=3,K114=""),AND(COUNTA(H114:J114)=1,K114&lt;&gt;"")),ROUND(PRODUCT(H114:K114),2),"")</f>
        <v/>
      </c>
      <c r="M114" s="5">
        <f>IF(L114&lt;&gt;"",ROUND(PRODUCT(F114,G114,L114),2),IF(K114&lt;&gt;"",ROUND(PRODUCT(F114,G114,K114),2),ROUND(PRODUCT(F114:J114),2)))</f>
        <v>38.619999999999997</v>
      </c>
      <c r="N114" s="5"/>
    </row>
    <row r="115" spans="1:14" x14ac:dyDescent="0.3">
      <c r="A115" s="15" t="s">
        <v>34</v>
      </c>
      <c r="B115" s="49" t="s">
        <v>612</v>
      </c>
      <c r="C115" s="50"/>
      <c r="D115" s="50"/>
      <c r="E115" s="50"/>
      <c r="F115" s="50"/>
      <c r="G115" s="50"/>
      <c r="H115" s="50"/>
      <c r="I115" s="50"/>
      <c r="J115" s="50"/>
      <c r="K115" s="50"/>
      <c r="L115" s="50"/>
      <c r="M115" s="50"/>
      <c r="N115" s="51"/>
    </row>
    <row r="116" spans="1:14" x14ac:dyDescent="0.3">
      <c r="A116" s="23" t="s">
        <v>186</v>
      </c>
      <c r="B116" s="23">
        <v>100701</v>
      </c>
      <c r="C116" s="23" t="str">
        <f>VLOOKUP(B116,CPU!$B:$J,2,FALSE)</f>
        <v>SINAPI</v>
      </c>
      <c r="D116" s="24" t="str">
        <f>VLOOKUP(B116,CPU!$B:$J,3,FALSE)</f>
        <v>PORTA DE FERRO, DE ABRIR, TIPO GRADE COM CHAPA, COM GUARNIÇÕES. AF_12/2019</v>
      </c>
      <c r="E116" s="23" t="str">
        <f>VLOOKUP(B116,CPU!$B:$J,4,FALSE)</f>
        <v>M2</v>
      </c>
      <c r="F116" s="23"/>
      <c r="G116" s="23"/>
      <c r="H116" s="23"/>
      <c r="I116" s="23"/>
      <c r="J116" s="23"/>
      <c r="K116" s="23"/>
      <c r="L116" s="23"/>
      <c r="M116" s="23"/>
      <c r="N116" s="5">
        <f>SUM($M$117:$M$117)</f>
        <v>1.68</v>
      </c>
    </row>
    <row r="117" spans="1:14" x14ac:dyDescent="0.3">
      <c r="A117" s="23" t="s">
        <v>613</v>
      </c>
      <c r="B117" s="65" t="s">
        <v>516</v>
      </c>
      <c r="C117" s="66"/>
      <c r="D117" s="66"/>
      <c r="E117" s="67"/>
      <c r="F117" s="5"/>
      <c r="G117" s="26">
        <v>1</v>
      </c>
      <c r="H117" s="5"/>
      <c r="I117" s="5">
        <v>0.8</v>
      </c>
      <c r="J117" s="5">
        <v>2.1</v>
      </c>
      <c r="K117" s="5">
        <f>IF(COUNTA(H117:J117)=2,ROUND(PRODUCT(H117:J117),2),"")</f>
        <v>1.68</v>
      </c>
      <c r="L117" s="5" t="str">
        <f>IF(OR(AND(COUNTA(H117:J117)=3,K117=""),AND(COUNTA(H117:J117)=1,K117&lt;&gt;"")),ROUND(PRODUCT(H117:K117),2),"")</f>
        <v/>
      </c>
      <c r="M117" s="5">
        <f>IF(L117&lt;&gt;"",ROUND(PRODUCT(F117,G117,L117),2),IF(K117&lt;&gt;"",ROUND(PRODUCT(F117,G117,K117),2),ROUND(PRODUCT(F117:J117),2)))</f>
        <v>1.68</v>
      </c>
      <c r="N117" s="5"/>
    </row>
    <row r="118" spans="1:14" ht="28.8" x14ac:dyDescent="0.3">
      <c r="A118" s="23" t="s">
        <v>187</v>
      </c>
      <c r="B118" s="23" t="s">
        <v>614</v>
      </c>
      <c r="C118" s="23" t="str">
        <f>VLOOKUP(B118,CPU!$B:$J,2,FALSE)</f>
        <v>SEINFRA</v>
      </c>
      <c r="D118" s="24" t="str">
        <f>VLOOKUP(B118,CPU!$B:$J,3,FALSE)</f>
        <v>PORTÃO DE METALON E BARRA CHATA DE FERRO C/FECHADURA E DOBRADIÇA, INCLUS. PINTURA ESMALTE SINTÉTICO</v>
      </c>
      <c r="E118" s="23" t="str">
        <f>VLOOKUP(B118,CPU!$B:$J,4,FALSE)</f>
        <v>M2</v>
      </c>
      <c r="F118" s="23"/>
      <c r="G118" s="23"/>
      <c r="H118" s="23"/>
      <c r="I118" s="23"/>
      <c r="J118" s="23"/>
      <c r="K118" s="23"/>
      <c r="L118" s="23"/>
      <c r="M118" s="23"/>
      <c r="N118" s="5">
        <f>SUM($M$119:$M$119)</f>
        <v>6</v>
      </c>
    </row>
    <row r="119" spans="1:14" x14ac:dyDescent="0.3">
      <c r="A119" s="23" t="s">
        <v>615</v>
      </c>
      <c r="B119" s="65" t="s">
        <v>516</v>
      </c>
      <c r="C119" s="66"/>
      <c r="D119" s="66"/>
      <c r="E119" s="67"/>
      <c r="F119" s="5"/>
      <c r="G119" s="26"/>
      <c r="H119" s="5"/>
      <c r="I119" s="5">
        <v>3</v>
      </c>
      <c r="J119" s="5">
        <v>2</v>
      </c>
      <c r="K119" s="5">
        <f>IF(COUNTA(H119:J119)=2,ROUND(PRODUCT(H119:J119),2),"")</f>
        <v>6</v>
      </c>
      <c r="L119" s="5" t="str">
        <f>IF(OR(AND(COUNTA(H119:J119)=3,K119=""),AND(COUNTA(H119:J119)=1,K119&lt;&gt;"")),ROUND(PRODUCT(H119:K119),2),"")</f>
        <v/>
      </c>
      <c r="M119" s="5">
        <f>IF(L119&lt;&gt;"",ROUND(PRODUCT(F119,G119,L119),2),IF(K119&lt;&gt;"",ROUND(PRODUCT(F119,G119,K119),2),ROUND(PRODUCT(F119:J119),2)))</f>
        <v>6</v>
      </c>
      <c r="N119" s="5"/>
    </row>
    <row r="120" spans="1:14" x14ac:dyDescent="0.3">
      <c r="A120" s="15" t="s">
        <v>35</v>
      </c>
      <c r="B120" s="49" t="s">
        <v>616</v>
      </c>
      <c r="C120" s="50"/>
      <c r="D120" s="50"/>
      <c r="E120" s="50"/>
      <c r="F120" s="50"/>
      <c r="G120" s="50"/>
      <c r="H120" s="50"/>
      <c r="I120" s="50"/>
      <c r="J120" s="50"/>
      <c r="K120" s="50"/>
      <c r="L120" s="50"/>
      <c r="M120" s="50"/>
      <c r="N120" s="51"/>
    </row>
    <row r="121" spans="1:14" x14ac:dyDescent="0.3">
      <c r="A121" s="23" t="s">
        <v>188</v>
      </c>
      <c r="B121" s="23" t="s">
        <v>617</v>
      </c>
      <c r="C121" s="23" t="str">
        <f>VLOOKUP(B121,CPU!$B:$J,2,FALSE)</f>
        <v>PRÓPRIA</v>
      </c>
      <c r="D121" s="24" t="str">
        <f>VLOOKUP(B121,CPU!$B:$J,3,FALSE)</f>
        <v>CAIAÇÃO EM TRES DEMÃOS EM PAREDES (REF: C0589-SEINFRA 28)</v>
      </c>
      <c r="E121" s="23" t="str">
        <f>VLOOKUP(B121,CPU!$B:$J,4,FALSE)</f>
        <v>M2</v>
      </c>
      <c r="F121" s="23"/>
      <c r="G121" s="23"/>
      <c r="H121" s="23"/>
      <c r="I121" s="23"/>
      <c r="J121" s="23"/>
      <c r="K121" s="23"/>
      <c r="L121" s="23"/>
      <c r="M121" s="23"/>
      <c r="N121" s="5">
        <f>SUM($M$122:$M$122)</f>
        <v>38.619999999999997</v>
      </c>
    </row>
    <row r="122" spans="1:14" x14ac:dyDescent="0.3">
      <c r="A122" s="23" t="s">
        <v>618</v>
      </c>
      <c r="B122" s="65" t="s">
        <v>610</v>
      </c>
      <c r="C122" s="66"/>
      <c r="D122" s="66"/>
      <c r="E122" s="67"/>
      <c r="F122" s="5"/>
      <c r="G122" s="26">
        <v>2</v>
      </c>
      <c r="H122" s="5"/>
      <c r="I122" s="5"/>
      <c r="J122" s="5"/>
      <c r="K122" s="5">
        <v>19.309999999999999</v>
      </c>
      <c r="L122" s="5" t="str">
        <f>IF(OR(AND(COUNTA(H122:J122)=3,K122=""),AND(COUNTA(H122:J122)=1,K122&lt;&gt;"")),ROUND(PRODUCT(H122:K122),2),"")</f>
        <v/>
      </c>
      <c r="M122" s="5">
        <f>IF(L122&lt;&gt;"",ROUND(PRODUCT(F122,G122,L122),2),IF(K122&lt;&gt;"",ROUND(PRODUCT(F122,G122,K122),2),ROUND(PRODUCT(F122:J122),2)))</f>
        <v>38.619999999999997</v>
      </c>
      <c r="N122" s="5"/>
    </row>
    <row r="123" spans="1:14" ht="43.2" x14ac:dyDescent="0.3">
      <c r="A123" s="23" t="s">
        <v>189</v>
      </c>
      <c r="B123" s="23">
        <v>100758</v>
      </c>
      <c r="C123" s="23" t="str">
        <f>VLOOKUP(B123,CPU!$B:$J,2,FALSE)</f>
        <v>SINAPI</v>
      </c>
      <c r="D123" s="24" t="str">
        <f>VLOOKUP(B123,CPU!$B:$J,3,FALSE)</f>
        <v>PINTURA COM TINTA ALQUÍDICA DE ACABAMENTO (ESMALTE SINTÉTICO ACETINADO) APLICADA A ROLO OU PINCEL SOBRE SUPERFÍCIES METÁLICAS (EXCETO PERFIL) EXECUTADO EM OBRA (02 DEMÃOS). AF_01/2020</v>
      </c>
      <c r="E123" s="23" t="str">
        <f>VLOOKUP(B123,CPU!$B:$J,4,FALSE)</f>
        <v>M2</v>
      </c>
      <c r="F123" s="23"/>
      <c r="G123" s="23"/>
      <c r="H123" s="23"/>
      <c r="I123" s="23"/>
      <c r="J123" s="23"/>
      <c r="K123" s="23"/>
      <c r="L123" s="23"/>
      <c r="M123" s="23"/>
      <c r="N123" s="5">
        <f>SUM($M$124:$M$124)</f>
        <v>3.36</v>
      </c>
    </row>
    <row r="124" spans="1:14" x14ac:dyDescent="0.3">
      <c r="A124" s="23" t="s">
        <v>619</v>
      </c>
      <c r="B124" s="65" t="s">
        <v>620</v>
      </c>
      <c r="C124" s="66"/>
      <c r="D124" s="66"/>
      <c r="E124" s="67"/>
      <c r="F124" s="5"/>
      <c r="G124" s="26">
        <v>2</v>
      </c>
      <c r="H124" s="5"/>
      <c r="I124" s="5">
        <v>0.8</v>
      </c>
      <c r="J124" s="5">
        <v>2.1</v>
      </c>
      <c r="K124" s="5">
        <f>IF(COUNTA(H124:J124)=2,ROUND(PRODUCT(H124:J124),2),"")</f>
        <v>1.68</v>
      </c>
      <c r="L124" s="5" t="str">
        <f>IF(OR(AND(COUNTA(H124:J124)=3,K124=""),AND(COUNTA(H124:J124)=1,K124&lt;&gt;"")),ROUND(PRODUCT(H124:K124),2),"")</f>
        <v/>
      </c>
      <c r="M124" s="5">
        <f>IF(L124&lt;&gt;"",ROUND(PRODUCT(F124,G124,L124),2),IF(K124&lt;&gt;"",ROUND(PRODUCT(F124,G124,K124),2),ROUND(PRODUCT(F124:J124),2)))</f>
        <v>3.36</v>
      </c>
      <c r="N124" s="5"/>
    </row>
    <row r="125" spans="1:14" x14ac:dyDescent="0.3">
      <c r="A125" s="15" t="s">
        <v>36</v>
      </c>
      <c r="B125" s="49" t="s">
        <v>621</v>
      </c>
      <c r="C125" s="50"/>
      <c r="D125" s="50"/>
      <c r="E125" s="50"/>
      <c r="F125" s="50"/>
      <c r="G125" s="50"/>
      <c r="H125" s="50"/>
      <c r="I125" s="50"/>
      <c r="J125" s="50"/>
      <c r="K125" s="50"/>
      <c r="L125" s="50"/>
      <c r="M125" s="50"/>
      <c r="N125" s="51"/>
    </row>
    <row r="126" spans="1:14" ht="43.2" x14ac:dyDescent="0.3">
      <c r="A126" s="23" t="s">
        <v>190</v>
      </c>
      <c r="B126" s="23">
        <v>101197</v>
      </c>
      <c r="C126" s="23" t="str">
        <f>VLOOKUP(B126,CPU!$B:$J,2,FALSE)</f>
        <v>SINAPI</v>
      </c>
      <c r="D126" s="24" t="str">
        <f>VLOOKUP(B126,CPU!$B:$J,3,FALSE)</f>
        <v>CERCA COM MOURÕES DE CONCRETO, SEÇÃO "T" PONTA INCLINADA, 10X10 CM, ESPAÇAMENTO DE 2,5 M, CRAVADOS 0,5 M, COM 11 FIOS DE ARAME FARPADO Nº 14 - FORNECIMENTO E INSTALAÇÃO. AF_05/2020</v>
      </c>
      <c r="E126" s="23" t="str">
        <f>VLOOKUP(B126,CPU!$B:$J,4,FALSE)</f>
        <v>M</v>
      </c>
      <c r="F126" s="23"/>
      <c r="G126" s="23"/>
      <c r="H126" s="23"/>
      <c r="I126" s="23"/>
      <c r="J126" s="23"/>
      <c r="K126" s="23"/>
      <c r="L126" s="23"/>
      <c r="M126" s="23"/>
      <c r="N126" s="5">
        <f>SUM($M$127:$M$128)</f>
        <v>37</v>
      </c>
    </row>
    <row r="127" spans="1:14" x14ac:dyDescent="0.3">
      <c r="A127" s="23" t="s">
        <v>622</v>
      </c>
      <c r="B127" s="65" t="s">
        <v>516</v>
      </c>
      <c r="C127" s="66"/>
      <c r="D127" s="66"/>
      <c r="E127" s="67"/>
      <c r="F127" s="5"/>
      <c r="G127" s="26">
        <v>4</v>
      </c>
      <c r="H127" s="5">
        <v>10</v>
      </c>
      <c r="I127" s="5"/>
      <c r="J127" s="5"/>
      <c r="K127" s="5" t="str">
        <f>IF(COUNTA(H127:J127)=2,ROUND(PRODUCT(H127:J127),2),"")</f>
        <v/>
      </c>
      <c r="L127" s="5" t="str">
        <f>IF(OR(AND(COUNTA(H127:J127)=3,K127=""),AND(COUNTA(H127:J127)=1,K127&lt;&gt;"")),ROUND(PRODUCT(H127:K127),2),"")</f>
        <v/>
      </c>
      <c r="M127" s="5">
        <f>IF(L127&lt;&gt;"",ROUND(PRODUCT(F127,G127,L127),2),IF(K127&lt;&gt;"",ROUND(PRODUCT(F127,G127,K127),2),ROUND(PRODUCT(F127:J127),2)))</f>
        <v>40</v>
      </c>
      <c r="N127" s="5"/>
    </row>
    <row r="128" spans="1:14" x14ac:dyDescent="0.3">
      <c r="A128" s="23" t="s">
        <v>623</v>
      </c>
      <c r="B128" s="65" t="s">
        <v>624</v>
      </c>
      <c r="C128" s="66"/>
      <c r="D128" s="66"/>
      <c r="E128" s="67"/>
      <c r="F128" s="5"/>
      <c r="G128" s="26">
        <v>-1</v>
      </c>
      <c r="H128" s="5">
        <v>3</v>
      </c>
      <c r="I128" s="5"/>
      <c r="J128" s="5"/>
      <c r="K128" s="5" t="str">
        <f>IF(COUNTA(H128:J128)=2,ROUND(PRODUCT(H128:J128),2),"")</f>
        <v/>
      </c>
      <c r="L128" s="5" t="str">
        <f>IF(OR(AND(COUNTA(H128:J128)=3,K128=""),AND(COUNTA(H128:J128)=1,K128&lt;&gt;"")),ROUND(PRODUCT(H128:K128),2),"")</f>
        <v/>
      </c>
      <c r="M128" s="5">
        <f>IF(L128&lt;&gt;"",ROUND(PRODUCT(F128,G128,L128),2),IF(K128&lt;&gt;"",ROUND(PRODUCT(F128,G128,K128),2),ROUND(PRODUCT(F128:J128),2)))</f>
        <v>-3</v>
      </c>
      <c r="N128" s="5"/>
    </row>
    <row r="129" spans="1:14" x14ac:dyDescent="0.3">
      <c r="A129" s="12" t="s">
        <v>37</v>
      </c>
      <c r="B129" s="46" t="s">
        <v>625</v>
      </c>
      <c r="C129" s="47"/>
      <c r="D129" s="47"/>
      <c r="E129" s="47"/>
      <c r="F129" s="47"/>
      <c r="G129" s="47"/>
      <c r="H129" s="47"/>
      <c r="I129" s="47"/>
      <c r="J129" s="47"/>
      <c r="K129" s="47"/>
      <c r="L129" s="47"/>
      <c r="M129" s="47"/>
      <c r="N129" s="48"/>
    </row>
    <row r="130" spans="1:14" ht="43.2" x14ac:dyDescent="0.3">
      <c r="A130" s="23" t="s">
        <v>191</v>
      </c>
      <c r="B130" s="23" t="s">
        <v>626</v>
      </c>
      <c r="C130" s="23" t="str">
        <f>VLOOKUP(B130,CPU!$B:$J,2,FALSE)</f>
        <v>PRÓPRIA</v>
      </c>
      <c r="D130" s="24" t="str">
        <f>VLOOKUP(B130,CPU!$B:$J,3,FALSE)</f>
        <v>ENTRADA DE ENERGIA ELÉTRICA, AÉREA, MONOFÁSICA, COM CAIXA DE EMBUTIR, CABO DE 10 MM2 E DISJUNTOR DIN 50A (NÃO INCLUSO O POSTE DE CONCRETO). AF_07/2020_PS (REF: 101493-SINAPI-06/2025)</v>
      </c>
      <c r="E130" s="23" t="str">
        <f>VLOOKUP(B130,CPU!$B:$J,4,FALSE)</f>
        <v>UN</v>
      </c>
      <c r="F130" s="23"/>
      <c r="G130" s="23"/>
      <c r="H130" s="23"/>
      <c r="I130" s="23"/>
      <c r="J130" s="23"/>
      <c r="K130" s="23"/>
      <c r="L130" s="23"/>
      <c r="M130" s="23"/>
      <c r="N130" s="5">
        <f>SUM($M$131:$M$131)</f>
        <v>1</v>
      </c>
    </row>
    <row r="131" spans="1:14" x14ac:dyDescent="0.3">
      <c r="A131" s="23" t="s">
        <v>627</v>
      </c>
      <c r="B131" s="65" t="s">
        <v>516</v>
      </c>
      <c r="C131" s="66"/>
      <c r="D131" s="66"/>
      <c r="E131" s="67"/>
      <c r="F131" s="5">
        <v>1</v>
      </c>
      <c r="G131" s="26"/>
      <c r="H131" s="5"/>
      <c r="I131" s="5"/>
      <c r="J131" s="5"/>
      <c r="K131" s="5" t="str">
        <f>IF(COUNTA(H131:J131)=2,ROUND(PRODUCT(H131:J131),2),"")</f>
        <v/>
      </c>
      <c r="L131" s="5" t="str">
        <f>IF(OR(AND(COUNTA(H131:J131)=3,K131=""),AND(COUNTA(H131:J131)=1,K131&lt;&gt;"")),ROUND(PRODUCT(H131:K131),2),"")</f>
        <v/>
      </c>
      <c r="M131" s="5">
        <f>IF(L131&lt;&gt;"",ROUND(PRODUCT(F131,G131,L131),2),IF(K131&lt;&gt;"",ROUND(PRODUCT(F131,G131,K131),2),ROUND(PRODUCT(F131:J131),2)))</f>
        <v>1</v>
      </c>
      <c r="N131" s="5"/>
    </row>
    <row r="132" spans="1:14" ht="28.8" x14ac:dyDescent="0.3">
      <c r="A132" s="23" t="s">
        <v>192</v>
      </c>
      <c r="B132" s="23">
        <v>93656</v>
      </c>
      <c r="C132" s="23" t="str">
        <f>VLOOKUP(B132,CPU!$B:$J,2,FALSE)</f>
        <v>SINAPI</v>
      </c>
      <c r="D132" s="24" t="str">
        <f>VLOOKUP(B132,CPU!$B:$J,3,FALSE)</f>
        <v>DISJUNTOR MONOPOLAR TIPO DIN, CORRENTE NOMINAL DE 25A - FORNECIMENTO E INSTALAÇÃO. AF_10/2020</v>
      </c>
      <c r="E132" s="23" t="str">
        <f>VLOOKUP(B132,CPU!$B:$J,4,FALSE)</f>
        <v>UN</v>
      </c>
      <c r="F132" s="23"/>
      <c r="G132" s="23"/>
      <c r="H132" s="23"/>
      <c r="I132" s="23"/>
      <c r="J132" s="23"/>
      <c r="K132" s="23"/>
      <c r="L132" s="23"/>
      <c r="M132" s="23"/>
      <c r="N132" s="5">
        <f>SUM($M$133:$M$133)</f>
        <v>1</v>
      </c>
    </row>
    <row r="133" spans="1:14" x14ac:dyDescent="0.3">
      <c r="A133" s="23" t="s">
        <v>628</v>
      </c>
      <c r="B133" s="65" t="s">
        <v>516</v>
      </c>
      <c r="C133" s="66"/>
      <c r="D133" s="66"/>
      <c r="E133" s="67"/>
      <c r="F133" s="5">
        <v>1</v>
      </c>
      <c r="G133" s="26"/>
      <c r="H133" s="5"/>
      <c r="I133" s="5"/>
      <c r="J133" s="5"/>
      <c r="K133" s="5" t="str">
        <f>IF(COUNTA(H133:J133)=2,ROUND(PRODUCT(H133:J133),2),"")</f>
        <v/>
      </c>
      <c r="L133" s="5" t="str">
        <f>IF(OR(AND(COUNTA(H133:J133)=3,K133=""),AND(COUNTA(H133:J133)=1,K133&lt;&gt;"")),ROUND(PRODUCT(H133:K133),2),"")</f>
        <v/>
      </c>
      <c r="M133" s="5">
        <f>IF(L133&lt;&gt;"",ROUND(PRODUCT(F133,G133,L133),2),IF(K133&lt;&gt;"",ROUND(PRODUCT(F133,G133,K133),2),ROUND(PRODUCT(F133:J133),2)))</f>
        <v>1</v>
      </c>
      <c r="N133" s="5"/>
    </row>
    <row r="134" spans="1:14" ht="28.8" x14ac:dyDescent="0.3">
      <c r="A134" s="23" t="s">
        <v>193</v>
      </c>
      <c r="B134" s="23">
        <v>93653</v>
      </c>
      <c r="C134" s="23" t="str">
        <f>VLOOKUP(B134,CPU!$B:$J,2,FALSE)</f>
        <v>SINAPI</v>
      </c>
      <c r="D134" s="24" t="str">
        <f>VLOOKUP(B134,CPU!$B:$J,3,FALSE)</f>
        <v>DISJUNTOR MONOPOLAR TIPO DIN, CORRENTE NOMINAL DE 10A - FORNECIMENTO E INSTALAÇÃO. AF_10/2020</v>
      </c>
      <c r="E134" s="23" t="str">
        <f>VLOOKUP(B134,CPU!$B:$J,4,FALSE)</f>
        <v>UN</v>
      </c>
      <c r="F134" s="23"/>
      <c r="G134" s="23"/>
      <c r="H134" s="23"/>
      <c r="I134" s="23"/>
      <c r="J134" s="23"/>
      <c r="K134" s="23"/>
      <c r="L134" s="23"/>
      <c r="M134" s="23"/>
      <c r="N134" s="5">
        <f>SUM($M$135:$M$135)</f>
        <v>1</v>
      </c>
    </row>
    <row r="135" spans="1:14" x14ac:dyDescent="0.3">
      <c r="A135" s="23" t="s">
        <v>629</v>
      </c>
      <c r="B135" s="65" t="s">
        <v>516</v>
      </c>
      <c r="C135" s="66"/>
      <c r="D135" s="66"/>
      <c r="E135" s="67"/>
      <c r="F135" s="5">
        <v>1</v>
      </c>
      <c r="G135" s="26"/>
      <c r="H135" s="5"/>
      <c r="I135" s="5"/>
      <c r="J135" s="5"/>
      <c r="K135" s="5" t="str">
        <f>IF(COUNTA(H135:J135)=2,ROUND(PRODUCT(H135:J135),2),"")</f>
        <v/>
      </c>
      <c r="L135" s="5" t="str">
        <f>IF(OR(AND(COUNTA(H135:J135)=3,K135=""),AND(COUNTA(H135:J135)=1,K135&lt;&gt;"")),ROUND(PRODUCT(H135:K135),2),"")</f>
        <v/>
      </c>
      <c r="M135" s="5">
        <f>IF(L135&lt;&gt;"",ROUND(PRODUCT(F135,G135,L135),2),IF(K135&lt;&gt;"",ROUND(PRODUCT(F135,G135,K135),2),ROUND(PRODUCT(F135:J135),2)))</f>
        <v>1</v>
      </c>
      <c r="N135" s="5"/>
    </row>
    <row r="136" spans="1:14" x14ac:dyDescent="0.3">
      <c r="A136" s="23" t="s">
        <v>194</v>
      </c>
      <c r="B136" s="23" t="s">
        <v>630</v>
      </c>
      <c r="C136" s="23" t="str">
        <f>VLOOKUP(B136,CPU!$B:$J,2,FALSE)</f>
        <v>ORSE</v>
      </c>
      <c r="D136" s="24" t="str">
        <f>VLOOKUP(B136,CPU!$B:$J,3,FALSE)</f>
        <v>DISPOSITIVO DE PROTEÇÃO CONTRA SURTO DE TENSÃO DPS 60KA - 275V</v>
      </c>
      <c r="E136" s="23" t="str">
        <f>VLOOKUP(B136,CPU!$B:$J,4,FALSE)</f>
        <v>UN</v>
      </c>
      <c r="F136" s="23"/>
      <c r="G136" s="23"/>
      <c r="H136" s="23"/>
      <c r="I136" s="23"/>
      <c r="J136" s="23"/>
      <c r="K136" s="23"/>
      <c r="L136" s="23"/>
      <c r="M136" s="23"/>
      <c r="N136" s="5">
        <f>SUM($M$137:$M$137)</f>
        <v>1</v>
      </c>
    </row>
    <row r="137" spans="1:14" x14ac:dyDescent="0.3">
      <c r="A137" s="23" t="s">
        <v>631</v>
      </c>
      <c r="B137" s="65" t="s">
        <v>516</v>
      </c>
      <c r="C137" s="66"/>
      <c r="D137" s="66"/>
      <c r="E137" s="67"/>
      <c r="F137" s="5">
        <v>1</v>
      </c>
      <c r="G137" s="26"/>
      <c r="H137" s="5"/>
      <c r="I137" s="5"/>
      <c r="J137" s="5"/>
      <c r="K137" s="5" t="str">
        <f>IF(COUNTA(H137:J137)=2,ROUND(PRODUCT(H137:J137),2),"")</f>
        <v/>
      </c>
      <c r="L137" s="5" t="str">
        <f>IF(OR(AND(COUNTA(H137:J137)=3,K137=""),AND(COUNTA(H137:J137)=1,K137&lt;&gt;"")),ROUND(PRODUCT(H137:K137),2),"")</f>
        <v/>
      </c>
      <c r="M137" s="5">
        <f>IF(L137&lt;&gt;"",ROUND(PRODUCT(F137,G137,L137),2),IF(K137&lt;&gt;"",ROUND(PRODUCT(F137,G137,K137),2),ROUND(PRODUCT(F137:J137),2)))</f>
        <v>1</v>
      </c>
      <c r="N137" s="5"/>
    </row>
    <row r="138" spans="1:14" ht="28.8" x14ac:dyDescent="0.3">
      <c r="A138" s="23" t="s">
        <v>195</v>
      </c>
      <c r="B138" s="23">
        <v>101877</v>
      </c>
      <c r="C138" s="23" t="str">
        <f>VLOOKUP(B138,CPU!$B:$J,2,FALSE)</f>
        <v>SINAPI</v>
      </c>
      <c r="D138" s="24" t="str">
        <f>VLOOKUP(B138,CPU!$B:$J,3,FALSE)</f>
        <v>QUADRO DE DISTRIBUIÇÃO DE ENERGIA EM PVC, DE EMBUTIR, SEM BARRAMENTO, PARA 3 DISJUNTORES - FORNECIMENTO E INSTALAÇÃO. AF_10/2020</v>
      </c>
      <c r="E138" s="23" t="str">
        <f>VLOOKUP(B138,CPU!$B:$J,4,FALSE)</f>
        <v>UN</v>
      </c>
      <c r="F138" s="23"/>
      <c r="G138" s="23"/>
      <c r="H138" s="23"/>
      <c r="I138" s="23"/>
      <c r="J138" s="23"/>
      <c r="K138" s="23"/>
      <c r="L138" s="23"/>
      <c r="M138" s="23"/>
      <c r="N138" s="5">
        <f>SUM($M$139:$M$139)</f>
        <v>1</v>
      </c>
    </row>
    <row r="139" spans="1:14" x14ac:dyDescent="0.3">
      <c r="A139" s="23" t="s">
        <v>632</v>
      </c>
      <c r="B139" s="65" t="s">
        <v>516</v>
      </c>
      <c r="C139" s="66"/>
      <c r="D139" s="66"/>
      <c r="E139" s="67"/>
      <c r="F139" s="5">
        <v>1</v>
      </c>
      <c r="G139" s="26"/>
      <c r="H139" s="5"/>
      <c r="I139" s="5"/>
      <c r="J139" s="5"/>
      <c r="K139" s="5" t="str">
        <f>IF(COUNTA(H139:J139)=2,ROUND(PRODUCT(H139:J139),2),"")</f>
        <v/>
      </c>
      <c r="L139" s="5" t="str">
        <f>IF(OR(AND(COUNTA(H139:J139)=3,K139=""),AND(COUNTA(H139:J139)=1,K139&lt;&gt;"")),ROUND(PRODUCT(H139:K139),2),"")</f>
        <v/>
      </c>
      <c r="M139" s="5">
        <f>IF(L139&lt;&gt;"",ROUND(PRODUCT(F139,G139,L139),2),IF(K139&lt;&gt;"",ROUND(PRODUCT(F139,G139,K139),2),ROUND(PRODUCT(F139:J139),2)))</f>
        <v>1</v>
      </c>
      <c r="N139" s="5"/>
    </row>
    <row r="140" spans="1:14" ht="43.2" x14ac:dyDescent="0.3">
      <c r="A140" s="23" t="s">
        <v>196</v>
      </c>
      <c r="B140" s="23" t="s">
        <v>633</v>
      </c>
      <c r="C140" s="23" t="str">
        <f>VLOOKUP(B140,CPU!$B:$J,2,FALSE)</f>
        <v>PRÓPRIA</v>
      </c>
      <c r="D140" s="24" t="str">
        <f>VLOOKUP(B140,CPU!$B:$J,3,FALSE)</f>
        <v>PONTO DE ILUMINAÇÃO E TOMADA, RESIDENCIAL, INCLUINDO INTERRUPTOR SIMPLES E TOMADA 10A/250V, CAIXA ELÉTRICA, ELETRODUTO, CABO, RASGO, QUEBRA E CHUMBAMENTO (EXCLUINDO LUMINÁRIA E LÂMPADA)</v>
      </c>
      <c r="E140" s="23" t="str">
        <f>VLOOKUP(B140,CPU!$B:$J,4,FALSE)</f>
        <v>UN</v>
      </c>
      <c r="F140" s="23"/>
      <c r="G140" s="23"/>
      <c r="H140" s="23"/>
      <c r="I140" s="23"/>
      <c r="J140" s="23"/>
      <c r="K140" s="23"/>
      <c r="L140" s="23"/>
      <c r="M140" s="23"/>
      <c r="N140" s="5">
        <f>SUM($M$141:$M$141)</f>
        <v>1</v>
      </c>
    </row>
    <row r="141" spans="1:14" x14ac:dyDescent="0.3">
      <c r="A141" s="23" t="s">
        <v>634</v>
      </c>
      <c r="B141" s="65" t="s">
        <v>516</v>
      </c>
      <c r="C141" s="66"/>
      <c r="D141" s="66"/>
      <c r="E141" s="67"/>
      <c r="F141" s="5">
        <v>1</v>
      </c>
      <c r="G141" s="26"/>
      <c r="H141" s="5"/>
      <c r="I141" s="5"/>
      <c r="J141" s="5"/>
      <c r="K141" s="5" t="str">
        <f>IF(COUNTA(H141:J141)=2,ROUND(PRODUCT(H141:J141),2),"")</f>
        <v/>
      </c>
      <c r="L141" s="5" t="str">
        <f>IF(OR(AND(COUNTA(H141:J141)=3,K141=""),AND(COUNTA(H141:J141)=1,K141&lt;&gt;"")),ROUND(PRODUCT(H141:K141),2),"")</f>
        <v/>
      </c>
      <c r="M141" s="5">
        <f>IF(L141&lt;&gt;"",ROUND(PRODUCT(F141,G141,L141),2),IF(K141&lt;&gt;"",ROUND(PRODUCT(F141,G141,K141),2),ROUND(PRODUCT(F141:J141),2)))</f>
        <v>1</v>
      </c>
      <c r="N141" s="5"/>
    </row>
    <row r="142" spans="1:14" ht="28.8" x14ac:dyDescent="0.3">
      <c r="A142" s="23" t="s">
        <v>197</v>
      </c>
      <c r="B142" s="23">
        <v>97610</v>
      </c>
      <c r="C142" s="23" t="str">
        <f>VLOOKUP(B142,CPU!$B:$J,2,FALSE)</f>
        <v>SINAPI</v>
      </c>
      <c r="D142" s="24" t="str">
        <f>VLOOKUP(B142,CPU!$B:$J,3,FALSE)</f>
        <v>LÂMPADA COMPACTA DE LED 10 W, BASE E27 - FORNECIMENTO E INSTALAÇÃO. AF_09/2024</v>
      </c>
      <c r="E142" s="23" t="str">
        <f>VLOOKUP(B142,CPU!$B:$J,4,FALSE)</f>
        <v>UN</v>
      </c>
      <c r="F142" s="23"/>
      <c r="G142" s="23"/>
      <c r="H142" s="23"/>
      <c r="I142" s="23"/>
      <c r="J142" s="23"/>
      <c r="K142" s="23"/>
      <c r="L142" s="23"/>
      <c r="M142" s="23"/>
      <c r="N142" s="5">
        <f>SUM($M$143:$M$143)</f>
        <v>1</v>
      </c>
    </row>
    <row r="143" spans="1:14" x14ac:dyDescent="0.3">
      <c r="A143" s="23" t="s">
        <v>635</v>
      </c>
      <c r="B143" s="65" t="s">
        <v>516</v>
      </c>
      <c r="C143" s="66"/>
      <c r="D143" s="66"/>
      <c r="E143" s="67"/>
      <c r="F143" s="5">
        <v>1</v>
      </c>
      <c r="G143" s="26"/>
      <c r="H143" s="5"/>
      <c r="I143" s="5"/>
      <c r="J143" s="5"/>
      <c r="K143" s="5" t="str">
        <f>IF(COUNTA(H143:J143)=2,ROUND(PRODUCT(H143:J143),2),"")</f>
        <v/>
      </c>
      <c r="L143" s="5" t="str">
        <f>IF(OR(AND(COUNTA(H143:J143)=3,K143=""),AND(COUNTA(H143:J143)=1,K143&lt;&gt;"")),ROUND(PRODUCT(H143:K143),2),"")</f>
        <v/>
      </c>
      <c r="M143" s="5">
        <f>IF(L143&lt;&gt;"",ROUND(PRODUCT(F143,G143,L143),2),IF(K143&lt;&gt;"",ROUND(PRODUCT(F143,G143,K143),2),ROUND(PRODUCT(F143:J143),2)))</f>
        <v>1</v>
      </c>
      <c r="N143" s="5"/>
    </row>
    <row r="144" spans="1:14" ht="28.8" x14ac:dyDescent="0.3">
      <c r="A144" s="23" t="s">
        <v>198</v>
      </c>
      <c r="B144" s="23" t="s">
        <v>636</v>
      </c>
      <c r="C144" s="23" t="str">
        <f>VLOOKUP(B144,CPU!$B:$J,2,FALSE)</f>
        <v>PRÓPRIA</v>
      </c>
      <c r="D144" s="24" t="str">
        <f>VLOOKUP(B144,CPU!$B:$J,3,FALSE)</f>
        <v>LUMINÁRIA ARANDELA TIPO MEIA-LUA COM VIDRO FOSCO *30 X 15* CM, PARA 1 LÂMPADA (SINAPI ADAPTADO 97605)</v>
      </c>
      <c r="E144" s="23" t="str">
        <f>VLOOKUP(B144,CPU!$B:$J,4,FALSE)</f>
        <v>UN</v>
      </c>
      <c r="F144" s="23"/>
      <c r="G144" s="23"/>
      <c r="H144" s="23"/>
      <c r="I144" s="23"/>
      <c r="J144" s="23"/>
      <c r="K144" s="23"/>
      <c r="L144" s="23"/>
      <c r="M144" s="23"/>
      <c r="N144" s="5">
        <f>SUM($M$145:$M$145)</f>
        <v>1</v>
      </c>
    </row>
    <row r="145" spans="1:14" x14ac:dyDescent="0.3">
      <c r="A145" s="23" t="s">
        <v>637</v>
      </c>
      <c r="B145" s="65" t="s">
        <v>516</v>
      </c>
      <c r="C145" s="66"/>
      <c r="D145" s="66"/>
      <c r="E145" s="67"/>
      <c r="F145" s="5">
        <v>1</v>
      </c>
      <c r="G145" s="26"/>
      <c r="H145" s="5"/>
      <c r="I145" s="5"/>
      <c r="J145" s="5"/>
      <c r="K145" s="5" t="str">
        <f>IF(COUNTA(H145:J145)=2,ROUND(PRODUCT(H145:J145),2),"")</f>
        <v/>
      </c>
      <c r="L145" s="5" t="str">
        <f>IF(OR(AND(COUNTA(H145:J145)=3,K145=""),AND(COUNTA(H145:J145)=1,K145&lt;&gt;"")),ROUND(PRODUCT(H145:K145),2),"")</f>
        <v/>
      </c>
      <c r="M145" s="5">
        <f>IF(L145&lt;&gt;"",ROUND(PRODUCT(F145,G145,L145),2),IF(K145&lt;&gt;"",ROUND(PRODUCT(F145,G145,K145),2),ROUND(PRODUCT(F145:J145),2)))</f>
        <v>1</v>
      </c>
      <c r="N145" s="5"/>
    </row>
    <row r="146" spans="1:14" x14ac:dyDescent="0.3">
      <c r="A146" s="12" t="s">
        <v>38</v>
      </c>
      <c r="B146" s="46" t="s">
        <v>638</v>
      </c>
      <c r="C146" s="47"/>
      <c r="D146" s="47"/>
      <c r="E146" s="47"/>
      <c r="F146" s="47"/>
      <c r="G146" s="47"/>
      <c r="H146" s="47"/>
      <c r="I146" s="47"/>
      <c r="J146" s="47"/>
      <c r="K146" s="47"/>
      <c r="L146" s="47"/>
      <c r="M146" s="47"/>
      <c r="N146" s="48"/>
    </row>
    <row r="147" spans="1:14" x14ac:dyDescent="0.3">
      <c r="A147" s="15" t="s">
        <v>39</v>
      </c>
      <c r="B147" s="49" t="s">
        <v>573</v>
      </c>
      <c r="C147" s="50"/>
      <c r="D147" s="50"/>
      <c r="E147" s="50"/>
      <c r="F147" s="50"/>
      <c r="G147" s="50"/>
      <c r="H147" s="50"/>
      <c r="I147" s="50"/>
      <c r="J147" s="50"/>
      <c r="K147" s="50"/>
      <c r="L147" s="50"/>
      <c r="M147" s="50"/>
      <c r="N147" s="51"/>
    </row>
    <row r="148" spans="1:14" x14ac:dyDescent="0.3">
      <c r="A148" s="23" t="s">
        <v>199</v>
      </c>
      <c r="B148" s="23">
        <v>93358</v>
      </c>
      <c r="C148" s="23" t="str">
        <f>VLOOKUP(B148,CPU!$B:$J,2,FALSE)</f>
        <v>SINAPI</v>
      </c>
      <c r="D148" s="24" t="str">
        <f>VLOOKUP(B148,CPU!$B:$J,3,FALSE)</f>
        <v>ESCAVAÇÃO MANUAL DE VALA. AF_09/2024</v>
      </c>
      <c r="E148" s="23" t="str">
        <f>VLOOKUP(B148,CPU!$B:$J,4,FALSE)</f>
        <v>M3</v>
      </c>
      <c r="F148" s="23"/>
      <c r="G148" s="23"/>
      <c r="H148" s="23"/>
      <c r="I148" s="23"/>
      <c r="J148" s="23"/>
      <c r="K148" s="23"/>
      <c r="L148" s="23"/>
      <c r="M148" s="23"/>
      <c r="N148" s="5">
        <f>SUM($M$149:$M$149)</f>
        <v>2.76</v>
      </c>
    </row>
    <row r="149" spans="1:14" x14ac:dyDescent="0.3">
      <c r="A149" s="23" t="s">
        <v>639</v>
      </c>
      <c r="B149" s="65" t="s">
        <v>516</v>
      </c>
      <c r="C149" s="66"/>
      <c r="D149" s="66"/>
      <c r="E149" s="67"/>
      <c r="F149" s="5"/>
      <c r="G149" s="26"/>
      <c r="H149" s="5">
        <v>3.6</v>
      </c>
      <c r="I149" s="5">
        <v>0.6</v>
      </c>
      <c r="J149" s="5">
        <v>1.28</v>
      </c>
      <c r="K149" s="5" t="str">
        <f>IF(COUNTA(H149:J149)=2,ROUND(PRODUCT(H149:J149),2),"")</f>
        <v/>
      </c>
      <c r="L149" s="5">
        <f>IF(OR(AND(COUNTA(H149:J149)=3,K149=""),AND(COUNTA(H149:J149)=1,K149&lt;&gt;"")),ROUND(PRODUCT(H149:K149),2),"")</f>
        <v>2.76</v>
      </c>
      <c r="M149" s="5">
        <f>IF(L149&lt;&gt;"",ROUND(PRODUCT(F149,G149,L149),2),IF(K149&lt;&gt;"",ROUND(PRODUCT(F149,G149,K149),2),ROUND(PRODUCT(F149:J149),2)))</f>
        <v>2.76</v>
      </c>
      <c r="N149" s="5"/>
    </row>
    <row r="150" spans="1:14" x14ac:dyDescent="0.3">
      <c r="A150" s="23" t="s">
        <v>200</v>
      </c>
      <c r="B150" s="23" t="s">
        <v>640</v>
      </c>
      <c r="C150" s="23" t="str">
        <f>VLOOKUP(B150,CPU!$B:$J,2,FALSE)</f>
        <v>PRÓPRIA</v>
      </c>
      <c r="D150" s="24" t="str">
        <f>VLOOKUP(B150,CPU!$B:$J,3,FALSE)</f>
        <v>REATERRO DE VALA COM COMPACTAÇÃO MANUAL</v>
      </c>
      <c r="E150" s="23" t="str">
        <f>VLOOKUP(B150,CPU!$B:$J,4,FALSE)</f>
        <v>M³</v>
      </c>
      <c r="F150" s="23"/>
      <c r="G150" s="23"/>
      <c r="H150" s="23"/>
      <c r="I150" s="23"/>
      <c r="J150" s="23"/>
      <c r="K150" s="23"/>
      <c r="L150" s="23"/>
      <c r="M150" s="23"/>
      <c r="N150" s="5">
        <f>SUM($M$151:$M$151)</f>
        <v>2.76</v>
      </c>
    </row>
    <row r="151" spans="1:14" x14ac:dyDescent="0.3">
      <c r="A151" s="23" t="s">
        <v>641</v>
      </c>
      <c r="B151" s="65" t="s">
        <v>516</v>
      </c>
      <c r="C151" s="66"/>
      <c r="D151" s="66"/>
      <c r="E151" s="67"/>
      <c r="F151" s="5"/>
      <c r="G151" s="26"/>
      <c r="H151" s="5">
        <v>3.6</v>
      </c>
      <c r="I151" s="5">
        <v>0.6</v>
      </c>
      <c r="J151" s="5">
        <v>1.28</v>
      </c>
      <c r="K151" s="5" t="str">
        <f>IF(COUNTA(H151:J151)=2,ROUND(PRODUCT(H151:J151),2),"")</f>
        <v/>
      </c>
      <c r="L151" s="5">
        <f>IF(OR(AND(COUNTA(H151:J151)=3,K151=""),AND(COUNTA(H151:J151)=1,K151&lt;&gt;"")),ROUND(PRODUCT(H151:K151),2),"")</f>
        <v>2.76</v>
      </c>
      <c r="M151" s="5">
        <f>IF(L151&lt;&gt;"",ROUND(PRODUCT(F151,G151,L151),2),IF(K151&lt;&gt;"",ROUND(PRODUCT(F151,G151,K151),2),ROUND(PRODUCT(F151:J151),2)))</f>
        <v>2.76</v>
      </c>
      <c r="N151" s="5"/>
    </row>
    <row r="152" spans="1:14" x14ac:dyDescent="0.3">
      <c r="A152" s="15" t="s">
        <v>40</v>
      </c>
      <c r="B152" s="49" t="s">
        <v>576</v>
      </c>
      <c r="C152" s="50"/>
      <c r="D152" s="50"/>
      <c r="E152" s="50"/>
      <c r="F152" s="50"/>
      <c r="G152" s="50"/>
      <c r="H152" s="50"/>
      <c r="I152" s="50"/>
      <c r="J152" s="50"/>
      <c r="K152" s="50"/>
      <c r="L152" s="50"/>
      <c r="M152" s="50"/>
      <c r="N152" s="51"/>
    </row>
    <row r="153" spans="1:14" x14ac:dyDescent="0.3">
      <c r="A153" s="23" t="s">
        <v>201</v>
      </c>
      <c r="B153" s="23" t="s">
        <v>642</v>
      </c>
      <c r="C153" s="23" t="str">
        <f>VLOOKUP(B153,CPU!$B:$J,2,FALSE)</f>
        <v>SEINFRA</v>
      </c>
      <c r="D153" s="24" t="str">
        <f>VLOOKUP(B153,CPU!$B:$J,3,FALSE)</f>
        <v>BLOCO DE ANCORAGEM EM CONCRETO SIMPLES FCK=10MPa</v>
      </c>
      <c r="E153" s="23" t="str">
        <f>VLOOKUP(B153,CPU!$B:$J,4,FALSE)</f>
        <v>M3</v>
      </c>
      <c r="F153" s="23"/>
      <c r="G153" s="23"/>
      <c r="H153" s="23"/>
      <c r="I153" s="23"/>
      <c r="J153" s="23"/>
      <c r="K153" s="23"/>
      <c r="L153" s="23"/>
      <c r="M153" s="23"/>
      <c r="N153" s="5">
        <f>SUM($M$154:$M$154)</f>
        <v>0.26</v>
      </c>
    </row>
    <row r="154" spans="1:14" x14ac:dyDescent="0.3">
      <c r="A154" s="23" t="s">
        <v>643</v>
      </c>
      <c r="B154" s="65" t="s">
        <v>516</v>
      </c>
      <c r="C154" s="66"/>
      <c r="D154" s="66"/>
      <c r="E154" s="67"/>
      <c r="F154" s="5"/>
      <c r="G154" s="26">
        <v>2</v>
      </c>
      <c r="H154" s="5">
        <v>0.5</v>
      </c>
      <c r="I154" s="5">
        <v>0.5</v>
      </c>
      <c r="J154" s="5">
        <v>0.5</v>
      </c>
      <c r="K154" s="5" t="str">
        <f>IF(COUNTA(H154:J154)=2,ROUND(PRODUCT(H154:J154),2),"")</f>
        <v/>
      </c>
      <c r="L154" s="5">
        <f>IF(OR(AND(COUNTA(H154:J154)=3,K154=""),AND(COUNTA(H154:J154)=1,K154&lt;&gt;"")),ROUND(PRODUCT(H154:K154),2),"")</f>
        <v>0.13</v>
      </c>
      <c r="M154" s="5">
        <f>IF(L154&lt;&gt;"",ROUND(PRODUCT(F154,G154,L154),2),IF(K154&lt;&gt;"",ROUND(PRODUCT(F154,G154,K154),2),ROUND(PRODUCT(F154:J154),2)))</f>
        <v>0.26</v>
      </c>
      <c r="N154" s="5"/>
    </row>
    <row r="155" spans="1:14" x14ac:dyDescent="0.3">
      <c r="A155" s="15" t="s">
        <v>41</v>
      </c>
      <c r="B155" s="49" t="s">
        <v>644</v>
      </c>
      <c r="C155" s="50"/>
      <c r="D155" s="50"/>
      <c r="E155" s="50"/>
      <c r="F155" s="50"/>
      <c r="G155" s="50"/>
      <c r="H155" s="50"/>
      <c r="I155" s="50"/>
      <c r="J155" s="50"/>
      <c r="K155" s="50"/>
      <c r="L155" s="50"/>
      <c r="M155" s="50"/>
      <c r="N155" s="51"/>
    </row>
    <row r="156" spans="1:14" ht="28.8" x14ac:dyDescent="0.3">
      <c r="A156" s="23" t="s">
        <v>202</v>
      </c>
      <c r="B156" s="23" t="s">
        <v>645</v>
      </c>
      <c r="C156" s="23" t="str">
        <f>VLOOKUP(B156,CPU!$B:$J,2,FALSE)</f>
        <v>PRÓPRIA</v>
      </c>
      <c r="D156" s="24" t="str">
        <f>VLOOKUP(B156,CPU!$B:$J,3,FALSE)</f>
        <v>AQUISIÇÃO E ASSENTAMENTO DE TUBO RÍGIDO PVC, CLASSE 12, DN 50 MM, INCLUSO CONEXÕES</v>
      </c>
      <c r="E156" s="23" t="str">
        <f>VLOOKUP(B156,CPU!$B:$J,4,FALSE)</f>
        <v>M</v>
      </c>
      <c r="F156" s="23"/>
      <c r="G156" s="23"/>
      <c r="H156" s="23"/>
      <c r="I156" s="23"/>
      <c r="J156" s="23"/>
      <c r="K156" s="23"/>
      <c r="L156" s="23"/>
      <c r="M156" s="23"/>
      <c r="N156" s="5">
        <f>SUM($M$157:$M$157)</f>
        <v>16</v>
      </c>
    </row>
    <row r="157" spans="1:14" x14ac:dyDescent="0.3">
      <c r="A157" s="23" t="s">
        <v>646</v>
      </c>
      <c r="B157" s="65" t="s">
        <v>516</v>
      </c>
      <c r="C157" s="66"/>
      <c r="D157" s="66"/>
      <c r="E157" s="67"/>
      <c r="F157" s="5">
        <v>16</v>
      </c>
      <c r="G157" s="26"/>
      <c r="H157" s="5"/>
      <c r="I157" s="5"/>
      <c r="J157" s="5"/>
      <c r="K157" s="5" t="str">
        <f>IF(COUNTA(H157:J157)=2,ROUND(PRODUCT(H157:J157),2),"")</f>
        <v/>
      </c>
      <c r="L157" s="5" t="str">
        <f>IF(OR(AND(COUNTA(H157:J157)=3,K157=""),AND(COUNTA(H157:J157)=1,K157&lt;&gt;"")),ROUND(PRODUCT(H157:K157),2),"")</f>
        <v/>
      </c>
      <c r="M157" s="5">
        <f>IF(L157&lt;&gt;"",ROUND(PRODUCT(F157,G157,L157),2),IF(K157&lt;&gt;"",ROUND(PRODUCT(F157,G157,K157),2),ROUND(PRODUCT(F157:J157),2)))</f>
        <v>16</v>
      </c>
      <c r="N157" s="5"/>
    </row>
    <row r="158" spans="1:14" ht="28.8" x14ac:dyDescent="0.3">
      <c r="A158" s="23" t="s">
        <v>203</v>
      </c>
      <c r="B158" s="23">
        <v>94497</v>
      </c>
      <c r="C158" s="23" t="str">
        <f>VLOOKUP(B158,CPU!$B:$J,2,FALSE)</f>
        <v>SINAPI</v>
      </c>
      <c r="D158" s="24" t="str">
        <f>VLOOKUP(B158,CPU!$B:$J,3,FALSE)</f>
        <v>REGISTRO DE GAVETA BRUTO, LATÃO, ROSCÁVEL, 1 1/2" - FORNECIMENTO E INSTALAÇÃO. AF_08/2021</v>
      </c>
      <c r="E158" s="23" t="str">
        <f>VLOOKUP(B158,CPU!$B:$J,4,FALSE)</f>
        <v>UN</v>
      </c>
      <c r="F158" s="23"/>
      <c r="G158" s="23"/>
      <c r="H158" s="23"/>
      <c r="I158" s="23"/>
      <c r="J158" s="23"/>
      <c r="K158" s="23"/>
      <c r="L158" s="23"/>
      <c r="M158" s="23"/>
      <c r="N158" s="5">
        <f>SUM($M$159:$M$159)</f>
        <v>1</v>
      </c>
    </row>
    <row r="159" spans="1:14" x14ac:dyDescent="0.3">
      <c r="A159" s="23" t="s">
        <v>647</v>
      </c>
      <c r="B159" s="65" t="s">
        <v>516</v>
      </c>
      <c r="C159" s="66"/>
      <c r="D159" s="66"/>
      <c r="E159" s="67"/>
      <c r="F159" s="5">
        <v>1</v>
      </c>
      <c r="G159" s="26"/>
      <c r="H159" s="5"/>
      <c r="I159" s="5"/>
      <c r="J159" s="5"/>
      <c r="K159" s="5" t="str">
        <f>IF(COUNTA(H159:J159)=2,ROUND(PRODUCT(H159:J159),2),"")</f>
        <v/>
      </c>
      <c r="L159" s="5" t="str">
        <f>IF(OR(AND(COUNTA(H159:J159)=3,K159=""),AND(COUNTA(H159:J159)=1,K159&lt;&gt;"")),ROUND(PRODUCT(H159:K159),2),"")</f>
        <v/>
      </c>
      <c r="M159" s="5">
        <f>IF(L159&lt;&gt;"",ROUND(PRODUCT(F159,G159,L159),2),IF(K159&lt;&gt;"",ROUND(PRODUCT(F159,G159,K159),2),ROUND(PRODUCT(F159:J159),2)))</f>
        <v>1</v>
      </c>
      <c r="N159" s="5"/>
    </row>
    <row r="160" spans="1:14" x14ac:dyDescent="0.3">
      <c r="A160" s="12" t="s">
        <v>42</v>
      </c>
      <c r="B160" s="46" t="s">
        <v>648</v>
      </c>
      <c r="C160" s="47"/>
      <c r="D160" s="47"/>
      <c r="E160" s="47"/>
      <c r="F160" s="47"/>
      <c r="G160" s="47"/>
      <c r="H160" s="47"/>
      <c r="I160" s="47"/>
      <c r="J160" s="47"/>
      <c r="K160" s="47"/>
      <c r="L160" s="47"/>
      <c r="M160" s="47"/>
      <c r="N160" s="48"/>
    </row>
    <row r="161" spans="1:14" ht="57.6" x14ac:dyDescent="0.3">
      <c r="A161" s="23" t="s">
        <v>204</v>
      </c>
      <c r="B161" s="23" t="s">
        <v>649</v>
      </c>
      <c r="C161" s="23" t="str">
        <f>VLOOKUP(B161,CPU!$B:$J,2,FALSE)</f>
        <v>PRÓPRIA</v>
      </c>
      <c r="D161" s="24" t="str">
        <f>VLOOKUP(B161,CPU!$B:$J,3,FALSE)</f>
        <v>RESERVATÓRIO ELEVADO C/ CAIXA D'AGUA EM FIBRA DE VIDRO DE 10.000 LITROS APOIADO EM ESTRUTURA PRÉ-MOLDADA EM CONCRETO, COMPOSTA DE CAPITEL P/APOIO DA CAIXA E PILAR C/ALTURA ÚTIL = 7,00M, INCLUSO FRETE E MONTAGEM NO LOCAL, EXCETO INST. HIDRÁULICA</v>
      </c>
      <c r="E161" s="23" t="str">
        <f>VLOOKUP(B161,CPU!$B:$J,4,FALSE)</f>
        <v>UND</v>
      </c>
      <c r="F161" s="23"/>
      <c r="G161" s="23"/>
      <c r="H161" s="23"/>
      <c r="I161" s="23"/>
      <c r="J161" s="23"/>
      <c r="K161" s="23"/>
      <c r="L161" s="23"/>
      <c r="M161" s="23"/>
      <c r="N161" s="5">
        <f>SUM($M$162:$M$162)</f>
        <v>1</v>
      </c>
    </row>
    <row r="162" spans="1:14" x14ac:dyDescent="0.3">
      <c r="A162" s="23" t="s">
        <v>650</v>
      </c>
      <c r="B162" s="65" t="s">
        <v>516</v>
      </c>
      <c r="C162" s="66"/>
      <c r="D162" s="66"/>
      <c r="E162" s="67"/>
      <c r="F162" s="5">
        <v>1</v>
      </c>
      <c r="G162" s="26"/>
      <c r="H162" s="5"/>
      <c r="I162" s="5"/>
      <c r="J162" s="5"/>
      <c r="K162" s="5" t="str">
        <f>IF(COUNTA(H162:J162)=2,ROUND(PRODUCT(H162:J162),2),"")</f>
        <v/>
      </c>
      <c r="L162" s="5" t="str">
        <f>IF(OR(AND(COUNTA(H162:J162)=3,K162=""),AND(COUNTA(H162:J162)=1,K162&lt;&gt;"")),ROUND(PRODUCT(H162:K162),2),"")</f>
        <v/>
      </c>
      <c r="M162" s="5">
        <f>IF(L162&lt;&gt;"",ROUND(PRODUCT(F162,G162,L162),2),IF(K162&lt;&gt;"",ROUND(PRODUCT(F162,G162,K162),2),ROUND(PRODUCT(F162:J162),2)))</f>
        <v>1</v>
      </c>
      <c r="N162" s="5"/>
    </row>
    <row r="163" spans="1:14" x14ac:dyDescent="0.3">
      <c r="A163" s="12" t="s">
        <v>43</v>
      </c>
      <c r="B163" s="46" t="s">
        <v>651</v>
      </c>
      <c r="C163" s="47"/>
      <c r="D163" s="47"/>
      <c r="E163" s="47"/>
      <c r="F163" s="47"/>
      <c r="G163" s="47"/>
      <c r="H163" s="47"/>
      <c r="I163" s="47"/>
      <c r="J163" s="47"/>
      <c r="K163" s="47"/>
      <c r="L163" s="47"/>
      <c r="M163" s="47"/>
      <c r="N163" s="48"/>
    </row>
    <row r="164" spans="1:14" ht="28.8" x14ac:dyDescent="0.3">
      <c r="A164" s="23" t="s">
        <v>205</v>
      </c>
      <c r="B164" s="23" t="s">
        <v>645</v>
      </c>
      <c r="C164" s="23" t="str">
        <f>VLOOKUP(B164,CPU!$B:$J,2,FALSE)</f>
        <v>PRÓPRIA</v>
      </c>
      <c r="D164" s="24" t="str">
        <f>VLOOKUP(B164,CPU!$B:$J,3,FALSE)</f>
        <v>AQUISIÇÃO E ASSENTAMENTO DE TUBO RÍGIDO PVC, CLASSE 12, DN 50 MM, INCLUSO CONEXÕES</v>
      </c>
      <c r="E164" s="23" t="str">
        <f>VLOOKUP(B164,CPU!$B:$J,4,FALSE)</f>
        <v>M</v>
      </c>
      <c r="F164" s="23"/>
      <c r="G164" s="23"/>
      <c r="H164" s="23"/>
      <c r="I164" s="23"/>
      <c r="J164" s="23"/>
      <c r="K164" s="23"/>
      <c r="L164" s="23"/>
      <c r="M164" s="23"/>
      <c r="N164" s="5">
        <f>SUM($M$165:$M$165)</f>
        <v>18</v>
      </c>
    </row>
    <row r="165" spans="1:14" x14ac:dyDescent="0.3">
      <c r="A165" s="23" t="s">
        <v>652</v>
      </c>
      <c r="B165" s="65" t="s">
        <v>516</v>
      </c>
      <c r="C165" s="66"/>
      <c r="D165" s="66"/>
      <c r="E165" s="67"/>
      <c r="F165" s="5">
        <v>18</v>
      </c>
      <c r="G165" s="26"/>
      <c r="H165" s="5"/>
      <c r="I165" s="5"/>
      <c r="J165" s="5"/>
      <c r="K165" s="5" t="str">
        <f>IF(COUNTA(H165:J165)=2,ROUND(PRODUCT(H165:J165),2),"")</f>
        <v/>
      </c>
      <c r="L165" s="5" t="str">
        <f>IF(OR(AND(COUNTA(H165:J165)=3,K165=""),AND(COUNTA(H165:J165)=1,K165&lt;&gt;"")),ROUND(PRODUCT(H165:K165),2),"")</f>
        <v/>
      </c>
      <c r="M165" s="5">
        <f>IF(L165&lt;&gt;"",ROUND(PRODUCT(F165,G165,L165),2),IF(K165&lt;&gt;"",ROUND(PRODUCT(F165,G165,K165),2),ROUND(PRODUCT(F165:J165),2)))</f>
        <v>18</v>
      </c>
      <c r="N165" s="5"/>
    </row>
    <row r="166" spans="1:14" ht="28.8" x14ac:dyDescent="0.3">
      <c r="A166" s="23" t="s">
        <v>206</v>
      </c>
      <c r="B166" s="23" t="s">
        <v>653</v>
      </c>
      <c r="C166" s="23" t="str">
        <f>VLOOKUP(B166,CPU!$B:$J,2,FALSE)</f>
        <v>ORSE</v>
      </c>
      <c r="D166" s="24" t="str">
        <f>VLOOKUP(B166,CPU!$B:$J,3,FALSE)</f>
        <v>CONCRETO ARMADO FCK=15MPA FABRICADO NA OBRA, ADENSADO E LANÇADO, PARA USO GERAL, COM FORMAS PLANAS EM COMPENSADO RESINADO 12MM (05 USOS)</v>
      </c>
      <c r="E166" s="23" t="str">
        <f>VLOOKUP(B166,CPU!$B:$J,4,FALSE)</f>
        <v>M3</v>
      </c>
      <c r="F166" s="23"/>
      <c r="G166" s="23"/>
      <c r="H166" s="23"/>
      <c r="I166" s="23"/>
      <c r="J166" s="23"/>
      <c r="K166" s="23"/>
      <c r="L166" s="23"/>
      <c r="M166" s="23"/>
      <c r="N166" s="5">
        <f>SUM($M$167:$M$167)</f>
        <v>0.26</v>
      </c>
    </row>
    <row r="167" spans="1:14" x14ac:dyDescent="0.3">
      <c r="A167" s="23" t="s">
        <v>654</v>
      </c>
      <c r="B167" s="65" t="s">
        <v>655</v>
      </c>
      <c r="C167" s="66"/>
      <c r="D167" s="66"/>
      <c r="E167" s="67"/>
      <c r="F167" s="5"/>
      <c r="G167" s="26">
        <v>2</v>
      </c>
      <c r="H167" s="5">
        <v>0.5</v>
      </c>
      <c r="I167" s="5">
        <v>0.5</v>
      </c>
      <c r="J167" s="5">
        <v>0.5</v>
      </c>
      <c r="K167" s="5" t="str">
        <f>IF(COUNTA(H167:J167)=2,ROUND(PRODUCT(H167:J167),2),"")</f>
        <v/>
      </c>
      <c r="L167" s="5">
        <f>IF(OR(AND(COUNTA(H167:J167)=3,K167=""),AND(COUNTA(H167:J167)=1,K167&lt;&gt;"")),ROUND(PRODUCT(H167:K167),2),"")</f>
        <v>0.13</v>
      </c>
      <c r="M167" s="5">
        <f>IF(L167&lt;&gt;"",ROUND(PRODUCT(F167,G167,L167),2),IF(K167&lt;&gt;"",ROUND(PRODUCT(F167,G167,K167),2),ROUND(PRODUCT(F167:J167),2)))</f>
        <v>0.26</v>
      </c>
      <c r="N167" s="5"/>
    </row>
    <row r="168" spans="1:14" ht="28.8" x14ac:dyDescent="0.3">
      <c r="A168" s="23" t="s">
        <v>207</v>
      </c>
      <c r="B168" s="23">
        <v>86906</v>
      </c>
      <c r="C168" s="23" t="str">
        <f>VLOOKUP(B168,CPU!$B:$J,2,FALSE)</f>
        <v>SINAPI</v>
      </c>
      <c r="D168" s="24" t="str">
        <f>VLOOKUP(B168,CPU!$B:$J,3,FALSE)</f>
        <v>TORNEIRA CROMADA DE MESA, 1/2" OU 3/4", PARA LAVATÓRIO, PADRÃO POPULAR - FORNECIMENTO E INSTALAÇÃO. AF_01/2020</v>
      </c>
      <c r="E168" s="23" t="str">
        <f>VLOOKUP(B168,CPU!$B:$J,4,FALSE)</f>
        <v>UN</v>
      </c>
      <c r="F168" s="23"/>
      <c r="G168" s="23"/>
      <c r="H168" s="23"/>
      <c r="I168" s="23"/>
      <c r="J168" s="23"/>
      <c r="K168" s="23"/>
      <c r="L168" s="23"/>
      <c r="M168" s="23"/>
      <c r="N168" s="5">
        <f>SUM($M$169:$M$169)</f>
        <v>4</v>
      </c>
    </row>
    <row r="169" spans="1:14" x14ac:dyDescent="0.3">
      <c r="A169" s="23" t="s">
        <v>656</v>
      </c>
      <c r="B169" s="65" t="s">
        <v>516</v>
      </c>
      <c r="C169" s="66"/>
      <c r="D169" s="66"/>
      <c r="E169" s="67"/>
      <c r="F169" s="5">
        <v>4</v>
      </c>
      <c r="G169" s="26"/>
      <c r="H169" s="5"/>
      <c r="I169" s="5"/>
      <c r="J169" s="5"/>
      <c r="K169" s="5" t="str">
        <f>IF(COUNTA(H169:J169)=2,ROUND(PRODUCT(H169:J169),2),"")</f>
        <v/>
      </c>
      <c r="L169" s="5" t="str">
        <f>IF(OR(AND(COUNTA(H169:J169)=3,K169=""),AND(COUNTA(H169:J169)=1,K169&lt;&gt;"")),ROUND(PRODUCT(H169:K169),2),"")</f>
        <v/>
      </c>
      <c r="M169" s="5">
        <f>IF(L169&lt;&gt;"",ROUND(PRODUCT(F169,G169,L169),2),IF(K169&lt;&gt;"",ROUND(PRODUCT(F169,G169,K169),2),ROUND(PRODUCT(F169:J169),2)))</f>
        <v>4</v>
      </c>
      <c r="N169" s="5"/>
    </row>
    <row r="170" spans="1:14" ht="43.2" x14ac:dyDescent="0.3">
      <c r="A170" s="23" t="s">
        <v>208</v>
      </c>
      <c r="B170" s="23">
        <v>92920</v>
      </c>
      <c r="C170" s="23" t="str">
        <f>VLOOKUP(B170,CPU!$B:$J,2,FALSE)</f>
        <v>SINAPI</v>
      </c>
      <c r="D170" s="24" t="str">
        <f>VLOOKUP(B170,CPU!$B:$J,3,FALSE)</f>
        <v>LUVA DE REDUÇÃO, EM FERRO GALVANIZADO, 1" X 3/4", CONEXÃO ROSQUEADA, INSTALADO EM REDE DE ALIMENTAÇÃO PARA HIDRANTE - FORNECIMENTO E INSTALAÇÃO. AF_10/2020</v>
      </c>
      <c r="E170" s="23" t="str">
        <f>VLOOKUP(B170,CPU!$B:$J,4,FALSE)</f>
        <v>UN</v>
      </c>
      <c r="F170" s="23"/>
      <c r="G170" s="23"/>
      <c r="H170" s="23"/>
      <c r="I170" s="23"/>
      <c r="J170" s="23"/>
      <c r="K170" s="23"/>
      <c r="L170" s="23"/>
      <c r="M170" s="23"/>
      <c r="N170" s="5">
        <f>SUM($M$171:$M$171)</f>
        <v>4</v>
      </c>
    </row>
    <row r="171" spans="1:14" x14ac:dyDescent="0.3">
      <c r="A171" s="23" t="s">
        <v>657</v>
      </c>
      <c r="B171" s="65" t="s">
        <v>516</v>
      </c>
      <c r="C171" s="66"/>
      <c r="D171" s="66"/>
      <c r="E171" s="67"/>
      <c r="F171" s="5">
        <v>4</v>
      </c>
      <c r="G171" s="26"/>
      <c r="H171" s="5"/>
      <c r="I171" s="5"/>
      <c r="J171" s="5"/>
      <c r="K171" s="5" t="str">
        <f>IF(COUNTA(H171:J171)=2,ROUND(PRODUCT(H171:J171),2),"")</f>
        <v/>
      </c>
      <c r="L171" s="5" t="str">
        <f>IF(OR(AND(COUNTA(H171:J171)=3,K171=""),AND(COUNTA(H171:J171)=1,K171&lt;&gt;"")),ROUND(PRODUCT(H171:K171),2),"")</f>
        <v/>
      </c>
      <c r="M171" s="5">
        <f>IF(L171&lt;&gt;"",ROUND(PRODUCT(F171,G171,L171),2),IF(K171&lt;&gt;"",ROUND(PRODUCT(F171,G171,K171),2),ROUND(PRODUCT(F171:J171),2)))</f>
        <v>4</v>
      </c>
      <c r="N171" s="5"/>
    </row>
    <row r="172" spans="1:14" x14ac:dyDescent="0.3">
      <c r="A172" s="23" t="s">
        <v>209</v>
      </c>
      <c r="B172" s="23" t="s">
        <v>658</v>
      </c>
      <c r="C172" s="23" t="str">
        <f>VLOOKUP(B172,CPU!$B:$J,2,FALSE)</f>
        <v>PRÓPRIA</v>
      </c>
      <c r="D172" s="24" t="str">
        <f>VLOOKUP(B172,CPU!$B:$J,3,FALSE)</f>
        <v>CRUZETA DE FERRO GALVANIZADO, COM ROSCA BSP, DE 1"</v>
      </c>
      <c r="E172" s="23" t="str">
        <f>VLOOKUP(B172,CPU!$B:$J,4,FALSE)</f>
        <v>UN</v>
      </c>
      <c r="F172" s="23"/>
      <c r="G172" s="23"/>
      <c r="H172" s="23"/>
      <c r="I172" s="23"/>
      <c r="J172" s="23"/>
      <c r="K172" s="23"/>
      <c r="L172" s="23"/>
      <c r="M172" s="23"/>
      <c r="N172" s="5">
        <f>SUM($M$173:$M$173)</f>
        <v>1</v>
      </c>
    </row>
    <row r="173" spans="1:14" x14ac:dyDescent="0.3">
      <c r="A173" s="23" t="s">
        <v>659</v>
      </c>
      <c r="B173" s="65" t="s">
        <v>516</v>
      </c>
      <c r="C173" s="66"/>
      <c r="D173" s="66"/>
      <c r="E173" s="67"/>
      <c r="F173" s="5">
        <v>1</v>
      </c>
      <c r="G173" s="26"/>
      <c r="H173" s="5"/>
      <c r="I173" s="5"/>
      <c r="J173" s="5"/>
      <c r="K173" s="5" t="str">
        <f>IF(COUNTA(H173:J173)=2,ROUND(PRODUCT(H173:J173),2),"")</f>
        <v/>
      </c>
      <c r="L173" s="5" t="str">
        <f>IF(OR(AND(COUNTA(H173:J173)=3,K173=""),AND(COUNTA(H173:J173)=1,K173&lt;&gt;"")),ROUND(PRODUCT(H173:K173),2),"")</f>
        <v/>
      </c>
      <c r="M173" s="5">
        <f>IF(L173&lt;&gt;"",ROUND(PRODUCT(F173,G173,L173),2),IF(K173&lt;&gt;"",ROUND(PRODUCT(F173,G173,K173),2),ROUND(PRODUCT(F173:J173),2)))</f>
        <v>1</v>
      </c>
      <c r="N173" s="5"/>
    </row>
    <row r="174" spans="1:14" ht="28.8" x14ac:dyDescent="0.3">
      <c r="A174" s="23" t="s">
        <v>210</v>
      </c>
      <c r="B174" s="23" t="s">
        <v>660</v>
      </c>
      <c r="C174" s="23" t="str">
        <f>VLOOKUP(B174,CPU!$B:$J,2,FALSE)</f>
        <v>PRÓPRIA</v>
      </c>
      <c r="D174" s="24" t="str">
        <f>VLOOKUP(B174,CPU!$B:$J,3,FALSE)</f>
        <v>TÊ, EM FERRO GALVANIZADO, 1", CONEXÃO ROSQUEADA, INSTALADO EM PRUMADAS - FORNECIMENTO E INSTALAÇÃO.</v>
      </c>
      <c r="E174" s="23" t="str">
        <f>VLOOKUP(B174,CPU!$B:$J,4,FALSE)</f>
        <v>UN</v>
      </c>
      <c r="F174" s="23"/>
      <c r="G174" s="23"/>
      <c r="H174" s="23"/>
      <c r="I174" s="23"/>
      <c r="J174" s="23"/>
      <c r="K174" s="23"/>
      <c r="L174" s="23"/>
      <c r="M174" s="23"/>
      <c r="N174" s="5">
        <f>SUM($M$175:$M$175)</f>
        <v>1</v>
      </c>
    </row>
    <row r="175" spans="1:14" x14ac:dyDescent="0.3">
      <c r="A175" s="23" t="s">
        <v>661</v>
      </c>
      <c r="B175" s="65" t="s">
        <v>516</v>
      </c>
      <c r="C175" s="66"/>
      <c r="D175" s="66"/>
      <c r="E175" s="67"/>
      <c r="F175" s="5">
        <v>1</v>
      </c>
      <c r="G175" s="26"/>
      <c r="H175" s="5"/>
      <c r="I175" s="5"/>
      <c r="J175" s="5"/>
      <c r="K175" s="5" t="str">
        <f>IF(COUNTA(H175:J175)=2,ROUND(PRODUCT(H175:J175),2),"")</f>
        <v/>
      </c>
      <c r="L175" s="5" t="str">
        <f>IF(OR(AND(COUNTA(H175:J175)=3,K175=""),AND(COUNTA(H175:J175)=1,K175&lt;&gt;"")),ROUND(PRODUCT(H175:K175),2),"")</f>
        <v/>
      </c>
      <c r="M175" s="5">
        <f>IF(L175&lt;&gt;"",ROUND(PRODUCT(F175,G175,L175),2),IF(K175&lt;&gt;"",ROUND(PRODUCT(F175,G175,K175),2),ROUND(PRODUCT(F175:J175),2)))</f>
        <v>1</v>
      </c>
      <c r="N175" s="5"/>
    </row>
    <row r="176" spans="1:14" x14ac:dyDescent="0.3">
      <c r="A176" s="23" t="s">
        <v>211</v>
      </c>
      <c r="B176" s="23" t="s">
        <v>662</v>
      </c>
      <c r="C176" s="23" t="str">
        <f>VLOOKUP(B176,CPU!$B:$J,2,FALSE)</f>
        <v>PRÓPRIA</v>
      </c>
      <c r="D176" s="24" t="str">
        <f>VLOOKUP(B176,CPU!$B:$J,3,FALSE)</f>
        <v>LUVA DE FERRO GALVANIZADO, COM ROSCA BSP, DE 1"- FORNECIMENTO E INSTALAÇÃO</v>
      </c>
      <c r="E176" s="23" t="str">
        <f>VLOOKUP(B176,CPU!$B:$J,4,FALSE)</f>
        <v>UN</v>
      </c>
      <c r="F176" s="23"/>
      <c r="G176" s="23"/>
      <c r="H176" s="23"/>
      <c r="I176" s="23"/>
      <c r="J176" s="23"/>
      <c r="K176" s="23"/>
      <c r="L176" s="23"/>
      <c r="M176" s="23"/>
      <c r="N176" s="5">
        <f>SUM($M$177:$M$177)</f>
        <v>1</v>
      </c>
    </row>
    <row r="177" spans="1:14" x14ac:dyDescent="0.3">
      <c r="A177" s="23" t="s">
        <v>663</v>
      </c>
      <c r="B177" s="65" t="s">
        <v>516</v>
      </c>
      <c r="C177" s="66"/>
      <c r="D177" s="66"/>
      <c r="E177" s="67"/>
      <c r="F177" s="5">
        <v>1</v>
      </c>
      <c r="G177" s="26"/>
      <c r="H177" s="5"/>
      <c r="I177" s="5"/>
      <c r="J177" s="5"/>
      <c r="K177" s="5" t="str">
        <f>IF(COUNTA(H177:J177)=2,ROUND(PRODUCT(H177:J177),2),"")</f>
        <v/>
      </c>
      <c r="L177" s="5" t="str">
        <f>IF(OR(AND(COUNTA(H177:J177)=3,K177=""),AND(COUNTA(H177:J177)=1,K177&lt;&gt;"")),ROUND(PRODUCT(H177:K177),2),"")</f>
        <v/>
      </c>
      <c r="M177" s="5">
        <f>IF(L177&lt;&gt;"",ROUND(PRODUCT(F177,G177,L177),2),IF(K177&lt;&gt;"",ROUND(PRODUCT(F177,G177,K177),2),ROUND(PRODUCT(F177:J177),2)))</f>
        <v>1</v>
      </c>
      <c r="N177" s="5"/>
    </row>
    <row r="178" spans="1:14" ht="28.8" x14ac:dyDescent="0.3">
      <c r="A178" s="23" t="s">
        <v>212</v>
      </c>
      <c r="B178" s="23" t="s">
        <v>664</v>
      </c>
      <c r="C178" s="23" t="str">
        <f>VLOOKUP(B178,CPU!$B:$J,2,FALSE)</f>
        <v>PRÓPRIA</v>
      </c>
      <c r="D178" s="24" t="str">
        <f>VLOOKUP(B178,CPU!$B:$J,3,FALSE)</f>
        <v>CURVA 90 GRAUS DE FERRO GALVANIZADO, COM ROSCA BSP FEMEA, DE 1"- FORNECIMENTO E INSTALAÇÃO</v>
      </c>
      <c r="E178" s="23" t="str">
        <f>VLOOKUP(B178,CPU!$B:$J,4,FALSE)</f>
        <v>UN</v>
      </c>
      <c r="F178" s="23"/>
      <c r="G178" s="23"/>
      <c r="H178" s="23"/>
      <c r="I178" s="23"/>
      <c r="J178" s="23"/>
      <c r="K178" s="23"/>
      <c r="L178" s="23"/>
      <c r="M178" s="23"/>
      <c r="N178" s="5">
        <f>SUM($M$179:$M$179)</f>
        <v>1</v>
      </c>
    </row>
    <row r="179" spans="1:14" x14ac:dyDescent="0.3">
      <c r="A179" s="23" t="s">
        <v>665</v>
      </c>
      <c r="B179" s="65" t="s">
        <v>516</v>
      </c>
      <c r="C179" s="66"/>
      <c r="D179" s="66"/>
      <c r="E179" s="67"/>
      <c r="F179" s="5">
        <v>1</v>
      </c>
      <c r="G179" s="26"/>
      <c r="H179" s="5"/>
      <c r="I179" s="5"/>
      <c r="J179" s="5"/>
      <c r="K179" s="5" t="str">
        <f>IF(COUNTA(H179:J179)=2,ROUND(PRODUCT(H179:J179),2),"")</f>
        <v/>
      </c>
      <c r="L179" s="5" t="str">
        <f>IF(OR(AND(COUNTA(H179:J179)=3,K179=""),AND(COUNTA(H179:J179)=1,K179&lt;&gt;"")),ROUND(PRODUCT(H179:K179),2),"")</f>
        <v/>
      </c>
      <c r="M179" s="5">
        <f>IF(L179&lt;&gt;"",ROUND(PRODUCT(F179,G179,L179),2),IF(K179&lt;&gt;"",ROUND(PRODUCT(F179,G179,K179),2),ROUND(PRODUCT(F179:J179),2)))</f>
        <v>1</v>
      </c>
      <c r="N179" s="5"/>
    </row>
    <row r="180" spans="1:14" ht="28.8" x14ac:dyDescent="0.3">
      <c r="A180" s="23" t="s">
        <v>213</v>
      </c>
      <c r="B180" s="23" t="s">
        <v>666</v>
      </c>
      <c r="C180" s="23" t="str">
        <f>VLOOKUP(B180,CPU!$B:$J,2,FALSE)</f>
        <v>PRÓPRIA</v>
      </c>
      <c r="D180" s="24" t="str">
        <f>VLOOKUP(B180,CPU!$B:$J,3,FALSE)</f>
        <v>TUBO DE AÇO GALVANIZADO COM COSTURA 1" (25MM), INCLUSIVE CONEXOES - FORNECIMENTO E INSTALAÇÃO</v>
      </c>
      <c r="E180" s="23" t="str">
        <f>VLOOKUP(B180,CPU!$B:$J,4,FALSE)</f>
        <v>M</v>
      </c>
      <c r="F180" s="23"/>
      <c r="G180" s="23"/>
      <c r="H180" s="23"/>
      <c r="I180" s="23"/>
      <c r="J180" s="23"/>
      <c r="K180" s="23"/>
      <c r="L180" s="23"/>
      <c r="M180" s="23"/>
      <c r="N180" s="5">
        <f>SUM($M$181:$M$181)</f>
        <v>3</v>
      </c>
    </row>
    <row r="181" spans="1:14" x14ac:dyDescent="0.3">
      <c r="A181" s="23" t="s">
        <v>667</v>
      </c>
      <c r="B181" s="65" t="s">
        <v>516</v>
      </c>
      <c r="C181" s="66"/>
      <c r="D181" s="66"/>
      <c r="E181" s="67"/>
      <c r="F181" s="5">
        <v>3</v>
      </c>
      <c r="G181" s="26"/>
      <c r="H181" s="5"/>
      <c r="I181" s="5"/>
      <c r="J181" s="5"/>
      <c r="K181" s="5" t="str">
        <f>IF(COUNTA(H181:J181)=2,ROUND(PRODUCT(H181:J181),2),"")</f>
        <v/>
      </c>
      <c r="L181" s="5" t="str">
        <f>IF(OR(AND(COUNTA(H181:J181)=3,K181=""),AND(COUNTA(H181:J181)=1,K181&lt;&gt;"")),ROUND(PRODUCT(H181:K181),2),"")</f>
        <v/>
      </c>
      <c r="M181" s="5">
        <f>IF(L181&lt;&gt;"",ROUND(PRODUCT(F181,G181,L181),2),IF(K181&lt;&gt;"",ROUND(PRODUCT(F181,G181,K181),2),ROUND(PRODUCT(F181:J181),2)))</f>
        <v>3</v>
      </c>
      <c r="N181" s="5"/>
    </row>
    <row r="182" spans="1:14" ht="28.8" x14ac:dyDescent="0.3">
      <c r="A182" s="23" t="s">
        <v>214</v>
      </c>
      <c r="B182" s="23" t="s">
        <v>668</v>
      </c>
      <c r="C182" s="23" t="str">
        <f>VLOOKUP(B182,CPU!$B:$J,2,FALSE)</f>
        <v>PRÓPRIA</v>
      </c>
      <c r="D182" s="24" t="str">
        <f>VLOOKUP(B182,CPU!$B:$J,3,FALSE)</f>
        <v>BUCHA DE REDUCAO DE FERRO GALVANIZADO, COM ROSCA BSP, DE 1 1/2" X 1"- FORNECIMENTO E INSTALAÇÃO</v>
      </c>
      <c r="E182" s="23" t="str">
        <f>VLOOKUP(B182,CPU!$B:$J,4,FALSE)</f>
        <v>UN</v>
      </c>
      <c r="F182" s="23"/>
      <c r="G182" s="23"/>
      <c r="H182" s="23"/>
      <c r="I182" s="23"/>
      <c r="J182" s="23"/>
      <c r="K182" s="23"/>
      <c r="L182" s="23"/>
      <c r="M182" s="23"/>
      <c r="N182" s="5">
        <f>SUM($M$183:$M$183)</f>
        <v>1</v>
      </c>
    </row>
    <row r="183" spans="1:14" x14ac:dyDescent="0.3">
      <c r="A183" s="23" t="s">
        <v>669</v>
      </c>
      <c r="B183" s="65" t="s">
        <v>516</v>
      </c>
      <c r="C183" s="66"/>
      <c r="D183" s="66"/>
      <c r="E183" s="67"/>
      <c r="F183" s="5">
        <v>1</v>
      </c>
      <c r="G183" s="26"/>
      <c r="H183" s="5"/>
      <c r="I183" s="5"/>
      <c r="J183" s="5"/>
      <c r="K183" s="5" t="str">
        <f>IF(COUNTA(H183:J183)=2,ROUND(PRODUCT(H183:J183),2),"")</f>
        <v/>
      </c>
      <c r="L183" s="5" t="str">
        <f>IF(OR(AND(COUNTA(H183:J183)=3,K183=""),AND(COUNTA(H183:J183)=1,K183&lt;&gt;"")),ROUND(PRODUCT(H183:K183),2),"")</f>
        <v/>
      </c>
      <c r="M183" s="5">
        <f>IF(L183&lt;&gt;"",ROUND(PRODUCT(F183,G183,L183),2),IF(K183&lt;&gt;"",ROUND(PRODUCT(F183,G183,K183),2),ROUND(PRODUCT(F183:J183),2)))</f>
        <v>1</v>
      </c>
      <c r="N183" s="5"/>
    </row>
    <row r="184" spans="1:14" ht="28.8" x14ac:dyDescent="0.3">
      <c r="A184" s="23" t="s">
        <v>215</v>
      </c>
      <c r="B184" s="23">
        <v>94497</v>
      </c>
      <c r="C184" s="23" t="str">
        <f>VLOOKUP(B184,CPU!$B:$J,2,FALSE)</f>
        <v>SINAPI</v>
      </c>
      <c r="D184" s="24" t="str">
        <f>VLOOKUP(B184,CPU!$B:$J,3,FALSE)</f>
        <v>REGISTRO DE GAVETA BRUTO, LATÃO, ROSCÁVEL, 1 1/2" - FORNECIMENTO E INSTALAÇÃO. AF_08/2021</v>
      </c>
      <c r="E184" s="23" t="str">
        <f>VLOOKUP(B184,CPU!$B:$J,4,FALSE)</f>
        <v>UN</v>
      </c>
      <c r="F184" s="23"/>
      <c r="G184" s="23"/>
      <c r="H184" s="23"/>
      <c r="I184" s="23"/>
      <c r="J184" s="23"/>
      <c r="K184" s="23"/>
      <c r="L184" s="23"/>
      <c r="M184" s="23"/>
      <c r="N184" s="5">
        <f>SUM($M$185:$M$185)</f>
        <v>2</v>
      </c>
    </row>
    <row r="185" spans="1:14" x14ac:dyDescent="0.3">
      <c r="A185" s="23" t="s">
        <v>670</v>
      </c>
      <c r="B185" s="65" t="s">
        <v>516</v>
      </c>
      <c r="C185" s="66"/>
      <c r="D185" s="66"/>
      <c r="E185" s="67"/>
      <c r="F185" s="5">
        <v>2</v>
      </c>
      <c r="G185" s="26"/>
      <c r="H185" s="5"/>
      <c r="I185" s="5"/>
      <c r="J185" s="5"/>
      <c r="K185" s="5" t="str">
        <f>IF(COUNTA(H185:J185)=2,ROUND(PRODUCT(H185:J185),2),"")</f>
        <v/>
      </c>
      <c r="L185" s="5" t="str">
        <f>IF(OR(AND(COUNTA(H185:J185)=3,K185=""),AND(COUNTA(H185:J185)=1,K185&lt;&gt;"")),ROUND(PRODUCT(H185:K185),2),"")</f>
        <v/>
      </c>
      <c r="M185" s="5">
        <f>IF(L185&lt;&gt;"",ROUND(PRODUCT(F185,G185,L185),2),IF(K185&lt;&gt;"",ROUND(PRODUCT(F185,G185,K185),2),ROUND(PRODUCT(F185:J185),2)))</f>
        <v>2</v>
      </c>
      <c r="N185" s="5"/>
    </row>
    <row r="186" spans="1:14" ht="28.8" x14ac:dyDescent="0.3">
      <c r="A186" s="23" t="s">
        <v>216</v>
      </c>
      <c r="B186" s="23" t="s">
        <v>671</v>
      </c>
      <c r="C186" s="23" t="str">
        <f>VLOOKUP(B186,CPU!$B:$J,2,FALSE)</f>
        <v>PRÓPRIA</v>
      </c>
      <c r="D186" s="24" t="str">
        <f>VLOOKUP(B186,CPU!$B:$J,3,FALSE)</f>
        <v>ADAPTADOR CURTO COM BOLSA E ROSCA PARA REGISTRO, PVC, SOLDÁVEL, DN 40MM X 1.1/2, INSTALADO EM PRUMADA DE ÁGUA - FORNECIMENTO E INSTALAÇÃO</v>
      </c>
      <c r="E186" s="23" t="str">
        <f>VLOOKUP(B186,CPU!$B:$J,4,FALSE)</f>
        <v>UN</v>
      </c>
      <c r="F186" s="23"/>
      <c r="G186" s="23"/>
      <c r="H186" s="23"/>
      <c r="I186" s="23"/>
      <c r="J186" s="23"/>
      <c r="K186" s="23"/>
      <c r="L186" s="23"/>
      <c r="M186" s="23"/>
      <c r="N186" s="5">
        <f>SUM($M$187:$M$187)</f>
        <v>1</v>
      </c>
    </row>
    <row r="187" spans="1:14" x14ac:dyDescent="0.3">
      <c r="A187" s="23" t="s">
        <v>672</v>
      </c>
      <c r="B187" s="65" t="s">
        <v>516</v>
      </c>
      <c r="C187" s="66"/>
      <c r="D187" s="66"/>
      <c r="E187" s="67"/>
      <c r="F187" s="5">
        <v>1</v>
      </c>
      <c r="G187" s="26"/>
      <c r="H187" s="5"/>
      <c r="I187" s="5"/>
      <c r="J187" s="5"/>
      <c r="K187" s="5" t="str">
        <f>IF(COUNTA(H187:J187)=2,ROUND(PRODUCT(H187:J187),2),"")</f>
        <v/>
      </c>
      <c r="L187" s="5" t="str">
        <f>IF(OR(AND(COUNTA(H187:J187)=3,K187=""),AND(COUNTA(H187:J187)=1,K187&lt;&gt;"")),ROUND(PRODUCT(H187:K187),2),"")</f>
        <v/>
      </c>
      <c r="M187" s="5">
        <f>IF(L187&lt;&gt;"",ROUND(PRODUCT(F187,G187,L187),2),IF(K187&lt;&gt;"",ROUND(PRODUCT(F187,G187,K187),2),ROUND(PRODUCT(F187:J187),2)))</f>
        <v>1</v>
      </c>
      <c r="N187" s="5"/>
    </row>
    <row r="188" spans="1:14" x14ac:dyDescent="0.3">
      <c r="A188" s="9">
        <v>3</v>
      </c>
      <c r="B188" s="52" t="s">
        <v>673</v>
      </c>
      <c r="C188" s="53"/>
      <c r="D188" s="53"/>
      <c r="E188" s="53"/>
      <c r="F188" s="53"/>
      <c r="G188" s="53"/>
      <c r="H188" s="53"/>
      <c r="I188" s="53"/>
      <c r="J188" s="53"/>
      <c r="K188" s="53"/>
      <c r="L188" s="53"/>
      <c r="M188" s="53"/>
      <c r="N188" s="54"/>
    </row>
    <row r="189" spans="1:14" x14ac:dyDescent="0.3">
      <c r="A189" s="12" t="s">
        <v>44</v>
      </c>
      <c r="B189" s="46" t="s">
        <v>520</v>
      </c>
      <c r="C189" s="47"/>
      <c r="D189" s="47"/>
      <c r="E189" s="47"/>
      <c r="F189" s="47"/>
      <c r="G189" s="47"/>
      <c r="H189" s="47"/>
      <c r="I189" s="47"/>
      <c r="J189" s="47"/>
      <c r="K189" s="47"/>
      <c r="L189" s="47"/>
      <c r="M189" s="47"/>
      <c r="N189" s="48"/>
    </row>
    <row r="190" spans="1:14" x14ac:dyDescent="0.3">
      <c r="A190" s="23" t="s">
        <v>217</v>
      </c>
      <c r="B190" s="23" t="s">
        <v>521</v>
      </c>
      <c r="C190" s="23" t="str">
        <f>VLOOKUP(B190,CPU!$B:$J,2,FALSE)</f>
        <v>PRÓPRIA</v>
      </c>
      <c r="D190" s="24" t="str">
        <f>VLOOKUP(B190,CPU!$B:$J,3,FALSE)</f>
        <v>LOCAÇÃO DO POÇO COM ESTUDO GEOLÓGICO/HIDROGEOLÓGICO/GEOFÍSICO</v>
      </c>
      <c r="E190" s="23" t="str">
        <f>VLOOKUP(B190,CPU!$B:$J,4,FALSE)</f>
        <v>UN</v>
      </c>
      <c r="F190" s="23"/>
      <c r="G190" s="23"/>
      <c r="H190" s="23"/>
      <c r="I190" s="23"/>
      <c r="J190" s="23"/>
      <c r="K190" s="23"/>
      <c r="L190" s="23"/>
      <c r="M190" s="23"/>
      <c r="N190" s="5">
        <f>SUM($M$191:$M$191)</f>
        <v>1</v>
      </c>
    </row>
    <row r="191" spans="1:14" x14ac:dyDescent="0.3">
      <c r="A191" s="23" t="s">
        <v>674</v>
      </c>
      <c r="B191" s="65" t="s">
        <v>516</v>
      </c>
      <c r="C191" s="66"/>
      <c r="D191" s="66"/>
      <c r="E191" s="67"/>
      <c r="F191" s="5">
        <v>1</v>
      </c>
      <c r="G191" s="26"/>
      <c r="H191" s="5"/>
      <c r="I191" s="5"/>
      <c r="J191" s="5"/>
      <c r="K191" s="5" t="str">
        <f>IF(COUNTA(H191:J191)=2,ROUND(PRODUCT(H191:J191),2),"")</f>
        <v/>
      </c>
      <c r="L191" s="5" t="str">
        <f>IF(OR(AND(COUNTA(H191:J191)=3,K191=""),AND(COUNTA(H191:J191)=1,K191&lt;&gt;"")),ROUND(PRODUCT(H191:K191),2),"")</f>
        <v/>
      </c>
      <c r="M191" s="5">
        <f>IF(L191&lt;&gt;"",ROUND(PRODUCT(F191,G191,L191),2),IF(K191&lt;&gt;"",ROUND(PRODUCT(F191,G191,K191),2),ROUND(PRODUCT(F191:J191),2)))</f>
        <v>1</v>
      </c>
      <c r="N191" s="5"/>
    </row>
    <row r="192" spans="1:14" x14ac:dyDescent="0.3">
      <c r="A192" s="23" t="s">
        <v>218</v>
      </c>
      <c r="B192" s="23" t="s">
        <v>523</v>
      </c>
      <c r="C192" s="23" t="str">
        <f>VLOOKUP(B192,CPU!$B:$J,2,FALSE)</f>
        <v>PRÓPRIA</v>
      </c>
      <c r="D192" s="24" t="str">
        <f>VLOOKUP(B192,CPU!$B:$J,3,FALSE)</f>
        <v>TRANSPORTE DE MÁQUINAS E EQUIPAMENTOS</v>
      </c>
      <c r="E192" s="23" t="str">
        <f>VLOOKUP(B192,CPU!$B:$J,4,FALSE)</f>
        <v>KM</v>
      </c>
      <c r="F192" s="23"/>
      <c r="G192" s="23"/>
      <c r="H192" s="23"/>
      <c r="I192" s="23"/>
      <c r="J192" s="23"/>
      <c r="K192" s="23"/>
      <c r="L192" s="23"/>
      <c r="M192" s="23"/>
      <c r="N192" s="5">
        <f>SUM($M$193:$M$193)</f>
        <v>11.1</v>
      </c>
    </row>
    <row r="193" spans="1:14" x14ac:dyDescent="0.3">
      <c r="A193" s="23" t="s">
        <v>675</v>
      </c>
      <c r="B193" s="65" t="s">
        <v>676</v>
      </c>
      <c r="C193" s="66"/>
      <c r="D193" s="66"/>
      <c r="E193" s="67"/>
      <c r="F193" s="5">
        <v>11.1</v>
      </c>
      <c r="G193" s="26"/>
      <c r="H193" s="5"/>
      <c r="I193" s="5"/>
      <c r="J193" s="5"/>
      <c r="K193" s="5" t="str">
        <f>IF(COUNTA(H193:J193)=2,ROUND(PRODUCT(H193:J193),2),"")</f>
        <v/>
      </c>
      <c r="L193" s="5" t="str">
        <f>IF(OR(AND(COUNTA(H193:J193)=3,K193=""),AND(COUNTA(H193:J193)=1,K193&lt;&gt;"")),ROUND(PRODUCT(H193:K193),2),"")</f>
        <v/>
      </c>
      <c r="M193" s="5">
        <f>IF(L193&lt;&gt;"",ROUND(PRODUCT(F193,G193,L193),2),IF(K193&lt;&gt;"",ROUND(PRODUCT(F193,G193,K193),2),ROUND(PRODUCT(F193:J193),2)))</f>
        <v>11.1</v>
      </c>
      <c r="N193" s="5"/>
    </row>
    <row r="194" spans="1:14" x14ac:dyDescent="0.3">
      <c r="A194" s="23" t="s">
        <v>219</v>
      </c>
      <c r="B194" s="23" t="s">
        <v>523</v>
      </c>
      <c r="C194" s="23" t="str">
        <f>VLOOKUP(B194,CPU!$B:$J,2,FALSE)</f>
        <v>PRÓPRIA</v>
      </c>
      <c r="D194" s="24" t="str">
        <f>VLOOKUP(B194,CPU!$B:$J,3,FALSE)</f>
        <v>TRANSPORTE DE MÁQUINAS E EQUIPAMENTOS</v>
      </c>
      <c r="E194" s="23" t="str">
        <f>VLOOKUP(B194,CPU!$B:$J,4,FALSE)</f>
        <v>KM</v>
      </c>
      <c r="F194" s="23"/>
      <c r="G194" s="23"/>
      <c r="H194" s="23"/>
      <c r="I194" s="23"/>
      <c r="J194" s="23"/>
      <c r="K194" s="23"/>
      <c r="L194" s="23"/>
      <c r="M194" s="23"/>
      <c r="N194" s="5">
        <f>SUM($M$195:$M$195)</f>
        <v>11.1</v>
      </c>
    </row>
    <row r="195" spans="1:14" x14ac:dyDescent="0.3">
      <c r="A195" s="23" t="s">
        <v>677</v>
      </c>
      <c r="B195" s="65" t="s">
        <v>678</v>
      </c>
      <c r="C195" s="66"/>
      <c r="D195" s="66"/>
      <c r="E195" s="67"/>
      <c r="F195" s="5">
        <v>11.1</v>
      </c>
      <c r="G195" s="26"/>
      <c r="H195" s="5"/>
      <c r="I195" s="5"/>
      <c r="J195" s="5"/>
      <c r="K195" s="5" t="str">
        <f>IF(COUNTA(H195:J195)=2,ROUND(PRODUCT(H195:J195),2),"")</f>
        <v/>
      </c>
      <c r="L195" s="5" t="str">
        <f>IF(OR(AND(COUNTA(H195:J195)=3,K195=""),AND(COUNTA(H195:J195)=1,K195&lt;&gt;"")),ROUND(PRODUCT(H195:K195),2),"")</f>
        <v/>
      </c>
      <c r="M195" s="5">
        <f>IF(L195&lt;&gt;"",ROUND(PRODUCT(F195,G195,L195),2),IF(K195&lt;&gt;"",ROUND(PRODUCT(F195,G195,K195),2),ROUND(PRODUCT(F195:J195),2)))</f>
        <v>11.1</v>
      </c>
      <c r="N195" s="5"/>
    </row>
    <row r="196" spans="1:14" x14ac:dyDescent="0.3">
      <c r="A196" s="23" t="s">
        <v>220</v>
      </c>
      <c r="B196" s="23" t="s">
        <v>528</v>
      </c>
      <c r="C196" s="23" t="str">
        <f>VLOOKUP(B196,CPU!$B:$J,2,FALSE)</f>
        <v>PRÓPRIA</v>
      </c>
      <c r="D196" s="24" t="str">
        <f>VLOOKUP(B196,CPU!$B:$J,3,FALSE)</f>
        <v>PERFILAGEM ÓTICA</v>
      </c>
      <c r="E196" s="23" t="str">
        <f>VLOOKUP(B196,CPU!$B:$J,4,FALSE)</f>
        <v>UN</v>
      </c>
      <c r="F196" s="23"/>
      <c r="G196" s="23"/>
      <c r="H196" s="23"/>
      <c r="I196" s="23"/>
      <c r="J196" s="23"/>
      <c r="K196" s="23"/>
      <c r="L196" s="23"/>
      <c r="M196" s="23"/>
      <c r="N196" s="5">
        <f>SUM($M$197:$M$197)</f>
        <v>1</v>
      </c>
    </row>
    <row r="197" spans="1:14" x14ac:dyDescent="0.3">
      <c r="A197" s="23" t="s">
        <v>679</v>
      </c>
      <c r="B197" s="65" t="s">
        <v>516</v>
      </c>
      <c r="C197" s="66"/>
      <c r="D197" s="66"/>
      <c r="E197" s="67"/>
      <c r="F197" s="5">
        <v>1</v>
      </c>
      <c r="G197" s="26"/>
      <c r="H197" s="5"/>
      <c r="I197" s="5"/>
      <c r="J197" s="5"/>
      <c r="K197" s="5" t="str">
        <f>IF(COUNTA(H197:J197)=2,ROUND(PRODUCT(H197:J197),2),"")</f>
        <v/>
      </c>
      <c r="L197" s="5" t="str">
        <f>IF(OR(AND(COUNTA(H197:J197)=3,K197=""),AND(COUNTA(H197:J197)=1,K197&lt;&gt;"")),ROUND(PRODUCT(H197:K197),2),"")</f>
        <v/>
      </c>
      <c r="M197" s="5">
        <f>IF(L197&lt;&gt;"",ROUND(PRODUCT(F197,G197,L197),2),IF(K197&lt;&gt;"",ROUND(PRODUCT(F197,G197,K197),2),ROUND(PRODUCT(F197:J197),2)))</f>
        <v>1</v>
      </c>
      <c r="N197" s="5"/>
    </row>
    <row r="198" spans="1:14" x14ac:dyDescent="0.3">
      <c r="A198" s="23" t="s">
        <v>221</v>
      </c>
      <c r="B198" s="23" t="s">
        <v>530</v>
      </c>
      <c r="C198" s="23" t="str">
        <f>VLOOKUP(B198,CPU!$B:$J,2,FALSE)</f>
        <v>PRÓPRIA</v>
      </c>
      <c r="D198" s="24" t="str">
        <f>VLOOKUP(B198,CPU!$B:$J,3,FALSE)</f>
        <v>PERFURAÇÃO EM 10'' (SEDIMENTO)</v>
      </c>
      <c r="E198" s="23" t="str">
        <f>VLOOKUP(B198,CPU!$B:$J,4,FALSE)</f>
        <v>M</v>
      </c>
      <c r="F198" s="23"/>
      <c r="G198" s="23"/>
      <c r="H198" s="23"/>
      <c r="I198" s="23"/>
      <c r="J198" s="23"/>
      <c r="K198" s="23"/>
      <c r="L198" s="23"/>
      <c r="M198" s="23"/>
      <c r="N198" s="5">
        <f>SUM($M$199:$M$199)</f>
        <v>35</v>
      </c>
    </row>
    <row r="199" spans="1:14" x14ac:dyDescent="0.3">
      <c r="A199" s="23" t="s">
        <v>680</v>
      </c>
      <c r="B199" s="65" t="s">
        <v>532</v>
      </c>
      <c r="C199" s="66"/>
      <c r="D199" s="66"/>
      <c r="E199" s="67"/>
      <c r="F199" s="5">
        <v>35</v>
      </c>
      <c r="G199" s="26"/>
      <c r="H199" s="5"/>
      <c r="I199" s="5"/>
      <c r="J199" s="5"/>
      <c r="K199" s="5" t="str">
        <f>IF(COUNTA(H199:J199)=2,ROUND(PRODUCT(H199:J199),2),"")</f>
        <v/>
      </c>
      <c r="L199" s="5" t="str">
        <f>IF(OR(AND(COUNTA(H199:J199)=3,K199=""),AND(COUNTA(H199:J199)=1,K199&lt;&gt;"")),ROUND(PRODUCT(H199:K199),2),"")</f>
        <v/>
      </c>
      <c r="M199" s="5">
        <f>IF(L199&lt;&gt;"",ROUND(PRODUCT(F199,G199,L199),2),IF(K199&lt;&gt;"",ROUND(PRODUCT(F199,G199,K199),2),ROUND(PRODUCT(F199:J199),2)))</f>
        <v>35</v>
      </c>
      <c r="N199" s="5"/>
    </row>
    <row r="200" spans="1:14" x14ac:dyDescent="0.3">
      <c r="A200" s="23" t="s">
        <v>222</v>
      </c>
      <c r="B200" s="23" t="s">
        <v>533</v>
      </c>
      <c r="C200" s="23" t="str">
        <f>VLOOKUP(B200,CPU!$B:$J,2,FALSE)</f>
        <v>PRÓPRIA</v>
      </c>
      <c r="D200" s="24" t="str">
        <f>VLOOKUP(B200,CPU!$B:$J,3,FALSE)</f>
        <v>PERFURAÇÃO EM 8'' (ROCHA CRISTALINA)</v>
      </c>
      <c r="E200" s="23" t="str">
        <f>VLOOKUP(B200,CPU!$B:$J,4,FALSE)</f>
        <v>M</v>
      </c>
      <c r="F200" s="23"/>
      <c r="G200" s="23"/>
      <c r="H200" s="23"/>
      <c r="I200" s="23"/>
      <c r="J200" s="23"/>
      <c r="K200" s="23"/>
      <c r="L200" s="23"/>
      <c r="M200" s="23"/>
      <c r="N200" s="5">
        <f>SUM($M$201:$M$201)</f>
        <v>0</v>
      </c>
    </row>
    <row r="201" spans="1:14" x14ac:dyDescent="0.3">
      <c r="A201" s="23" t="s">
        <v>681</v>
      </c>
      <c r="B201" s="65" t="s">
        <v>532</v>
      </c>
      <c r="C201" s="66"/>
      <c r="D201" s="66"/>
      <c r="E201" s="67"/>
      <c r="F201" s="5">
        <v>0</v>
      </c>
      <c r="G201" s="26"/>
      <c r="H201" s="5"/>
      <c r="I201" s="5"/>
      <c r="J201" s="5"/>
      <c r="K201" s="5" t="str">
        <f>IF(COUNTA(H201:J201)=2,ROUND(PRODUCT(H201:J201),2),"")</f>
        <v/>
      </c>
      <c r="L201" s="5" t="str">
        <f>IF(OR(AND(COUNTA(H201:J201)=3,K201=""),AND(COUNTA(H201:J201)=1,K201&lt;&gt;"")),ROUND(PRODUCT(H201:K201),2),"")</f>
        <v/>
      </c>
      <c r="M201" s="5">
        <f>IF(L201&lt;&gt;"",ROUND(PRODUCT(F201,G201,L201),2),IF(K201&lt;&gt;"",ROUND(PRODUCT(F201,G201,K201),2),ROUND(PRODUCT(F201:J201),2)))</f>
        <v>0</v>
      </c>
      <c r="N201" s="5"/>
    </row>
    <row r="202" spans="1:14" x14ac:dyDescent="0.3">
      <c r="A202" s="23" t="s">
        <v>223</v>
      </c>
      <c r="B202" s="23" t="s">
        <v>535</v>
      </c>
      <c r="C202" s="23" t="str">
        <f>VLOOKUP(B202,CPU!$B:$J,2,FALSE)</f>
        <v>PRÓPRIA</v>
      </c>
      <c r="D202" s="24" t="str">
        <f>VLOOKUP(B202,CPU!$B:$J,3,FALSE)</f>
        <v>PERFURAÇÃO EM 6'' (SEDIMENTO)</v>
      </c>
      <c r="E202" s="23" t="str">
        <f>VLOOKUP(B202,CPU!$B:$J,4,FALSE)</f>
        <v>M</v>
      </c>
      <c r="F202" s="23"/>
      <c r="G202" s="23"/>
      <c r="H202" s="23"/>
      <c r="I202" s="23"/>
      <c r="J202" s="23"/>
      <c r="K202" s="23"/>
      <c r="L202" s="23"/>
      <c r="M202" s="23"/>
      <c r="N202" s="5">
        <f>SUM($M$203:$M$203)</f>
        <v>95</v>
      </c>
    </row>
    <row r="203" spans="1:14" x14ac:dyDescent="0.3">
      <c r="A203" s="23" t="s">
        <v>682</v>
      </c>
      <c r="B203" s="65" t="s">
        <v>532</v>
      </c>
      <c r="C203" s="66"/>
      <c r="D203" s="66"/>
      <c r="E203" s="67"/>
      <c r="F203" s="5">
        <v>95</v>
      </c>
      <c r="G203" s="26"/>
      <c r="H203" s="5"/>
      <c r="I203" s="5"/>
      <c r="J203" s="5"/>
      <c r="K203" s="5" t="str">
        <f>IF(COUNTA(H203:J203)=2,ROUND(PRODUCT(H203:J203),2),"")</f>
        <v/>
      </c>
      <c r="L203" s="5" t="str">
        <f>IF(OR(AND(COUNTA(H203:J203)=3,K203=""),AND(COUNTA(H203:J203)=1,K203&lt;&gt;"")),ROUND(PRODUCT(H203:K203),2),"")</f>
        <v/>
      </c>
      <c r="M203" s="5">
        <f>IF(L203&lt;&gt;"",ROUND(PRODUCT(F203,G203,L203),2),IF(K203&lt;&gt;"",ROUND(PRODUCT(F203,G203,K203),2),ROUND(PRODUCT(F203:J203),2)))</f>
        <v>95</v>
      </c>
      <c r="N203" s="5"/>
    </row>
    <row r="204" spans="1:14" x14ac:dyDescent="0.3">
      <c r="A204" s="23" t="s">
        <v>224</v>
      </c>
      <c r="B204" s="23" t="s">
        <v>537</v>
      </c>
      <c r="C204" s="23" t="str">
        <f>VLOOKUP(B204,CPU!$B:$J,2,FALSE)</f>
        <v>PRÓPRIA</v>
      </c>
      <c r="D204" s="24" t="str">
        <f>VLOOKUP(B204,CPU!$B:$J,3,FALSE)</f>
        <v>PERFURAÇÃO EM 6'' (ROCHA CRISTALINA)</v>
      </c>
      <c r="E204" s="23" t="str">
        <f>VLOOKUP(B204,CPU!$B:$J,4,FALSE)</f>
        <v>M</v>
      </c>
      <c r="F204" s="23"/>
      <c r="G204" s="23"/>
      <c r="H204" s="23"/>
      <c r="I204" s="23"/>
      <c r="J204" s="23"/>
      <c r="K204" s="23"/>
      <c r="L204" s="23"/>
      <c r="M204" s="23"/>
      <c r="N204" s="5">
        <f>SUM($M$205:$M$205)</f>
        <v>0</v>
      </c>
    </row>
    <row r="205" spans="1:14" x14ac:dyDescent="0.3">
      <c r="A205" s="23" t="s">
        <v>683</v>
      </c>
      <c r="B205" s="65" t="s">
        <v>532</v>
      </c>
      <c r="C205" s="66"/>
      <c r="D205" s="66"/>
      <c r="E205" s="67"/>
      <c r="F205" s="5">
        <v>0</v>
      </c>
      <c r="G205" s="26"/>
      <c r="H205" s="5"/>
      <c r="I205" s="5"/>
      <c r="J205" s="5"/>
      <c r="K205" s="5" t="str">
        <f>IF(COUNTA(H205:J205)=2,ROUND(PRODUCT(H205:J205),2),"")</f>
        <v/>
      </c>
      <c r="L205" s="5" t="str">
        <f>IF(OR(AND(COUNTA(H205:J205)=3,K205=""),AND(COUNTA(H205:J205)=1,K205&lt;&gt;"")),ROUND(PRODUCT(H205:K205),2),"")</f>
        <v/>
      </c>
      <c r="M205" s="5">
        <f>IF(L205&lt;&gt;"",ROUND(PRODUCT(F205,G205,L205),2),IF(K205&lt;&gt;"",ROUND(PRODUCT(F205,G205,K205),2),ROUND(PRODUCT(F205:J205),2)))</f>
        <v>0</v>
      </c>
      <c r="N205" s="5"/>
    </row>
    <row r="206" spans="1:14" x14ac:dyDescent="0.3">
      <c r="A206" s="23" t="s">
        <v>225</v>
      </c>
      <c r="B206" s="23" t="s">
        <v>539</v>
      </c>
      <c r="C206" s="23" t="str">
        <f>VLOOKUP(B206,CPU!$B:$J,2,FALSE)</f>
        <v>PRÓPRIA</v>
      </c>
      <c r="D206" s="24" t="str">
        <f>VLOOKUP(B206,CPU!$B:$J,3,FALSE)</f>
        <v>CIMENTAÇÃO SANITÁRIA</v>
      </c>
      <c r="E206" s="23" t="str">
        <f>VLOOKUP(B206,CPU!$B:$J,4,FALSE)</f>
        <v>M³</v>
      </c>
      <c r="F206" s="23"/>
      <c r="G206" s="23"/>
      <c r="H206" s="23"/>
      <c r="I206" s="23"/>
      <c r="J206" s="23"/>
      <c r="K206" s="23"/>
      <c r="L206" s="23"/>
      <c r="M206" s="23"/>
      <c r="N206" s="5">
        <f>SUM($M$207:$M$207)</f>
        <v>4.55</v>
      </c>
    </row>
    <row r="207" spans="1:14" x14ac:dyDescent="0.3">
      <c r="A207" s="23" t="s">
        <v>684</v>
      </c>
      <c r="B207" s="65" t="s">
        <v>516</v>
      </c>
      <c r="C207" s="66"/>
      <c r="D207" s="66"/>
      <c r="E207" s="67"/>
      <c r="F207" s="5"/>
      <c r="G207" s="26"/>
      <c r="H207" s="5"/>
      <c r="I207" s="5"/>
      <c r="J207" s="5">
        <v>35</v>
      </c>
      <c r="K207" s="5">
        <v>0.13</v>
      </c>
      <c r="L207" s="5">
        <f>IF(OR(AND(COUNTA(H207:J207)=3,K207=""),AND(COUNTA(H207:J207)=1,K207&lt;&gt;"")),ROUND(PRODUCT(H207:K207),2),"")</f>
        <v>4.55</v>
      </c>
      <c r="M207" s="5">
        <f>IF(L207&lt;&gt;"",ROUND(PRODUCT(F207,G207,L207),2),IF(K207&lt;&gt;"",ROUND(PRODUCT(F207,G207,K207),2),ROUND(PRODUCT(F207:J207),2)))</f>
        <v>4.55</v>
      </c>
      <c r="N207" s="5"/>
    </row>
    <row r="208" spans="1:14" x14ac:dyDescent="0.3">
      <c r="A208" s="23" t="s">
        <v>226</v>
      </c>
      <c r="B208" s="23" t="s">
        <v>541</v>
      </c>
      <c r="C208" s="23" t="str">
        <f>VLOOKUP(B208,CPU!$B:$J,2,FALSE)</f>
        <v>PRÓPRIA</v>
      </c>
      <c r="D208" s="24" t="str">
        <f>VLOOKUP(B208,CPU!$B:$J,3,FALSE)</f>
        <v>LAJE DE PROTEÇÃO EM CONCRETO (1,0 M X 1,0 M X 0,15 M)</v>
      </c>
      <c r="E208" s="23" t="str">
        <f>VLOOKUP(B208,CPU!$B:$J,4,FALSE)</f>
        <v>M³</v>
      </c>
      <c r="F208" s="23"/>
      <c r="G208" s="23"/>
      <c r="H208" s="23"/>
      <c r="I208" s="23"/>
      <c r="J208" s="23"/>
      <c r="K208" s="23"/>
      <c r="L208" s="23"/>
      <c r="M208" s="23"/>
      <c r="N208" s="5">
        <f>SUM($M$209:$M$209)</f>
        <v>0.15</v>
      </c>
    </row>
    <row r="209" spans="1:14" x14ac:dyDescent="0.3">
      <c r="A209" s="23" t="s">
        <v>685</v>
      </c>
      <c r="B209" s="65" t="s">
        <v>516</v>
      </c>
      <c r="C209" s="66"/>
      <c r="D209" s="66"/>
      <c r="E209" s="67"/>
      <c r="F209" s="5"/>
      <c r="G209" s="26"/>
      <c r="H209" s="5">
        <v>1</v>
      </c>
      <c r="I209" s="5">
        <v>1</v>
      </c>
      <c r="J209" s="5">
        <v>0.15</v>
      </c>
      <c r="K209" s="5" t="str">
        <f>IF(COUNTA(H209:J209)=2,ROUND(PRODUCT(H209:J209),2),"")</f>
        <v/>
      </c>
      <c r="L209" s="5">
        <f>IF(OR(AND(COUNTA(H209:J209)=3,K209=""),AND(COUNTA(H209:J209)=1,K209&lt;&gt;"")),ROUND(PRODUCT(H209:K209),2),"")</f>
        <v>0.15</v>
      </c>
      <c r="M209" s="5">
        <f>IF(L209&lt;&gt;"",ROUND(PRODUCT(F209,G209,L209),2),IF(K209&lt;&gt;"",ROUND(PRODUCT(F209,G209,K209),2),ROUND(PRODUCT(F209:J209),2)))</f>
        <v>0.15</v>
      </c>
      <c r="N209" s="5"/>
    </row>
    <row r="210" spans="1:14" x14ac:dyDescent="0.3">
      <c r="A210" s="23" t="s">
        <v>227</v>
      </c>
      <c r="B210" s="23" t="s">
        <v>543</v>
      </c>
      <c r="C210" s="23" t="str">
        <f>VLOOKUP(B210,CPU!$B:$J,2,FALSE)</f>
        <v>PRÓPRIA</v>
      </c>
      <c r="D210" s="24" t="str">
        <f>VLOOKUP(B210,CPU!$B:$J,3,FALSE)</f>
        <v>DESENVOLVIMENTO COM BOMBA SUBMERSA</v>
      </c>
      <c r="E210" s="23" t="str">
        <f>VLOOKUP(B210,CPU!$B:$J,4,FALSE)</f>
        <v>H</v>
      </c>
      <c r="F210" s="23"/>
      <c r="G210" s="23"/>
      <c r="H210" s="23"/>
      <c r="I210" s="23"/>
      <c r="J210" s="23"/>
      <c r="K210" s="23"/>
      <c r="L210" s="23"/>
      <c r="M210" s="23"/>
      <c r="N210" s="5">
        <f>SUM($M$211:$M$211)</f>
        <v>6</v>
      </c>
    </row>
    <row r="211" spans="1:14" x14ac:dyDescent="0.3">
      <c r="A211" s="23" t="s">
        <v>686</v>
      </c>
      <c r="B211" s="65" t="s">
        <v>516</v>
      </c>
      <c r="C211" s="66"/>
      <c r="D211" s="66"/>
      <c r="E211" s="67"/>
      <c r="F211" s="5">
        <v>6</v>
      </c>
      <c r="G211" s="26"/>
      <c r="H211" s="5"/>
      <c r="I211" s="5"/>
      <c r="J211" s="5"/>
      <c r="K211" s="5" t="str">
        <f>IF(COUNTA(H211:J211)=2,ROUND(PRODUCT(H211:J211),2),"")</f>
        <v/>
      </c>
      <c r="L211" s="5" t="str">
        <f>IF(OR(AND(COUNTA(H211:J211)=3,K211=""),AND(COUNTA(H211:J211)=1,K211&lt;&gt;"")),ROUND(PRODUCT(H211:K211),2),"")</f>
        <v/>
      </c>
      <c r="M211" s="5">
        <f>IF(L211&lt;&gt;"",ROUND(PRODUCT(F211,G211,L211),2),IF(K211&lt;&gt;"",ROUND(PRODUCT(F211,G211,K211),2),ROUND(PRODUCT(F211:J211),2)))</f>
        <v>6</v>
      </c>
      <c r="N211" s="5"/>
    </row>
    <row r="212" spans="1:14" x14ac:dyDescent="0.3">
      <c r="A212" s="23" t="s">
        <v>228</v>
      </c>
      <c r="B212" s="23" t="s">
        <v>545</v>
      </c>
      <c r="C212" s="23" t="str">
        <f>VLOOKUP(B212,CPU!$B:$J,2,FALSE)</f>
        <v>PRÓPRIA</v>
      </c>
      <c r="D212" s="24" t="str">
        <f>VLOOKUP(B212,CPU!$B:$J,3,FALSE)</f>
        <v>TESTE VAZÃO COM BOMBA SUBMERSA</v>
      </c>
      <c r="E212" s="23" t="str">
        <f>VLOOKUP(B212,CPU!$B:$J,4,FALSE)</f>
        <v>H</v>
      </c>
      <c r="F212" s="23"/>
      <c r="G212" s="23"/>
      <c r="H212" s="23"/>
      <c r="I212" s="23"/>
      <c r="J212" s="23"/>
      <c r="K212" s="23"/>
      <c r="L212" s="23"/>
      <c r="M212" s="23"/>
      <c r="N212" s="5">
        <f>SUM($M$213:$M$213)</f>
        <v>24</v>
      </c>
    </row>
    <row r="213" spans="1:14" x14ac:dyDescent="0.3">
      <c r="A213" s="23" t="s">
        <v>687</v>
      </c>
      <c r="B213" s="65" t="s">
        <v>516</v>
      </c>
      <c r="C213" s="66"/>
      <c r="D213" s="66"/>
      <c r="E213" s="67"/>
      <c r="F213" s="5">
        <v>24</v>
      </c>
      <c r="G213" s="26"/>
      <c r="H213" s="5"/>
      <c r="I213" s="5"/>
      <c r="J213" s="5"/>
      <c r="K213" s="5" t="str">
        <f>IF(COUNTA(H213:J213)=2,ROUND(PRODUCT(H213:J213),2),"")</f>
        <v/>
      </c>
      <c r="L213" s="5" t="str">
        <f>IF(OR(AND(COUNTA(H213:J213)=3,K213=""),AND(COUNTA(H213:J213)=1,K213&lt;&gt;"")),ROUND(PRODUCT(H213:K213),2),"")</f>
        <v/>
      </c>
      <c r="M213" s="5">
        <f>IF(L213&lt;&gt;"",ROUND(PRODUCT(F213,G213,L213),2),IF(K213&lt;&gt;"",ROUND(PRODUCT(F213,G213,K213),2),ROUND(PRODUCT(F213:J213),2)))</f>
        <v>24</v>
      </c>
      <c r="N213" s="5"/>
    </row>
    <row r="214" spans="1:14" x14ac:dyDescent="0.3">
      <c r="A214" s="23" t="s">
        <v>229</v>
      </c>
      <c r="B214" s="23" t="s">
        <v>547</v>
      </c>
      <c r="C214" s="23" t="str">
        <f>VLOOKUP(B214,CPU!$B:$J,2,FALSE)</f>
        <v>PRÓPRIA</v>
      </c>
      <c r="D214" s="24" t="str">
        <f>VLOOKUP(B214,CPU!$B:$J,3,FALSE)</f>
        <v>DESINFECÇÃO</v>
      </c>
      <c r="E214" s="23" t="str">
        <f>VLOOKUP(B214,CPU!$B:$J,4,FALSE)</f>
        <v>H</v>
      </c>
      <c r="F214" s="23"/>
      <c r="G214" s="23"/>
      <c r="H214" s="23"/>
      <c r="I214" s="23"/>
      <c r="J214" s="23"/>
      <c r="K214" s="23"/>
      <c r="L214" s="23"/>
      <c r="M214" s="23"/>
      <c r="N214" s="5">
        <f>SUM($M$215:$M$215)</f>
        <v>6</v>
      </c>
    </row>
    <row r="215" spans="1:14" x14ac:dyDescent="0.3">
      <c r="A215" s="23" t="s">
        <v>688</v>
      </c>
      <c r="B215" s="65" t="s">
        <v>516</v>
      </c>
      <c r="C215" s="66"/>
      <c r="D215" s="66"/>
      <c r="E215" s="67"/>
      <c r="F215" s="5">
        <v>6</v>
      </c>
      <c r="G215" s="26"/>
      <c r="H215" s="5"/>
      <c r="I215" s="5"/>
      <c r="J215" s="5"/>
      <c r="K215" s="5" t="str">
        <f>IF(COUNTA(H215:J215)=2,ROUND(PRODUCT(H215:J215),2),"")</f>
        <v/>
      </c>
      <c r="L215" s="5" t="str">
        <f>IF(OR(AND(COUNTA(H215:J215)=3,K215=""),AND(COUNTA(H215:J215)=1,K215&lt;&gt;"")),ROUND(PRODUCT(H215:K215),2),"")</f>
        <v/>
      </c>
      <c r="M215" s="5">
        <f>IF(L215&lt;&gt;"",ROUND(PRODUCT(F215,G215,L215),2),IF(K215&lt;&gt;"",ROUND(PRODUCT(F215,G215,K215),2),ROUND(PRODUCT(F215:J215),2)))</f>
        <v>6</v>
      </c>
      <c r="N215" s="5"/>
    </row>
    <row r="216" spans="1:14" x14ac:dyDescent="0.3">
      <c r="A216" s="23" t="s">
        <v>230</v>
      </c>
      <c r="B216" s="23" t="s">
        <v>549</v>
      </c>
      <c r="C216" s="23" t="str">
        <f>VLOOKUP(B216,CPU!$B:$J,2,FALSE)</f>
        <v>PRÓPRIA</v>
      </c>
      <c r="D216" s="24" t="str">
        <f>VLOOKUP(B216,CPU!$B:$J,3,FALSE)</f>
        <v>RELATÓRIO TÉCNICO</v>
      </c>
      <c r="E216" s="23" t="str">
        <f>VLOOKUP(B216,CPU!$B:$J,4,FALSE)</f>
        <v>UN</v>
      </c>
      <c r="F216" s="23"/>
      <c r="G216" s="23"/>
      <c r="H216" s="23"/>
      <c r="I216" s="23"/>
      <c r="J216" s="23"/>
      <c r="K216" s="23"/>
      <c r="L216" s="23"/>
      <c r="M216" s="23"/>
      <c r="N216" s="5">
        <f>SUM($M$217:$M$217)</f>
        <v>1</v>
      </c>
    </row>
    <row r="217" spans="1:14" x14ac:dyDescent="0.3">
      <c r="A217" s="23" t="s">
        <v>689</v>
      </c>
      <c r="B217" s="65" t="s">
        <v>516</v>
      </c>
      <c r="C217" s="66"/>
      <c r="D217" s="66"/>
      <c r="E217" s="67"/>
      <c r="F217" s="5">
        <v>1</v>
      </c>
      <c r="G217" s="26"/>
      <c r="H217" s="5"/>
      <c r="I217" s="5"/>
      <c r="J217" s="5"/>
      <c r="K217" s="5" t="str">
        <f>IF(COUNTA(H217:J217)=2,ROUND(PRODUCT(H217:J217),2),"")</f>
        <v/>
      </c>
      <c r="L217" s="5" t="str">
        <f>IF(OR(AND(COUNTA(H217:J217)=3,K217=""),AND(COUNTA(H217:J217)=1,K217&lt;&gt;"")),ROUND(PRODUCT(H217:K217),2),"")</f>
        <v/>
      </c>
      <c r="M217" s="5">
        <f>IF(L217&lt;&gt;"",ROUND(PRODUCT(F217,G217,L217),2),IF(K217&lt;&gt;"",ROUND(PRODUCT(F217,G217,K217),2),ROUND(PRODUCT(F217:J217),2)))</f>
        <v>1</v>
      </c>
      <c r="N217" s="5"/>
    </row>
    <row r="218" spans="1:14" x14ac:dyDescent="0.3">
      <c r="A218" s="23" t="s">
        <v>231</v>
      </c>
      <c r="B218" s="23" t="s">
        <v>551</v>
      </c>
      <c r="C218" s="23" t="str">
        <f>VLOOKUP(B218,CPU!$B:$J,2,FALSE)</f>
        <v>PRÓPRIA</v>
      </c>
      <c r="D218" s="24" t="str">
        <f>VLOOKUP(B218,CPU!$B:$J,3,FALSE)</f>
        <v>ANÁLISE FÍSICO-QUÍMICA DA ÁGUA</v>
      </c>
      <c r="E218" s="23" t="str">
        <f>VLOOKUP(B218,CPU!$B:$J,4,FALSE)</f>
        <v>UN</v>
      </c>
      <c r="F218" s="23"/>
      <c r="G218" s="23"/>
      <c r="H218" s="23"/>
      <c r="I218" s="23"/>
      <c r="J218" s="23"/>
      <c r="K218" s="23"/>
      <c r="L218" s="23"/>
      <c r="M218" s="23"/>
      <c r="N218" s="5">
        <f>SUM($M$219:$M$219)</f>
        <v>1</v>
      </c>
    </row>
    <row r="219" spans="1:14" x14ac:dyDescent="0.3">
      <c r="A219" s="23" t="s">
        <v>690</v>
      </c>
      <c r="B219" s="65" t="s">
        <v>516</v>
      </c>
      <c r="C219" s="66"/>
      <c r="D219" s="66"/>
      <c r="E219" s="67"/>
      <c r="F219" s="5">
        <v>1</v>
      </c>
      <c r="G219" s="26"/>
      <c r="H219" s="5"/>
      <c r="I219" s="5"/>
      <c r="J219" s="5"/>
      <c r="K219" s="5" t="str">
        <f>IF(COUNTA(H219:J219)=2,ROUND(PRODUCT(H219:J219),2),"")</f>
        <v/>
      </c>
      <c r="L219" s="5" t="str">
        <f>IF(OR(AND(COUNTA(H219:J219)=3,K219=""),AND(COUNTA(H219:J219)=1,K219&lt;&gt;"")),ROUND(PRODUCT(H219:K219),2),"")</f>
        <v/>
      </c>
      <c r="M219" s="5">
        <f>IF(L219&lt;&gt;"",ROUND(PRODUCT(F219,G219,L219),2),IF(K219&lt;&gt;"",ROUND(PRODUCT(F219,G219,K219),2),ROUND(PRODUCT(F219:J219),2)))</f>
        <v>1</v>
      </c>
      <c r="N219" s="5"/>
    </row>
    <row r="220" spans="1:14" x14ac:dyDescent="0.3">
      <c r="A220" s="23" t="s">
        <v>232</v>
      </c>
      <c r="B220" s="23" t="s">
        <v>553</v>
      </c>
      <c r="C220" s="23" t="str">
        <f>VLOOKUP(B220,CPU!$B:$J,2,FALSE)</f>
        <v>PRÓPRIA</v>
      </c>
      <c r="D220" s="24" t="str">
        <f>VLOOKUP(B220,CPU!$B:$J,3,FALSE)</f>
        <v>FORNECIMENTO E INSTALAÇÃO DE REVESTIMENTO GEOMECÂNICO STANDART DN-154-S</v>
      </c>
      <c r="E220" s="23" t="str">
        <f>VLOOKUP(B220,CPU!$B:$J,4,FALSE)</f>
        <v>M</v>
      </c>
      <c r="F220" s="23"/>
      <c r="G220" s="23"/>
      <c r="H220" s="23"/>
      <c r="I220" s="23"/>
      <c r="J220" s="23"/>
      <c r="K220" s="23"/>
      <c r="L220" s="23"/>
      <c r="M220" s="23"/>
      <c r="N220" s="5">
        <f>SUM($M$221:$M$221)</f>
        <v>36</v>
      </c>
    </row>
    <row r="221" spans="1:14" x14ac:dyDescent="0.3">
      <c r="A221" s="23" t="s">
        <v>691</v>
      </c>
      <c r="B221" s="65" t="s">
        <v>532</v>
      </c>
      <c r="C221" s="66"/>
      <c r="D221" s="66"/>
      <c r="E221" s="67"/>
      <c r="F221" s="5">
        <v>36</v>
      </c>
      <c r="G221" s="26"/>
      <c r="H221" s="5"/>
      <c r="I221" s="5"/>
      <c r="J221" s="5"/>
      <c r="K221" s="5" t="str">
        <f>IF(COUNTA(H221:J221)=2,ROUND(PRODUCT(H221:J221),2),"")</f>
        <v/>
      </c>
      <c r="L221" s="5" t="str">
        <f>IF(OR(AND(COUNTA(H221:J221)=3,K221=""),AND(COUNTA(H221:J221)=1,K221&lt;&gt;"")),ROUND(PRODUCT(H221:K221),2),"")</f>
        <v/>
      </c>
      <c r="M221" s="5">
        <f>IF(L221&lt;&gt;"",ROUND(PRODUCT(F221,G221,L221),2),IF(K221&lt;&gt;"",ROUND(PRODUCT(F221,G221,K221),2),ROUND(PRODUCT(F221:J221),2)))</f>
        <v>36</v>
      </c>
      <c r="N221" s="5"/>
    </row>
    <row r="222" spans="1:14" x14ac:dyDescent="0.3">
      <c r="A222" s="23" t="s">
        <v>233</v>
      </c>
      <c r="B222" s="23" t="s">
        <v>555</v>
      </c>
      <c r="C222" s="23" t="str">
        <f>VLOOKUP(B222,CPU!$B:$J,2,FALSE)</f>
        <v>PRÓPRIA</v>
      </c>
      <c r="D222" s="24" t="str">
        <f>VLOOKUP(B222,CPU!$B:$J,3,FALSE)</f>
        <v>FORNECIMENTO E INSTALAÇÃO DE TAMPA PARA POÇO</v>
      </c>
      <c r="E222" s="23" t="str">
        <f>VLOOKUP(B222,CPU!$B:$J,4,FALSE)</f>
        <v>UN</v>
      </c>
      <c r="F222" s="23"/>
      <c r="G222" s="23"/>
      <c r="H222" s="23"/>
      <c r="I222" s="23"/>
      <c r="J222" s="23"/>
      <c r="K222" s="23"/>
      <c r="L222" s="23"/>
      <c r="M222" s="23"/>
      <c r="N222" s="5">
        <f>SUM($M$223:$M$223)</f>
        <v>1</v>
      </c>
    </row>
    <row r="223" spans="1:14" x14ac:dyDescent="0.3">
      <c r="A223" s="23" t="s">
        <v>692</v>
      </c>
      <c r="B223" s="65" t="s">
        <v>516</v>
      </c>
      <c r="C223" s="66"/>
      <c r="D223" s="66"/>
      <c r="E223" s="67"/>
      <c r="F223" s="5">
        <v>1</v>
      </c>
      <c r="G223" s="26"/>
      <c r="H223" s="5"/>
      <c r="I223" s="5"/>
      <c r="J223" s="5"/>
      <c r="K223" s="5" t="str">
        <f>IF(COUNTA(H223:J223)=2,ROUND(PRODUCT(H223:J223),2),"")</f>
        <v/>
      </c>
      <c r="L223" s="5" t="str">
        <f>IF(OR(AND(COUNTA(H223:J223)=3,K223=""),AND(COUNTA(H223:J223)=1,K223&lt;&gt;"")),ROUND(PRODUCT(H223:K223),2),"")</f>
        <v/>
      </c>
      <c r="M223" s="5">
        <f>IF(L223&lt;&gt;"",ROUND(PRODUCT(F223,G223,L223),2),IF(K223&lt;&gt;"",ROUND(PRODUCT(F223,G223,K223),2),ROUND(PRODUCT(F223:J223),2)))</f>
        <v>1</v>
      </c>
      <c r="N223" s="5"/>
    </row>
    <row r="224" spans="1:14" x14ac:dyDescent="0.3">
      <c r="A224" s="12" t="s">
        <v>45</v>
      </c>
      <c r="B224" s="46" t="s">
        <v>557</v>
      </c>
      <c r="C224" s="47"/>
      <c r="D224" s="47"/>
      <c r="E224" s="47"/>
      <c r="F224" s="47"/>
      <c r="G224" s="47"/>
      <c r="H224" s="47"/>
      <c r="I224" s="47"/>
      <c r="J224" s="47"/>
      <c r="K224" s="47"/>
      <c r="L224" s="47"/>
      <c r="M224" s="47"/>
      <c r="N224" s="48"/>
    </row>
    <row r="225" spans="1:14" ht="28.8" x14ac:dyDescent="0.3">
      <c r="A225" s="23" t="s">
        <v>234</v>
      </c>
      <c r="B225" s="23" t="s">
        <v>558</v>
      </c>
      <c r="C225" s="23" t="str">
        <f>VLOOKUP(B225,CPU!$B:$J,2,FALSE)</f>
        <v>PRÓPRIA</v>
      </c>
      <c r="D225" s="24" t="str">
        <f>VLOOKUP(B225,CPU!$B:$J,3,FALSE)</f>
        <v>FORNECIMENTO E INSTALAÇÃO DE BOMBA SUBMERSA DE 3CV, MONOFÁSICA, 220 V, LEÃO OU SIMILAR</v>
      </c>
      <c r="E225" s="23" t="str">
        <f>VLOOKUP(B225,CPU!$B:$J,4,FALSE)</f>
        <v>UN</v>
      </c>
      <c r="F225" s="23"/>
      <c r="G225" s="23"/>
      <c r="H225" s="23"/>
      <c r="I225" s="23"/>
      <c r="J225" s="23"/>
      <c r="K225" s="23"/>
      <c r="L225" s="23"/>
      <c r="M225" s="23"/>
      <c r="N225" s="5">
        <f>SUM($M$226:$M$226)</f>
        <v>1</v>
      </c>
    </row>
    <row r="226" spans="1:14" x14ac:dyDescent="0.3">
      <c r="A226" s="23" t="s">
        <v>693</v>
      </c>
      <c r="B226" s="65" t="s">
        <v>516</v>
      </c>
      <c r="C226" s="66"/>
      <c r="D226" s="66"/>
      <c r="E226" s="67"/>
      <c r="F226" s="5">
        <v>1</v>
      </c>
      <c r="G226" s="26"/>
      <c r="H226" s="5"/>
      <c r="I226" s="5"/>
      <c r="J226" s="5"/>
      <c r="K226" s="5" t="str">
        <f>IF(COUNTA(H226:J226)=2,ROUND(PRODUCT(H226:J226),2),"")</f>
        <v/>
      </c>
      <c r="L226" s="5" t="str">
        <f>IF(OR(AND(COUNTA(H226:J226)=3,K226=""),AND(COUNTA(H226:J226)=1,K226&lt;&gt;"")),ROUND(PRODUCT(H226:K226),2),"")</f>
        <v/>
      </c>
      <c r="M226" s="5">
        <f>IF(L226&lt;&gt;"",ROUND(PRODUCT(F226,G226,L226),2),IF(K226&lt;&gt;"",ROUND(PRODUCT(F226,G226,K226),2),ROUND(PRODUCT(F226:J226),2)))</f>
        <v>1</v>
      </c>
      <c r="N226" s="5"/>
    </row>
    <row r="227" spans="1:14" ht="28.8" x14ac:dyDescent="0.3">
      <c r="A227" s="23" t="s">
        <v>235</v>
      </c>
      <c r="B227" s="23" t="s">
        <v>560</v>
      </c>
      <c r="C227" s="23" t="str">
        <f>VLOOKUP(B227,CPU!$B:$J,2,FALSE)</f>
        <v>PRÓPRIA</v>
      </c>
      <c r="D227" s="24" t="str">
        <f>VLOOKUP(B227,CPU!$B:$J,3,FALSE)</f>
        <v>FORNECIMENTO E INSTALAÇÃO DE PAINEL DE COMANDO ELÉTRICO PARA BOMBA 3CV, MONOFÁSICO</v>
      </c>
      <c r="E227" s="23" t="str">
        <f>VLOOKUP(B227,CPU!$B:$J,4,FALSE)</f>
        <v>UN</v>
      </c>
      <c r="F227" s="23"/>
      <c r="G227" s="23"/>
      <c r="H227" s="23"/>
      <c r="I227" s="23"/>
      <c r="J227" s="23"/>
      <c r="K227" s="23"/>
      <c r="L227" s="23"/>
      <c r="M227" s="23"/>
      <c r="N227" s="5">
        <f>SUM($M$228:$M$228)</f>
        <v>1</v>
      </c>
    </row>
    <row r="228" spans="1:14" x14ac:dyDescent="0.3">
      <c r="A228" s="23" t="s">
        <v>694</v>
      </c>
      <c r="B228" s="65" t="s">
        <v>516</v>
      </c>
      <c r="C228" s="66"/>
      <c r="D228" s="66"/>
      <c r="E228" s="67"/>
      <c r="F228" s="5">
        <v>1</v>
      </c>
      <c r="G228" s="26"/>
      <c r="H228" s="5"/>
      <c r="I228" s="5"/>
      <c r="J228" s="5"/>
      <c r="K228" s="5" t="str">
        <f>IF(COUNTA(H228:J228)=2,ROUND(PRODUCT(H228:J228),2),"")</f>
        <v/>
      </c>
      <c r="L228" s="5" t="str">
        <f>IF(OR(AND(COUNTA(H228:J228)=3,K228=""),AND(COUNTA(H228:J228)=1,K228&lt;&gt;"")),ROUND(PRODUCT(H228:K228),2),"")</f>
        <v/>
      </c>
      <c r="M228" s="5">
        <f>IF(L228&lt;&gt;"",ROUND(PRODUCT(F228,G228,L228),2),IF(K228&lt;&gt;"",ROUND(PRODUCT(F228,G228,K228),2),ROUND(PRODUCT(F228:J228),2)))</f>
        <v>1</v>
      </c>
      <c r="N228" s="5"/>
    </row>
    <row r="229" spans="1:14" x14ac:dyDescent="0.3">
      <c r="A229" s="23" t="s">
        <v>236</v>
      </c>
      <c r="B229" s="23" t="s">
        <v>562</v>
      </c>
      <c r="C229" s="23" t="str">
        <f>VLOOKUP(B229,CPU!$B:$J,2,FALSE)</f>
        <v>PRÓPRIA</v>
      </c>
      <c r="D229" s="24" t="str">
        <f>VLOOKUP(B229,CPU!$B:$J,3,FALSE)</f>
        <v>FORNECIMENTO E INSTALAÇÃO DE TUBO EDUTOR DE PVC DE 1.1/2'' COM LUVA</v>
      </c>
      <c r="E229" s="23" t="str">
        <f>VLOOKUP(B229,CPU!$B:$J,4,FALSE)</f>
        <v>M</v>
      </c>
      <c r="F229" s="23"/>
      <c r="G229" s="23"/>
      <c r="H229" s="23"/>
      <c r="I229" s="23"/>
      <c r="J229" s="23"/>
      <c r="K229" s="23"/>
      <c r="L229" s="23"/>
      <c r="M229" s="23"/>
      <c r="N229" s="5">
        <f>SUM($M$230:$M$230)</f>
        <v>110</v>
      </c>
    </row>
    <row r="230" spans="1:14" x14ac:dyDescent="0.3">
      <c r="A230" s="23" t="s">
        <v>695</v>
      </c>
      <c r="B230" s="65" t="s">
        <v>516</v>
      </c>
      <c r="C230" s="66"/>
      <c r="D230" s="66"/>
      <c r="E230" s="67"/>
      <c r="F230" s="5">
        <v>110</v>
      </c>
      <c r="G230" s="26"/>
      <c r="H230" s="5"/>
      <c r="I230" s="5"/>
      <c r="J230" s="5"/>
      <c r="K230" s="5" t="str">
        <f>IF(COUNTA(H230:J230)=2,ROUND(PRODUCT(H230:J230),2),"")</f>
        <v/>
      </c>
      <c r="L230" s="5" t="str">
        <f>IF(OR(AND(COUNTA(H230:J230)=3,K230=""),AND(COUNTA(H230:J230)=1,K230&lt;&gt;"")),ROUND(PRODUCT(H230:K230),2),"")</f>
        <v/>
      </c>
      <c r="M230" s="5">
        <f>IF(L230&lt;&gt;"",ROUND(PRODUCT(F230,G230,L230),2),IF(K230&lt;&gt;"",ROUND(PRODUCT(F230,G230,K230),2),ROUND(PRODUCT(F230:J230),2)))</f>
        <v>110</v>
      </c>
      <c r="N230" s="5"/>
    </row>
    <row r="231" spans="1:14" x14ac:dyDescent="0.3">
      <c r="A231" s="23" t="s">
        <v>237</v>
      </c>
      <c r="B231" s="23" t="s">
        <v>564</v>
      </c>
      <c r="C231" s="23" t="str">
        <f>VLOOKUP(B231,CPU!$B:$J,2,FALSE)</f>
        <v>PRÓPRIA</v>
      </c>
      <c r="D231" s="24" t="str">
        <f>VLOOKUP(B231,CPU!$B:$J,3,FALSE)</f>
        <v>FORNECIMENTO E INSTALAÇÃO DE CABO CHATO SUBMERSO DE 3 X 6 MM²</v>
      </c>
      <c r="E231" s="23" t="str">
        <f>VLOOKUP(B231,CPU!$B:$J,4,FALSE)</f>
        <v>M</v>
      </c>
      <c r="F231" s="23"/>
      <c r="G231" s="23"/>
      <c r="H231" s="23"/>
      <c r="I231" s="23"/>
      <c r="J231" s="23"/>
      <c r="K231" s="23"/>
      <c r="L231" s="23"/>
      <c r="M231" s="23"/>
      <c r="N231" s="5">
        <f>SUM($M$232:$M$232)</f>
        <v>120</v>
      </c>
    </row>
    <row r="232" spans="1:14" x14ac:dyDescent="0.3">
      <c r="A232" s="23" t="s">
        <v>696</v>
      </c>
      <c r="B232" s="65" t="s">
        <v>516</v>
      </c>
      <c r="C232" s="66"/>
      <c r="D232" s="66"/>
      <c r="E232" s="67"/>
      <c r="F232" s="5">
        <v>120</v>
      </c>
      <c r="G232" s="26"/>
      <c r="H232" s="5"/>
      <c r="I232" s="5"/>
      <c r="J232" s="5"/>
      <c r="K232" s="5" t="str">
        <f>IF(COUNTA(H232:J232)=2,ROUND(PRODUCT(H232:J232),2),"")</f>
        <v/>
      </c>
      <c r="L232" s="5" t="str">
        <f>IF(OR(AND(COUNTA(H232:J232)=3,K232=""),AND(COUNTA(H232:J232)=1,K232&lt;&gt;"")),ROUND(PRODUCT(H232:K232),2),"")</f>
        <v/>
      </c>
      <c r="M232" s="5">
        <f>IF(L232&lt;&gt;"",ROUND(PRODUCT(F232,G232,L232),2),IF(K232&lt;&gt;"",ROUND(PRODUCT(F232,G232,K232),2),ROUND(PRODUCT(F232:J232),2)))</f>
        <v>120</v>
      </c>
      <c r="N232" s="5"/>
    </row>
    <row r="233" spans="1:14" x14ac:dyDescent="0.3">
      <c r="A233" s="23" t="s">
        <v>238</v>
      </c>
      <c r="B233" s="23" t="s">
        <v>566</v>
      </c>
      <c r="C233" s="23" t="str">
        <f>VLOOKUP(B233,CPU!$B:$J,2,FALSE)</f>
        <v>PRÓPRIA</v>
      </c>
      <c r="D233" s="24" t="str">
        <f>VLOOKUP(B233,CPU!$B:$J,3,FALSE)</f>
        <v>BARRILETE (CURVAS E CONEXÕES)</v>
      </c>
      <c r="E233" s="23" t="str">
        <f>VLOOKUP(B233,CPU!$B:$J,4,FALSE)</f>
        <v>UN</v>
      </c>
      <c r="F233" s="23"/>
      <c r="G233" s="23"/>
      <c r="H233" s="23"/>
      <c r="I233" s="23"/>
      <c r="J233" s="23"/>
      <c r="K233" s="23"/>
      <c r="L233" s="23"/>
      <c r="M233" s="23"/>
      <c r="N233" s="5">
        <f>SUM($M$234:$M$234)</f>
        <v>1</v>
      </c>
    </row>
    <row r="234" spans="1:14" x14ac:dyDescent="0.3">
      <c r="A234" s="23" t="s">
        <v>697</v>
      </c>
      <c r="B234" s="65" t="s">
        <v>516</v>
      </c>
      <c r="C234" s="66"/>
      <c r="D234" s="66"/>
      <c r="E234" s="67"/>
      <c r="F234" s="5">
        <v>1</v>
      </c>
      <c r="G234" s="26"/>
      <c r="H234" s="5"/>
      <c r="I234" s="5"/>
      <c r="J234" s="5"/>
      <c r="K234" s="5" t="str">
        <f>IF(COUNTA(H234:J234)=2,ROUND(PRODUCT(H234:J234),2),"")</f>
        <v/>
      </c>
      <c r="L234" s="5" t="str">
        <f>IF(OR(AND(COUNTA(H234:J234)=3,K234=""),AND(COUNTA(H234:J234)=1,K234&lt;&gt;"")),ROUND(PRODUCT(H234:K234),2),"")</f>
        <v/>
      </c>
      <c r="M234" s="5">
        <f>IF(L234&lt;&gt;"",ROUND(PRODUCT(F234,G234,L234),2),IF(K234&lt;&gt;"",ROUND(PRODUCT(F234,G234,K234),2),ROUND(PRODUCT(F234:J234),2)))</f>
        <v>1</v>
      </c>
      <c r="N234" s="5"/>
    </row>
    <row r="235" spans="1:14" x14ac:dyDescent="0.3">
      <c r="A235" s="23" t="s">
        <v>239</v>
      </c>
      <c r="B235" s="23" t="s">
        <v>568</v>
      </c>
      <c r="C235" s="23" t="str">
        <f>VLOOKUP(B235,CPU!$B:$J,2,FALSE)</f>
        <v>PRÓPRIA</v>
      </c>
      <c r="D235" s="24" t="str">
        <f>VLOOKUP(B235,CPU!$B:$J,3,FALSE)</f>
        <v>AQUISIÇÃO E INSTALAÇÃO DE DOSADOR DE CLORO</v>
      </c>
      <c r="E235" s="23" t="str">
        <f>VLOOKUP(B235,CPU!$B:$J,4,FALSE)</f>
        <v>UND</v>
      </c>
      <c r="F235" s="23"/>
      <c r="G235" s="23"/>
      <c r="H235" s="23"/>
      <c r="I235" s="23"/>
      <c r="J235" s="23"/>
      <c r="K235" s="23"/>
      <c r="L235" s="23"/>
      <c r="M235" s="23"/>
      <c r="N235" s="5">
        <f>SUM($M$236:$M$236)</f>
        <v>1</v>
      </c>
    </row>
    <row r="236" spans="1:14" x14ac:dyDescent="0.3">
      <c r="A236" s="23" t="s">
        <v>698</v>
      </c>
      <c r="B236" s="65" t="s">
        <v>516</v>
      </c>
      <c r="C236" s="66"/>
      <c r="D236" s="66"/>
      <c r="E236" s="67"/>
      <c r="F236" s="5">
        <v>1</v>
      </c>
      <c r="G236" s="26"/>
      <c r="H236" s="5"/>
      <c r="I236" s="5"/>
      <c r="J236" s="5"/>
      <c r="K236" s="5" t="str">
        <f>IF(COUNTA(H236:J236)=2,ROUND(PRODUCT(H236:J236),2),"")</f>
        <v/>
      </c>
      <c r="L236" s="5" t="str">
        <f>IF(OR(AND(COUNTA(H236:J236)=3,K236=""),AND(COUNTA(H236:J236)=1,K236&lt;&gt;"")),ROUND(PRODUCT(H236:K236),2),"")</f>
        <v/>
      </c>
      <c r="M236" s="5">
        <f>IF(L236&lt;&gt;"",ROUND(PRODUCT(F236,G236,L236),2),IF(K236&lt;&gt;"",ROUND(PRODUCT(F236,G236,K236),2),ROUND(PRODUCT(F236:J236),2)))</f>
        <v>1</v>
      </c>
      <c r="N236" s="5"/>
    </row>
    <row r="237" spans="1:14" x14ac:dyDescent="0.3">
      <c r="A237" s="12" t="s">
        <v>46</v>
      </c>
      <c r="B237" s="46" t="s">
        <v>570</v>
      </c>
      <c r="C237" s="47"/>
      <c r="D237" s="47"/>
      <c r="E237" s="47"/>
      <c r="F237" s="47"/>
      <c r="G237" s="47"/>
      <c r="H237" s="47"/>
      <c r="I237" s="47"/>
      <c r="J237" s="47"/>
      <c r="K237" s="47"/>
      <c r="L237" s="47"/>
      <c r="M237" s="47"/>
      <c r="N237" s="48"/>
    </row>
    <row r="238" spans="1:14" x14ac:dyDescent="0.3">
      <c r="A238" s="15" t="s">
        <v>47</v>
      </c>
      <c r="B238" s="49" t="s">
        <v>513</v>
      </c>
      <c r="C238" s="50"/>
      <c r="D238" s="50"/>
      <c r="E238" s="50"/>
      <c r="F238" s="50"/>
      <c r="G238" s="50"/>
      <c r="H238" s="50"/>
      <c r="I238" s="50"/>
      <c r="J238" s="50"/>
      <c r="K238" s="50"/>
      <c r="L238" s="50"/>
      <c r="M238" s="50"/>
      <c r="N238" s="51"/>
    </row>
    <row r="239" spans="1:14" x14ac:dyDescent="0.3">
      <c r="A239" s="23" t="s">
        <v>240</v>
      </c>
      <c r="B239" s="23">
        <v>98524</v>
      </c>
      <c r="C239" s="23" t="str">
        <f>VLOOKUP(B239,CPU!$B:$J,2,FALSE)</f>
        <v>SINAPI</v>
      </c>
      <c r="D239" s="24" t="str">
        <f>VLOOKUP(B239,CPU!$B:$J,3,FALSE)</f>
        <v>LIMPEZA MANUAL DE VEGETAÇÃO EM TERRENO COM ENXADA. AF_03/2024</v>
      </c>
      <c r="E239" s="23" t="str">
        <f>VLOOKUP(B239,CPU!$B:$J,4,FALSE)</f>
        <v>M2</v>
      </c>
      <c r="F239" s="23"/>
      <c r="G239" s="23"/>
      <c r="H239" s="23"/>
      <c r="I239" s="23"/>
      <c r="J239" s="23"/>
      <c r="K239" s="23"/>
      <c r="L239" s="23"/>
      <c r="M239" s="23"/>
      <c r="N239" s="5">
        <f>SUM($M$240:$M$240)</f>
        <v>100</v>
      </c>
    </row>
    <row r="240" spans="1:14" x14ac:dyDescent="0.3">
      <c r="A240" s="23" t="s">
        <v>699</v>
      </c>
      <c r="B240" s="65" t="s">
        <v>516</v>
      </c>
      <c r="C240" s="66"/>
      <c r="D240" s="66"/>
      <c r="E240" s="67"/>
      <c r="F240" s="5"/>
      <c r="G240" s="26"/>
      <c r="H240" s="5"/>
      <c r="I240" s="5">
        <v>10</v>
      </c>
      <c r="J240" s="5">
        <v>10</v>
      </c>
      <c r="K240" s="5">
        <f>IF(COUNTA(H240:J240)=2,ROUND(PRODUCT(H240:J240),2),"")</f>
        <v>100</v>
      </c>
      <c r="L240" s="5" t="str">
        <f>IF(OR(AND(COUNTA(H240:J240)=3,K240=""),AND(COUNTA(H240:J240)=1,K240&lt;&gt;"")),ROUND(PRODUCT(H240:K240),2),"")</f>
        <v/>
      </c>
      <c r="M240" s="5">
        <f>IF(L240&lt;&gt;"",ROUND(PRODUCT(F240,G240,L240),2),IF(K240&lt;&gt;"",ROUND(PRODUCT(F240,G240,K240),2),ROUND(PRODUCT(F240:J240),2)))</f>
        <v>100</v>
      </c>
      <c r="N240" s="5"/>
    </row>
    <row r="241" spans="1:14" ht="28.8" x14ac:dyDescent="0.3">
      <c r="A241" s="23" t="s">
        <v>241</v>
      </c>
      <c r="B241" s="23">
        <v>99059</v>
      </c>
      <c r="C241" s="23" t="str">
        <f>VLOOKUP(B241,CPU!$B:$J,2,FALSE)</f>
        <v>SINAPI</v>
      </c>
      <c r="D241" s="24" t="str">
        <f>VLOOKUP(B241,CPU!$B:$J,3,FALSE)</f>
        <v>LOCAÇÃO CONVENCIONAL DE OBRA, UTILIZANDO GABARITO DE TÁBUAS CORRIDAS PONTALETADAS A CADA 2,00M - 2 UTILIZAÇÕES. AF_03/2024</v>
      </c>
      <c r="E241" s="23" t="str">
        <f>VLOOKUP(B241,CPU!$B:$J,4,FALSE)</f>
        <v>M</v>
      </c>
      <c r="F241" s="23"/>
      <c r="G241" s="23"/>
      <c r="H241" s="23"/>
      <c r="I241" s="23"/>
      <c r="J241" s="23"/>
      <c r="K241" s="23"/>
      <c r="L241" s="23"/>
      <c r="M241" s="23"/>
      <c r="N241" s="5">
        <f>SUM($M$242:$M$242)</f>
        <v>44</v>
      </c>
    </row>
    <row r="242" spans="1:14" x14ac:dyDescent="0.3">
      <c r="A242" s="23" t="s">
        <v>700</v>
      </c>
      <c r="B242" s="65" t="s">
        <v>516</v>
      </c>
      <c r="C242" s="66"/>
      <c r="D242" s="66"/>
      <c r="E242" s="67"/>
      <c r="F242" s="5"/>
      <c r="G242" s="26">
        <v>4</v>
      </c>
      <c r="H242" s="5">
        <v>11</v>
      </c>
      <c r="I242" s="5"/>
      <c r="J242" s="5"/>
      <c r="K242" s="5" t="str">
        <f>IF(COUNTA(H242:J242)=2,ROUND(PRODUCT(H242:J242),2),"")</f>
        <v/>
      </c>
      <c r="L242" s="5" t="str">
        <f>IF(OR(AND(COUNTA(H242:J242)=3,K242=""),AND(COUNTA(H242:J242)=1,K242&lt;&gt;"")),ROUND(PRODUCT(H242:K242),2),"")</f>
        <v/>
      </c>
      <c r="M242" s="5">
        <f>IF(L242&lt;&gt;"",ROUND(PRODUCT(F242,G242,L242),2),IF(K242&lt;&gt;"",ROUND(PRODUCT(F242,G242,K242),2),ROUND(PRODUCT(F242:J242),2)))</f>
        <v>44</v>
      </c>
      <c r="N242" s="5"/>
    </row>
    <row r="243" spans="1:14" x14ac:dyDescent="0.3">
      <c r="A243" s="15" t="s">
        <v>48</v>
      </c>
      <c r="B243" s="49" t="s">
        <v>573</v>
      </c>
      <c r="C243" s="50"/>
      <c r="D243" s="50"/>
      <c r="E243" s="50"/>
      <c r="F243" s="50"/>
      <c r="G243" s="50"/>
      <c r="H243" s="50"/>
      <c r="I243" s="50"/>
      <c r="J243" s="50"/>
      <c r="K243" s="50"/>
      <c r="L243" s="50"/>
      <c r="M243" s="50"/>
      <c r="N243" s="51"/>
    </row>
    <row r="244" spans="1:14" x14ac:dyDescent="0.3">
      <c r="A244" s="23" t="s">
        <v>242</v>
      </c>
      <c r="B244" s="23">
        <v>93358</v>
      </c>
      <c r="C244" s="23" t="str">
        <f>VLOOKUP(B244,CPU!$B:$J,2,FALSE)</f>
        <v>SINAPI</v>
      </c>
      <c r="D244" s="24" t="str">
        <f>VLOOKUP(B244,CPU!$B:$J,3,FALSE)</f>
        <v>ESCAVAÇÃO MANUAL DE VALA. AF_09/2024</v>
      </c>
      <c r="E244" s="23" t="str">
        <f>VLOOKUP(B244,CPU!$B:$J,4,FALSE)</f>
        <v>M3</v>
      </c>
      <c r="F244" s="23"/>
      <c r="G244" s="23"/>
      <c r="H244" s="23"/>
      <c r="I244" s="23"/>
      <c r="J244" s="23"/>
      <c r="K244" s="23"/>
      <c r="L244" s="23"/>
      <c r="M244" s="23"/>
      <c r="N244" s="5">
        <f>SUM($M$245:$M$246)</f>
        <v>1.54</v>
      </c>
    </row>
    <row r="245" spans="1:14" x14ac:dyDescent="0.3">
      <c r="A245" s="23" t="s">
        <v>701</v>
      </c>
      <c r="B245" s="65" t="s">
        <v>516</v>
      </c>
      <c r="C245" s="66"/>
      <c r="D245" s="66"/>
      <c r="E245" s="67"/>
      <c r="F245" s="5"/>
      <c r="G245" s="26">
        <v>2</v>
      </c>
      <c r="H245" s="5">
        <v>2.2999999999999998</v>
      </c>
      <c r="I245" s="5">
        <v>0.3</v>
      </c>
      <c r="J245" s="5">
        <v>0.6</v>
      </c>
      <c r="K245" s="5" t="str">
        <f>IF(COUNTA(H245:J245)=2,ROUND(PRODUCT(H245:J245),2),"")</f>
        <v/>
      </c>
      <c r="L245" s="5">
        <f>IF(OR(AND(COUNTA(H245:J245)=3,K245=""),AND(COUNTA(H245:J245)=1,K245&lt;&gt;"")),ROUND(PRODUCT(H245:K245),2),"")</f>
        <v>0.41</v>
      </c>
      <c r="M245" s="5">
        <f>IF(L245&lt;&gt;"",ROUND(PRODUCT(F245,G245,L245),2),IF(K245&lt;&gt;"",ROUND(PRODUCT(F245,G245,K245),2),ROUND(PRODUCT(F245:J245),2)))</f>
        <v>0.82</v>
      </c>
      <c r="N245" s="5"/>
    </row>
    <row r="246" spans="1:14" x14ac:dyDescent="0.3">
      <c r="A246" s="23" t="s">
        <v>702</v>
      </c>
      <c r="B246" s="65" t="s">
        <v>516</v>
      </c>
      <c r="C246" s="66"/>
      <c r="D246" s="66"/>
      <c r="E246" s="67"/>
      <c r="F246" s="5"/>
      <c r="G246" s="26">
        <v>2</v>
      </c>
      <c r="H246" s="5">
        <v>2</v>
      </c>
      <c r="I246" s="5">
        <v>0.3</v>
      </c>
      <c r="J246" s="5">
        <v>0.6</v>
      </c>
      <c r="K246" s="5" t="str">
        <f>IF(COUNTA(H246:J246)=2,ROUND(PRODUCT(H246:J246),2),"")</f>
        <v/>
      </c>
      <c r="L246" s="5">
        <f>IF(OR(AND(COUNTA(H246:J246)=3,K246=""),AND(COUNTA(H246:J246)=1,K246&lt;&gt;"")),ROUND(PRODUCT(H246:K246),2),"")</f>
        <v>0.36</v>
      </c>
      <c r="M246" s="5">
        <f>IF(L246&lt;&gt;"",ROUND(PRODUCT(F246,G246,L246),2),IF(K246&lt;&gt;"",ROUND(PRODUCT(F246,G246,K246),2),ROUND(PRODUCT(F246:J246),2)))</f>
        <v>0.72</v>
      </c>
      <c r="N246" s="5"/>
    </row>
    <row r="247" spans="1:14" x14ac:dyDescent="0.3">
      <c r="A247" s="15" t="s">
        <v>49</v>
      </c>
      <c r="B247" s="49" t="s">
        <v>576</v>
      </c>
      <c r="C247" s="50"/>
      <c r="D247" s="50"/>
      <c r="E247" s="50"/>
      <c r="F247" s="50"/>
      <c r="G247" s="50"/>
      <c r="H247" s="50"/>
      <c r="I247" s="50"/>
      <c r="J247" s="50"/>
      <c r="K247" s="50"/>
      <c r="L247" s="50"/>
      <c r="M247" s="50"/>
      <c r="N247" s="51"/>
    </row>
    <row r="248" spans="1:14" ht="28.8" x14ac:dyDescent="0.3">
      <c r="A248" s="23" t="s">
        <v>243</v>
      </c>
      <c r="B248" s="23">
        <v>96617</v>
      </c>
      <c r="C248" s="23" t="str">
        <f>VLOOKUP(B248,CPU!$B:$J,2,FALSE)</f>
        <v>SINAPI</v>
      </c>
      <c r="D248" s="24" t="str">
        <f>VLOOKUP(B248,CPU!$B:$J,3,FALSE)</f>
        <v>LASTRO DE CONCRETO MAGRO, APLICADO EM BLOCOS DE COROAMENTO OU SAPATAS, ESPESSURA DE 3 CM. AF_01/2024</v>
      </c>
      <c r="E248" s="23" t="str">
        <f>VLOOKUP(B248,CPU!$B:$J,4,FALSE)</f>
        <v>M2</v>
      </c>
      <c r="F248" s="23"/>
      <c r="G248" s="23"/>
      <c r="H248" s="23"/>
      <c r="I248" s="23"/>
      <c r="J248" s="23"/>
      <c r="K248" s="23"/>
      <c r="L248" s="23"/>
      <c r="M248" s="23"/>
      <c r="N248" s="5">
        <f>SUM($M$249:$M$250)</f>
        <v>2.58</v>
      </c>
    </row>
    <row r="249" spans="1:14" x14ac:dyDescent="0.3">
      <c r="A249" s="23" t="s">
        <v>703</v>
      </c>
      <c r="B249" s="65" t="s">
        <v>516</v>
      </c>
      <c r="C249" s="66"/>
      <c r="D249" s="66"/>
      <c r="E249" s="67"/>
      <c r="F249" s="5"/>
      <c r="G249" s="26">
        <v>2</v>
      </c>
      <c r="H249" s="5">
        <v>2.2999999999999998</v>
      </c>
      <c r="I249" s="5">
        <v>0.3</v>
      </c>
      <c r="J249" s="5"/>
      <c r="K249" s="5">
        <f>IF(COUNTA(H249:J249)=2,ROUND(PRODUCT(H249:J249),2),"")</f>
        <v>0.69</v>
      </c>
      <c r="L249" s="5" t="str">
        <f>IF(OR(AND(COUNTA(H249:J249)=3,K249=""),AND(COUNTA(H249:J249)=1,K249&lt;&gt;"")),ROUND(PRODUCT(H249:K249),2),"")</f>
        <v/>
      </c>
      <c r="M249" s="5">
        <f>IF(L249&lt;&gt;"",ROUND(PRODUCT(F249,G249,L249),2),IF(K249&lt;&gt;"",ROUND(PRODUCT(F249,G249,K249),2),ROUND(PRODUCT(F249:J249),2)))</f>
        <v>1.38</v>
      </c>
      <c r="N249" s="5"/>
    </row>
    <row r="250" spans="1:14" x14ac:dyDescent="0.3">
      <c r="A250" s="23" t="s">
        <v>704</v>
      </c>
      <c r="B250" s="65" t="s">
        <v>516</v>
      </c>
      <c r="C250" s="66"/>
      <c r="D250" s="66"/>
      <c r="E250" s="67"/>
      <c r="F250" s="5"/>
      <c r="G250" s="26">
        <v>2</v>
      </c>
      <c r="H250" s="5">
        <v>2</v>
      </c>
      <c r="I250" s="5">
        <v>0.3</v>
      </c>
      <c r="J250" s="5"/>
      <c r="K250" s="5">
        <f>IF(COUNTA(H250:J250)=2,ROUND(PRODUCT(H250:J250),2),"")</f>
        <v>0.6</v>
      </c>
      <c r="L250" s="5" t="str">
        <f>IF(OR(AND(COUNTA(H250:J250)=3,K250=""),AND(COUNTA(H250:J250)=1,K250&lt;&gt;"")),ROUND(PRODUCT(H250:K250),2),"")</f>
        <v/>
      </c>
      <c r="M250" s="5">
        <f>IF(L250&lt;&gt;"",ROUND(PRODUCT(F250,G250,L250),2),IF(K250&lt;&gt;"",ROUND(PRODUCT(F250,G250,K250),2),ROUND(PRODUCT(F250:J250),2)))</f>
        <v>1.2</v>
      </c>
      <c r="N250" s="5"/>
    </row>
    <row r="251" spans="1:14" ht="28.8" x14ac:dyDescent="0.3">
      <c r="A251" s="23" t="s">
        <v>244</v>
      </c>
      <c r="B251" s="23">
        <v>103800</v>
      </c>
      <c r="C251" s="23" t="str">
        <f>VLOOKUP(B251,CPU!$B:$J,2,FALSE)</f>
        <v>SINAPI</v>
      </c>
      <c r="D251" s="24" t="str">
        <f>VLOOKUP(B251,CPU!$B:$J,3,FALSE)</f>
        <v>PEDRA ARGAMASSADA COM CIMENTO E AREIA 1:3, 40% DE ARGAMASSA EM VOLUME - AREIA E PEDRA DE MÃO COMERCIAIS - FORNECIMENTO E ASSENTAMENTO. AF_08/2022</v>
      </c>
      <c r="E251" s="23" t="str">
        <f>VLOOKUP(B251,CPU!$B:$J,4,FALSE)</f>
        <v>M3</v>
      </c>
      <c r="F251" s="23"/>
      <c r="G251" s="23"/>
      <c r="H251" s="23"/>
      <c r="I251" s="23"/>
      <c r="J251" s="23"/>
      <c r="K251" s="23"/>
      <c r="L251" s="23"/>
      <c r="M251" s="23"/>
      <c r="N251" s="5">
        <f>SUM($M$252:$M$253)</f>
        <v>1.04</v>
      </c>
    </row>
    <row r="252" spans="1:14" x14ac:dyDescent="0.3">
      <c r="A252" s="23" t="s">
        <v>705</v>
      </c>
      <c r="B252" s="65" t="s">
        <v>516</v>
      </c>
      <c r="C252" s="66"/>
      <c r="D252" s="66"/>
      <c r="E252" s="67"/>
      <c r="F252" s="5"/>
      <c r="G252" s="26">
        <v>2</v>
      </c>
      <c r="H252" s="5">
        <v>2.2999999999999998</v>
      </c>
      <c r="I252" s="5">
        <v>0.3</v>
      </c>
      <c r="J252" s="5">
        <v>0.4</v>
      </c>
      <c r="K252" s="5" t="str">
        <f>IF(COUNTA(H252:J252)=2,ROUND(PRODUCT(H252:J252),2),"")</f>
        <v/>
      </c>
      <c r="L252" s="5">
        <f>IF(OR(AND(COUNTA(H252:J252)=3,K252=""),AND(COUNTA(H252:J252)=1,K252&lt;&gt;"")),ROUND(PRODUCT(H252:K252),2),"")</f>
        <v>0.28000000000000003</v>
      </c>
      <c r="M252" s="5">
        <f>IF(L252&lt;&gt;"",ROUND(PRODUCT(F252,G252,L252),2),IF(K252&lt;&gt;"",ROUND(PRODUCT(F252,G252,K252),2),ROUND(PRODUCT(F252:J252),2)))</f>
        <v>0.56000000000000005</v>
      </c>
      <c r="N252" s="5"/>
    </row>
    <row r="253" spans="1:14" x14ac:dyDescent="0.3">
      <c r="A253" s="23" t="s">
        <v>706</v>
      </c>
      <c r="B253" s="65" t="s">
        <v>516</v>
      </c>
      <c r="C253" s="66"/>
      <c r="D253" s="66"/>
      <c r="E253" s="67"/>
      <c r="F253" s="5"/>
      <c r="G253" s="26">
        <v>2</v>
      </c>
      <c r="H253" s="5">
        <v>2</v>
      </c>
      <c r="I253" s="5">
        <v>0.3</v>
      </c>
      <c r="J253" s="5">
        <v>0.4</v>
      </c>
      <c r="K253" s="5" t="str">
        <f>IF(COUNTA(H253:J253)=2,ROUND(PRODUCT(H253:J253),2),"")</f>
        <v/>
      </c>
      <c r="L253" s="5">
        <f>IF(OR(AND(COUNTA(H253:J253)=3,K253=""),AND(COUNTA(H253:J253)=1,K253&lt;&gt;"")),ROUND(PRODUCT(H253:K253),2),"")</f>
        <v>0.24</v>
      </c>
      <c r="M253" s="5">
        <f>IF(L253&lt;&gt;"",ROUND(PRODUCT(F253,G253,L253),2),IF(K253&lt;&gt;"",ROUND(PRODUCT(F253,G253,K253),2),ROUND(PRODUCT(F253:J253),2)))</f>
        <v>0.48</v>
      </c>
      <c r="N253" s="5"/>
    </row>
    <row r="254" spans="1:14" ht="43.2" x14ac:dyDescent="0.3">
      <c r="A254" s="23" t="s">
        <v>245</v>
      </c>
      <c r="B254" s="23">
        <v>103335</v>
      </c>
      <c r="C254" s="23" t="str">
        <f>VLOOKUP(B254,CPU!$B:$J,2,FALSE)</f>
        <v>SINAPI</v>
      </c>
      <c r="D254" s="24" t="str">
        <f>VLOOKUP(B254,CPU!$B:$J,3,FALSE)</f>
        <v>ALVENARIA DE VEDAÇÃO DE BLOCOS CERÂMICOS FURADOS NA HORIZONTAL DE 14X9X19 CM (ESPESSURA 14 CM, BLOCO DEITADO) E ARGAMASSA DE ASSENTAMENTO COM PREPARO MANUAL. AF_12/2021</v>
      </c>
      <c r="E254" s="23" t="str">
        <f>VLOOKUP(B254,CPU!$B:$J,4,FALSE)</f>
        <v>M2</v>
      </c>
      <c r="F254" s="23"/>
      <c r="G254" s="23"/>
      <c r="H254" s="23"/>
      <c r="I254" s="23"/>
      <c r="J254" s="23"/>
      <c r="K254" s="23"/>
      <c r="L254" s="23"/>
      <c r="M254" s="23"/>
      <c r="N254" s="5">
        <f>SUM($M$255:$M$256)</f>
        <v>1.7200000000000002</v>
      </c>
    </row>
    <row r="255" spans="1:14" x14ac:dyDescent="0.3">
      <c r="A255" s="23" t="s">
        <v>707</v>
      </c>
      <c r="B255" s="65" t="s">
        <v>516</v>
      </c>
      <c r="C255" s="66"/>
      <c r="D255" s="66"/>
      <c r="E255" s="67"/>
      <c r="F255" s="5"/>
      <c r="G255" s="26">
        <v>2</v>
      </c>
      <c r="H255" s="5">
        <v>2.2999999999999998</v>
      </c>
      <c r="I255" s="5"/>
      <c r="J255" s="5">
        <v>0.2</v>
      </c>
      <c r="K255" s="5">
        <f>IF(COUNTA(H255:J255)=2,ROUND(PRODUCT(H255:J255),2),"")</f>
        <v>0.46</v>
      </c>
      <c r="L255" s="5" t="str">
        <f>IF(OR(AND(COUNTA(H255:J255)=3,K255=""),AND(COUNTA(H255:J255)=1,K255&lt;&gt;"")),ROUND(PRODUCT(H255:K255),2),"")</f>
        <v/>
      </c>
      <c r="M255" s="5">
        <f>IF(L255&lt;&gt;"",ROUND(PRODUCT(F255,G255,L255),2),IF(K255&lt;&gt;"",ROUND(PRODUCT(F255,G255,K255),2),ROUND(PRODUCT(F255:J255),2)))</f>
        <v>0.92</v>
      </c>
      <c r="N255" s="5"/>
    </row>
    <row r="256" spans="1:14" x14ac:dyDescent="0.3">
      <c r="A256" s="23" t="s">
        <v>708</v>
      </c>
      <c r="B256" s="65" t="s">
        <v>516</v>
      </c>
      <c r="C256" s="66"/>
      <c r="D256" s="66"/>
      <c r="E256" s="67"/>
      <c r="F256" s="5"/>
      <c r="G256" s="26">
        <v>2</v>
      </c>
      <c r="H256" s="5">
        <v>2</v>
      </c>
      <c r="I256" s="5"/>
      <c r="J256" s="5">
        <v>0.2</v>
      </c>
      <c r="K256" s="5">
        <f>IF(COUNTA(H256:J256)=2,ROUND(PRODUCT(H256:J256),2),"")</f>
        <v>0.4</v>
      </c>
      <c r="L256" s="5" t="str">
        <f>IF(OR(AND(COUNTA(H256:J256)=3,K256=""),AND(COUNTA(H256:J256)=1,K256&lt;&gt;"")),ROUND(PRODUCT(H256:K256),2),"")</f>
        <v/>
      </c>
      <c r="M256" s="5">
        <f>IF(L256&lt;&gt;"",ROUND(PRODUCT(F256,G256,L256),2),IF(K256&lt;&gt;"",ROUND(PRODUCT(F256,G256,K256),2),ROUND(PRODUCT(F256:J256),2)))</f>
        <v>0.8</v>
      </c>
      <c r="N256" s="5"/>
    </row>
    <row r="257" spans="1:14" x14ac:dyDescent="0.3">
      <c r="A257" s="15" t="s">
        <v>50</v>
      </c>
      <c r="B257" s="49" t="s">
        <v>583</v>
      </c>
      <c r="C257" s="50"/>
      <c r="D257" s="50"/>
      <c r="E257" s="50"/>
      <c r="F257" s="50"/>
      <c r="G257" s="50"/>
      <c r="H257" s="50"/>
      <c r="I257" s="50"/>
      <c r="J257" s="50"/>
      <c r="K257" s="50"/>
      <c r="L257" s="50"/>
      <c r="M257" s="50"/>
      <c r="N257" s="51"/>
    </row>
    <row r="258" spans="1:14" x14ac:dyDescent="0.3">
      <c r="A258" s="23" t="s">
        <v>246</v>
      </c>
      <c r="B258" s="23" t="s">
        <v>584</v>
      </c>
      <c r="C258" s="23" t="str">
        <f>VLOOKUP(B258,CPU!$B:$J,2,FALSE)</f>
        <v>PRÓPRIA</v>
      </c>
      <c r="D258" s="24" t="str">
        <f>VLOOKUP(B258,CPU!$B:$J,3,FALSE)</f>
        <v>CINTA DE AMARRAÇÃO DE ALVENARIA MOLDADA IN LOCO EM CONCRETO</v>
      </c>
      <c r="E258" s="23" t="str">
        <f>VLOOKUP(B258,CPU!$B:$J,4,FALSE)</f>
        <v>M</v>
      </c>
      <c r="F258" s="23"/>
      <c r="G258" s="23"/>
      <c r="H258" s="23"/>
      <c r="I258" s="23"/>
      <c r="J258" s="23"/>
      <c r="K258" s="23"/>
      <c r="L258" s="23"/>
      <c r="M258" s="23"/>
      <c r="N258" s="5">
        <f>SUM($M$259:$M$260)</f>
        <v>8.6</v>
      </c>
    </row>
    <row r="259" spans="1:14" x14ac:dyDescent="0.3">
      <c r="A259" s="23" t="s">
        <v>709</v>
      </c>
      <c r="B259" s="65" t="s">
        <v>516</v>
      </c>
      <c r="C259" s="66"/>
      <c r="D259" s="66"/>
      <c r="E259" s="67"/>
      <c r="F259" s="5"/>
      <c r="G259" s="26">
        <v>2</v>
      </c>
      <c r="H259" s="5">
        <v>2.2999999999999998</v>
      </c>
      <c r="I259" s="5"/>
      <c r="J259" s="5"/>
      <c r="K259" s="5" t="str">
        <f>IF(COUNTA(H259:J259)=2,ROUND(PRODUCT(H259:J259),2),"")</f>
        <v/>
      </c>
      <c r="L259" s="5" t="str">
        <f>IF(OR(AND(COUNTA(H259:J259)=3,K259=""),AND(COUNTA(H259:J259)=1,K259&lt;&gt;"")),ROUND(PRODUCT(H259:K259),2),"")</f>
        <v/>
      </c>
      <c r="M259" s="5">
        <f>IF(L259&lt;&gt;"",ROUND(PRODUCT(F259,G259,L259),2),IF(K259&lt;&gt;"",ROUND(PRODUCT(F259,G259,K259),2),ROUND(PRODUCT(F259:J259),2)))</f>
        <v>4.5999999999999996</v>
      </c>
      <c r="N259" s="5"/>
    </row>
    <row r="260" spans="1:14" x14ac:dyDescent="0.3">
      <c r="A260" s="23" t="s">
        <v>710</v>
      </c>
      <c r="B260" s="65" t="s">
        <v>516</v>
      </c>
      <c r="C260" s="66"/>
      <c r="D260" s="66"/>
      <c r="E260" s="67"/>
      <c r="F260" s="5"/>
      <c r="G260" s="26">
        <v>2</v>
      </c>
      <c r="H260" s="5">
        <v>2</v>
      </c>
      <c r="I260" s="5"/>
      <c r="J260" s="5"/>
      <c r="K260" s="5" t="str">
        <f>IF(COUNTA(H260:J260)=2,ROUND(PRODUCT(H260:J260),2),"")</f>
        <v/>
      </c>
      <c r="L260" s="5" t="str">
        <f>IF(OR(AND(COUNTA(H260:J260)=3,K260=""),AND(COUNTA(H260:J260)=1,K260&lt;&gt;"")),ROUND(PRODUCT(H260:K260),2),"")</f>
        <v/>
      </c>
      <c r="M260" s="5">
        <f>IF(L260&lt;&gt;"",ROUND(PRODUCT(F260,G260,L260),2),IF(K260&lt;&gt;"",ROUND(PRODUCT(F260,G260,K260),2),ROUND(PRODUCT(F260:J260),2)))</f>
        <v>4</v>
      </c>
      <c r="N260" s="5"/>
    </row>
    <row r="261" spans="1:14" ht="28.8" x14ac:dyDescent="0.3">
      <c r="A261" s="23" t="s">
        <v>247</v>
      </c>
      <c r="B261" s="23" t="s">
        <v>587</v>
      </c>
      <c r="C261" s="23" t="str">
        <f>VLOOKUP(B261,CPU!$B:$J,2,FALSE)</f>
        <v>PRÓPRIA</v>
      </c>
      <c r="D261" s="24" t="str">
        <f>VLOOKUP(B261,CPU!$B:$J,3,FALSE)</f>
        <v>(COMPOSIÇÃO REPRESENTATIVA) EXECUÇÃO DE ESTRUTURAS DE CONCRETO ARMADO, PARA EDIFICAÇÃO INSTITUCIONAL TÉRREA, FCK = 25 MPA</v>
      </c>
      <c r="E261" s="23" t="str">
        <f>VLOOKUP(B261,CPU!$B:$J,4,FALSE)</f>
        <v>M³</v>
      </c>
      <c r="F261" s="23"/>
      <c r="G261" s="23"/>
      <c r="H261" s="23"/>
      <c r="I261" s="23"/>
      <c r="J261" s="23"/>
      <c r="K261" s="23"/>
      <c r="L261" s="23"/>
      <c r="M261" s="23"/>
      <c r="N261" s="5">
        <f>SUM($M$262:$M$263)</f>
        <v>0.30000000000000004</v>
      </c>
    </row>
    <row r="262" spans="1:14" x14ac:dyDescent="0.3">
      <c r="A262" s="23" t="s">
        <v>711</v>
      </c>
      <c r="B262" s="65" t="s">
        <v>589</v>
      </c>
      <c r="C262" s="66"/>
      <c r="D262" s="66"/>
      <c r="E262" s="67"/>
      <c r="F262" s="5"/>
      <c r="G262" s="26">
        <v>2</v>
      </c>
      <c r="H262" s="5">
        <v>3.53</v>
      </c>
      <c r="I262" s="5">
        <v>0.15</v>
      </c>
      <c r="J262" s="5">
        <v>0.15</v>
      </c>
      <c r="K262" s="5" t="str">
        <f>IF(COUNTA(H262:J262)=2,ROUND(PRODUCT(H262:J262),2),"")</f>
        <v/>
      </c>
      <c r="L262" s="5">
        <f>IF(OR(AND(COUNTA(H262:J262)=3,K262=""),AND(COUNTA(H262:J262)=1,K262&lt;&gt;"")),ROUND(PRODUCT(H262:K262),2),"")</f>
        <v>0.08</v>
      </c>
      <c r="M262" s="5">
        <f>IF(L262&lt;&gt;"",ROUND(PRODUCT(F262,G262,L262),2),IF(K262&lt;&gt;"",ROUND(PRODUCT(F262,G262,K262),2),ROUND(PRODUCT(F262:J262),2)))</f>
        <v>0.16</v>
      </c>
      <c r="N262" s="5"/>
    </row>
    <row r="263" spans="1:14" x14ac:dyDescent="0.3">
      <c r="A263" s="23" t="s">
        <v>712</v>
      </c>
      <c r="B263" s="65" t="s">
        <v>589</v>
      </c>
      <c r="C263" s="66"/>
      <c r="D263" s="66"/>
      <c r="E263" s="67"/>
      <c r="F263" s="5"/>
      <c r="G263" s="26">
        <v>2</v>
      </c>
      <c r="H263" s="5">
        <v>2.95</v>
      </c>
      <c r="I263" s="5">
        <v>0.15</v>
      </c>
      <c r="J263" s="5">
        <v>0.15</v>
      </c>
      <c r="K263" s="5" t="str">
        <f>IF(COUNTA(H263:J263)=2,ROUND(PRODUCT(H263:J263),2),"")</f>
        <v/>
      </c>
      <c r="L263" s="5">
        <f>IF(OR(AND(COUNTA(H263:J263)=3,K263=""),AND(COUNTA(H263:J263)=1,K263&lt;&gt;"")),ROUND(PRODUCT(H263:K263),2),"")</f>
        <v>7.0000000000000007E-2</v>
      </c>
      <c r="M263" s="5">
        <f>IF(L263&lt;&gt;"",ROUND(PRODUCT(F263,G263,L263),2),IF(K263&lt;&gt;"",ROUND(PRODUCT(F263,G263,K263),2),ROUND(PRODUCT(F263:J263),2)))</f>
        <v>0.14000000000000001</v>
      </c>
      <c r="N263" s="5"/>
    </row>
    <row r="264" spans="1:14" x14ac:dyDescent="0.3">
      <c r="A264" s="15" t="s">
        <v>51</v>
      </c>
      <c r="B264" s="49" t="s">
        <v>591</v>
      </c>
      <c r="C264" s="50"/>
      <c r="D264" s="50"/>
      <c r="E264" s="50"/>
      <c r="F264" s="50"/>
      <c r="G264" s="50"/>
      <c r="H264" s="50"/>
      <c r="I264" s="50"/>
      <c r="J264" s="50"/>
      <c r="K264" s="50"/>
      <c r="L264" s="50"/>
      <c r="M264" s="50"/>
      <c r="N264" s="51"/>
    </row>
    <row r="265" spans="1:14" ht="43.2" x14ac:dyDescent="0.3">
      <c r="A265" s="23" t="s">
        <v>248</v>
      </c>
      <c r="B265" s="23">
        <v>103329</v>
      </c>
      <c r="C265" s="23" t="str">
        <f>VLOOKUP(B265,CPU!$B:$J,2,FALSE)</f>
        <v>SINAPI</v>
      </c>
      <c r="D265" s="24" t="str">
        <f>VLOOKUP(B265,CPU!$B:$J,3,FALSE)</f>
        <v>ALVENARIA DE VEDAÇÃO DE BLOCOS CERÂMICOS FURADOS NA HORIZONTAL DE 9X19X19 CM (ESPESSURA 9 CM) E ARGAMASSA DE ASSENTAMENTO COM PREPARO MANUAL. AF_12/2021</v>
      </c>
      <c r="E265" s="23" t="str">
        <f>VLOOKUP(B265,CPU!$B:$J,4,FALSE)</f>
        <v>M2</v>
      </c>
      <c r="F265" s="23"/>
      <c r="G265" s="23"/>
      <c r="H265" s="23"/>
      <c r="I265" s="23"/>
      <c r="J265" s="23"/>
      <c r="K265" s="23"/>
      <c r="L265" s="23"/>
      <c r="M265" s="23"/>
      <c r="N265" s="5">
        <f>SUM($M$266:$M$270)</f>
        <v>19.310000000000002</v>
      </c>
    </row>
    <row r="266" spans="1:14" x14ac:dyDescent="0.3">
      <c r="A266" s="23" t="s">
        <v>713</v>
      </c>
      <c r="B266" s="65" t="s">
        <v>516</v>
      </c>
      <c r="C266" s="66"/>
      <c r="D266" s="66"/>
      <c r="E266" s="67"/>
      <c r="F266" s="5"/>
      <c r="G266" s="26">
        <v>1</v>
      </c>
      <c r="H266" s="5">
        <v>2.2999999999999998</v>
      </c>
      <c r="I266" s="5">
        <v>2.2999999999999998</v>
      </c>
      <c r="J266" s="5"/>
      <c r="K266" s="5">
        <f>IF(COUNTA(H266:J266)=2,ROUND(PRODUCT(H266:J266),2),"")</f>
        <v>5.29</v>
      </c>
      <c r="L266" s="5" t="str">
        <f>IF(OR(AND(COUNTA(H266:J266)=3,K266=""),AND(COUNTA(H266:J266)=1,K266&lt;&gt;"")),ROUND(PRODUCT(H266:K266),2),"")</f>
        <v/>
      </c>
      <c r="M266" s="5">
        <f>IF(L266&lt;&gt;"",ROUND(PRODUCT(F266,G266,L266),2),IF(K266&lt;&gt;"",ROUND(PRODUCT(F266,G266,K266),2),ROUND(PRODUCT(F266:J266),2)))</f>
        <v>5.29</v>
      </c>
      <c r="N266" s="5"/>
    </row>
    <row r="267" spans="1:14" x14ac:dyDescent="0.3">
      <c r="A267" s="23" t="s">
        <v>714</v>
      </c>
      <c r="B267" s="65" t="s">
        <v>516</v>
      </c>
      <c r="C267" s="66"/>
      <c r="D267" s="66"/>
      <c r="E267" s="67"/>
      <c r="F267" s="5"/>
      <c r="G267" s="26">
        <v>1</v>
      </c>
      <c r="H267" s="5">
        <v>2.2999999999999998</v>
      </c>
      <c r="I267" s="5">
        <v>2.88</v>
      </c>
      <c r="J267" s="5"/>
      <c r="K267" s="5">
        <f>IF(COUNTA(H267:J267)=2,ROUND(PRODUCT(H267:J267),2),"")</f>
        <v>6.62</v>
      </c>
      <c r="L267" s="5" t="str">
        <f>IF(OR(AND(COUNTA(H267:J267)=3,K267=""),AND(COUNTA(H267:J267)=1,K267&lt;&gt;"")),ROUND(PRODUCT(H267:K267),2),"")</f>
        <v/>
      </c>
      <c r="M267" s="5">
        <f>IF(L267&lt;&gt;"",ROUND(PRODUCT(F267,G267,L267),2),IF(K267&lt;&gt;"",ROUND(PRODUCT(F267,G267,K267),2),ROUND(PRODUCT(F267:J267),2)))</f>
        <v>6.62</v>
      </c>
      <c r="N267" s="5"/>
    </row>
    <row r="268" spans="1:14" x14ac:dyDescent="0.3">
      <c r="A268" s="23" t="s">
        <v>715</v>
      </c>
      <c r="B268" s="65" t="s">
        <v>516</v>
      </c>
      <c r="C268" s="66"/>
      <c r="D268" s="66"/>
      <c r="E268" s="67"/>
      <c r="F268" s="5"/>
      <c r="G268" s="26">
        <v>2</v>
      </c>
      <c r="H268" s="5">
        <v>2.2999999999999998</v>
      </c>
      <c r="I268" s="5">
        <v>2.2999999999999998</v>
      </c>
      <c r="J268" s="5"/>
      <c r="K268" s="5">
        <f>IF(COUNTA(H268:J268)=2,ROUND(PRODUCT(H268:J268),2),"")</f>
        <v>5.29</v>
      </c>
      <c r="L268" s="5" t="str">
        <f>IF(OR(AND(COUNTA(H268:J268)=3,K268=""),AND(COUNTA(H268:J268)=1,K268&lt;&gt;"")),ROUND(PRODUCT(H268:K268),2),"")</f>
        <v/>
      </c>
      <c r="M268" s="5">
        <f>IF(L268&lt;&gt;"",ROUND(PRODUCT(F268,G268,L268),2),IF(K268&lt;&gt;"",ROUND(PRODUCT(F268,G268,K268),2),ROUND(PRODUCT(F268:J268),2)))</f>
        <v>10.58</v>
      </c>
      <c r="N268" s="5"/>
    </row>
    <row r="269" spans="1:14" x14ac:dyDescent="0.3">
      <c r="A269" s="23" t="s">
        <v>716</v>
      </c>
      <c r="B269" s="65" t="s">
        <v>516</v>
      </c>
      <c r="C269" s="66"/>
      <c r="D269" s="66"/>
      <c r="E269" s="67"/>
      <c r="F269" s="5"/>
      <c r="G269" s="26">
        <v>-3</v>
      </c>
      <c r="H269" s="5">
        <v>1</v>
      </c>
      <c r="I269" s="5">
        <v>0.5</v>
      </c>
      <c r="J269" s="5"/>
      <c r="K269" s="5">
        <f>IF(COUNTA(H269:J269)=2,ROUND(PRODUCT(H269:J269),2),"")</f>
        <v>0.5</v>
      </c>
      <c r="L269" s="5" t="str">
        <f>IF(OR(AND(COUNTA(H269:J269)=3,K269=""),AND(COUNTA(H269:J269)=1,K269&lt;&gt;"")),ROUND(PRODUCT(H269:K269),2),"")</f>
        <v/>
      </c>
      <c r="M269" s="5">
        <f>IF(L269&lt;&gt;"",ROUND(PRODUCT(F269,G269,L269),2),IF(K269&lt;&gt;"",ROUND(PRODUCT(F269,G269,K269),2),ROUND(PRODUCT(F269:J269),2)))</f>
        <v>-1.5</v>
      </c>
      <c r="N269" s="5"/>
    </row>
    <row r="270" spans="1:14" x14ac:dyDescent="0.3">
      <c r="A270" s="23" t="s">
        <v>717</v>
      </c>
      <c r="B270" s="65" t="s">
        <v>516</v>
      </c>
      <c r="C270" s="66"/>
      <c r="D270" s="66"/>
      <c r="E270" s="67"/>
      <c r="F270" s="5"/>
      <c r="G270" s="26">
        <v>-1</v>
      </c>
      <c r="H270" s="5">
        <v>0.8</v>
      </c>
      <c r="I270" s="5">
        <v>2.1</v>
      </c>
      <c r="J270" s="5"/>
      <c r="K270" s="5">
        <f>IF(COUNTA(H270:J270)=2,ROUND(PRODUCT(H270:J270),2),"")</f>
        <v>1.68</v>
      </c>
      <c r="L270" s="5" t="str">
        <f>IF(OR(AND(COUNTA(H270:J270)=3,K270=""),AND(COUNTA(H270:J270)=1,K270&lt;&gt;"")),ROUND(PRODUCT(H270:K270),2),"")</f>
        <v/>
      </c>
      <c r="M270" s="5">
        <f>IF(L270&lt;&gt;"",ROUND(PRODUCT(F270,G270,L270),2),IF(K270&lt;&gt;"",ROUND(PRODUCT(F270,G270,K270),2),ROUND(PRODUCT(F270:J270),2)))</f>
        <v>-1.68</v>
      </c>
      <c r="N270" s="5"/>
    </row>
    <row r="271" spans="1:14" ht="43.2" x14ac:dyDescent="0.3">
      <c r="A271" s="23" t="s">
        <v>249</v>
      </c>
      <c r="B271" s="23">
        <v>101161</v>
      </c>
      <c r="C271" s="23" t="str">
        <f>VLOOKUP(B271,CPU!$B:$J,2,FALSE)</f>
        <v>SINAPI</v>
      </c>
      <c r="D271" s="24" t="str">
        <f>VLOOKUP(B271,CPU!$B:$J,3,FALSE)</f>
        <v>ALVENARIA DE VEDAÇÃO COM ELEMENTO VAZADO DE CONCRETO (COBOGÓ) DE 7X50X50CM E ARGAMASSA DE ASSENTAMENTO COM PREPARO EM BETONEIRA. AF_05/2020</v>
      </c>
      <c r="E271" s="23" t="str">
        <f>VLOOKUP(B271,CPU!$B:$J,4,FALSE)</f>
        <v>M2</v>
      </c>
      <c r="F271" s="23"/>
      <c r="G271" s="23"/>
      <c r="H271" s="23"/>
      <c r="I271" s="23"/>
      <c r="J271" s="23"/>
      <c r="K271" s="23"/>
      <c r="L271" s="23"/>
      <c r="M271" s="23"/>
      <c r="N271" s="5">
        <f>SUM($M$272:$M$272)</f>
        <v>1.5</v>
      </c>
    </row>
    <row r="272" spans="1:14" x14ac:dyDescent="0.3">
      <c r="A272" s="23" t="s">
        <v>718</v>
      </c>
      <c r="B272" s="65" t="s">
        <v>516</v>
      </c>
      <c r="C272" s="66"/>
      <c r="D272" s="66"/>
      <c r="E272" s="67"/>
      <c r="F272" s="5"/>
      <c r="G272" s="26">
        <v>3</v>
      </c>
      <c r="H272" s="5">
        <v>1</v>
      </c>
      <c r="I272" s="5">
        <v>0.5</v>
      </c>
      <c r="J272" s="5"/>
      <c r="K272" s="5">
        <f>IF(COUNTA(H272:J272)=2,ROUND(PRODUCT(H272:J272),2),"")</f>
        <v>0.5</v>
      </c>
      <c r="L272" s="5" t="str">
        <f>IF(OR(AND(COUNTA(H272:J272)=3,K272=""),AND(COUNTA(H272:J272)=1,K272&lt;&gt;"")),ROUND(PRODUCT(H272:K272),2),"")</f>
        <v/>
      </c>
      <c r="M272" s="5">
        <f>IF(L272&lt;&gt;"",ROUND(PRODUCT(F272,G272,L272),2),IF(K272&lt;&gt;"",ROUND(PRODUCT(F272,G272,K272),2),ROUND(PRODUCT(F272:J272),2)))</f>
        <v>1.5</v>
      </c>
      <c r="N272" s="5"/>
    </row>
    <row r="273" spans="1:14" x14ac:dyDescent="0.3">
      <c r="A273" s="15" t="s">
        <v>52</v>
      </c>
      <c r="B273" s="49" t="s">
        <v>598</v>
      </c>
      <c r="C273" s="50"/>
      <c r="D273" s="50"/>
      <c r="E273" s="50"/>
      <c r="F273" s="50"/>
      <c r="G273" s="50"/>
      <c r="H273" s="50"/>
      <c r="I273" s="50"/>
      <c r="J273" s="50"/>
      <c r="K273" s="50"/>
      <c r="L273" s="50"/>
      <c r="M273" s="50"/>
      <c r="N273" s="51"/>
    </row>
    <row r="274" spans="1:14" ht="28.8" x14ac:dyDescent="0.3">
      <c r="A274" s="23" t="s">
        <v>250</v>
      </c>
      <c r="B274" s="23" t="s">
        <v>599</v>
      </c>
      <c r="C274" s="23" t="str">
        <f>VLOOKUP(B274,CPU!$B:$J,2,FALSE)</f>
        <v>PRÓPRIA</v>
      </c>
      <c r="D274" s="24" t="str">
        <f>VLOOKUP(B274,CPU!$B:$J,3,FALSE)</f>
        <v>TELHAMENTO COM TELHA CERÂMICA CAPA-CANAL, TIPO COLONIAL, COM ATÉ 2 ÁGUAS, INCLUSO TRANSPORTE VERTICAL</v>
      </c>
      <c r="E274" s="23" t="str">
        <f>VLOOKUP(B274,CPU!$B:$J,4,FALSE)</f>
        <v>M²</v>
      </c>
      <c r="F274" s="23"/>
      <c r="G274" s="23"/>
      <c r="H274" s="23"/>
      <c r="I274" s="23"/>
      <c r="J274" s="23"/>
      <c r="K274" s="23"/>
      <c r="L274" s="23"/>
      <c r="M274" s="23"/>
      <c r="N274" s="5">
        <f>SUM($M$275:$M$275)</f>
        <v>10.23</v>
      </c>
    </row>
    <row r="275" spans="1:14" x14ac:dyDescent="0.3">
      <c r="A275" s="23" t="s">
        <v>719</v>
      </c>
      <c r="B275" s="65" t="s">
        <v>516</v>
      </c>
      <c r="C275" s="66"/>
      <c r="D275" s="66"/>
      <c r="E275" s="67"/>
      <c r="F275" s="5"/>
      <c r="G275" s="26"/>
      <c r="H275" s="5">
        <v>3.1</v>
      </c>
      <c r="I275" s="5">
        <v>3.3</v>
      </c>
      <c r="J275" s="5"/>
      <c r="K275" s="5">
        <f>IF(COUNTA(H275:J275)=2,ROUND(PRODUCT(H275:J275),2),"")</f>
        <v>10.23</v>
      </c>
      <c r="L275" s="5" t="str">
        <f>IF(OR(AND(COUNTA(H275:J275)=3,K275=""),AND(COUNTA(H275:J275)=1,K275&lt;&gt;"")),ROUND(PRODUCT(H275:K275),2),"")</f>
        <v/>
      </c>
      <c r="M275" s="5">
        <f>IF(L275&lt;&gt;"",ROUND(PRODUCT(F275,G275,L275),2),IF(K275&lt;&gt;"",ROUND(PRODUCT(F275,G275,K275),2),ROUND(PRODUCT(F275:J275),2)))</f>
        <v>10.23</v>
      </c>
      <c r="N275" s="5"/>
    </row>
    <row r="276" spans="1:14" ht="28.8" x14ac:dyDescent="0.3">
      <c r="A276" s="23" t="s">
        <v>251</v>
      </c>
      <c r="B276" s="23" t="s">
        <v>601</v>
      </c>
      <c r="C276" s="23" t="str">
        <f>VLOOKUP(B276,CPU!$B:$J,2,FALSE)</f>
        <v>PRÓPRIA</v>
      </c>
      <c r="D276" s="24" t="str">
        <f>VLOOKUP(B276,CPU!$B:$J,3,FALSE)</f>
        <v>TRAMA DE MADEIRA COMPOSTA POR RIPAS, CAIBROS E TERÇAS PARA TELHADOS DE ATÉ 2 ÁGUAS PARA TELHA CERÂMICA CAPA-CANAL, INCLUSO TRANSPORTE VERTICAL</v>
      </c>
      <c r="E276" s="23" t="str">
        <f>VLOOKUP(B276,CPU!$B:$J,4,FALSE)</f>
        <v>M²</v>
      </c>
      <c r="F276" s="23"/>
      <c r="G276" s="23"/>
      <c r="H276" s="23"/>
      <c r="I276" s="23"/>
      <c r="J276" s="23"/>
      <c r="K276" s="23"/>
      <c r="L276" s="23"/>
      <c r="M276" s="23"/>
      <c r="N276" s="5">
        <f>SUM($M$277:$M$277)</f>
        <v>10.23</v>
      </c>
    </row>
    <row r="277" spans="1:14" x14ac:dyDescent="0.3">
      <c r="A277" s="23" t="s">
        <v>720</v>
      </c>
      <c r="B277" s="65" t="s">
        <v>516</v>
      </c>
      <c r="C277" s="66"/>
      <c r="D277" s="66"/>
      <c r="E277" s="67"/>
      <c r="F277" s="5"/>
      <c r="G277" s="26"/>
      <c r="H277" s="5">
        <v>3.1</v>
      </c>
      <c r="I277" s="5">
        <v>3.3</v>
      </c>
      <c r="J277" s="5"/>
      <c r="K277" s="5">
        <f>IF(COUNTA(H277:J277)=2,ROUND(PRODUCT(H277:J277),2),"")</f>
        <v>10.23</v>
      </c>
      <c r="L277" s="5" t="str">
        <f>IF(OR(AND(COUNTA(H277:J277)=3,K277=""),AND(COUNTA(H277:J277)=1,K277&lt;&gt;"")),ROUND(PRODUCT(H277:K277),2),"")</f>
        <v/>
      </c>
      <c r="M277" s="5">
        <f>IF(L277&lt;&gt;"",ROUND(PRODUCT(F277,G277,L277),2),IF(K277&lt;&gt;"",ROUND(PRODUCT(F277,G277,K277),2),ROUND(PRODUCT(F277:J277),2)))</f>
        <v>10.23</v>
      </c>
      <c r="N277" s="5"/>
    </row>
    <row r="278" spans="1:14" x14ac:dyDescent="0.3">
      <c r="A278" s="15" t="s">
        <v>53</v>
      </c>
      <c r="B278" s="49" t="s">
        <v>603</v>
      </c>
      <c r="C278" s="50"/>
      <c r="D278" s="50"/>
      <c r="E278" s="50"/>
      <c r="F278" s="50"/>
      <c r="G278" s="50"/>
      <c r="H278" s="50"/>
      <c r="I278" s="50"/>
      <c r="J278" s="50"/>
      <c r="K278" s="50"/>
      <c r="L278" s="50"/>
      <c r="M278" s="50"/>
      <c r="N278" s="51"/>
    </row>
    <row r="279" spans="1:14" ht="28.8" x14ac:dyDescent="0.3">
      <c r="A279" s="23" t="s">
        <v>252</v>
      </c>
      <c r="B279" s="23">
        <v>96617</v>
      </c>
      <c r="C279" s="23" t="str">
        <f>VLOOKUP(B279,CPU!$B:$J,2,FALSE)</f>
        <v>SINAPI</v>
      </c>
      <c r="D279" s="24" t="str">
        <f>VLOOKUP(B279,CPU!$B:$J,3,FALSE)</f>
        <v>LASTRO DE CONCRETO MAGRO, APLICADO EM BLOCOS DE COROAMENTO OU SAPATAS, ESPESSURA DE 3 CM. AF_01/2024</v>
      </c>
      <c r="E279" s="23" t="str">
        <f>VLOOKUP(B279,CPU!$B:$J,4,FALSE)</f>
        <v>M2</v>
      </c>
      <c r="F279" s="23"/>
      <c r="G279" s="23"/>
      <c r="H279" s="23"/>
      <c r="I279" s="23"/>
      <c r="J279" s="23"/>
      <c r="K279" s="23"/>
      <c r="L279" s="23"/>
      <c r="M279" s="23"/>
      <c r="N279" s="5">
        <f>SUM($M$280:$M$280)</f>
        <v>4</v>
      </c>
    </row>
    <row r="280" spans="1:14" x14ac:dyDescent="0.3">
      <c r="A280" s="23" t="s">
        <v>721</v>
      </c>
      <c r="B280" s="65" t="s">
        <v>516</v>
      </c>
      <c r="C280" s="66"/>
      <c r="D280" s="66"/>
      <c r="E280" s="67"/>
      <c r="F280" s="5"/>
      <c r="G280" s="26"/>
      <c r="H280" s="5">
        <v>2</v>
      </c>
      <c r="I280" s="5">
        <v>2</v>
      </c>
      <c r="J280" s="5"/>
      <c r="K280" s="5">
        <f>IF(COUNTA(H280:J280)=2,ROUND(PRODUCT(H280:J280),2),"")</f>
        <v>4</v>
      </c>
      <c r="L280" s="5" t="str">
        <f>IF(OR(AND(COUNTA(H280:J280)=3,K280=""),AND(COUNTA(H280:J280)=1,K280&lt;&gt;"")),ROUND(PRODUCT(H280:K280),2),"")</f>
        <v/>
      </c>
      <c r="M280" s="5">
        <f>IF(L280&lt;&gt;"",ROUND(PRODUCT(F280,G280,L280),2),IF(K280&lt;&gt;"",ROUND(PRODUCT(F280,G280,K280),2),ROUND(PRODUCT(F280:J280),2)))</f>
        <v>4</v>
      </c>
      <c r="N280" s="5"/>
    </row>
    <row r="281" spans="1:14" ht="28.8" x14ac:dyDescent="0.3">
      <c r="A281" s="23" t="s">
        <v>253</v>
      </c>
      <c r="B281" s="23">
        <v>101749</v>
      </c>
      <c r="C281" s="23" t="str">
        <f>VLOOKUP(B281,CPU!$B:$J,2,FALSE)</f>
        <v>SINAPI</v>
      </c>
      <c r="D281" s="24" t="str">
        <f>VLOOKUP(B281,CPU!$B:$J,3,FALSE)</f>
        <v>PISO CIMENTADO, TRAÇO 1:3 (CIMENTO E AREIA), ACABAMENTO LISO, ESPESSURA 4,0 CM, PREPARO MECÂNICO DA ARGAMASSA. AF_09/2020</v>
      </c>
      <c r="E281" s="23" t="str">
        <f>VLOOKUP(B281,CPU!$B:$J,4,FALSE)</f>
        <v>M2</v>
      </c>
      <c r="F281" s="23"/>
      <c r="G281" s="23"/>
      <c r="H281" s="23"/>
      <c r="I281" s="23"/>
      <c r="J281" s="23"/>
      <c r="K281" s="23"/>
      <c r="L281" s="23"/>
      <c r="M281" s="23"/>
      <c r="N281" s="5">
        <f>SUM($M$282:$M$282)</f>
        <v>4</v>
      </c>
    </row>
    <row r="282" spans="1:14" x14ac:dyDescent="0.3">
      <c r="A282" s="23" t="s">
        <v>722</v>
      </c>
      <c r="B282" s="65" t="s">
        <v>516</v>
      </c>
      <c r="C282" s="66"/>
      <c r="D282" s="66"/>
      <c r="E282" s="67"/>
      <c r="F282" s="5"/>
      <c r="G282" s="26"/>
      <c r="H282" s="5">
        <v>2</v>
      </c>
      <c r="I282" s="5">
        <v>2</v>
      </c>
      <c r="J282" s="5"/>
      <c r="K282" s="5">
        <f>IF(COUNTA(H282:J282)=2,ROUND(PRODUCT(H282:J282),2),"")</f>
        <v>4</v>
      </c>
      <c r="L282" s="5" t="str">
        <f>IF(OR(AND(COUNTA(H282:J282)=3,K282=""),AND(COUNTA(H282:J282)=1,K282&lt;&gt;"")),ROUND(PRODUCT(H282:K282),2),"")</f>
        <v/>
      </c>
      <c r="M282" s="5">
        <f>IF(L282&lt;&gt;"",ROUND(PRODUCT(F282,G282,L282),2),IF(K282&lt;&gt;"",ROUND(PRODUCT(F282,G282,K282),2),ROUND(PRODUCT(F282:J282),2)))</f>
        <v>4</v>
      </c>
      <c r="N282" s="5"/>
    </row>
    <row r="283" spans="1:14" ht="43.2" x14ac:dyDescent="0.3">
      <c r="A283" s="23" t="s">
        <v>254</v>
      </c>
      <c r="B283" s="23">
        <v>94994</v>
      </c>
      <c r="C283" s="23" t="str">
        <f>VLOOKUP(B283,CPU!$B:$J,2,FALSE)</f>
        <v>SINAPI</v>
      </c>
      <c r="D283" s="24" t="str">
        <f>VLOOKUP(B283,CPU!$B:$J,3,FALSE)</f>
        <v>EXECUÇÃO DE PASSEIO (CALÇADA) OU PISO DE CONCRETO COM CONCRETO MOLDADO IN LOCO, FEITO EM OBRA, ACABAMENTO CONVENCIONAL, ESPESSURA 8 CM, ARMADO. AF_08/2022</v>
      </c>
      <c r="E283" s="23" t="str">
        <f>VLOOKUP(B283,CPU!$B:$J,4,FALSE)</f>
        <v>M2</v>
      </c>
      <c r="F283" s="23"/>
      <c r="G283" s="23"/>
      <c r="H283" s="23"/>
      <c r="I283" s="23"/>
      <c r="J283" s="23"/>
      <c r="K283" s="23"/>
      <c r="L283" s="23"/>
      <c r="M283" s="23"/>
      <c r="N283" s="5">
        <f>SUM($M$284:$M$285)</f>
        <v>5.6</v>
      </c>
    </row>
    <row r="284" spans="1:14" x14ac:dyDescent="0.3">
      <c r="A284" s="23" t="s">
        <v>723</v>
      </c>
      <c r="B284" s="65" t="s">
        <v>516</v>
      </c>
      <c r="C284" s="66"/>
      <c r="D284" s="66"/>
      <c r="E284" s="67"/>
      <c r="F284" s="5"/>
      <c r="G284" s="26">
        <v>2</v>
      </c>
      <c r="H284" s="5">
        <v>3.3</v>
      </c>
      <c r="I284" s="5">
        <v>0.5</v>
      </c>
      <c r="J284" s="5"/>
      <c r="K284" s="5">
        <f>IF(COUNTA(H284:J284)=2,ROUND(PRODUCT(H284:J284),2),"")</f>
        <v>1.65</v>
      </c>
      <c r="L284" s="5" t="str">
        <f>IF(OR(AND(COUNTA(H284:J284)=3,K284=""),AND(COUNTA(H284:J284)=1,K284&lt;&gt;"")),ROUND(PRODUCT(H284:K284),2),"")</f>
        <v/>
      </c>
      <c r="M284" s="5">
        <f>IF(L284&lt;&gt;"",ROUND(PRODUCT(F284,G284,L284),2),IF(K284&lt;&gt;"",ROUND(PRODUCT(F284,G284,K284),2),ROUND(PRODUCT(F284:J284),2)))</f>
        <v>3.3</v>
      </c>
      <c r="N284" s="5"/>
    </row>
    <row r="285" spans="1:14" x14ac:dyDescent="0.3">
      <c r="A285" s="23" t="s">
        <v>724</v>
      </c>
      <c r="B285" s="65" t="s">
        <v>516</v>
      </c>
      <c r="C285" s="66"/>
      <c r="D285" s="66"/>
      <c r="E285" s="67"/>
      <c r="F285" s="5"/>
      <c r="G285" s="26">
        <v>2</v>
      </c>
      <c r="H285" s="5">
        <v>2.2999999999999998</v>
      </c>
      <c r="I285" s="5">
        <v>0.5</v>
      </c>
      <c r="J285" s="5"/>
      <c r="K285" s="5">
        <f>IF(COUNTA(H285:J285)=2,ROUND(PRODUCT(H285:J285),2),"")</f>
        <v>1.1499999999999999</v>
      </c>
      <c r="L285" s="5" t="str">
        <f>IF(OR(AND(COUNTA(H285:J285)=3,K285=""),AND(COUNTA(H285:J285)=1,K285&lt;&gt;"")),ROUND(PRODUCT(H285:K285),2),"")</f>
        <v/>
      </c>
      <c r="M285" s="5">
        <f>IF(L285&lt;&gt;"",ROUND(PRODUCT(F285,G285,L285),2),IF(K285&lt;&gt;"",ROUND(PRODUCT(F285,G285,K285),2),ROUND(PRODUCT(F285:J285),2)))</f>
        <v>2.2999999999999998</v>
      </c>
      <c r="N285" s="5"/>
    </row>
    <row r="286" spans="1:14" x14ac:dyDescent="0.3">
      <c r="A286" s="15" t="s">
        <v>54</v>
      </c>
      <c r="B286" s="49" t="s">
        <v>608</v>
      </c>
      <c r="C286" s="50"/>
      <c r="D286" s="50"/>
      <c r="E286" s="50"/>
      <c r="F286" s="50"/>
      <c r="G286" s="50"/>
      <c r="H286" s="50"/>
      <c r="I286" s="50"/>
      <c r="J286" s="50"/>
      <c r="K286" s="50"/>
      <c r="L286" s="50"/>
      <c r="M286" s="50"/>
      <c r="N286" s="51"/>
    </row>
    <row r="287" spans="1:14" ht="43.2" x14ac:dyDescent="0.3">
      <c r="A287" s="23" t="s">
        <v>255</v>
      </c>
      <c r="B287" s="23">
        <v>87904</v>
      </c>
      <c r="C287" s="23" t="str">
        <f>VLOOKUP(B287,CPU!$B:$J,2,FALSE)</f>
        <v>SINAPI</v>
      </c>
      <c r="D287" s="24" t="str">
        <f>VLOOKUP(B287,CPU!$B:$J,3,FALSE)</f>
        <v>CHAPISCO APLICADO EM ALVENARIA (COM PRESENÇA DE VÃOS) E ESTRUTURAS DE CONCRETO DE FACHADA, COM COLHER DE PEDREIRO. ARGAMASSA TRAÇO 1:3 COM PREPARO MANUAL. AF_10/2022</v>
      </c>
      <c r="E287" s="23" t="str">
        <f>VLOOKUP(B287,CPU!$B:$J,4,FALSE)</f>
        <v>M2</v>
      </c>
      <c r="F287" s="23"/>
      <c r="G287" s="23"/>
      <c r="H287" s="23"/>
      <c r="I287" s="23"/>
      <c r="J287" s="23"/>
      <c r="K287" s="23"/>
      <c r="L287" s="23"/>
      <c r="M287" s="23"/>
      <c r="N287" s="5">
        <f>SUM($M$288:$M$288)</f>
        <v>38.619999999999997</v>
      </c>
    </row>
    <row r="288" spans="1:14" x14ac:dyDescent="0.3">
      <c r="A288" s="23" t="s">
        <v>725</v>
      </c>
      <c r="B288" s="65" t="s">
        <v>610</v>
      </c>
      <c r="C288" s="66"/>
      <c r="D288" s="66"/>
      <c r="E288" s="67"/>
      <c r="F288" s="5"/>
      <c r="G288" s="26">
        <v>2</v>
      </c>
      <c r="H288" s="5"/>
      <c r="I288" s="5"/>
      <c r="J288" s="5"/>
      <c r="K288" s="5">
        <v>19.309999999999999</v>
      </c>
      <c r="L288" s="5" t="str">
        <f>IF(OR(AND(COUNTA(H288:J288)=3,K288=""),AND(COUNTA(H288:J288)=1,K288&lt;&gt;"")),ROUND(PRODUCT(H288:K288),2),"")</f>
        <v/>
      </c>
      <c r="M288" s="5">
        <f>IF(L288&lt;&gt;"",ROUND(PRODUCT(F288,G288,L288),2),IF(K288&lt;&gt;"",ROUND(PRODUCT(F288,G288,K288),2),ROUND(PRODUCT(F288:J288),2)))</f>
        <v>38.619999999999997</v>
      </c>
      <c r="N288" s="5"/>
    </row>
    <row r="289" spans="1:14" ht="43.2" x14ac:dyDescent="0.3">
      <c r="A289" s="23" t="s">
        <v>256</v>
      </c>
      <c r="B289" s="23">
        <v>87530</v>
      </c>
      <c r="C289" s="23" t="str">
        <f>VLOOKUP(B289,CPU!$B:$J,2,FALSE)</f>
        <v>SINAPI</v>
      </c>
      <c r="D289" s="24" t="str">
        <f>VLOOKUP(B289,CPU!$B:$J,3,FALSE)</f>
        <v>MASSA ÚNICA, EM ARGAMASSA TRAÇO 1:2:8, PREPARO MANUAL, APLICADA MANUALMENTE EM PAREDES INTERNAS DE AMBIENTES COM ÁREA ENTRE 5M² E 10M², E = 17,5MM, COM TALISCAS. AF_03/2024</v>
      </c>
      <c r="E289" s="23" t="str">
        <f>VLOOKUP(B289,CPU!$B:$J,4,FALSE)</f>
        <v>M2</v>
      </c>
      <c r="F289" s="23"/>
      <c r="G289" s="23"/>
      <c r="H289" s="23"/>
      <c r="I289" s="23"/>
      <c r="J289" s="23"/>
      <c r="K289" s="23"/>
      <c r="L289" s="23"/>
      <c r="M289" s="23"/>
      <c r="N289" s="5">
        <f>SUM($M$290:$M$290)</f>
        <v>38.619999999999997</v>
      </c>
    </row>
    <row r="290" spans="1:14" x14ac:dyDescent="0.3">
      <c r="A290" s="23" t="s">
        <v>726</v>
      </c>
      <c r="B290" s="65" t="s">
        <v>610</v>
      </c>
      <c r="C290" s="66"/>
      <c r="D290" s="66"/>
      <c r="E290" s="67"/>
      <c r="F290" s="5"/>
      <c r="G290" s="26">
        <v>2</v>
      </c>
      <c r="H290" s="5"/>
      <c r="I290" s="5"/>
      <c r="J290" s="5"/>
      <c r="K290" s="5">
        <v>19.309999999999999</v>
      </c>
      <c r="L290" s="5" t="str">
        <f>IF(OR(AND(COUNTA(H290:J290)=3,K290=""),AND(COUNTA(H290:J290)=1,K290&lt;&gt;"")),ROUND(PRODUCT(H290:K290),2),"")</f>
        <v/>
      </c>
      <c r="M290" s="5">
        <f>IF(L290&lt;&gt;"",ROUND(PRODUCT(F290,G290,L290),2),IF(K290&lt;&gt;"",ROUND(PRODUCT(F290,G290,K290),2),ROUND(PRODUCT(F290:J290),2)))</f>
        <v>38.619999999999997</v>
      </c>
      <c r="N290" s="5"/>
    </row>
    <row r="291" spans="1:14" x14ac:dyDescent="0.3">
      <c r="A291" s="15" t="s">
        <v>55</v>
      </c>
      <c r="B291" s="49" t="s">
        <v>612</v>
      </c>
      <c r="C291" s="50"/>
      <c r="D291" s="50"/>
      <c r="E291" s="50"/>
      <c r="F291" s="50"/>
      <c r="G291" s="50"/>
      <c r="H291" s="50"/>
      <c r="I291" s="50"/>
      <c r="J291" s="50"/>
      <c r="K291" s="50"/>
      <c r="L291" s="50"/>
      <c r="M291" s="50"/>
      <c r="N291" s="51"/>
    </row>
    <row r="292" spans="1:14" x14ac:dyDescent="0.3">
      <c r="A292" s="23" t="s">
        <v>257</v>
      </c>
      <c r="B292" s="23">
        <v>100701</v>
      </c>
      <c r="C292" s="23" t="str">
        <f>VLOOKUP(B292,CPU!$B:$J,2,FALSE)</f>
        <v>SINAPI</v>
      </c>
      <c r="D292" s="24" t="str">
        <f>VLOOKUP(B292,CPU!$B:$J,3,FALSE)</f>
        <v>PORTA DE FERRO, DE ABRIR, TIPO GRADE COM CHAPA, COM GUARNIÇÕES. AF_12/2019</v>
      </c>
      <c r="E292" s="23" t="str">
        <f>VLOOKUP(B292,CPU!$B:$J,4,FALSE)</f>
        <v>M2</v>
      </c>
      <c r="F292" s="23"/>
      <c r="G292" s="23"/>
      <c r="H292" s="23"/>
      <c r="I292" s="23"/>
      <c r="J292" s="23"/>
      <c r="K292" s="23"/>
      <c r="L292" s="23"/>
      <c r="M292" s="23"/>
      <c r="N292" s="5">
        <f>SUM($M$293:$M$293)</f>
        <v>1.68</v>
      </c>
    </row>
    <row r="293" spans="1:14" x14ac:dyDescent="0.3">
      <c r="A293" s="23" t="s">
        <v>727</v>
      </c>
      <c r="B293" s="65" t="s">
        <v>516</v>
      </c>
      <c r="C293" s="66"/>
      <c r="D293" s="66"/>
      <c r="E293" s="67"/>
      <c r="F293" s="5"/>
      <c r="G293" s="26">
        <v>1</v>
      </c>
      <c r="H293" s="5"/>
      <c r="I293" s="5">
        <v>0.8</v>
      </c>
      <c r="J293" s="5">
        <v>2.1</v>
      </c>
      <c r="K293" s="5">
        <f>IF(COUNTA(H293:J293)=2,ROUND(PRODUCT(H293:J293),2),"")</f>
        <v>1.68</v>
      </c>
      <c r="L293" s="5" t="str">
        <f>IF(OR(AND(COUNTA(H293:J293)=3,K293=""),AND(COUNTA(H293:J293)=1,K293&lt;&gt;"")),ROUND(PRODUCT(H293:K293),2),"")</f>
        <v/>
      </c>
      <c r="M293" s="5">
        <f>IF(L293&lt;&gt;"",ROUND(PRODUCT(F293,G293,L293),2),IF(K293&lt;&gt;"",ROUND(PRODUCT(F293,G293,K293),2),ROUND(PRODUCT(F293:J293),2)))</f>
        <v>1.68</v>
      </c>
      <c r="N293" s="5"/>
    </row>
    <row r="294" spans="1:14" ht="28.8" x14ac:dyDescent="0.3">
      <c r="A294" s="23" t="s">
        <v>258</v>
      </c>
      <c r="B294" s="23" t="s">
        <v>614</v>
      </c>
      <c r="C294" s="23" t="str">
        <f>VLOOKUP(B294,CPU!$B:$J,2,FALSE)</f>
        <v>SEINFRA</v>
      </c>
      <c r="D294" s="24" t="str">
        <f>VLOOKUP(B294,CPU!$B:$J,3,FALSE)</f>
        <v>PORTÃO DE METALON E BARRA CHATA DE FERRO C/FECHADURA E DOBRADIÇA, INCLUS. PINTURA ESMALTE SINTÉTICO</v>
      </c>
      <c r="E294" s="23" t="str">
        <f>VLOOKUP(B294,CPU!$B:$J,4,FALSE)</f>
        <v>M2</v>
      </c>
      <c r="F294" s="23"/>
      <c r="G294" s="23"/>
      <c r="H294" s="23"/>
      <c r="I294" s="23"/>
      <c r="J294" s="23"/>
      <c r="K294" s="23"/>
      <c r="L294" s="23"/>
      <c r="M294" s="23"/>
      <c r="N294" s="5">
        <f>SUM($M$295:$M$295)</f>
        <v>6</v>
      </c>
    </row>
    <row r="295" spans="1:14" x14ac:dyDescent="0.3">
      <c r="A295" s="23" t="s">
        <v>728</v>
      </c>
      <c r="B295" s="65" t="s">
        <v>516</v>
      </c>
      <c r="C295" s="66"/>
      <c r="D295" s="66"/>
      <c r="E295" s="67"/>
      <c r="F295" s="5"/>
      <c r="G295" s="26"/>
      <c r="H295" s="5"/>
      <c r="I295" s="5">
        <v>3</v>
      </c>
      <c r="J295" s="5">
        <v>2</v>
      </c>
      <c r="K295" s="5">
        <f>IF(COUNTA(H295:J295)=2,ROUND(PRODUCT(H295:J295),2),"")</f>
        <v>6</v>
      </c>
      <c r="L295" s="5" t="str">
        <f>IF(OR(AND(COUNTA(H295:J295)=3,K295=""),AND(COUNTA(H295:J295)=1,K295&lt;&gt;"")),ROUND(PRODUCT(H295:K295),2),"")</f>
        <v/>
      </c>
      <c r="M295" s="5">
        <f>IF(L295&lt;&gt;"",ROUND(PRODUCT(F295,G295,L295),2),IF(K295&lt;&gt;"",ROUND(PRODUCT(F295,G295,K295),2),ROUND(PRODUCT(F295:J295),2)))</f>
        <v>6</v>
      </c>
      <c r="N295" s="5"/>
    </row>
    <row r="296" spans="1:14" x14ac:dyDescent="0.3">
      <c r="A296" s="15" t="s">
        <v>56</v>
      </c>
      <c r="B296" s="49" t="s">
        <v>616</v>
      </c>
      <c r="C296" s="50"/>
      <c r="D296" s="50"/>
      <c r="E296" s="50"/>
      <c r="F296" s="50"/>
      <c r="G296" s="50"/>
      <c r="H296" s="50"/>
      <c r="I296" s="50"/>
      <c r="J296" s="50"/>
      <c r="K296" s="50"/>
      <c r="L296" s="50"/>
      <c r="M296" s="50"/>
      <c r="N296" s="51"/>
    </row>
    <row r="297" spans="1:14" x14ac:dyDescent="0.3">
      <c r="A297" s="23" t="s">
        <v>259</v>
      </c>
      <c r="B297" s="23" t="s">
        <v>617</v>
      </c>
      <c r="C297" s="23" t="str">
        <f>VLOOKUP(B297,CPU!$B:$J,2,FALSE)</f>
        <v>PRÓPRIA</v>
      </c>
      <c r="D297" s="24" t="str">
        <f>VLOOKUP(B297,CPU!$B:$J,3,FALSE)</f>
        <v>CAIAÇÃO EM TRES DEMÃOS EM PAREDES (REF: C0589-SEINFRA 28)</v>
      </c>
      <c r="E297" s="23" t="str">
        <f>VLOOKUP(B297,CPU!$B:$J,4,FALSE)</f>
        <v>M2</v>
      </c>
      <c r="F297" s="23"/>
      <c r="G297" s="23"/>
      <c r="H297" s="23"/>
      <c r="I297" s="23"/>
      <c r="J297" s="23"/>
      <c r="K297" s="23"/>
      <c r="L297" s="23"/>
      <c r="M297" s="23"/>
      <c r="N297" s="5">
        <f>SUM($M$298:$M$298)</f>
        <v>38.619999999999997</v>
      </c>
    </row>
    <row r="298" spans="1:14" x14ac:dyDescent="0.3">
      <c r="A298" s="23" t="s">
        <v>729</v>
      </c>
      <c r="B298" s="65" t="s">
        <v>610</v>
      </c>
      <c r="C298" s="66"/>
      <c r="D298" s="66"/>
      <c r="E298" s="67"/>
      <c r="F298" s="5"/>
      <c r="G298" s="26">
        <v>2</v>
      </c>
      <c r="H298" s="5"/>
      <c r="I298" s="5"/>
      <c r="J298" s="5"/>
      <c r="K298" s="5">
        <v>19.309999999999999</v>
      </c>
      <c r="L298" s="5" t="str">
        <f>IF(OR(AND(COUNTA(H298:J298)=3,K298=""),AND(COUNTA(H298:J298)=1,K298&lt;&gt;"")),ROUND(PRODUCT(H298:K298),2),"")</f>
        <v/>
      </c>
      <c r="M298" s="5">
        <f>IF(L298&lt;&gt;"",ROUND(PRODUCT(F298,G298,L298),2),IF(K298&lt;&gt;"",ROUND(PRODUCT(F298,G298,K298),2),ROUND(PRODUCT(F298:J298),2)))</f>
        <v>38.619999999999997</v>
      </c>
      <c r="N298" s="5"/>
    </row>
    <row r="299" spans="1:14" ht="43.2" x14ac:dyDescent="0.3">
      <c r="A299" s="23" t="s">
        <v>260</v>
      </c>
      <c r="B299" s="23">
        <v>100758</v>
      </c>
      <c r="C299" s="23" t="str">
        <f>VLOOKUP(B299,CPU!$B:$J,2,FALSE)</f>
        <v>SINAPI</v>
      </c>
      <c r="D299" s="24" t="str">
        <f>VLOOKUP(B299,CPU!$B:$J,3,FALSE)</f>
        <v>PINTURA COM TINTA ALQUÍDICA DE ACABAMENTO (ESMALTE SINTÉTICO ACETINADO) APLICADA A ROLO OU PINCEL SOBRE SUPERFÍCIES METÁLICAS (EXCETO PERFIL) EXECUTADO EM OBRA (02 DEMÃOS). AF_01/2020</v>
      </c>
      <c r="E299" s="23" t="str">
        <f>VLOOKUP(B299,CPU!$B:$J,4,FALSE)</f>
        <v>M2</v>
      </c>
      <c r="F299" s="23"/>
      <c r="G299" s="23"/>
      <c r="H299" s="23"/>
      <c r="I299" s="23"/>
      <c r="J299" s="23"/>
      <c r="K299" s="23"/>
      <c r="L299" s="23"/>
      <c r="M299" s="23"/>
      <c r="N299" s="5">
        <f>SUM($M$300:$M$300)</f>
        <v>3.36</v>
      </c>
    </row>
    <row r="300" spans="1:14" x14ac:dyDescent="0.3">
      <c r="A300" s="23" t="s">
        <v>730</v>
      </c>
      <c r="B300" s="65" t="s">
        <v>620</v>
      </c>
      <c r="C300" s="66"/>
      <c r="D300" s="66"/>
      <c r="E300" s="67"/>
      <c r="F300" s="5"/>
      <c r="G300" s="26">
        <v>2</v>
      </c>
      <c r="H300" s="5"/>
      <c r="I300" s="5">
        <v>0.8</v>
      </c>
      <c r="J300" s="5">
        <v>2.1</v>
      </c>
      <c r="K300" s="5">
        <f>IF(COUNTA(H300:J300)=2,ROUND(PRODUCT(H300:J300),2),"")</f>
        <v>1.68</v>
      </c>
      <c r="L300" s="5" t="str">
        <f>IF(OR(AND(COUNTA(H300:J300)=3,K300=""),AND(COUNTA(H300:J300)=1,K300&lt;&gt;"")),ROUND(PRODUCT(H300:K300),2),"")</f>
        <v/>
      </c>
      <c r="M300" s="5">
        <f>IF(L300&lt;&gt;"",ROUND(PRODUCT(F300,G300,L300),2),IF(K300&lt;&gt;"",ROUND(PRODUCT(F300,G300,K300),2),ROUND(PRODUCT(F300:J300),2)))</f>
        <v>3.36</v>
      </c>
      <c r="N300" s="5"/>
    </row>
    <row r="301" spans="1:14" x14ac:dyDescent="0.3">
      <c r="A301" s="15" t="s">
        <v>57</v>
      </c>
      <c r="B301" s="49" t="s">
        <v>621</v>
      </c>
      <c r="C301" s="50"/>
      <c r="D301" s="50"/>
      <c r="E301" s="50"/>
      <c r="F301" s="50"/>
      <c r="G301" s="50"/>
      <c r="H301" s="50"/>
      <c r="I301" s="50"/>
      <c r="J301" s="50"/>
      <c r="K301" s="50"/>
      <c r="L301" s="50"/>
      <c r="M301" s="50"/>
      <c r="N301" s="51"/>
    </row>
    <row r="302" spans="1:14" ht="43.2" x14ac:dyDescent="0.3">
      <c r="A302" s="23" t="s">
        <v>261</v>
      </c>
      <c r="B302" s="23">
        <v>101197</v>
      </c>
      <c r="C302" s="23" t="str">
        <f>VLOOKUP(B302,CPU!$B:$J,2,FALSE)</f>
        <v>SINAPI</v>
      </c>
      <c r="D302" s="24" t="str">
        <f>VLOOKUP(B302,CPU!$B:$J,3,FALSE)</f>
        <v>CERCA COM MOURÕES DE CONCRETO, SEÇÃO "T" PONTA INCLINADA, 10X10 CM, ESPAÇAMENTO DE 2,5 M, CRAVADOS 0,5 M, COM 11 FIOS DE ARAME FARPADO Nº 14 - FORNECIMENTO E INSTALAÇÃO. AF_05/2020</v>
      </c>
      <c r="E302" s="23" t="str">
        <f>VLOOKUP(B302,CPU!$B:$J,4,FALSE)</f>
        <v>M</v>
      </c>
      <c r="F302" s="23"/>
      <c r="G302" s="23"/>
      <c r="H302" s="23"/>
      <c r="I302" s="23"/>
      <c r="J302" s="23"/>
      <c r="K302" s="23"/>
      <c r="L302" s="23"/>
      <c r="M302" s="23"/>
      <c r="N302" s="5">
        <f>SUM($M$303:$M$304)</f>
        <v>37</v>
      </c>
    </row>
    <row r="303" spans="1:14" x14ac:dyDescent="0.3">
      <c r="A303" s="23" t="s">
        <v>731</v>
      </c>
      <c r="B303" s="65" t="s">
        <v>516</v>
      </c>
      <c r="C303" s="66"/>
      <c r="D303" s="66"/>
      <c r="E303" s="67"/>
      <c r="F303" s="5"/>
      <c r="G303" s="26">
        <v>4</v>
      </c>
      <c r="H303" s="5">
        <v>10</v>
      </c>
      <c r="I303" s="5"/>
      <c r="J303" s="5"/>
      <c r="K303" s="5" t="str">
        <f>IF(COUNTA(H303:J303)=2,ROUND(PRODUCT(H303:J303),2),"")</f>
        <v/>
      </c>
      <c r="L303" s="5" t="str">
        <f>IF(OR(AND(COUNTA(H303:J303)=3,K303=""),AND(COUNTA(H303:J303)=1,K303&lt;&gt;"")),ROUND(PRODUCT(H303:K303),2),"")</f>
        <v/>
      </c>
      <c r="M303" s="5">
        <f>IF(L303&lt;&gt;"",ROUND(PRODUCT(F303,G303,L303),2),IF(K303&lt;&gt;"",ROUND(PRODUCT(F303,G303,K303),2),ROUND(PRODUCT(F303:J303),2)))</f>
        <v>40</v>
      </c>
      <c r="N303" s="5"/>
    </row>
    <row r="304" spans="1:14" x14ac:dyDescent="0.3">
      <c r="A304" s="23" t="s">
        <v>732</v>
      </c>
      <c r="B304" s="65" t="s">
        <v>624</v>
      </c>
      <c r="C304" s="66"/>
      <c r="D304" s="66"/>
      <c r="E304" s="67"/>
      <c r="F304" s="5"/>
      <c r="G304" s="26">
        <v>-1</v>
      </c>
      <c r="H304" s="5">
        <v>3</v>
      </c>
      <c r="I304" s="5"/>
      <c r="J304" s="5"/>
      <c r="K304" s="5" t="str">
        <f>IF(COUNTA(H304:J304)=2,ROUND(PRODUCT(H304:J304),2),"")</f>
        <v/>
      </c>
      <c r="L304" s="5" t="str">
        <f>IF(OR(AND(COUNTA(H304:J304)=3,K304=""),AND(COUNTA(H304:J304)=1,K304&lt;&gt;"")),ROUND(PRODUCT(H304:K304),2),"")</f>
        <v/>
      </c>
      <c r="M304" s="5">
        <f>IF(L304&lt;&gt;"",ROUND(PRODUCT(F304,G304,L304),2),IF(K304&lt;&gt;"",ROUND(PRODUCT(F304,G304,K304),2),ROUND(PRODUCT(F304:J304),2)))</f>
        <v>-3</v>
      </c>
      <c r="N304" s="5"/>
    </row>
    <row r="305" spans="1:14" x14ac:dyDescent="0.3">
      <c r="A305" s="12" t="s">
        <v>58</v>
      </c>
      <c r="B305" s="46" t="s">
        <v>625</v>
      </c>
      <c r="C305" s="47"/>
      <c r="D305" s="47"/>
      <c r="E305" s="47"/>
      <c r="F305" s="47"/>
      <c r="G305" s="47"/>
      <c r="H305" s="47"/>
      <c r="I305" s="47"/>
      <c r="J305" s="47"/>
      <c r="K305" s="47"/>
      <c r="L305" s="47"/>
      <c r="M305" s="47"/>
      <c r="N305" s="48"/>
    </row>
    <row r="306" spans="1:14" ht="43.2" x14ac:dyDescent="0.3">
      <c r="A306" s="23" t="s">
        <v>262</v>
      </c>
      <c r="B306" s="23" t="s">
        <v>626</v>
      </c>
      <c r="C306" s="23" t="str">
        <f>VLOOKUP(B306,CPU!$B:$J,2,FALSE)</f>
        <v>PRÓPRIA</v>
      </c>
      <c r="D306" s="24" t="str">
        <f>VLOOKUP(B306,CPU!$B:$J,3,FALSE)</f>
        <v>ENTRADA DE ENERGIA ELÉTRICA, AÉREA, MONOFÁSICA, COM CAIXA DE EMBUTIR, CABO DE 10 MM2 E DISJUNTOR DIN 50A (NÃO INCLUSO O POSTE DE CONCRETO). AF_07/2020_PS (REF: 101493-SINAPI-06/2025)</v>
      </c>
      <c r="E306" s="23" t="str">
        <f>VLOOKUP(B306,CPU!$B:$J,4,FALSE)</f>
        <v>UN</v>
      </c>
      <c r="F306" s="23"/>
      <c r="G306" s="23"/>
      <c r="H306" s="23"/>
      <c r="I306" s="23"/>
      <c r="J306" s="23"/>
      <c r="K306" s="23"/>
      <c r="L306" s="23"/>
      <c r="M306" s="23"/>
      <c r="N306" s="5">
        <f>SUM($M$307:$M$307)</f>
        <v>1</v>
      </c>
    </row>
    <row r="307" spans="1:14" x14ac:dyDescent="0.3">
      <c r="A307" s="23" t="s">
        <v>733</v>
      </c>
      <c r="B307" s="65" t="s">
        <v>516</v>
      </c>
      <c r="C307" s="66"/>
      <c r="D307" s="66"/>
      <c r="E307" s="67"/>
      <c r="F307" s="5">
        <v>1</v>
      </c>
      <c r="G307" s="26"/>
      <c r="H307" s="5"/>
      <c r="I307" s="5"/>
      <c r="J307" s="5"/>
      <c r="K307" s="5" t="str">
        <f>IF(COUNTA(H307:J307)=2,ROUND(PRODUCT(H307:J307),2),"")</f>
        <v/>
      </c>
      <c r="L307" s="5" t="str">
        <f>IF(OR(AND(COUNTA(H307:J307)=3,K307=""),AND(COUNTA(H307:J307)=1,K307&lt;&gt;"")),ROUND(PRODUCT(H307:K307),2),"")</f>
        <v/>
      </c>
      <c r="M307" s="5">
        <f>IF(L307&lt;&gt;"",ROUND(PRODUCT(F307,G307,L307),2),IF(K307&lt;&gt;"",ROUND(PRODUCT(F307,G307,K307),2),ROUND(PRODUCT(F307:J307),2)))</f>
        <v>1</v>
      </c>
      <c r="N307" s="5"/>
    </row>
    <row r="308" spans="1:14" ht="28.8" x14ac:dyDescent="0.3">
      <c r="A308" s="23" t="s">
        <v>263</v>
      </c>
      <c r="B308" s="23">
        <v>93656</v>
      </c>
      <c r="C308" s="23" t="str">
        <f>VLOOKUP(B308,CPU!$B:$J,2,FALSE)</f>
        <v>SINAPI</v>
      </c>
      <c r="D308" s="24" t="str">
        <f>VLOOKUP(B308,CPU!$B:$J,3,FALSE)</f>
        <v>DISJUNTOR MONOPOLAR TIPO DIN, CORRENTE NOMINAL DE 25A - FORNECIMENTO E INSTALAÇÃO. AF_10/2020</v>
      </c>
      <c r="E308" s="23" t="str">
        <f>VLOOKUP(B308,CPU!$B:$J,4,FALSE)</f>
        <v>UN</v>
      </c>
      <c r="F308" s="23"/>
      <c r="G308" s="23"/>
      <c r="H308" s="23"/>
      <c r="I308" s="23"/>
      <c r="J308" s="23"/>
      <c r="K308" s="23"/>
      <c r="L308" s="23"/>
      <c r="M308" s="23"/>
      <c r="N308" s="5">
        <f>SUM($M$309:$M$309)</f>
        <v>1</v>
      </c>
    </row>
    <row r="309" spans="1:14" x14ac:dyDescent="0.3">
      <c r="A309" s="23" t="s">
        <v>734</v>
      </c>
      <c r="B309" s="65" t="s">
        <v>516</v>
      </c>
      <c r="C309" s="66"/>
      <c r="D309" s="66"/>
      <c r="E309" s="67"/>
      <c r="F309" s="5">
        <v>1</v>
      </c>
      <c r="G309" s="26"/>
      <c r="H309" s="5"/>
      <c r="I309" s="5"/>
      <c r="J309" s="5"/>
      <c r="K309" s="5" t="str">
        <f>IF(COUNTA(H309:J309)=2,ROUND(PRODUCT(H309:J309),2),"")</f>
        <v/>
      </c>
      <c r="L309" s="5" t="str">
        <f>IF(OR(AND(COUNTA(H309:J309)=3,K309=""),AND(COUNTA(H309:J309)=1,K309&lt;&gt;"")),ROUND(PRODUCT(H309:K309),2),"")</f>
        <v/>
      </c>
      <c r="M309" s="5">
        <f>IF(L309&lt;&gt;"",ROUND(PRODUCT(F309,G309,L309),2),IF(K309&lt;&gt;"",ROUND(PRODUCT(F309,G309,K309),2),ROUND(PRODUCT(F309:J309),2)))</f>
        <v>1</v>
      </c>
      <c r="N309" s="5"/>
    </row>
    <row r="310" spans="1:14" ht="28.8" x14ac:dyDescent="0.3">
      <c r="A310" s="23" t="s">
        <v>264</v>
      </c>
      <c r="B310" s="23">
        <v>93653</v>
      </c>
      <c r="C310" s="23" t="str">
        <f>VLOOKUP(B310,CPU!$B:$J,2,FALSE)</f>
        <v>SINAPI</v>
      </c>
      <c r="D310" s="24" t="str">
        <f>VLOOKUP(B310,CPU!$B:$J,3,FALSE)</f>
        <v>DISJUNTOR MONOPOLAR TIPO DIN, CORRENTE NOMINAL DE 10A - FORNECIMENTO E INSTALAÇÃO. AF_10/2020</v>
      </c>
      <c r="E310" s="23" t="str">
        <f>VLOOKUP(B310,CPU!$B:$J,4,FALSE)</f>
        <v>UN</v>
      </c>
      <c r="F310" s="23"/>
      <c r="G310" s="23"/>
      <c r="H310" s="23"/>
      <c r="I310" s="23"/>
      <c r="J310" s="23"/>
      <c r="K310" s="23"/>
      <c r="L310" s="23"/>
      <c r="M310" s="23"/>
      <c r="N310" s="5">
        <f>SUM($M$311:$M$311)</f>
        <v>1</v>
      </c>
    </row>
    <row r="311" spans="1:14" x14ac:dyDescent="0.3">
      <c r="A311" s="23" t="s">
        <v>735</v>
      </c>
      <c r="B311" s="65" t="s">
        <v>516</v>
      </c>
      <c r="C311" s="66"/>
      <c r="D311" s="66"/>
      <c r="E311" s="67"/>
      <c r="F311" s="5">
        <v>1</v>
      </c>
      <c r="G311" s="26"/>
      <c r="H311" s="5"/>
      <c r="I311" s="5"/>
      <c r="J311" s="5"/>
      <c r="K311" s="5" t="str">
        <f>IF(COUNTA(H311:J311)=2,ROUND(PRODUCT(H311:J311),2),"")</f>
        <v/>
      </c>
      <c r="L311" s="5" t="str">
        <f>IF(OR(AND(COUNTA(H311:J311)=3,K311=""),AND(COUNTA(H311:J311)=1,K311&lt;&gt;"")),ROUND(PRODUCT(H311:K311),2),"")</f>
        <v/>
      </c>
      <c r="M311" s="5">
        <f>IF(L311&lt;&gt;"",ROUND(PRODUCT(F311,G311,L311),2),IF(K311&lt;&gt;"",ROUND(PRODUCT(F311,G311,K311),2),ROUND(PRODUCT(F311:J311),2)))</f>
        <v>1</v>
      </c>
      <c r="N311" s="5"/>
    </row>
    <row r="312" spans="1:14" x14ac:dyDescent="0.3">
      <c r="A312" s="23" t="s">
        <v>265</v>
      </c>
      <c r="B312" s="23" t="s">
        <v>630</v>
      </c>
      <c r="C312" s="23" t="str">
        <f>VLOOKUP(B312,CPU!$B:$J,2,FALSE)</f>
        <v>ORSE</v>
      </c>
      <c r="D312" s="24" t="str">
        <f>VLOOKUP(B312,CPU!$B:$J,3,FALSE)</f>
        <v>DISPOSITIVO DE PROTEÇÃO CONTRA SURTO DE TENSÃO DPS 60KA - 275V</v>
      </c>
      <c r="E312" s="23" t="str">
        <f>VLOOKUP(B312,CPU!$B:$J,4,FALSE)</f>
        <v>UN</v>
      </c>
      <c r="F312" s="23"/>
      <c r="G312" s="23"/>
      <c r="H312" s="23"/>
      <c r="I312" s="23"/>
      <c r="J312" s="23"/>
      <c r="K312" s="23"/>
      <c r="L312" s="23"/>
      <c r="M312" s="23"/>
      <c r="N312" s="5">
        <f>SUM($M$313:$M$313)</f>
        <v>1</v>
      </c>
    </row>
    <row r="313" spans="1:14" x14ac:dyDescent="0.3">
      <c r="A313" s="23" t="s">
        <v>736</v>
      </c>
      <c r="B313" s="65" t="s">
        <v>516</v>
      </c>
      <c r="C313" s="66"/>
      <c r="D313" s="66"/>
      <c r="E313" s="67"/>
      <c r="F313" s="5">
        <v>1</v>
      </c>
      <c r="G313" s="26"/>
      <c r="H313" s="5"/>
      <c r="I313" s="5"/>
      <c r="J313" s="5"/>
      <c r="K313" s="5" t="str">
        <f>IF(COUNTA(H313:J313)=2,ROUND(PRODUCT(H313:J313),2),"")</f>
        <v/>
      </c>
      <c r="L313" s="5" t="str">
        <f>IF(OR(AND(COUNTA(H313:J313)=3,K313=""),AND(COUNTA(H313:J313)=1,K313&lt;&gt;"")),ROUND(PRODUCT(H313:K313),2),"")</f>
        <v/>
      </c>
      <c r="M313" s="5">
        <f>IF(L313&lt;&gt;"",ROUND(PRODUCT(F313,G313,L313),2),IF(K313&lt;&gt;"",ROUND(PRODUCT(F313,G313,K313),2),ROUND(PRODUCT(F313:J313),2)))</f>
        <v>1</v>
      </c>
      <c r="N313" s="5"/>
    </row>
    <row r="314" spans="1:14" ht="28.8" x14ac:dyDescent="0.3">
      <c r="A314" s="23" t="s">
        <v>266</v>
      </c>
      <c r="B314" s="23">
        <v>101877</v>
      </c>
      <c r="C314" s="23" t="str">
        <f>VLOOKUP(B314,CPU!$B:$J,2,FALSE)</f>
        <v>SINAPI</v>
      </c>
      <c r="D314" s="24" t="str">
        <f>VLOOKUP(B314,CPU!$B:$J,3,FALSE)</f>
        <v>QUADRO DE DISTRIBUIÇÃO DE ENERGIA EM PVC, DE EMBUTIR, SEM BARRAMENTO, PARA 3 DISJUNTORES - FORNECIMENTO E INSTALAÇÃO. AF_10/2020</v>
      </c>
      <c r="E314" s="23" t="str">
        <f>VLOOKUP(B314,CPU!$B:$J,4,FALSE)</f>
        <v>UN</v>
      </c>
      <c r="F314" s="23"/>
      <c r="G314" s="23"/>
      <c r="H314" s="23"/>
      <c r="I314" s="23"/>
      <c r="J314" s="23"/>
      <c r="K314" s="23"/>
      <c r="L314" s="23"/>
      <c r="M314" s="23"/>
      <c r="N314" s="5">
        <f>SUM($M$315:$M$315)</f>
        <v>1</v>
      </c>
    </row>
    <row r="315" spans="1:14" x14ac:dyDescent="0.3">
      <c r="A315" s="23" t="s">
        <v>737</v>
      </c>
      <c r="B315" s="65" t="s">
        <v>516</v>
      </c>
      <c r="C315" s="66"/>
      <c r="D315" s="66"/>
      <c r="E315" s="67"/>
      <c r="F315" s="5">
        <v>1</v>
      </c>
      <c r="G315" s="26"/>
      <c r="H315" s="5"/>
      <c r="I315" s="5"/>
      <c r="J315" s="5"/>
      <c r="K315" s="5" t="str">
        <f>IF(COUNTA(H315:J315)=2,ROUND(PRODUCT(H315:J315),2),"")</f>
        <v/>
      </c>
      <c r="L315" s="5" t="str">
        <f>IF(OR(AND(COUNTA(H315:J315)=3,K315=""),AND(COUNTA(H315:J315)=1,K315&lt;&gt;"")),ROUND(PRODUCT(H315:K315),2),"")</f>
        <v/>
      </c>
      <c r="M315" s="5">
        <f>IF(L315&lt;&gt;"",ROUND(PRODUCT(F315,G315,L315),2),IF(K315&lt;&gt;"",ROUND(PRODUCT(F315,G315,K315),2),ROUND(PRODUCT(F315:J315),2)))</f>
        <v>1</v>
      </c>
      <c r="N315" s="5"/>
    </row>
    <row r="316" spans="1:14" ht="43.2" x14ac:dyDescent="0.3">
      <c r="A316" s="23" t="s">
        <v>267</v>
      </c>
      <c r="B316" s="23" t="s">
        <v>633</v>
      </c>
      <c r="C316" s="23" t="str">
        <f>VLOOKUP(B316,CPU!$B:$J,2,FALSE)</f>
        <v>PRÓPRIA</v>
      </c>
      <c r="D316" s="24" t="str">
        <f>VLOOKUP(B316,CPU!$B:$J,3,FALSE)</f>
        <v>PONTO DE ILUMINAÇÃO E TOMADA, RESIDENCIAL, INCLUINDO INTERRUPTOR SIMPLES E TOMADA 10A/250V, CAIXA ELÉTRICA, ELETRODUTO, CABO, RASGO, QUEBRA E CHUMBAMENTO (EXCLUINDO LUMINÁRIA E LÂMPADA)</v>
      </c>
      <c r="E316" s="23" t="str">
        <f>VLOOKUP(B316,CPU!$B:$J,4,FALSE)</f>
        <v>UN</v>
      </c>
      <c r="F316" s="23"/>
      <c r="G316" s="23"/>
      <c r="H316" s="23"/>
      <c r="I316" s="23"/>
      <c r="J316" s="23"/>
      <c r="K316" s="23"/>
      <c r="L316" s="23"/>
      <c r="M316" s="23"/>
      <c r="N316" s="5">
        <f>SUM($M$317:$M$317)</f>
        <v>1</v>
      </c>
    </row>
    <row r="317" spans="1:14" x14ac:dyDescent="0.3">
      <c r="A317" s="23" t="s">
        <v>738</v>
      </c>
      <c r="B317" s="65" t="s">
        <v>516</v>
      </c>
      <c r="C317" s="66"/>
      <c r="D317" s="66"/>
      <c r="E317" s="67"/>
      <c r="F317" s="5">
        <v>1</v>
      </c>
      <c r="G317" s="26"/>
      <c r="H317" s="5"/>
      <c r="I317" s="5"/>
      <c r="J317" s="5"/>
      <c r="K317" s="5" t="str">
        <f>IF(COUNTA(H317:J317)=2,ROUND(PRODUCT(H317:J317),2),"")</f>
        <v/>
      </c>
      <c r="L317" s="5" t="str">
        <f>IF(OR(AND(COUNTA(H317:J317)=3,K317=""),AND(COUNTA(H317:J317)=1,K317&lt;&gt;"")),ROUND(PRODUCT(H317:K317),2),"")</f>
        <v/>
      </c>
      <c r="M317" s="5">
        <f>IF(L317&lt;&gt;"",ROUND(PRODUCT(F317,G317,L317),2),IF(K317&lt;&gt;"",ROUND(PRODUCT(F317,G317,K317),2),ROUND(PRODUCT(F317:J317),2)))</f>
        <v>1</v>
      </c>
      <c r="N317" s="5"/>
    </row>
    <row r="318" spans="1:14" ht="28.8" x14ac:dyDescent="0.3">
      <c r="A318" s="23" t="s">
        <v>268</v>
      </c>
      <c r="B318" s="23">
        <v>97610</v>
      </c>
      <c r="C318" s="23" t="str">
        <f>VLOOKUP(B318,CPU!$B:$J,2,FALSE)</f>
        <v>SINAPI</v>
      </c>
      <c r="D318" s="24" t="str">
        <f>VLOOKUP(B318,CPU!$B:$J,3,FALSE)</f>
        <v>LÂMPADA COMPACTA DE LED 10 W, BASE E27 - FORNECIMENTO E INSTALAÇÃO. AF_09/2024</v>
      </c>
      <c r="E318" s="23" t="str">
        <f>VLOOKUP(B318,CPU!$B:$J,4,FALSE)</f>
        <v>UN</v>
      </c>
      <c r="F318" s="23"/>
      <c r="G318" s="23"/>
      <c r="H318" s="23"/>
      <c r="I318" s="23"/>
      <c r="J318" s="23"/>
      <c r="K318" s="23"/>
      <c r="L318" s="23"/>
      <c r="M318" s="23"/>
      <c r="N318" s="5">
        <f>SUM($M$319:$M$319)</f>
        <v>1</v>
      </c>
    </row>
    <row r="319" spans="1:14" x14ac:dyDescent="0.3">
      <c r="A319" s="23" t="s">
        <v>739</v>
      </c>
      <c r="B319" s="65" t="s">
        <v>516</v>
      </c>
      <c r="C319" s="66"/>
      <c r="D319" s="66"/>
      <c r="E319" s="67"/>
      <c r="F319" s="5">
        <v>1</v>
      </c>
      <c r="G319" s="26"/>
      <c r="H319" s="5"/>
      <c r="I319" s="5"/>
      <c r="J319" s="5"/>
      <c r="K319" s="5" t="str">
        <f>IF(COUNTA(H319:J319)=2,ROUND(PRODUCT(H319:J319),2),"")</f>
        <v/>
      </c>
      <c r="L319" s="5" t="str">
        <f>IF(OR(AND(COUNTA(H319:J319)=3,K319=""),AND(COUNTA(H319:J319)=1,K319&lt;&gt;"")),ROUND(PRODUCT(H319:K319),2),"")</f>
        <v/>
      </c>
      <c r="M319" s="5">
        <f>IF(L319&lt;&gt;"",ROUND(PRODUCT(F319,G319,L319),2),IF(K319&lt;&gt;"",ROUND(PRODUCT(F319,G319,K319),2),ROUND(PRODUCT(F319:J319),2)))</f>
        <v>1</v>
      </c>
      <c r="N319" s="5"/>
    </row>
    <row r="320" spans="1:14" ht="28.8" x14ac:dyDescent="0.3">
      <c r="A320" s="23" t="s">
        <v>269</v>
      </c>
      <c r="B320" s="23" t="s">
        <v>636</v>
      </c>
      <c r="C320" s="23" t="str">
        <f>VLOOKUP(B320,CPU!$B:$J,2,FALSE)</f>
        <v>PRÓPRIA</v>
      </c>
      <c r="D320" s="24" t="str">
        <f>VLOOKUP(B320,CPU!$B:$J,3,FALSE)</f>
        <v>LUMINÁRIA ARANDELA TIPO MEIA-LUA COM VIDRO FOSCO *30 X 15* CM, PARA 1 LÂMPADA (SINAPI ADAPTADO 97605)</v>
      </c>
      <c r="E320" s="23" t="str">
        <f>VLOOKUP(B320,CPU!$B:$J,4,FALSE)</f>
        <v>UN</v>
      </c>
      <c r="F320" s="23"/>
      <c r="G320" s="23"/>
      <c r="H320" s="23"/>
      <c r="I320" s="23"/>
      <c r="J320" s="23"/>
      <c r="K320" s="23"/>
      <c r="L320" s="23"/>
      <c r="M320" s="23"/>
      <c r="N320" s="5">
        <f>SUM($M$321:$M$321)</f>
        <v>1</v>
      </c>
    </row>
    <row r="321" spans="1:14" x14ac:dyDescent="0.3">
      <c r="A321" s="23" t="s">
        <v>740</v>
      </c>
      <c r="B321" s="65" t="s">
        <v>516</v>
      </c>
      <c r="C321" s="66"/>
      <c r="D321" s="66"/>
      <c r="E321" s="67"/>
      <c r="F321" s="5">
        <v>1</v>
      </c>
      <c r="G321" s="26"/>
      <c r="H321" s="5"/>
      <c r="I321" s="5"/>
      <c r="J321" s="5"/>
      <c r="K321" s="5" t="str">
        <f>IF(COUNTA(H321:J321)=2,ROUND(PRODUCT(H321:J321),2),"")</f>
        <v/>
      </c>
      <c r="L321" s="5" t="str">
        <f>IF(OR(AND(COUNTA(H321:J321)=3,K321=""),AND(COUNTA(H321:J321)=1,K321&lt;&gt;"")),ROUND(PRODUCT(H321:K321),2),"")</f>
        <v/>
      </c>
      <c r="M321" s="5">
        <f>IF(L321&lt;&gt;"",ROUND(PRODUCT(F321,G321,L321),2),IF(K321&lt;&gt;"",ROUND(PRODUCT(F321,G321,K321),2),ROUND(PRODUCT(F321:J321),2)))</f>
        <v>1</v>
      </c>
      <c r="N321" s="5"/>
    </row>
    <row r="322" spans="1:14" x14ac:dyDescent="0.3">
      <c r="A322" s="12" t="s">
        <v>59</v>
      </c>
      <c r="B322" s="46" t="s">
        <v>638</v>
      </c>
      <c r="C322" s="47"/>
      <c r="D322" s="47"/>
      <c r="E322" s="47"/>
      <c r="F322" s="47"/>
      <c r="G322" s="47"/>
      <c r="H322" s="47"/>
      <c r="I322" s="47"/>
      <c r="J322" s="47"/>
      <c r="K322" s="47"/>
      <c r="L322" s="47"/>
      <c r="M322" s="47"/>
      <c r="N322" s="48"/>
    </row>
    <row r="323" spans="1:14" x14ac:dyDescent="0.3">
      <c r="A323" s="15" t="s">
        <v>60</v>
      </c>
      <c r="B323" s="49" t="s">
        <v>573</v>
      </c>
      <c r="C323" s="50"/>
      <c r="D323" s="50"/>
      <c r="E323" s="50"/>
      <c r="F323" s="50"/>
      <c r="G323" s="50"/>
      <c r="H323" s="50"/>
      <c r="I323" s="50"/>
      <c r="J323" s="50"/>
      <c r="K323" s="50"/>
      <c r="L323" s="50"/>
      <c r="M323" s="50"/>
      <c r="N323" s="51"/>
    </row>
    <row r="324" spans="1:14" x14ac:dyDescent="0.3">
      <c r="A324" s="23" t="s">
        <v>270</v>
      </c>
      <c r="B324" s="23">
        <v>93358</v>
      </c>
      <c r="C324" s="23" t="str">
        <f>VLOOKUP(B324,CPU!$B:$J,2,FALSE)</f>
        <v>SINAPI</v>
      </c>
      <c r="D324" s="24" t="str">
        <f>VLOOKUP(B324,CPU!$B:$J,3,FALSE)</f>
        <v>ESCAVAÇÃO MANUAL DE VALA. AF_09/2024</v>
      </c>
      <c r="E324" s="23" t="str">
        <f>VLOOKUP(B324,CPU!$B:$J,4,FALSE)</f>
        <v>M3</v>
      </c>
      <c r="F324" s="23"/>
      <c r="G324" s="23"/>
      <c r="H324" s="23"/>
      <c r="I324" s="23"/>
      <c r="J324" s="23"/>
      <c r="K324" s="23"/>
      <c r="L324" s="23"/>
      <c r="M324" s="23"/>
      <c r="N324" s="5">
        <f>SUM($M$325:$M$325)</f>
        <v>2.76</v>
      </c>
    </row>
    <row r="325" spans="1:14" x14ac:dyDescent="0.3">
      <c r="A325" s="23" t="s">
        <v>741</v>
      </c>
      <c r="B325" s="65" t="s">
        <v>516</v>
      </c>
      <c r="C325" s="66"/>
      <c r="D325" s="66"/>
      <c r="E325" s="67"/>
      <c r="F325" s="5"/>
      <c r="G325" s="26"/>
      <c r="H325" s="5">
        <v>3.6</v>
      </c>
      <c r="I325" s="5">
        <v>0.6</v>
      </c>
      <c r="J325" s="5">
        <v>1.28</v>
      </c>
      <c r="K325" s="5" t="str">
        <f>IF(COUNTA(H325:J325)=2,ROUND(PRODUCT(H325:J325),2),"")</f>
        <v/>
      </c>
      <c r="L325" s="5">
        <f>IF(OR(AND(COUNTA(H325:J325)=3,K325=""),AND(COUNTA(H325:J325)=1,K325&lt;&gt;"")),ROUND(PRODUCT(H325:K325),2),"")</f>
        <v>2.76</v>
      </c>
      <c r="M325" s="5">
        <f>IF(L325&lt;&gt;"",ROUND(PRODUCT(F325,G325,L325),2),IF(K325&lt;&gt;"",ROUND(PRODUCT(F325,G325,K325),2),ROUND(PRODUCT(F325:J325),2)))</f>
        <v>2.76</v>
      </c>
      <c r="N325" s="5"/>
    </row>
    <row r="326" spans="1:14" x14ac:dyDescent="0.3">
      <c r="A326" s="23" t="s">
        <v>271</v>
      </c>
      <c r="B326" s="23" t="s">
        <v>640</v>
      </c>
      <c r="C326" s="23" t="str">
        <f>VLOOKUP(B326,CPU!$B:$J,2,FALSE)</f>
        <v>PRÓPRIA</v>
      </c>
      <c r="D326" s="24" t="str">
        <f>VLOOKUP(B326,CPU!$B:$J,3,FALSE)</f>
        <v>REATERRO DE VALA COM COMPACTAÇÃO MANUAL</v>
      </c>
      <c r="E326" s="23" t="str">
        <f>VLOOKUP(B326,CPU!$B:$J,4,FALSE)</f>
        <v>M³</v>
      </c>
      <c r="F326" s="23"/>
      <c r="G326" s="23"/>
      <c r="H326" s="23"/>
      <c r="I326" s="23"/>
      <c r="J326" s="23"/>
      <c r="K326" s="23"/>
      <c r="L326" s="23"/>
      <c r="M326" s="23"/>
      <c r="N326" s="5">
        <f>SUM($M$327:$M$327)</f>
        <v>2.76</v>
      </c>
    </row>
    <row r="327" spans="1:14" x14ac:dyDescent="0.3">
      <c r="A327" s="23" t="s">
        <v>742</v>
      </c>
      <c r="B327" s="65" t="s">
        <v>516</v>
      </c>
      <c r="C327" s="66"/>
      <c r="D327" s="66"/>
      <c r="E327" s="67"/>
      <c r="F327" s="5"/>
      <c r="G327" s="26"/>
      <c r="H327" s="5">
        <v>3.6</v>
      </c>
      <c r="I327" s="5">
        <v>0.6</v>
      </c>
      <c r="J327" s="5">
        <v>1.28</v>
      </c>
      <c r="K327" s="5" t="str">
        <f>IF(COUNTA(H327:J327)=2,ROUND(PRODUCT(H327:J327),2),"")</f>
        <v/>
      </c>
      <c r="L327" s="5">
        <f>IF(OR(AND(COUNTA(H327:J327)=3,K327=""),AND(COUNTA(H327:J327)=1,K327&lt;&gt;"")),ROUND(PRODUCT(H327:K327),2),"")</f>
        <v>2.76</v>
      </c>
      <c r="M327" s="5">
        <f>IF(L327&lt;&gt;"",ROUND(PRODUCT(F327,G327,L327),2),IF(K327&lt;&gt;"",ROUND(PRODUCT(F327,G327,K327),2),ROUND(PRODUCT(F327:J327),2)))</f>
        <v>2.76</v>
      </c>
      <c r="N327" s="5"/>
    </row>
    <row r="328" spans="1:14" x14ac:dyDescent="0.3">
      <c r="A328" s="15" t="s">
        <v>61</v>
      </c>
      <c r="B328" s="49" t="s">
        <v>576</v>
      </c>
      <c r="C328" s="50"/>
      <c r="D328" s="50"/>
      <c r="E328" s="50"/>
      <c r="F328" s="50"/>
      <c r="G328" s="50"/>
      <c r="H328" s="50"/>
      <c r="I328" s="50"/>
      <c r="J328" s="50"/>
      <c r="K328" s="50"/>
      <c r="L328" s="50"/>
      <c r="M328" s="50"/>
      <c r="N328" s="51"/>
    </row>
    <row r="329" spans="1:14" x14ac:dyDescent="0.3">
      <c r="A329" s="23" t="s">
        <v>272</v>
      </c>
      <c r="B329" s="23" t="s">
        <v>642</v>
      </c>
      <c r="C329" s="23" t="str">
        <f>VLOOKUP(B329,CPU!$B:$J,2,FALSE)</f>
        <v>SEINFRA</v>
      </c>
      <c r="D329" s="24" t="str">
        <f>VLOOKUP(B329,CPU!$B:$J,3,FALSE)</f>
        <v>BLOCO DE ANCORAGEM EM CONCRETO SIMPLES FCK=10MPa</v>
      </c>
      <c r="E329" s="23" t="str">
        <f>VLOOKUP(B329,CPU!$B:$J,4,FALSE)</f>
        <v>M3</v>
      </c>
      <c r="F329" s="23"/>
      <c r="G329" s="23"/>
      <c r="H329" s="23"/>
      <c r="I329" s="23"/>
      <c r="J329" s="23"/>
      <c r="K329" s="23"/>
      <c r="L329" s="23"/>
      <c r="M329" s="23"/>
      <c r="N329" s="5">
        <f>SUM($M$330:$M$330)</f>
        <v>0.26</v>
      </c>
    </row>
    <row r="330" spans="1:14" x14ac:dyDescent="0.3">
      <c r="A330" s="23" t="s">
        <v>743</v>
      </c>
      <c r="B330" s="65" t="s">
        <v>516</v>
      </c>
      <c r="C330" s="66"/>
      <c r="D330" s="66"/>
      <c r="E330" s="67"/>
      <c r="F330" s="5"/>
      <c r="G330" s="26">
        <v>2</v>
      </c>
      <c r="H330" s="5">
        <v>0.5</v>
      </c>
      <c r="I330" s="5">
        <v>0.5</v>
      </c>
      <c r="J330" s="5">
        <v>0.5</v>
      </c>
      <c r="K330" s="5" t="str">
        <f>IF(COUNTA(H330:J330)=2,ROUND(PRODUCT(H330:J330),2),"")</f>
        <v/>
      </c>
      <c r="L330" s="5">
        <f>IF(OR(AND(COUNTA(H330:J330)=3,K330=""),AND(COUNTA(H330:J330)=1,K330&lt;&gt;"")),ROUND(PRODUCT(H330:K330),2),"")</f>
        <v>0.13</v>
      </c>
      <c r="M330" s="5">
        <f>IF(L330&lt;&gt;"",ROUND(PRODUCT(F330,G330,L330),2),IF(K330&lt;&gt;"",ROUND(PRODUCT(F330,G330,K330),2),ROUND(PRODUCT(F330:J330),2)))</f>
        <v>0.26</v>
      </c>
      <c r="N330" s="5"/>
    </row>
    <row r="331" spans="1:14" x14ac:dyDescent="0.3">
      <c r="A331" s="15" t="s">
        <v>62</v>
      </c>
      <c r="B331" s="49" t="s">
        <v>644</v>
      </c>
      <c r="C331" s="50"/>
      <c r="D331" s="50"/>
      <c r="E331" s="50"/>
      <c r="F331" s="50"/>
      <c r="G331" s="50"/>
      <c r="H331" s="50"/>
      <c r="I331" s="50"/>
      <c r="J331" s="50"/>
      <c r="K331" s="50"/>
      <c r="L331" s="50"/>
      <c r="M331" s="50"/>
      <c r="N331" s="51"/>
    </row>
    <row r="332" spans="1:14" ht="28.8" x14ac:dyDescent="0.3">
      <c r="A332" s="23" t="s">
        <v>273</v>
      </c>
      <c r="B332" s="23" t="s">
        <v>645</v>
      </c>
      <c r="C332" s="23" t="str">
        <f>VLOOKUP(B332,CPU!$B:$J,2,FALSE)</f>
        <v>PRÓPRIA</v>
      </c>
      <c r="D332" s="24" t="str">
        <f>VLOOKUP(B332,CPU!$B:$J,3,FALSE)</f>
        <v>AQUISIÇÃO E ASSENTAMENTO DE TUBO RÍGIDO PVC, CLASSE 12, DN 50 MM, INCLUSO CONEXÕES</v>
      </c>
      <c r="E332" s="23" t="str">
        <f>VLOOKUP(B332,CPU!$B:$J,4,FALSE)</f>
        <v>M</v>
      </c>
      <c r="F332" s="23"/>
      <c r="G332" s="23"/>
      <c r="H332" s="23"/>
      <c r="I332" s="23"/>
      <c r="J332" s="23"/>
      <c r="K332" s="23"/>
      <c r="L332" s="23"/>
      <c r="M332" s="23"/>
      <c r="N332" s="5">
        <f>SUM($M$333:$M$333)</f>
        <v>16</v>
      </c>
    </row>
    <row r="333" spans="1:14" x14ac:dyDescent="0.3">
      <c r="A333" s="23" t="s">
        <v>744</v>
      </c>
      <c r="B333" s="65" t="s">
        <v>516</v>
      </c>
      <c r="C333" s="66"/>
      <c r="D333" s="66"/>
      <c r="E333" s="67"/>
      <c r="F333" s="5">
        <v>16</v>
      </c>
      <c r="G333" s="26"/>
      <c r="H333" s="5"/>
      <c r="I333" s="5"/>
      <c r="J333" s="5"/>
      <c r="K333" s="5" t="str">
        <f>IF(COUNTA(H333:J333)=2,ROUND(PRODUCT(H333:J333),2),"")</f>
        <v/>
      </c>
      <c r="L333" s="5" t="str">
        <f>IF(OR(AND(COUNTA(H333:J333)=3,K333=""),AND(COUNTA(H333:J333)=1,K333&lt;&gt;"")),ROUND(PRODUCT(H333:K333),2),"")</f>
        <v/>
      </c>
      <c r="M333" s="5">
        <f>IF(L333&lt;&gt;"",ROUND(PRODUCT(F333,G333,L333),2),IF(K333&lt;&gt;"",ROUND(PRODUCT(F333,G333,K333),2),ROUND(PRODUCT(F333:J333),2)))</f>
        <v>16</v>
      </c>
      <c r="N333" s="5"/>
    </row>
    <row r="334" spans="1:14" ht="28.8" x14ac:dyDescent="0.3">
      <c r="A334" s="23" t="s">
        <v>274</v>
      </c>
      <c r="B334" s="23">
        <v>94497</v>
      </c>
      <c r="C334" s="23" t="str">
        <f>VLOOKUP(B334,CPU!$B:$J,2,FALSE)</f>
        <v>SINAPI</v>
      </c>
      <c r="D334" s="24" t="str">
        <f>VLOOKUP(B334,CPU!$B:$J,3,FALSE)</f>
        <v>REGISTRO DE GAVETA BRUTO, LATÃO, ROSCÁVEL, 1 1/2" - FORNECIMENTO E INSTALAÇÃO. AF_08/2021</v>
      </c>
      <c r="E334" s="23" t="str">
        <f>VLOOKUP(B334,CPU!$B:$J,4,FALSE)</f>
        <v>UN</v>
      </c>
      <c r="F334" s="23"/>
      <c r="G334" s="23"/>
      <c r="H334" s="23"/>
      <c r="I334" s="23"/>
      <c r="J334" s="23"/>
      <c r="K334" s="23"/>
      <c r="L334" s="23"/>
      <c r="M334" s="23"/>
      <c r="N334" s="5">
        <f>SUM($M$335:$M$335)</f>
        <v>1</v>
      </c>
    </row>
    <row r="335" spans="1:14" x14ac:dyDescent="0.3">
      <c r="A335" s="23" t="s">
        <v>745</v>
      </c>
      <c r="B335" s="65" t="s">
        <v>516</v>
      </c>
      <c r="C335" s="66"/>
      <c r="D335" s="66"/>
      <c r="E335" s="67"/>
      <c r="F335" s="5">
        <v>1</v>
      </c>
      <c r="G335" s="26"/>
      <c r="H335" s="5"/>
      <c r="I335" s="5"/>
      <c r="J335" s="5"/>
      <c r="K335" s="5" t="str">
        <f>IF(COUNTA(H335:J335)=2,ROUND(PRODUCT(H335:J335),2),"")</f>
        <v/>
      </c>
      <c r="L335" s="5" t="str">
        <f>IF(OR(AND(COUNTA(H335:J335)=3,K335=""),AND(COUNTA(H335:J335)=1,K335&lt;&gt;"")),ROUND(PRODUCT(H335:K335),2),"")</f>
        <v/>
      </c>
      <c r="M335" s="5">
        <f>IF(L335&lt;&gt;"",ROUND(PRODUCT(F335,G335,L335),2),IF(K335&lt;&gt;"",ROUND(PRODUCT(F335,G335,K335),2),ROUND(PRODUCT(F335:J335),2)))</f>
        <v>1</v>
      </c>
      <c r="N335" s="5"/>
    </row>
    <row r="336" spans="1:14" x14ac:dyDescent="0.3">
      <c r="A336" s="12" t="s">
        <v>63</v>
      </c>
      <c r="B336" s="46" t="s">
        <v>648</v>
      </c>
      <c r="C336" s="47"/>
      <c r="D336" s="47"/>
      <c r="E336" s="47"/>
      <c r="F336" s="47"/>
      <c r="G336" s="47"/>
      <c r="H336" s="47"/>
      <c r="I336" s="47"/>
      <c r="J336" s="47"/>
      <c r="K336" s="47"/>
      <c r="L336" s="47"/>
      <c r="M336" s="47"/>
      <c r="N336" s="48"/>
    </row>
    <row r="337" spans="1:14" ht="57.6" x14ac:dyDescent="0.3">
      <c r="A337" s="23" t="s">
        <v>275</v>
      </c>
      <c r="B337" s="23" t="s">
        <v>649</v>
      </c>
      <c r="C337" s="23" t="str">
        <f>VLOOKUP(B337,CPU!$B:$J,2,FALSE)</f>
        <v>PRÓPRIA</v>
      </c>
      <c r="D337" s="24" t="str">
        <f>VLOOKUP(B337,CPU!$B:$J,3,FALSE)</f>
        <v>RESERVATÓRIO ELEVADO C/ CAIXA D'AGUA EM FIBRA DE VIDRO DE 10.000 LITROS APOIADO EM ESTRUTURA PRÉ-MOLDADA EM CONCRETO, COMPOSTA DE CAPITEL P/APOIO DA CAIXA E PILAR C/ALTURA ÚTIL = 7,00M, INCLUSO FRETE E MONTAGEM NO LOCAL, EXCETO INST. HIDRÁULICA</v>
      </c>
      <c r="E337" s="23" t="str">
        <f>VLOOKUP(B337,CPU!$B:$J,4,FALSE)</f>
        <v>UND</v>
      </c>
      <c r="F337" s="23"/>
      <c r="G337" s="23"/>
      <c r="H337" s="23"/>
      <c r="I337" s="23"/>
      <c r="J337" s="23"/>
      <c r="K337" s="23"/>
      <c r="L337" s="23"/>
      <c r="M337" s="23"/>
      <c r="N337" s="5">
        <f>SUM($M$338:$M$338)</f>
        <v>1</v>
      </c>
    </row>
    <row r="338" spans="1:14" x14ac:dyDescent="0.3">
      <c r="A338" s="23" t="s">
        <v>746</v>
      </c>
      <c r="B338" s="65" t="s">
        <v>516</v>
      </c>
      <c r="C338" s="66"/>
      <c r="D338" s="66"/>
      <c r="E338" s="67"/>
      <c r="F338" s="5">
        <v>1</v>
      </c>
      <c r="G338" s="26"/>
      <c r="H338" s="5"/>
      <c r="I338" s="5"/>
      <c r="J338" s="5"/>
      <c r="K338" s="5" t="str">
        <f>IF(COUNTA(H338:J338)=2,ROUND(PRODUCT(H338:J338),2),"")</f>
        <v/>
      </c>
      <c r="L338" s="5" t="str">
        <f>IF(OR(AND(COUNTA(H338:J338)=3,K338=""),AND(COUNTA(H338:J338)=1,K338&lt;&gt;"")),ROUND(PRODUCT(H338:K338),2),"")</f>
        <v/>
      </c>
      <c r="M338" s="5">
        <f>IF(L338&lt;&gt;"",ROUND(PRODUCT(F338,G338,L338),2),IF(K338&lt;&gt;"",ROUND(PRODUCT(F338,G338,K338),2),ROUND(PRODUCT(F338:J338),2)))</f>
        <v>1</v>
      </c>
      <c r="N338" s="5"/>
    </row>
    <row r="339" spans="1:14" x14ac:dyDescent="0.3">
      <c r="A339" s="12" t="s">
        <v>64</v>
      </c>
      <c r="B339" s="46" t="s">
        <v>651</v>
      </c>
      <c r="C339" s="47"/>
      <c r="D339" s="47"/>
      <c r="E339" s="47"/>
      <c r="F339" s="47"/>
      <c r="G339" s="47"/>
      <c r="H339" s="47"/>
      <c r="I339" s="47"/>
      <c r="J339" s="47"/>
      <c r="K339" s="47"/>
      <c r="L339" s="47"/>
      <c r="M339" s="47"/>
      <c r="N339" s="48"/>
    </row>
    <row r="340" spans="1:14" ht="28.8" x14ac:dyDescent="0.3">
      <c r="A340" s="23" t="s">
        <v>276</v>
      </c>
      <c r="B340" s="23" t="s">
        <v>645</v>
      </c>
      <c r="C340" s="23" t="str">
        <f>VLOOKUP(B340,CPU!$B:$J,2,FALSE)</f>
        <v>PRÓPRIA</v>
      </c>
      <c r="D340" s="24" t="str">
        <f>VLOOKUP(B340,CPU!$B:$J,3,FALSE)</f>
        <v>AQUISIÇÃO E ASSENTAMENTO DE TUBO RÍGIDO PVC, CLASSE 12, DN 50 MM, INCLUSO CONEXÕES</v>
      </c>
      <c r="E340" s="23" t="str">
        <f>VLOOKUP(B340,CPU!$B:$J,4,FALSE)</f>
        <v>M</v>
      </c>
      <c r="F340" s="23"/>
      <c r="G340" s="23"/>
      <c r="H340" s="23"/>
      <c r="I340" s="23"/>
      <c r="J340" s="23"/>
      <c r="K340" s="23"/>
      <c r="L340" s="23"/>
      <c r="M340" s="23"/>
      <c r="N340" s="5">
        <f>SUM($M$341:$M$341)</f>
        <v>18</v>
      </c>
    </row>
    <row r="341" spans="1:14" x14ac:dyDescent="0.3">
      <c r="A341" s="23" t="s">
        <v>747</v>
      </c>
      <c r="B341" s="65" t="s">
        <v>516</v>
      </c>
      <c r="C341" s="66"/>
      <c r="D341" s="66"/>
      <c r="E341" s="67"/>
      <c r="F341" s="5">
        <v>18</v>
      </c>
      <c r="G341" s="26"/>
      <c r="H341" s="5"/>
      <c r="I341" s="5"/>
      <c r="J341" s="5"/>
      <c r="K341" s="5" t="str">
        <f>IF(COUNTA(H341:J341)=2,ROUND(PRODUCT(H341:J341),2),"")</f>
        <v/>
      </c>
      <c r="L341" s="5" t="str">
        <f>IF(OR(AND(COUNTA(H341:J341)=3,K341=""),AND(COUNTA(H341:J341)=1,K341&lt;&gt;"")),ROUND(PRODUCT(H341:K341),2),"")</f>
        <v/>
      </c>
      <c r="M341" s="5">
        <f>IF(L341&lt;&gt;"",ROUND(PRODUCT(F341,G341,L341),2),IF(K341&lt;&gt;"",ROUND(PRODUCT(F341,G341,K341),2),ROUND(PRODUCT(F341:J341),2)))</f>
        <v>18</v>
      </c>
      <c r="N341" s="5"/>
    </row>
    <row r="342" spans="1:14" ht="28.8" x14ac:dyDescent="0.3">
      <c r="A342" s="23" t="s">
        <v>277</v>
      </c>
      <c r="B342" s="23" t="s">
        <v>653</v>
      </c>
      <c r="C342" s="23" t="str">
        <f>VLOOKUP(B342,CPU!$B:$J,2,FALSE)</f>
        <v>ORSE</v>
      </c>
      <c r="D342" s="24" t="str">
        <f>VLOOKUP(B342,CPU!$B:$J,3,FALSE)</f>
        <v>CONCRETO ARMADO FCK=15MPA FABRICADO NA OBRA, ADENSADO E LANÇADO, PARA USO GERAL, COM FORMAS PLANAS EM COMPENSADO RESINADO 12MM (05 USOS)</v>
      </c>
      <c r="E342" s="23" t="str">
        <f>VLOOKUP(B342,CPU!$B:$J,4,FALSE)</f>
        <v>M3</v>
      </c>
      <c r="F342" s="23"/>
      <c r="G342" s="23"/>
      <c r="H342" s="23"/>
      <c r="I342" s="23"/>
      <c r="J342" s="23"/>
      <c r="K342" s="23"/>
      <c r="L342" s="23"/>
      <c r="M342" s="23"/>
      <c r="N342" s="5">
        <f>SUM($M$343:$M$343)</f>
        <v>0.26</v>
      </c>
    </row>
    <row r="343" spans="1:14" x14ac:dyDescent="0.3">
      <c r="A343" s="23" t="s">
        <v>748</v>
      </c>
      <c r="B343" s="65" t="s">
        <v>655</v>
      </c>
      <c r="C343" s="66"/>
      <c r="D343" s="66"/>
      <c r="E343" s="67"/>
      <c r="F343" s="5"/>
      <c r="G343" s="26">
        <v>2</v>
      </c>
      <c r="H343" s="5">
        <v>0.5</v>
      </c>
      <c r="I343" s="5">
        <v>0.5</v>
      </c>
      <c r="J343" s="5">
        <v>0.5</v>
      </c>
      <c r="K343" s="5" t="str">
        <f>IF(COUNTA(H343:J343)=2,ROUND(PRODUCT(H343:J343),2),"")</f>
        <v/>
      </c>
      <c r="L343" s="5">
        <f>IF(OR(AND(COUNTA(H343:J343)=3,K343=""),AND(COUNTA(H343:J343)=1,K343&lt;&gt;"")),ROUND(PRODUCT(H343:K343),2),"")</f>
        <v>0.13</v>
      </c>
      <c r="M343" s="5">
        <f>IF(L343&lt;&gt;"",ROUND(PRODUCT(F343,G343,L343),2),IF(K343&lt;&gt;"",ROUND(PRODUCT(F343,G343,K343),2),ROUND(PRODUCT(F343:J343),2)))</f>
        <v>0.26</v>
      </c>
      <c r="N343" s="5"/>
    </row>
    <row r="344" spans="1:14" ht="28.8" x14ac:dyDescent="0.3">
      <c r="A344" s="23" t="s">
        <v>278</v>
      </c>
      <c r="B344" s="23">
        <v>86906</v>
      </c>
      <c r="C344" s="23" t="str">
        <f>VLOOKUP(B344,CPU!$B:$J,2,FALSE)</f>
        <v>SINAPI</v>
      </c>
      <c r="D344" s="24" t="str">
        <f>VLOOKUP(B344,CPU!$B:$J,3,FALSE)</f>
        <v>TORNEIRA CROMADA DE MESA, 1/2" OU 3/4", PARA LAVATÓRIO, PADRÃO POPULAR - FORNECIMENTO E INSTALAÇÃO. AF_01/2020</v>
      </c>
      <c r="E344" s="23" t="str">
        <f>VLOOKUP(B344,CPU!$B:$J,4,FALSE)</f>
        <v>UN</v>
      </c>
      <c r="F344" s="23"/>
      <c r="G344" s="23"/>
      <c r="H344" s="23"/>
      <c r="I344" s="23"/>
      <c r="J344" s="23"/>
      <c r="K344" s="23"/>
      <c r="L344" s="23"/>
      <c r="M344" s="23"/>
      <c r="N344" s="5">
        <f>SUM($M$345:$M$345)</f>
        <v>4</v>
      </c>
    </row>
    <row r="345" spans="1:14" x14ac:dyDescent="0.3">
      <c r="A345" s="23" t="s">
        <v>749</v>
      </c>
      <c r="B345" s="65" t="s">
        <v>516</v>
      </c>
      <c r="C345" s="66"/>
      <c r="D345" s="66"/>
      <c r="E345" s="67"/>
      <c r="F345" s="5">
        <v>4</v>
      </c>
      <c r="G345" s="26"/>
      <c r="H345" s="5"/>
      <c r="I345" s="5"/>
      <c r="J345" s="5"/>
      <c r="K345" s="5" t="str">
        <f>IF(COUNTA(H345:J345)=2,ROUND(PRODUCT(H345:J345),2),"")</f>
        <v/>
      </c>
      <c r="L345" s="5" t="str">
        <f>IF(OR(AND(COUNTA(H345:J345)=3,K345=""),AND(COUNTA(H345:J345)=1,K345&lt;&gt;"")),ROUND(PRODUCT(H345:K345),2),"")</f>
        <v/>
      </c>
      <c r="M345" s="5">
        <f>IF(L345&lt;&gt;"",ROUND(PRODUCT(F345,G345,L345),2),IF(K345&lt;&gt;"",ROUND(PRODUCT(F345,G345,K345),2),ROUND(PRODUCT(F345:J345),2)))</f>
        <v>4</v>
      </c>
      <c r="N345" s="5"/>
    </row>
    <row r="346" spans="1:14" ht="43.2" x14ac:dyDescent="0.3">
      <c r="A346" s="23" t="s">
        <v>279</v>
      </c>
      <c r="B346" s="23">
        <v>92920</v>
      </c>
      <c r="C346" s="23" t="str">
        <f>VLOOKUP(B346,CPU!$B:$J,2,FALSE)</f>
        <v>SINAPI</v>
      </c>
      <c r="D346" s="24" t="str">
        <f>VLOOKUP(B346,CPU!$B:$J,3,FALSE)</f>
        <v>LUVA DE REDUÇÃO, EM FERRO GALVANIZADO, 1" X 3/4", CONEXÃO ROSQUEADA, INSTALADO EM REDE DE ALIMENTAÇÃO PARA HIDRANTE - FORNECIMENTO E INSTALAÇÃO. AF_10/2020</v>
      </c>
      <c r="E346" s="23" t="str">
        <f>VLOOKUP(B346,CPU!$B:$J,4,FALSE)</f>
        <v>UN</v>
      </c>
      <c r="F346" s="23"/>
      <c r="G346" s="23"/>
      <c r="H346" s="23"/>
      <c r="I346" s="23"/>
      <c r="J346" s="23"/>
      <c r="K346" s="23"/>
      <c r="L346" s="23"/>
      <c r="M346" s="23"/>
      <c r="N346" s="5">
        <f>SUM($M$347:$M$347)</f>
        <v>4</v>
      </c>
    </row>
    <row r="347" spans="1:14" x14ac:dyDescent="0.3">
      <c r="A347" s="23" t="s">
        <v>750</v>
      </c>
      <c r="B347" s="65" t="s">
        <v>516</v>
      </c>
      <c r="C347" s="66"/>
      <c r="D347" s="66"/>
      <c r="E347" s="67"/>
      <c r="F347" s="5">
        <v>4</v>
      </c>
      <c r="G347" s="26"/>
      <c r="H347" s="5"/>
      <c r="I347" s="5"/>
      <c r="J347" s="5"/>
      <c r="K347" s="5" t="str">
        <f>IF(COUNTA(H347:J347)=2,ROUND(PRODUCT(H347:J347),2),"")</f>
        <v/>
      </c>
      <c r="L347" s="5" t="str">
        <f>IF(OR(AND(COUNTA(H347:J347)=3,K347=""),AND(COUNTA(H347:J347)=1,K347&lt;&gt;"")),ROUND(PRODUCT(H347:K347),2),"")</f>
        <v/>
      </c>
      <c r="M347" s="5">
        <f>IF(L347&lt;&gt;"",ROUND(PRODUCT(F347,G347,L347),2),IF(K347&lt;&gt;"",ROUND(PRODUCT(F347,G347,K347),2),ROUND(PRODUCT(F347:J347),2)))</f>
        <v>4</v>
      </c>
      <c r="N347" s="5"/>
    </row>
    <row r="348" spans="1:14" x14ac:dyDescent="0.3">
      <c r="A348" s="23" t="s">
        <v>280</v>
      </c>
      <c r="B348" s="23" t="s">
        <v>658</v>
      </c>
      <c r="C348" s="23" t="str">
        <f>VLOOKUP(B348,CPU!$B:$J,2,FALSE)</f>
        <v>PRÓPRIA</v>
      </c>
      <c r="D348" s="24" t="str">
        <f>VLOOKUP(B348,CPU!$B:$J,3,FALSE)</f>
        <v>CRUZETA DE FERRO GALVANIZADO, COM ROSCA BSP, DE 1"</v>
      </c>
      <c r="E348" s="23" t="str">
        <f>VLOOKUP(B348,CPU!$B:$J,4,FALSE)</f>
        <v>UN</v>
      </c>
      <c r="F348" s="23"/>
      <c r="G348" s="23"/>
      <c r="H348" s="23"/>
      <c r="I348" s="23"/>
      <c r="J348" s="23"/>
      <c r="K348" s="23"/>
      <c r="L348" s="23"/>
      <c r="M348" s="23"/>
      <c r="N348" s="5">
        <f>SUM($M$349:$M$349)</f>
        <v>1</v>
      </c>
    </row>
    <row r="349" spans="1:14" x14ac:dyDescent="0.3">
      <c r="A349" s="23" t="s">
        <v>751</v>
      </c>
      <c r="B349" s="65" t="s">
        <v>516</v>
      </c>
      <c r="C349" s="66"/>
      <c r="D349" s="66"/>
      <c r="E349" s="67"/>
      <c r="F349" s="5">
        <v>1</v>
      </c>
      <c r="G349" s="26"/>
      <c r="H349" s="5"/>
      <c r="I349" s="5"/>
      <c r="J349" s="5"/>
      <c r="K349" s="5" t="str">
        <f>IF(COUNTA(H349:J349)=2,ROUND(PRODUCT(H349:J349),2),"")</f>
        <v/>
      </c>
      <c r="L349" s="5" t="str">
        <f>IF(OR(AND(COUNTA(H349:J349)=3,K349=""),AND(COUNTA(H349:J349)=1,K349&lt;&gt;"")),ROUND(PRODUCT(H349:K349),2),"")</f>
        <v/>
      </c>
      <c r="M349" s="5">
        <f>IF(L349&lt;&gt;"",ROUND(PRODUCT(F349,G349,L349),2),IF(K349&lt;&gt;"",ROUND(PRODUCT(F349,G349,K349),2),ROUND(PRODUCT(F349:J349),2)))</f>
        <v>1</v>
      </c>
      <c r="N349" s="5"/>
    </row>
    <row r="350" spans="1:14" ht="28.8" x14ac:dyDescent="0.3">
      <c r="A350" s="23" t="s">
        <v>281</v>
      </c>
      <c r="B350" s="23" t="s">
        <v>660</v>
      </c>
      <c r="C350" s="23" t="str">
        <f>VLOOKUP(B350,CPU!$B:$J,2,FALSE)</f>
        <v>PRÓPRIA</v>
      </c>
      <c r="D350" s="24" t="str">
        <f>VLOOKUP(B350,CPU!$B:$J,3,FALSE)</f>
        <v>TÊ, EM FERRO GALVANIZADO, 1", CONEXÃO ROSQUEADA, INSTALADO EM PRUMADAS - FORNECIMENTO E INSTALAÇÃO.</v>
      </c>
      <c r="E350" s="23" t="str">
        <f>VLOOKUP(B350,CPU!$B:$J,4,FALSE)</f>
        <v>UN</v>
      </c>
      <c r="F350" s="23"/>
      <c r="G350" s="23"/>
      <c r="H350" s="23"/>
      <c r="I350" s="23"/>
      <c r="J350" s="23"/>
      <c r="K350" s="23"/>
      <c r="L350" s="23"/>
      <c r="M350" s="23"/>
      <c r="N350" s="5">
        <f>SUM($M$351:$M$351)</f>
        <v>1</v>
      </c>
    </row>
    <row r="351" spans="1:14" x14ac:dyDescent="0.3">
      <c r="A351" s="23" t="s">
        <v>752</v>
      </c>
      <c r="B351" s="65" t="s">
        <v>516</v>
      </c>
      <c r="C351" s="66"/>
      <c r="D351" s="66"/>
      <c r="E351" s="67"/>
      <c r="F351" s="5">
        <v>1</v>
      </c>
      <c r="G351" s="26"/>
      <c r="H351" s="5"/>
      <c r="I351" s="5"/>
      <c r="J351" s="5"/>
      <c r="K351" s="5" t="str">
        <f>IF(COUNTA(H351:J351)=2,ROUND(PRODUCT(H351:J351),2),"")</f>
        <v/>
      </c>
      <c r="L351" s="5" t="str">
        <f>IF(OR(AND(COUNTA(H351:J351)=3,K351=""),AND(COUNTA(H351:J351)=1,K351&lt;&gt;"")),ROUND(PRODUCT(H351:K351),2),"")</f>
        <v/>
      </c>
      <c r="M351" s="5">
        <f>IF(L351&lt;&gt;"",ROUND(PRODUCT(F351,G351,L351),2),IF(K351&lt;&gt;"",ROUND(PRODUCT(F351,G351,K351),2),ROUND(PRODUCT(F351:J351),2)))</f>
        <v>1</v>
      </c>
      <c r="N351" s="5"/>
    </row>
    <row r="352" spans="1:14" x14ac:dyDescent="0.3">
      <c r="A352" s="23" t="s">
        <v>282</v>
      </c>
      <c r="B352" s="23" t="s">
        <v>662</v>
      </c>
      <c r="C352" s="23" t="str">
        <f>VLOOKUP(B352,CPU!$B:$J,2,FALSE)</f>
        <v>PRÓPRIA</v>
      </c>
      <c r="D352" s="24" t="str">
        <f>VLOOKUP(B352,CPU!$B:$J,3,FALSE)</f>
        <v>LUVA DE FERRO GALVANIZADO, COM ROSCA BSP, DE 1"- FORNECIMENTO E INSTALAÇÃO</v>
      </c>
      <c r="E352" s="23" t="str">
        <f>VLOOKUP(B352,CPU!$B:$J,4,FALSE)</f>
        <v>UN</v>
      </c>
      <c r="F352" s="23"/>
      <c r="G352" s="23"/>
      <c r="H352" s="23"/>
      <c r="I352" s="23"/>
      <c r="J352" s="23"/>
      <c r="K352" s="23"/>
      <c r="L352" s="23"/>
      <c r="M352" s="23"/>
      <c r="N352" s="5">
        <f>SUM($M$353:$M$353)</f>
        <v>1</v>
      </c>
    </row>
    <row r="353" spans="1:14" x14ac:dyDescent="0.3">
      <c r="A353" s="23" t="s">
        <v>753</v>
      </c>
      <c r="B353" s="65" t="s">
        <v>516</v>
      </c>
      <c r="C353" s="66"/>
      <c r="D353" s="66"/>
      <c r="E353" s="67"/>
      <c r="F353" s="5">
        <v>1</v>
      </c>
      <c r="G353" s="26"/>
      <c r="H353" s="5"/>
      <c r="I353" s="5"/>
      <c r="J353" s="5"/>
      <c r="K353" s="5" t="str">
        <f>IF(COUNTA(H353:J353)=2,ROUND(PRODUCT(H353:J353),2),"")</f>
        <v/>
      </c>
      <c r="L353" s="5" t="str">
        <f>IF(OR(AND(COUNTA(H353:J353)=3,K353=""),AND(COUNTA(H353:J353)=1,K353&lt;&gt;"")),ROUND(PRODUCT(H353:K353),2),"")</f>
        <v/>
      </c>
      <c r="M353" s="5">
        <f>IF(L353&lt;&gt;"",ROUND(PRODUCT(F353,G353,L353),2),IF(K353&lt;&gt;"",ROUND(PRODUCT(F353,G353,K353),2),ROUND(PRODUCT(F353:J353),2)))</f>
        <v>1</v>
      </c>
      <c r="N353" s="5"/>
    </row>
    <row r="354" spans="1:14" ht="28.8" x14ac:dyDescent="0.3">
      <c r="A354" s="23" t="s">
        <v>283</v>
      </c>
      <c r="B354" s="23" t="s">
        <v>664</v>
      </c>
      <c r="C354" s="23" t="str">
        <f>VLOOKUP(B354,CPU!$B:$J,2,FALSE)</f>
        <v>PRÓPRIA</v>
      </c>
      <c r="D354" s="24" t="str">
        <f>VLOOKUP(B354,CPU!$B:$J,3,FALSE)</f>
        <v>CURVA 90 GRAUS DE FERRO GALVANIZADO, COM ROSCA BSP FEMEA, DE 1"- FORNECIMENTO E INSTALAÇÃO</v>
      </c>
      <c r="E354" s="23" t="str">
        <f>VLOOKUP(B354,CPU!$B:$J,4,FALSE)</f>
        <v>UN</v>
      </c>
      <c r="F354" s="23"/>
      <c r="G354" s="23"/>
      <c r="H354" s="23"/>
      <c r="I354" s="23"/>
      <c r="J354" s="23"/>
      <c r="K354" s="23"/>
      <c r="L354" s="23"/>
      <c r="M354" s="23"/>
      <c r="N354" s="5">
        <f>SUM($M$355:$M$355)</f>
        <v>1</v>
      </c>
    </row>
    <row r="355" spans="1:14" x14ac:dyDescent="0.3">
      <c r="A355" s="23" t="s">
        <v>754</v>
      </c>
      <c r="B355" s="65" t="s">
        <v>516</v>
      </c>
      <c r="C355" s="66"/>
      <c r="D355" s="66"/>
      <c r="E355" s="67"/>
      <c r="F355" s="5">
        <v>1</v>
      </c>
      <c r="G355" s="26"/>
      <c r="H355" s="5"/>
      <c r="I355" s="5"/>
      <c r="J355" s="5"/>
      <c r="K355" s="5" t="str">
        <f>IF(COUNTA(H355:J355)=2,ROUND(PRODUCT(H355:J355),2),"")</f>
        <v/>
      </c>
      <c r="L355" s="5" t="str">
        <f>IF(OR(AND(COUNTA(H355:J355)=3,K355=""),AND(COUNTA(H355:J355)=1,K355&lt;&gt;"")),ROUND(PRODUCT(H355:K355),2),"")</f>
        <v/>
      </c>
      <c r="M355" s="5">
        <f>IF(L355&lt;&gt;"",ROUND(PRODUCT(F355,G355,L355),2),IF(K355&lt;&gt;"",ROUND(PRODUCT(F355,G355,K355),2),ROUND(PRODUCT(F355:J355),2)))</f>
        <v>1</v>
      </c>
      <c r="N355" s="5"/>
    </row>
    <row r="356" spans="1:14" ht="28.8" x14ac:dyDescent="0.3">
      <c r="A356" s="23" t="s">
        <v>284</v>
      </c>
      <c r="B356" s="23" t="s">
        <v>666</v>
      </c>
      <c r="C356" s="23" t="str">
        <f>VLOOKUP(B356,CPU!$B:$J,2,FALSE)</f>
        <v>PRÓPRIA</v>
      </c>
      <c r="D356" s="24" t="str">
        <f>VLOOKUP(B356,CPU!$B:$J,3,FALSE)</f>
        <v>TUBO DE AÇO GALVANIZADO COM COSTURA 1" (25MM), INCLUSIVE CONEXOES - FORNECIMENTO E INSTALAÇÃO</v>
      </c>
      <c r="E356" s="23" t="str">
        <f>VLOOKUP(B356,CPU!$B:$J,4,FALSE)</f>
        <v>M</v>
      </c>
      <c r="F356" s="23"/>
      <c r="G356" s="23"/>
      <c r="H356" s="23"/>
      <c r="I356" s="23"/>
      <c r="J356" s="23"/>
      <c r="K356" s="23"/>
      <c r="L356" s="23"/>
      <c r="M356" s="23"/>
      <c r="N356" s="5">
        <f>SUM($M$357:$M$357)</f>
        <v>3</v>
      </c>
    </row>
    <row r="357" spans="1:14" x14ac:dyDescent="0.3">
      <c r="A357" s="23" t="s">
        <v>755</v>
      </c>
      <c r="B357" s="65" t="s">
        <v>516</v>
      </c>
      <c r="C357" s="66"/>
      <c r="D357" s="66"/>
      <c r="E357" s="67"/>
      <c r="F357" s="5">
        <v>3</v>
      </c>
      <c r="G357" s="26"/>
      <c r="H357" s="5"/>
      <c r="I357" s="5"/>
      <c r="J357" s="5"/>
      <c r="K357" s="5" t="str">
        <f>IF(COUNTA(H357:J357)=2,ROUND(PRODUCT(H357:J357),2),"")</f>
        <v/>
      </c>
      <c r="L357" s="5" t="str">
        <f>IF(OR(AND(COUNTA(H357:J357)=3,K357=""),AND(COUNTA(H357:J357)=1,K357&lt;&gt;"")),ROUND(PRODUCT(H357:K357),2),"")</f>
        <v/>
      </c>
      <c r="M357" s="5">
        <f>IF(L357&lt;&gt;"",ROUND(PRODUCT(F357,G357,L357),2),IF(K357&lt;&gt;"",ROUND(PRODUCT(F357,G357,K357),2),ROUND(PRODUCT(F357:J357),2)))</f>
        <v>3</v>
      </c>
      <c r="N357" s="5"/>
    </row>
    <row r="358" spans="1:14" ht="28.8" x14ac:dyDescent="0.3">
      <c r="A358" s="23" t="s">
        <v>285</v>
      </c>
      <c r="B358" s="23" t="s">
        <v>668</v>
      </c>
      <c r="C358" s="23" t="str">
        <f>VLOOKUP(B358,CPU!$B:$J,2,FALSE)</f>
        <v>PRÓPRIA</v>
      </c>
      <c r="D358" s="24" t="str">
        <f>VLOOKUP(B358,CPU!$B:$J,3,FALSE)</f>
        <v>BUCHA DE REDUCAO DE FERRO GALVANIZADO, COM ROSCA BSP, DE 1 1/2" X 1"- FORNECIMENTO E INSTALAÇÃO</v>
      </c>
      <c r="E358" s="23" t="str">
        <f>VLOOKUP(B358,CPU!$B:$J,4,FALSE)</f>
        <v>UN</v>
      </c>
      <c r="F358" s="23"/>
      <c r="G358" s="23"/>
      <c r="H358" s="23"/>
      <c r="I358" s="23"/>
      <c r="J358" s="23"/>
      <c r="K358" s="23"/>
      <c r="L358" s="23"/>
      <c r="M358" s="23"/>
      <c r="N358" s="5">
        <f>SUM($M$359:$M$359)</f>
        <v>1</v>
      </c>
    </row>
    <row r="359" spans="1:14" x14ac:dyDescent="0.3">
      <c r="A359" s="23" t="s">
        <v>756</v>
      </c>
      <c r="B359" s="65" t="s">
        <v>516</v>
      </c>
      <c r="C359" s="66"/>
      <c r="D359" s="66"/>
      <c r="E359" s="67"/>
      <c r="F359" s="5">
        <v>1</v>
      </c>
      <c r="G359" s="26"/>
      <c r="H359" s="5"/>
      <c r="I359" s="5"/>
      <c r="J359" s="5"/>
      <c r="K359" s="5" t="str">
        <f>IF(COUNTA(H359:J359)=2,ROUND(PRODUCT(H359:J359),2),"")</f>
        <v/>
      </c>
      <c r="L359" s="5" t="str">
        <f>IF(OR(AND(COUNTA(H359:J359)=3,K359=""),AND(COUNTA(H359:J359)=1,K359&lt;&gt;"")),ROUND(PRODUCT(H359:K359),2),"")</f>
        <v/>
      </c>
      <c r="M359" s="5">
        <f>IF(L359&lt;&gt;"",ROUND(PRODUCT(F359,G359,L359),2),IF(K359&lt;&gt;"",ROUND(PRODUCT(F359,G359,K359),2),ROUND(PRODUCT(F359:J359),2)))</f>
        <v>1</v>
      </c>
      <c r="N359" s="5"/>
    </row>
    <row r="360" spans="1:14" ht="28.8" x14ac:dyDescent="0.3">
      <c r="A360" s="23" t="s">
        <v>286</v>
      </c>
      <c r="B360" s="23">
        <v>94497</v>
      </c>
      <c r="C360" s="23" t="str">
        <f>VLOOKUP(B360,CPU!$B:$J,2,FALSE)</f>
        <v>SINAPI</v>
      </c>
      <c r="D360" s="24" t="str">
        <f>VLOOKUP(B360,CPU!$B:$J,3,FALSE)</f>
        <v>REGISTRO DE GAVETA BRUTO, LATÃO, ROSCÁVEL, 1 1/2" - FORNECIMENTO E INSTALAÇÃO. AF_08/2021</v>
      </c>
      <c r="E360" s="23" t="str">
        <f>VLOOKUP(B360,CPU!$B:$J,4,FALSE)</f>
        <v>UN</v>
      </c>
      <c r="F360" s="23"/>
      <c r="G360" s="23"/>
      <c r="H360" s="23"/>
      <c r="I360" s="23"/>
      <c r="J360" s="23"/>
      <c r="K360" s="23"/>
      <c r="L360" s="23"/>
      <c r="M360" s="23"/>
      <c r="N360" s="5">
        <f>SUM($M$361:$M$361)</f>
        <v>2</v>
      </c>
    </row>
    <row r="361" spans="1:14" x14ac:dyDescent="0.3">
      <c r="A361" s="23" t="s">
        <v>757</v>
      </c>
      <c r="B361" s="65" t="s">
        <v>516</v>
      </c>
      <c r="C361" s="66"/>
      <c r="D361" s="66"/>
      <c r="E361" s="67"/>
      <c r="F361" s="5">
        <v>2</v>
      </c>
      <c r="G361" s="26"/>
      <c r="H361" s="5"/>
      <c r="I361" s="5"/>
      <c r="J361" s="5"/>
      <c r="K361" s="5" t="str">
        <f>IF(COUNTA(H361:J361)=2,ROUND(PRODUCT(H361:J361),2),"")</f>
        <v/>
      </c>
      <c r="L361" s="5" t="str">
        <f>IF(OR(AND(COUNTA(H361:J361)=3,K361=""),AND(COUNTA(H361:J361)=1,K361&lt;&gt;"")),ROUND(PRODUCT(H361:K361),2),"")</f>
        <v/>
      </c>
      <c r="M361" s="5">
        <f>IF(L361&lt;&gt;"",ROUND(PRODUCT(F361,G361,L361),2),IF(K361&lt;&gt;"",ROUND(PRODUCT(F361,G361,K361),2),ROUND(PRODUCT(F361:J361),2)))</f>
        <v>2</v>
      </c>
      <c r="N361" s="5"/>
    </row>
    <row r="362" spans="1:14" ht="28.8" x14ac:dyDescent="0.3">
      <c r="A362" s="23" t="s">
        <v>287</v>
      </c>
      <c r="B362" s="23" t="s">
        <v>671</v>
      </c>
      <c r="C362" s="23" t="str">
        <f>VLOOKUP(B362,CPU!$B:$J,2,FALSE)</f>
        <v>PRÓPRIA</v>
      </c>
      <c r="D362" s="24" t="str">
        <f>VLOOKUP(B362,CPU!$B:$J,3,FALSE)</f>
        <v>ADAPTADOR CURTO COM BOLSA E ROSCA PARA REGISTRO, PVC, SOLDÁVEL, DN 40MM X 1.1/2, INSTALADO EM PRUMADA DE ÁGUA - FORNECIMENTO E INSTALAÇÃO</v>
      </c>
      <c r="E362" s="23" t="str">
        <f>VLOOKUP(B362,CPU!$B:$J,4,FALSE)</f>
        <v>UN</v>
      </c>
      <c r="F362" s="23"/>
      <c r="G362" s="23"/>
      <c r="H362" s="23"/>
      <c r="I362" s="23"/>
      <c r="J362" s="23"/>
      <c r="K362" s="23"/>
      <c r="L362" s="23"/>
      <c r="M362" s="23"/>
      <c r="N362" s="5">
        <f>SUM($M$363:$M$363)</f>
        <v>1</v>
      </c>
    </row>
    <row r="363" spans="1:14" x14ac:dyDescent="0.3">
      <c r="A363" s="23" t="s">
        <v>758</v>
      </c>
      <c r="B363" s="65" t="s">
        <v>516</v>
      </c>
      <c r="C363" s="66"/>
      <c r="D363" s="66"/>
      <c r="E363" s="67"/>
      <c r="F363" s="5">
        <v>1</v>
      </c>
      <c r="G363" s="26"/>
      <c r="H363" s="5"/>
      <c r="I363" s="5"/>
      <c r="J363" s="5"/>
      <c r="K363" s="5" t="str">
        <f>IF(COUNTA(H363:J363)=2,ROUND(PRODUCT(H363:J363),2),"")</f>
        <v/>
      </c>
      <c r="L363" s="5" t="str">
        <f>IF(OR(AND(COUNTA(H363:J363)=3,K363=""),AND(COUNTA(H363:J363)=1,K363&lt;&gt;"")),ROUND(PRODUCT(H363:K363),2),"")</f>
        <v/>
      </c>
      <c r="M363" s="5">
        <f>IF(L363&lt;&gt;"",ROUND(PRODUCT(F363,G363,L363),2),IF(K363&lt;&gt;"",ROUND(PRODUCT(F363,G363,K363),2),ROUND(PRODUCT(F363:J363),2)))</f>
        <v>1</v>
      </c>
      <c r="N363" s="5"/>
    </row>
    <row r="364" spans="1:14" x14ac:dyDescent="0.3">
      <c r="A364" s="9">
        <v>4</v>
      </c>
      <c r="B364" s="52" t="s">
        <v>759</v>
      </c>
      <c r="C364" s="53"/>
      <c r="D364" s="53"/>
      <c r="E364" s="53"/>
      <c r="F364" s="53"/>
      <c r="G364" s="53"/>
      <c r="H364" s="53"/>
      <c r="I364" s="53"/>
      <c r="J364" s="53"/>
      <c r="K364" s="53"/>
      <c r="L364" s="53"/>
      <c r="M364" s="53"/>
      <c r="N364" s="54"/>
    </row>
    <row r="365" spans="1:14" x14ac:dyDescent="0.3">
      <c r="A365" s="12" t="s">
        <v>65</v>
      </c>
      <c r="B365" s="46" t="s">
        <v>520</v>
      </c>
      <c r="C365" s="47"/>
      <c r="D365" s="47"/>
      <c r="E365" s="47"/>
      <c r="F365" s="47"/>
      <c r="G365" s="47"/>
      <c r="H365" s="47"/>
      <c r="I365" s="47"/>
      <c r="J365" s="47"/>
      <c r="K365" s="47"/>
      <c r="L365" s="47"/>
      <c r="M365" s="47"/>
      <c r="N365" s="48"/>
    </row>
    <row r="366" spans="1:14" x14ac:dyDescent="0.3">
      <c r="A366" s="23" t="s">
        <v>288</v>
      </c>
      <c r="B366" s="23" t="s">
        <v>521</v>
      </c>
      <c r="C366" s="23" t="str">
        <f>VLOOKUP(B366,CPU!$B:$J,2,FALSE)</f>
        <v>PRÓPRIA</v>
      </c>
      <c r="D366" s="24" t="str">
        <f>VLOOKUP(B366,CPU!$B:$J,3,FALSE)</f>
        <v>LOCAÇÃO DO POÇO COM ESTUDO GEOLÓGICO/HIDROGEOLÓGICO/GEOFÍSICO</v>
      </c>
      <c r="E366" s="23" t="str">
        <f>VLOOKUP(B366,CPU!$B:$J,4,FALSE)</f>
        <v>UN</v>
      </c>
      <c r="F366" s="23"/>
      <c r="G366" s="23"/>
      <c r="H366" s="23"/>
      <c r="I366" s="23"/>
      <c r="J366" s="23"/>
      <c r="K366" s="23"/>
      <c r="L366" s="23"/>
      <c r="M366" s="23"/>
      <c r="N366" s="5">
        <f>SUM($M$367:$M$367)</f>
        <v>1</v>
      </c>
    </row>
    <row r="367" spans="1:14" x14ac:dyDescent="0.3">
      <c r="A367" s="23" t="s">
        <v>760</v>
      </c>
      <c r="B367" s="65" t="s">
        <v>516</v>
      </c>
      <c r="C367" s="66"/>
      <c r="D367" s="66"/>
      <c r="E367" s="67"/>
      <c r="F367" s="5">
        <v>1</v>
      </c>
      <c r="G367" s="26"/>
      <c r="H367" s="5"/>
      <c r="I367" s="5"/>
      <c r="J367" s="5"/>
      <c r="K367" s="5" t="str">
        <f>IF(COUNTA(H367:J367)=2,ROUND(PRODUCT(H367:J367),2),"")</f>
        <v/>
      </c>
      <c r="L367" s="5" t="str">
        <f>IF(OR(AND(COUNTA(H367:J367)=3,K367=""),AND(COUNTA(H367:J367)=1,K367&lt;&gt;"")),ROUND(PRODUCT(H367:K367),2),"")</f>
        <v/>
      </c>
      <c r="M367" s="5">
        <f>IF(L367&lt;&gt;"",ROUND(PRODUCT(F367,G367,L367),2),IF(K367&lt;&gt;"",ROUND(PRODUCT(F367,G367,K367),2),ROUND(PRODUCT(F367:J367),2)))</f>
        <v>1</v>
      </c>
      <c r="N367" s="5"/>
    </row>
    <row r="368" spans="1:14" x14ac:dyDescent="0.3">
      <c r="A368" s="23" t="s">
        <v>289</v>
      </c>
      <c r="B368" s="23" t="s">
        <v>523</v>
      </c>
      <c r="C368" s="23" t="str">
        <f>VLOOKUP(B368,CPU!$B:$J,2,FALSE)</f>
        <v>PRÓPRIA</v>
      </c>
      <c r="D368" s="24" t="str">
        <f>VLOOKUP(B368,CPU!$B:$J,3,FALSE)</f>
        <v>TRANSPORTE DE MÁQUINAS E EQUIPAMENTOS</v>
      </c>
      <c r="E368" s="23" t="str">
        <f>VLOOKUP(B368,CPU!$B:$J,4,FALSE)</f>
        <v>KM</v>
      </c>
      <c r="F368" s="23"/>
      <c r="G368" s="23"/>
      <c r="H368" s="23"/>
      <c r="I368" s="23"/>
      <c r="J368" s="23"/>
      <c r="K368" s="23"/>
      <c r="L368" s="23"/>
      <c r="M368" s="23"/>
      <c r="N368" s="5">
        <f>SUM($M$369:$M$369)</f>
        <v>19.7</v>
      </c>
    </row>
    <row r="369" spans="1:14" x14ac:dyDescent="0.3">
      <c r="A369" s="23" t="s">
        <v>761</v>
      </c>
      <c r="B369" s="65" t="s">
        <v>676</v>
      </c>
      <c r="C369" s="66"/>
      <c r="D369" s="66"/>
      <c r="E369" s="67"/>
      <c r="F369" s="5">
        <v>19.7</v>
      </c>
      <c r="G369" s="26"/>
      <c r="H369" s="5"/>
      <c r="I369" s="5"/>
      <c r="J369" s="5"/>
      <c r="K369" s="5" t="str">
        <f>IF(COUNTA(H369:J369)=2,ROUND(PRODUCT(H369:J369),2),"")</f>
        <v/>
      </c>
      <c r="L369" s="5" t="str">
        <f>IF(OR(AND(COUNTA(H369:J369)=3,K369=""),AND(COUNTA(H369:J369)=1,K369&lt;&gt;"")),ROUND(PRODUCT(H369:K369),2),"")</f>
        <v/>
      </c>
      <c r="M369" s="5">
        <f>IF(L369&lt;&gt;"",ROUND(PRODUCT(F369,G369,L369),2),IF(K369&lt;&gt;"",ROUND(PRODUCT(F369,G369,K369),2),ROUND(PRODUCT(F369:J369),2)))</f>
        <v>19.7</v>
      </c>
      <c r="N369" s="5"/>
    </row>
    <row r="370" spans="1:14" x14ac:dyDescent="0.3">
      <c r="A370" s="23" t="s">
        <v>290</v>
      </c>
      <c r="B370" s="23" t="s">
        <v>523</v>
      </c>
      <c r="C370" s="23" t="str">
        <f>VLOOKUP(B370,CPU!$B:$J,2,FALSE)</f>
        <v>PRÓPRIA</v>
      </c>
      <c r="D370" s="24" t="str">
        <f>VLOOKUP(B370,CPU!$B:$J,3,FALSE)</f>
        <v>TRANSPORTE DE MÁQUINAS E EQUIPAMENTOS</v>
      </c>
      <c r="E370" s="23" t="str">
        <f>VLOOKUP(B370,CPU!$B:$J,4,FALSE)</f>
        <v>KM</v>
      </c>
      <c r="F370" s="23"/>
      <c r="G370" s="23"/>
      <c r="H370" s="23"/>
      <c r="I370" s="23"/>
      <c r="J370" s="23"/>
      <c r="K370" s="23"/>
      <c r="L370" s="23"/>
      <c r="M370" s="23"/>
      <c r="N370" s="5">
        <f>SUM($M$371:$M$371)</f>
        <v>19.7</v>
      </c>
    </row>
    <row r="371" spans="1:14" x14ac:dyDescent="0.3">
      <c r="A371" s="23" t="s">
        <v>762</v>
      </c>
      <c r="B371" s="65" t="s">
        <v>678</v>
      </c>
      <c r="C371" s="66"/>
      <c r="D371" s="66"/>
      <c r="E371" s="67"/>
      <c r="F371" s="5">
        <v>19.7</v>
      </c>
      <c r="G371" s="26"/>
      <c r="H371" s="5"/>
      <c r="I371" s="5"/>
      <c r="J371" s="5"/>
      <c r="K371" s="5" t="str">
        <f>IF(COUNTA(H371:J371)=2,ROUND(PRODUCT(H371:J371),2),"")</f>
        <v/>
      </c>
      <c r="L371" s="5" t="str">
        <f>IF(OR(AND(COUNTA(H371:J371)=3,K371=""),AND(COUNTA(H371:J371)=1,K371&lt;&gt;"")),ROUND(PRODUCT(H371:K371),2),"")</f>
        <v/>
      </c>
      <c r="M371" s="5">
        <f>IF(L371&lt;&gt;"",ROUND(PRODUCT(F371,G371,L371),2),IF(K371&lt;&gt;"",ROUND(PRODUCT(F371,G371,K371),2),ROUND(PRODUCT(F371:J371),2)))</f>
        <v>19.7</v>
      </c>
      <c r="N371" s="5"/>
    </row>
    <row r="372" spans="1:14" x14ac:dyDescent="0.3">
      <c r="A372" s="23" t="s">
        <v>291</v>
      </c>
      <c r="B372" s="23" t="s">
        <v>528</v>
      </c>
      <c r="C372" s="23" t="str">
        <f>VLOOKUP(B372,CPU!$B:$J,2,FALSE)</f>
        <v>PRÓPRIA</v>
      </c>
      <c r="D372" s="24" t="str">
        <f>VLOOKUP(B372,CPU!$B:$J,3,FALSE)</f>
        <v>PERFILAGEM ÓTICA</v>
      </c>
      <c r="E372" s="23" t="str">
        <f>VLOOKUP(B372,CPU!$B:$J,4,FALSE)</f>
        <v>UN</v>
      </c>
      <c r="F372" s="23"/>
      <c r="G372" s="23"/>
      <c r="H372" s="23"/>
      <c r="I372" s="23"/>
      <c r="J372" s="23"/>
      <c r="K372" s="23"/>
      <c r="L372" s="23"/>
      <c r="M372" s="23"/>
      <c r="N372" s="5">
        <f>SUM($M$373:$M$373)</f>
        <v>1</v>
      </c>
    </row>
    <row r="373" spans="1:14" x14ac:dyDescent="0.3">
      <c r="A373" s="23" t="s">
        <v>763</v>
      </c>
      <c r="B373" s="65" t="s">
        <v>516</v>
      </c>
      <c r="C373" s="66"/>
      <c r="D373" s="66"/>
      <c r="E373" s="67"/>
      <c r="F373" s="5">
        <v>1</v>
      </c>
      <c r="G373" s="26"/>
      <c r="H373" s="5"/>
      <c r="I373" s="5"/>
      <c r="J373" s="5"/>
      <c r="K373" s="5" t="str">
        <f>IF(COUNTA(H373:J373)=2,ROUND(PRODUCT(H373:J373),2),"")</f>
        <v/>
      </c>
      <c r="L373" s="5" t="str">
        <f>IF(OR(AND(COUNTA(H373:J373)=3,K373=""),AND(COUNTA(H373:J373)=1,K373&lt;&gt;"")),ROUND(PRODUCT(H373:K373),2),"")</f>
        <v/>
      </c>
      <c r="M373" s="5">
        <f>IF(L373&lt;&gt;"",ROUND(PRODUCT(F373,G373,L373),2),IF(K373&lt;&gt;"",ROUND(PRODUCT(F373,G373,K373),2),ROUND(PRODUCT(F373:J373),2)))</f>
        <v>1</v>
      </c>
      <c r="N373" s="5"/>
    </row>
    <row r="374" spans="1:14" x14ac:dyDescent="0.3">
      <c r="A374" s="23" t="s">
        <v>292</v>
      </c>
      <c r="B374" s="23" t="s">
        <v>530</v>
      </c>
      <c r="C374" s="23" t="str">
        <f>VLOOKUP(B374,CPU!$B:$J,2,FALSE)</f>
        <v>PRÓPRIA</v>
      </c>
      <c r="D374" s="24" t="str">
        <f>VLOOKUP(B374,CPU!$B:$J,3,FALSE)</f>
        <v>PERFURAÇÃO EM 10'' (SEDIMENTO)</v>
      </c>
      <c r="E374" s="23" t="str">
        <f>VLOOKUP(B374,CPU!$B:$J,4,FALSE)</f>
        <v>M</v>
      </c>
      <c r="F374" s="23"/>
      <c r="G374" s="23"/>
      <c r="H374" s="23"/>
      <c r="I374" s="23"/>
      <c r="J374" s="23"/>
      <c r="K374" s="23"/>
      <c r="L374" s="23"/>
      <c r="M374" s="23"/>
      <c r="N374" s="5">
        <f>SUM($M$375:$M$375)</f>
        <v>35</v>
      </c>
    </row>
    <row r="375" spans="1:14" x14ac:dyDescent="0.3">
      <c r="A375" s="23" t="s">
        <v>764</v>
      </c>
      <c r="B375" s="65" t="s">
        <v>532</v>
      </c>
      <c r="C375" s="66"/>
      <c r="D375" s="66"/>
      <c r="E375" s="67"/>
      <c r="F375" s="5">
        <v>35</v>
      </c>
      <c r="G375" s="26"/>
      <c r="H375" s="5"/>
      <c r="I375" s="5"/>
      <c r="J375" s="5"/>
      <c r="K375" s="5" t="str">
        <f>IF(COUNTA(H375:J375)=2,ROUND(PRODUCT(H375:J375),2),"")</f>
        <v/>
      </c>
      <c r="L375" s="5" t="str">
        <f>IF(OR(AND(COUNTA(H375:J375)=3,K375=""),AND(COUNTA(H375:J375)=1,K375&lt;&gt;"")),ROUND(PRODUCT(H375:K375),2),"")</f>
        <v/>
      </c>
      <c r="M375" s="5">
        <f>IF(L375&lt;&gt;"",ROUND(PRODUCT(F375,G375,L375),2),IF(K375&lt;&gt;"",ROUND(PRODUCT(F375,G375,K375),2),ROUND(PRODUCT(F375:J375),2)))</f>
        <v>35</v>
      </c>
      <c r="N375" s="5"/>
    </row>
    <row r="376" spans="1:14" x14ac:dyDescent="0.3">
      <c r="A376" s="23" t="s">
        <v>293</v>
      </c>
      <c r="B376" s="23" t="s">
        <v>533</v>
      </c>
      <c r="C376" s="23" t="str">
        <f>VLOOKUP(B376,CPU!$B:$J,2,FALSE)</f>
        <v>PRÓPRIA</v>
      </c>
      <c r="D376" s="24" t="str">
        <f>VLOOKUP(B376,CPU!$B:$J,3,FALSE)</f>
        <v>PERFURAÇÃO EM 8'' (ROCHA CRISTALINA)</v>
      </c>
      <c r="E376" s="23" t="str">
        <f>VLOOKUP(B376,CPU!$B:$J,4,FALSE)</f>
        <v>M</v>
      </c>
      <c r="F376" s="23"/>
      <c r="G376" s="23"/>
      <c r="H376" s="23"/>
      <c r="I376" s="23"/>
      <c r="J376" s="23"/>
      <c r="K376" s="23"/>
      <c r="L376" s="23"/>
      <c r="M376" s="23"/>
      <c r="N376" s="5">
        <f>SUM($M$377:$M$377)</f>
        <v>0</v>
      </c>
    </row>
    <row r="377" spans="1:14" x14ac:dyDescent="0.3">
      <c r="A377" s="23" t="s">
        <v>765</v>
      </c>
      <c r="B377" s="65" t="s">
        <v>532</v>
      </c>
      <c r="C377" s="66"/>
      <c r="D377" s="66"/>
      <c r="E377" s="67"/>
      <c r="F377" s="5">
        <v>0</v>
      </c>
      <c r="G377" s="26"/>
      <c r="H377" s="5"/>
      <c r="I377" s="5"/>
      <c r="J377" s="5"/>
      <c r="K377" s="5" t="str">
        <f>IF(COUNTA(H377:J377)=2,ROUND(PRODUCT(H377:J377),2),"")</f>
        <v/>
      </c>
      <c r="L377" s="5" t="str">
        <f>IF(OR(AND(COUNTA(H377:J377)=3,K377=""),AND(COUNTA(H377:J377)=1,K377&lt;&gt;"")),ROUND(PRODUCT(H377:K377),2),"")</f>
        <v/>
      </c>
      <c r="M377" s="5">
        <f>IF(L377&lt;&gt;"",ROUND(PRODUCT(F377,G377,L377),2),IF(K377&lt;&gt;"",ROUND(PRODUCT(F377,G377,K377),2),ROUND(PRODUCT(F377:J377),2)))</f>
        <v>0</v>
      </c>
      <c r="N377" s="5"/>
    </row>
    <row r="378" spans="1:14" x14ac:dyDescent="0.3">
      <c r="A378" s="23" t="s">
        <v>294</v>
      </c>
      <c r="B378" s="23" t="s">
        <v>535</v>
      </c>
      <c r="C378" s="23" t="str">
        <f>VLOOKUP(B378,CPU!$B:$J,2,FALSE)</f>
        <v>PRÓPRIA</v>
      </c>
      <c r="D378" s="24" t="str">
        <f>VLOOKUP(B378,CPU!$B:$J,3,FALSE)</f>
        <v>PERFURAÇÃO EM 6'' (SEDIMENTO)</v>
      </c>
      <c r="E378" s="23" t="str">
        <f>VLOOKUP(B378,CPU!$B:$J,4,FALSE)</f>
        <v>M</v>
      </c>
      <c r="F378" s="23"/>
      <c r="G378" s="23"/>
      <c r="H378" s="23"/>
      <c r="I378" s="23"/>
      <c r="J378" s="23"/>
      <c r="K378" s="23"/>
      <c r="L378" s="23"/>
      <c r="M378" s="23"/>
      <c r="N378" s="5">
        <f>SUM($M$379:$M$379)</f>
        <v>95</v>
      </c>
    </row>
    <row r="379" spans="1:14" x14ac:dyDescent="0.3">
      <c r="A379" s="23" t="s">
        <v>766</v>
      </c>
      <c r="B379" s="65" t="s">
        <v>532</v>
      </c>
      <c r="C379" s="66"/>
      <c r="D379" s="66"/>
      <c r="E379" s="67"/>
      <c r="F379" s="5">
        <v>95</v>
      </c>
      <c r="G379" s="26"/>
      <c r="H379" s="5"/>
      <c r="I379" s="5"/>
      <c r="J379" s="5"/>
      <c r="K379" s="5" t="str">
        <f>IF(COUNTA(H379:J379)=2,ROUND(PRODUCT(H379:J379),2),"")</f>
        <v/>
      </c>
      <c r="L379" s="5" t="str">
        <f>IF(OR(AND(COUNTA(H379:J379)=3,K379=""),AND(COUNTA(H379:J379)=1,K379&lt;&gt;"")),ROUND(PRODUCT(H379:K379),2),"")</f>
        <v/>
      </c>
      <c r="M379" s="5">
        <f>IF(L379&lt;&gt;"",ROUND(PRODUCT(F379,G379,L379),2),IF(K379&lt;&gt;"",ROUND(PRODUCT(F379,G379,K379),2),ROUND(PRODUCT(F379:J379),2)))</f>
        <v>95</v>
      </c>
      <c r="N379" s="5"/>
    </row>
    <row r="380" spans="1:14" x14ac:dyDescent="0.3">
      <c r="A380" s="23" t="s">
        <v>295</v>
      </c>
      <c r="B380" s="23" t="s">
        <v>537</v>
      </c>
      <c r="C380" s="23" t="str">
        <f>VLOOKUP(B380,CPU!$B:$J,2,FALSE)</f>
        <v>PRÓPRIA</v>
      </c>
      <c r="D380" s="24" t="str">
        <f>VLOOKUP(B380,CPU!$B:$J,3,FALSE)</f>
        <v>PERFURAÇÃO EM 6'' (ROCHA CRISTALINA)</v>
      </c>
      <c r="E380" s="23" t="str">
        <f>VLOOKUP(B380,CPU!$B:$J,4,FALSE)</f>
        <v>M</v>
      </c>
      <c r="F380" s="23"/>
      <c r="G380" s="23"/>
      <c r="H380" s="23"/>
      <c r="I380" s="23"/>
      <c r="J380" s="23"/>
      <c r="K380" s="23"/>
      <c r="L380" s="23"/>
      <c r="M380" s="23"/>
      <c r="N380" s="5">
        <f>SUM($M$381:$M$381)</f>
        <v>0</v>
      </c>
    </row>
    <row r="381" spans="1:14" x14ac:dyDescent="0.3">
      <c r="A381" s="23" t="s">
        <v>767</v>
      </c>
      <c r="B381" s="65" t="s">
        <v>532</v>
      </c>
      <c r="C381" s="66"/>
      <c r="D381" s="66"/>
      <c r="E381" s="67"/>
      <c r="F381" s="5">
        <v>0</v>
      </c>
      <c r="G381" s="26"/>
      <c r="H381" s="5"/>
      <c r="I381" s="5"/>
      <c r="J381" s="5"/>
      <c r="K381" s="5" t="str">
        <f>IF(COUNTA(H381:J381)=2,ROUND(PRODUCT(H381:J381),2),"")</f>
        <v/>
      </c>
      <c r="L381" s="5" t="str">
        <f>IF(OR(AND(COUNTA(H381:J381)=3,K381=""),AND(COUNTA(H381:J381)=1,K381&lt;&gt;"")),ROUND(PRODUCT(H381:K381),2),"")</f>
        <v/>
      </c>
      <c r="M381" s="5">
        <f>IF(L381&lt;&gt;"",ROUND(PRODUCT(F381,G381,L381),2),IF(K381&lt;&gt;"",ROUND(PRODUCT(F381,G381,K381),2),ROUND(PRODUCT(F381:J381),2)))</f>
        <v>0</v>
      </c>
      <c r="N381" s="5"/>
    </row>
    <row r="382" spans="1:14" x14ac:dyDescent="0.3">
      <c r="A382" s="23" t="s">
        <v>296</v>
      </c>
      <c r="B382" s="23" t="s">
        <v>539</v>
      </c>
      <c r="C382" s="23" t="str">
        <f>VLOOKUP(B382,CPU!$B:$J,2,FALSE)</f>
        <v>PRÓPRIA</v>
      </c>
      <c r="D382" s="24" t="str">
        <f>VLOOKUP(B382,CPU!$B:$J,3,FALSE)</f>
        <v>CIMENTAÇÃO SANITÁRIA</v>
      </c>
      <c r="E382" s="23" t="str">
        <f>VLOOKUP(B382,CPU!$B:$J,4,FALSE)</f>
        <v>M³</v>
      </c>
      <c r="F382" s="23"/>
      <c r="G382" s="23"/>
      <c r="H382" s="23"/>
      <c r="I382" s="23"/>
      <c r="J382" s="23"/>
      <c r="K382" s="23"/>
      <c r="L382" s="23"/>
      <c r="M382" s="23"/>
      <c r="N382" s="5">
        <f>SUM($M$383:$M$383)</f>
        <v>4.55</v>
      </c>
    </row>
    <row r="383" spans="1:14" x14ac:dyDescent="0.3">
      <c r="A383" s="23" t="s">
        <v>768</v>
      </c>
      <c r="B383" s="65" t="s">
        <v>516</v>
      </c>
      <c r="C383" s="66"/>
      <c r="D383" s="66"/>
      <c r="E383" s="67"/>
      <c r="F383" s="5"/>
      <c r="G383" s="26"/>
      <c r="H383" s="5"/>
      <c r="I383" s="5"/>
      <c r="J383" s="5">
        <v>35</v>
      </c>
      <c r="K383" s="5">
        <v>0.13</v>
      </c>
      <c r="L383" s="5">
        <f>IF(OR(AND(COUNTA(H383:J383)=3,K383=""),AND(COUNTA(H383:J383)=1,K383&lt;&gt;"")),ROUND(PRODUCT(H383:K383),2),"")</f>
        <v>4.55</v>
      </c>
      <c r="M383" s="5">
        <f>IF(L383&lt;&gt;"",ROUND(PRODUCT(F383,G383,L383),2),IF(K383&lt;&gt;"",ROUND(PRODUCT(F383,G383,K383),2),ROUND(PRODUCT(F383:J383),2)))</f>
        <v>4.55</v>
      </c>
      <c r="N383" s="5"/>
    </row>
    <row r="384" spans="1:14" x14ac:dyDescent="0.3">
      <c r="A384" s="23" t="s">
        <v>297</v>
      </c>
      <c r="B384" s="23" t="s">
        <v>541</v>
      </c>
      <c r="C384" s="23" t="str">
        <f>VLOOKUP(B384,CPU!$B:$J,2,FALSE)</f>
        <v>PRÓPRIA</v>
      </c>
      <c r="D384" s="24" t="str">
        <f>VLOOKUP(B384,CPU!$B:$J,3,FALSE)</f>
        <v>LAJE DE PROTEÇÃO EM CONCRETO (1,0 M X 1,0 M X 0,15 M)</v>
      </c>
      <c r="E384" s="23" t="str">
        <f>VLOOKUP(B384,CPU!$B:$J,4,FALSE)</f>
        <v>M³</v>
      </c>
      <c r="F384" s="23"/>
      <c r="G384" s="23"/>
      <c r="H384" s="23"/>
      <c r="I384" s="23"/>
      <c r="J384" s="23"/>
      <c r="K384" s="23"/>
      <c r="L384" s="23"/>
      <c r="M384" s="23"/>
      <c r="N384" s="5">
        <f>SUM($M$385:$M$385)</f>
        <v>0.15</v>
      </c>
    </row>
    <row r="385" spans="1:14" x14ac:dyDescent="0.3">
      <c r="A385" s="23" t="s">
        <v>769</v>
      </c>
      <c r="B385" s="65" t="s">
        <v>516</v>
      </c>
      <c r="C385" s="66"/>
      <c r="D385" s="66"/>
      <c r="E385" s="67"/>
      <c r="F385" s="5"/>
      <c r="G385" s="26"/>
      <c r="H385" s="5">
        <v>1</v>
      </c>
      <c r="I385" s="5">
        <v>1</v>
      </c>
      <c r="J385" s="5">
        <v>0.15</v>
      </c>
      <c r="K385" s="5" t="str">
        <f>IF(COUNTA(H385:J385)=2,ROUND(PRODUCT(H385:J385),2),"")</f>
        <v/>
      </c>
      <c r="L385" s="5">
        <f>IF(OR(AND(COUNTA(H385:J385)=3,K385=""),AND(COUNTA(H385:J385)=1,K385&lt;&gt;"")),ROUND(PRODUCT(H385:K385),2),"")</f>
        <v>0.15</v>
      </c>
      <c r="M385" s="5">
        <f>IF(L385&lt;&gt;"",ROUND(PRODUCT(F385,G385,L385),2),IF(K385&lt;&gt;"",ROUND(PRODUCT(F385,G385,K385),2),ROUND(PRODUCT(F385:J385),2)))</f>
        <v>0.15</v>
      </c>
      <c r="N385" s="5"/>
    </row>
    <row r="386" spans="1:14" x14ac:dyDescent="0.3">
      <c r="A386" s="23" t="s">
        <v>298</v>
      </c>
      <c r="B386" s="23" t="s">
        <v>543</v>
      </c>
      <c r="C386" s="23" t="str">
        <f>VLOOKUP(B386,CPU!$B:$J,2,FALSE)</f>
        <v>PRÓPRIA</v>
      </c>
      <c r="D386" s="24" t="str">
        <f>VLOOKUP(B386,CPU!$B:$J,3,FALSE)</f>
        <v>DESENVOLVIMENTO COM BOMBA SUBMERSA</v>
      </c>
      <c r="E386" s="23" t="str">
        <f>VLOOKUP(B386,CPU!$B:$J,4,FALSE)</f>
        <v>H</v>
      </c>
      <c r="F386" s="23"/>
      <c r="G386" s="23"/>
      <c r="H386" s="23"/>
      <c r="I386" s="23"/>
      <c r="J386" s="23"/>
      <c r="K386" s="23"/>
      <c r="L386" s="23"/>
      <c r="M386" s="23"/>
      <c r="N386" s="5">
        <f>SUM($M$387:$M$387)</f>
        <v>6</v>
      </c>
    </row>
    <row r="387" spans="1:14" x14ac:dyDescent="0.3">
      <c r="A387" s="23" t="s">
        <v>770</v>
      </c>
      <c r="B387" s="65" t="s">
        <v>516</v>
      </c>
      <c r="C387" s="66"/>
      <c r="D387" s="66"/>
      <c r="E387" s="67"/>
      <c r="F387" s="5">
        <v>6</v>
      </c>
      <c r="G387" s="26"/>
      <c r="H387" s="5"/>
      <c r="I387" s="5"/>
      <c r="J387" s="5"/>
      <c r="K387" s="5" t="str">
        <f>IF(COUNTA(H387:J387)=2,ROUND(PRODUCT(H387:J387),2),"")</f>
        <v/>
      </c>
      <c r="L387" s="5" t="str">
        <f>IF(OR(AND(COUNTA(H387:J387)=3,K387=""),AND(COUNTA(H387:J387)=1,K387&lt;&gt;"")),ROUND(PRODUCT(H387:K387),2),"")</f>
        <v/>
      </c>
      <c r="M387" s="5">
        <f>IF(L387&lt;&gt;"",ROUND(PRODUCT(F387,G387,L387),2),IF(K387&lt;&gt;"",ROUND(PRODUCT(F387,G387,K387),2),ROUND(PRODUCT(F387:J387),2)))</f>
        <v>6</v>
      </c>
      <c r="N387" s="5"/>
    </row>
    <row r="388" spans="1:14" x14ac:dyDescent="0.3">
      <c r="A388" s="23" t="s">
        <v>299</v>
      </c>
      <c r="B388" s="23" t="s">
        <v>545</v>
      </c>
      <c r="C388" s="23" t="str">
        <f>VLOOKUP(B388,CPU!$B:$J,2,FALSE)</f>
        <v>PRÓPRIA</v>
      </c>
      <c r="D388" s="24" t="str">
        <f>VLOOKUP(B388,CPU!$B:$J,3,FALSE)</f>
        <v>TESTE VAZÃO COM BOMBA SUBMERSA</v>
      </c>
      <c r="E388" s="23" t="str">
        <f>VLOOKUP(B388,CPU!$B:$J,4,FALSE)</f>
        <v>H</v>
      </c>
      <c r="F388" s="23"/>
      <c r="G388" s="23"/>
      <c r="H388" s="23"/>
      <c r="I388" s="23"/>
      <c r="J388" s="23"/>
      <c r="K388" s="23"/>
      <c r="L388" s="23"/>
      <c r="M388" s="23"/>
      <c r="N388" s="5">
        <f>SUM($M$389:$M$389)</f>
        <v>24</v>
      </c>
    </row>
    <row r="389" spans="1:14" x14ac:dyDescent="0.3">
      <c r="A389" s="23" t="s">
        <v>771</v>
      </c>
      <c r="B389" s="65" t="s">
        <v>516</v>
      </c>
      <c r="C389" s="66"/>
      <c r="D389" s="66"/>
      <c r="E389" s="67"/>
      <c r="F389" s="5">
        <v>24</v>
      </c>
      <c r="G389" s="26"/>
      <c r="H389" s="5"/>
      <c r="I389" s="5"/>
      <c r="J389" s="5"/>
      <c r="K389" s="5" t="str">
        <f>IF(COUNTA(H389:J389)=2,ROUND(PRODUCT(H389:J389),2),"")</f>
        <v/>
      </c>
      <c r="L389" s="5" t="str">
        <f>IF(OR(AND(COUNTA(H389:J389)=3,K389=""),AND(COUNTA(H389:J389)=1,K389&lt;&gt;"")),ROUND(PRODUCT(H389:K389),2),"")</f>
        <v/>
      </c>
      <c r="M389" s="5">
        <f>IF(L389&lt;&gt;"",ROUND(PRODUCT(F389,G389,L389),2),IF(K389&lt;&gt;"",ROUND(PRODUCT(F389,G389,K389),2),ROUND(PRODUCT(F389:J389),2)))</f>
        <v>24</v>
      </c>
      <c r="N389" s="5"/>
    </row>
    <row r="390" spans="1:14" x14ac:dyDescent="0.3">
      <c r="A390" s="23" t="s">
        <v>300</v>
      </c>
      <c r="B390" s="23" t="s">
        <v>547</v>
      </c>
      <c r="C390" s="23" t="str">
        <f>VLOOKUP(B390,CPU!$B:$J,2,FALSE)</f>
        <v>PRÓPRIA</v>
      </c>
      <c r="D390" s="24" t="str">
        <f>VLOOKUP(B390,CPU!$B:$J,3,FALSE)</f>
        <v>DESINFECÇÃO</v>
      </c>
      <c r="E390" s="23" t="str">
        <f>VLOOKUP(B390,CPU!$B:$J,4,FALSE)</f>
        <v>H</v>
      </c>
      <c r="F390" s="23"/>
      <c r="G390" s="23"/>
      <c r="H390" s="23"/>
      <c r="I390" s="23"/>
      <c r="J390" s="23"/>
      <c r="K390" s="23"/>
      <c r="L390" s="23"/>
      <c r="M390" s="23"/>
      <c r="N390" s="5">
        <f>SUM($M$391:$M$391)</f>
        <v>6</v>
      </c>
    </row>
    <row r="391" spans="1:14" x14ac:dyDescent="0.3">
      <c r="A391" s="23" t="s">
        <v>772</v>
      </c>
      <c r="B391" s="65" t="s">
        <v>516</v>
      </c>
      <c r="C391" s="66"/>
      <c r="D391" s="66"/>
      <c r="E391" s="67"/>
      <c r="F391" s="5">
        <v>6</v>
      </c>
      <c r="G391" s="26"/>
      <c r="H391" s="5"/>
      <c r="I391" s="5"/>
      <c r="J391" s="5"/>
      <c r="K391" s="5" t="str">
        <f>IF(COUNTA(H391:J391)=2,ROUND(PRODUCT(H391:J391),2),"")</f>
        <v/>
      </c>
      <c r="L391" s="5" t="str">
        <f>IF(OR(AND(COUNTA(H391:J391)=3,K391=""),AND(COUNTA(H391:J391)=1,K391&lt;&gt;"")),ROUND(PRODUCT(H391:K391),2),"")</f>
        <v/>
      </c>
      <c r="M391" s="5">
        <f>IF(L391&lt;&gt;"",ROUND(PRODUCT(F391,G391,L391),2),IF(K391&lt;&gt;"",ROUND(PRODUCT(F391,G391,K391),2),ROUND(PRODUCT(F391:J391),2)))</f>
        <v>6</v>
      </c>
      <c r="N391" s="5"/>
    </row>
    <row r="392" spans="1:14" x14ac:dyDescent="0.3">
      <c r="A392" s="23" t="s">
        <v>301</v>
      </c>
      <c r="B392" s="23" t="s">
        <v>549</v>
      </c>
      <c r="C392" s="23" t="str">
        <f>VLOOKUP(B392,CPU!$B:$J,2,FALSE)</f>
        <v>PRÓPRIA</v>
      </c>
      <c r="D392" s="24" t="str">
        <f>VLOOKUP(B392,CPU!$B:$J,3,FALSE)</f>
        <v>RELATÓRIO TÉCNICO</v>
      </c>
      <c r="E392" s="23" t="str">
        <f>VLOOKUP(B392,CPU!$B:$J,4,FALSE)</f>
        <v>UN</v>
      </c>
      <c r="F392" s="23"/>
      <c r="G392" s="23"/>
      <c r="H392" s="23"/>
      <c r="I392" s="23"/>
      <c r="J392" s="23"/>
      <c r="K392" s="23"/>
      <c r="L392" s="23"/>
      <c r="M392" s="23"/>
      <c r="N392" s="5">
        <f>SUM($M$393:$M$393)</f>
        <v>1</v>
      </c>
    </row>
    <row r="393" spans="1:14" x14ac:dyDescent="0.3">
      <c r="A393" s="23" t="s">
        <v>773</v>
      </c>
      <c r="B393" s="65" t="s">
        <v>516</v>
      </c>
      <c r="C393" s="66"/>
      <c r="D393" s="66"/>
      <c r="E393" s="67"/>
      <c r="F393" s="5">
        <v>1</v>
      </c>
      <c r="G393" s="26"/>
      <c r="H393" s="5"/>
      <c r="I393" s="5"/>
      <c r="J393" s="5"/>
      <c r="K393" s="5" t="str">
        <f>IF(COUNTA(H393:J393)=2,ROUND(PRODUCT(H393:J393),2),"")</f>
        <v/>
      </c>
      <c r="L393" s="5" t="str">
        <f>IF(OR(AND(COUNTA(H393:J393)=3,K393=""),AND(COUNTA(H393:J393)=1,K393&lt;&gt;"")),ROUND(PRODUCT(H393:K393),2),"")</f>
        <v/>
      </c>
      <c r="M393" s="5">
        <f>IF(L393&lt;&gt;"",ROUND(PRODUCT(F393,G393,L393),2),IF(K393&lt;&gt;"",ROUND(PRODUCT(F393,G393,K393),2),ROUND(PRODUCT(F393:J393),2)))</f>
        <v>1</v>
      </c>
      <c r="N393" s="5"/>
    </row>
    <row r="394" spans="1:14" x14ac:dyDescent="0.3">
      <c r="A394" s="23" t="s">
        <v>302</v>
      </c>
      <c r="B394" s="23" t="s">
        <v>551</v>
      </c>
      <c r="C394" s="23" t="str">
        <f>VLOOKUP(B394,CPU!$B:$J,2,FALSE)</f>
        <v>PRÓPRIA</v>
      </c>
      <c r="D394" s="24" t="str">
        <f>VLOOKUP(B394,CPU!$B:$J,3,FALSE)</f>
        <v>ANÁLISE FÍSICO-QUÍMICA DA ÁGUA</v>
      </c>
      <c r="E394" s="23" t="str">
        <f>VLOOKUP(B394,CPU!$B:$J,4,FALSE)</f>
        <v>UN</v>
      </c>
      <c r="F394" s="23"/>
      <c r="G394" s="23"/>
      <c r="H394" s="23"/>
      <c r="I394" s="23"/>
      <c r="J394" s="23"/>
      <c r="K394" s="23"/>
      <c r="L394" s="23"/>
      <c r="M394" s="23"/>
      <c r="N394" s="5">
        <f>SUM($M$395:$M$395)</f>
        <v>1</v>
      </c>
    </row>
    <row r="395" spans="1:14" x14ac:dyDescent="0.3">
      <c r="A395" s="23" t="s">
        <v>774</v>
      </c>
      <c r="B395" s="65" t="s">
        <v>516</v>
      </c>
      <c r="C395" s="66"/>
      <c r="D395" s="66"/>
      <c r="E395" s="67"/>
      <c r="F395" s="5">
        <v>1</v>
      </c>
      <c r="G395" s="26"/>
      <c r="H395" s="5"/>
      <c r="I395" s="5"/>
      <c r="J395" s="5"/>
      <c r="K395" s="5" t="str">
        <f>IF(COUNTA(H395:J395)=2,ROUND(PRODUCT(H395:J395),2),"")</f>
        <v/>
      </c>
      <c r="L395" s="5" t="str">
        <f>IF(OR(AND(COUNTA(H395:J395)=3,K395=""),AND(COUNTA(H395:J395)=1,K395&lt;&gt;"")),ROUND(PRODUCT(H395:K395),2),"")</f>
        <v/>
      </c>
      <c r="M395" s="5">
        <f>IF(L395&lt;&gt;"",ROUND(PRODUCT(F395,G395,L395),2),IF(K395&lt;&gt;"",ROUND(PRODUCT(F395,G395,K395),2),ROUND(PRODUCT(F395:J395),2)))</f>
        <v>1</v>
      </c>
      <c r="N395" s="5"/>
    </row>
    <row r="396" spans="1:14" x14ac:dyDescent="0.3">
      <c r="A396" s="23" t="s">
        <v>303</v>
      </c>
      <c r="B396" s="23" t="s">
        <v>553</v>
      </c>
      <c r="C396" s="23" t="str">
        <f>VLOOKUP(B396,CPU!$B:$J,2,FALSE)</f>
        <v>PRÓPRIA</v>
      </c>
      <c r="D396" s="24" t="str">
        <f>VLOOKUP(B396,CPU!$B:$J,3,FALSE)</f>
        <v>FORNECIMENTO E INSTALAÇÃO DE REVESTIMENTO GEOMECÂNICO STANDART DN-154-S</v>
      </c>
      <c r="E396" s="23" t="str">
        <f>VLOOKUP(B396,CPU!$B:$J,4,FALSE)</f>
        <v>M</v>
      </c>
      <c r="F396" s="23"/>
      <c r="G396" s="23"/>
      <c r="H396" s="23"/>
      <c r="I396" s="23"/>
      <c r="J396" s="23"/>
      <c r="K396" s="23"/>
      <c r="L396" s="23"/>
      <c r="M396" s="23"/>
      <c r="N396" s="5">
        <f>SUM($M$397:$M$397)</f>
        <v>36</v>
      </c>
    </row>
    <row r="397" spans="1:14" x14ac:dyDescent="0.3">
      <c r="A397" s="23" t="s">
        <v>775</v>
      </c>
      <c r="B397" s="65" t="s">
        <v>532</v>
      </c>
      <c r="C397" s="66"/>
      <c r="D397" s="66"/>
      <c r="E397" s="67"/>
      <c r="F397" s="5">
        <v>36</v>
      </c>
      <c r="G397" s="26"/>
      <c r="H397" s="5"/>
      <c r="I397" s="5"/>
      <c r="J397" s="5"/>
      <c r="K397" s="5" t="str">
        <f>IF(COUNTA(H397:J397)=2,ROUND(PRODUCT(H397:J397),2),"")</f>
        <v/>
      </c>
      <c r="L397" s="5" t="str">
        <f>IF(OR(AND(COUNTA(H397:J397)=3,K397=""),AND(COUNTA(H397:J397)=1,K397&lt;&gt;"")),ROUND(PRODUCT(H397:K397),2),"")</f>
        <v/>
      </c>
      <c r="M397" s="5">
        <f>IF(L397&lt;&gt;"",ROUND(PRODUCT(F397,G397,L397),2),IF(K397&lt;&gt;"",ROUND(PRODUCT(F397,G397,K397),2),ROUND(PRODUCT(F397:J397),2)))</f>
        <v>36</v>
      </c>
      <c r="N397" s="5"/>
    </row>
    <row r="398" spans="1:14" x14ac:dyDescent="0.3">
      <c r="A398" s="23" t="s">
        <v>304</v>
      </c>
      <c r="B398" s="23" t="s">
        <v>555</v>
      </c>
      <c r="C398" s="23" t="str">
        <f>VLOOKUP(B398,CPU!$B:$J,2,FALSE)</f>
        <v>PRÓPRIA</v>
      </c>
      <c r="D398" s="24" t="str">
        <f>VLOOKUP(B398,CPU!$B:$J,3,FALSE)</f>
        <v>FORNECIMENTO E INSTALAÇÃO DE TAMPA PARA POÇO</v>
      </c>
      <c r="E398" s="23" t="str">
        <f>VLOOKUP(B398,CPU!$B:$J,4,FALSE)</f>
        <v>UN</v>
      </c>
      <c r="F398" s="23"/>
      <c r="G398" s="23"/>
      <c r="H398" s="23"/>
      <c r="I398" s="23"/>
      <c r="J398" s="23"/>
      <c r="K398" s="23"/>
      <c r="L398" s="23"/>
      <c r="M398" s="23"/>
      <c r="N398" s="5">
        <f>SUM($M$399:$M$399)</f>
        <v>1</v>
      </c>
    </row>
    <row r="399" spans="1:14" x14ac:dyDescent="0.3">
      <c r="A399" s="23" t="s">
        <v>776</v>
      </c>
      <c r="B399" s="65" t="s">
        <v>516</v>
      </c>
      <c r="C399" s="66"/>
      <c r="D399" s="66"/>
      <c r="E399" s="67"/>
      <c r="F399" s="5">
        <v>1</v>
      </c>
      <c r="G399" s="26"/>
      <c r="H399" s="5"/>
      <c r="I399" s="5"/>
      <c r="J399" s="5"/>
      <c r="K399" s="5" t="str">
        <f>IF(COUNTA(H399:J399)=2,ROUND(PRODUCT(H399:J399),2),"")</f>
        <v/>
      </c>
      <c r="L399" s="5" t="str">
        <f>IF(OR(AND(COUNTA(H399:J399)=3,K399=""),AND(COUNTA(H399:J399)=1,K399&lt;&gt;"")),ROUND(PRODUCT(H399:K399),2),"")</f>
        <v/>
      </c>
      <c r="M399" s="5">
        <f>IF(L399&lt;&gt;"",ROUND(PRODUCT(F399,G399,L399),2),IF(K399&lt;&gt;"",ROUND(PRODUCT(F399,G399,K399),2),ROUND(PRODUCT(F399:J399),2)))</f>
        <v>1</v>
      </c>
      <c r="N399" s="5"/>
    </row>
    <row r="400" spans="1:14" x14ac:dyDescent="0.3">
      <c r="A400" s="12" t="s">
        <v>66</v>
      </c>
      <c r="B400" s="46" t="s">
        <v>557</v>
      </c>
      <c r="C400" s="47"/>
      <c r="D400" s="47"/>
      <c r="E400" s="47"/>
      <c r="F400" s="47"/>
      <c r="G400" s="47"/>
      <c r="H400" s="47"/>
      <c r="I400" s="47"/>
      <c r="J400" s="47"/>
      <c r="K400" s="47"/>
      <c r="L400" s="47"/>
      <c r="M400" s="47"/>
      <c r="N400" s="48"/>
    </row>
    <row r="401" spans="1:14" ht="28.8" x14ac:dyDescent="0.3">
      <c r="A401" s="23" t="s">
        <v>305</v>
      </c>
      <c r="B401" s="23" t="s">
        <v>558</v>
      </c>
      <c r="C401" s="23" t="str">
        <f>VLOOKUP(B401,CPU!$B:$J,2,FALSE)</f>
        <v>PRÓPRIA</v>
      </c>
      <c r="D401" s="24" t="str">
        <f>VLOOKUP(B401,CPU!$B:$J,3,FALSE)</f>
        <v>FORNECIMENTO E INSTALAÇÃO DE BOMBA SUBMERSA DE 3CV, MONOFÁSICA, 220 V, LEÃO OU SIMILAR</v>
      </c>
      <c r="E401" s="23" t="str">
        <f>VLOOKUP(B401,CPU!$B:$J,4,FALSE)</f>
        <v>UN</v>
      </c>
      <c r="F401" s="23"/>
      <c r="G401" s="23"/>
      <c r="H401" s="23"/>
      <c r="I401" s="23"/>
      <c r="J401" s="23"/>
      <c r="K401" s="23"/>
      <c r="L401" s="23"/>
      <c r="M401" s="23"/>
      <c r="N401" s="5">
        <f>SUM($M$402:$M$402)</f>
        <v>1</v>
      </c>
    </row>
    <row r="402" spans="1:14" x14ac:dyDescent="0.3">
      <c r="A402" s="23" t="s">
        <v>777</v>
      </c>
      <c r="B402" s="65" t="s">
        <v>516</v>
      </c>
      <c r="C402" s="66"/>
      <c r="D402" s="66"/>
      <c r="E402" s="67"/>
      <c r="F402" s="5">
        <v>1</v>
      </c>
      <c r="G402" s="26"/>
      <c r="H402" s="5"/>
      <c r="I402" s="5"/>
      <c r="J402" s="5"/>
      <c r="K402" s="5" t="str">
        <f>IF(COUNTA(H402:J402)=2,ROUND(PRODUCT(H402:J402),2),"")</f>
        <v/>
      </c>
      <c r="L402" s="5" t="str">
        <f>IF(OR(AND(COUNTA(H402:J402)=3,K402=""),AND(COUNTA(H402:J402)=1,K402&lt;&gt;"")),ROUND(PRODUCT(H402:K402),2),"")</f>
        <v/>
      </c>
      <c r="M402" s="5">
        <f>IF(L402&lt;&gt;"",ROUND(PRODUCT(F402,G402,L402),2),IF(K402&lt;&gt;"",ROUND(PRODUCT(F402,G402,K402),2),ROUND(PRODUCT(F402:J402),2)))</f>
        <v>1</v>
      </c>
      <c r="N402" s="5"/>
    </row>
    <row r="403" spans="1:14" ht="28.8" x14ac:dyDescent="0.3">
      <c r="A403" s="23" t="s">
        <v>306</v>
      </c>
      <c r="B403" s="23" t="s">
        <v>560</v>
      </c>
      <c r="C403" s="23" t="str">
        <f>VLOOKUP(B403,CPU!$B:$J,2,FALSE)</f>
        <v>PRÓPRIA</v>
      </c>
      <c r="D403" s="24" t="str">
        <f>VLOOKUP(B403,CPU!$B:$J,3,FALSE)</f>
        <v>FORNECIMENTO E INSTALAÇÃO DE PAINEL DE COMANDO ELÉTRICO PARA BOMBA 3CV, MONOFÁSICO</v>
      </c>
      <c r="E403" s="23" t="str">
        <f>VLOOKUP(B403,CPU!$B:$J,4,FALSE)</f>
        <v>UN</v>
      </c>
      <c r="F403" s="23"/>
      <c r="G403" s="23"/>
      <c r="H403" s="23"/>
      <c r="I403" s="23"/>
      <c r="J403" s="23"/>
      <c r="K403" s="23"/>
      <c r="L403" s="23"/>
      <c r="M403" s="23"/>
      <c r="N403" s="5">
        <f>SUM($M$404:$M$404)</f>
        <v>1</v>
      </c>
    </row>
    <row r="404" spans="1:14" x14ac:dyDescent="0.3">
      <c r="A404" s="23" t="s">
        <v>778</v>
      </c>
      <c r="B404" s="65" t="s">
        <v>516</v>
      </c>
      <c r="C404" s="66"/>
      <c r="D404" s="66"/>
      <c r="E404" s="67"/>
      <c r="F404" s="5">
        <v>1</v>
      </c>
      <c r="G404" s="26"/>
      <c r="H404" s="5"/>
      <c r="I404" s="5"/>
      <c r="J404" s="5"/>
      <c r="K404" s="5" t="str">
        <f>IF(COUNTA(H404:J404)=2,ROUND(PRODUCT(H404:J404),2),"")</f>
        <v/>
      </c>
      <c r="L404" s="5" t="str">
        <f>IF(OR(AND(COUNTA(H404:J404)=3,K404=""),AND(COUNTA(H404:J404)=1,K404&lt;&gt;"")),ROUND(PRODUCT(H404:K404),2),"")</f>
        <v/>
      </c>
      <c r="M404" s="5">
        <f>IF(L404&lt;&gt;"",ROUND(PRODUCT(F404,G404,L404),2),IF(K404&lt;&gt;"",ROUND(PRODUCT(F404,G404,K404),2),ROUND(PRODUCT(F404:J404),2)))</f>
        <v>1</v>
      </c>
      <c r="N404" s="5"/>
    </row>
    <row r="405" spans="1:14" x14ac:dyDescent="0.3">
      <c r="A405" s="23" t="s">
        <v>307</v>
      </c>
      <c r="B405" s="23" t="s">
        <v>562</v>
      </c>
      <c r="C405" s="23" t="str">
        <f>VLOOKUP(B405,CPU!$B:$J,2,FALSE)</f>
        <v>PRÓPRIA</v>
      </c>
      <c r="D405" s="24" t="str">
        <f>VLOOKUP(B405,CPU!$B:$J,3,FALSE)</f>
        <v>FORNECIMENTO E INSTALAÇÃO DE TUBO EDUTOR DE PVC DE 1.1/2'' COM LUVA</v>
      </c>
      <c r="E405" s="23" t="str">
        <f>VLOOKUP(B405,CPU!$B:$J,4,FALSE)</f>
        <v>M</v>
      </c>
      <c r="F405" s="23"/>
      <c r="G405" s="23"/>
      <c r="H405" s="23"/>
      <c r="I405" s="23"/>
      <c r="J405" s="23"/>
      <c r="K405" s="23"/>
      <c r="L405" s="23"/>
      <c r="M405" s="23"/>
      <c r="N405" s="5">
        <f>SUM($M$406:$M$406)</f>
        <v>110</v>
      </c>
    </row>
    <row r="406" spans="1:14" x14ac:dyDescent="0.3">
      <c r="A406" s="23" t="s">
        <v>779</v>
      </c>
      <c r="B406" s="65" t="s">
        <v>516</v>
      </c>
      <c r="C406" s="66"/>
      <c r="D406" s="66"/>
      <c r="E406" s="67"/>
      <c r="F406" s="5">
        <v>110</v>
      </c>
      <c r="G406" s="26"/>
      <c r="H406" s="5"/>
      <c r="I406" s="5"/>
      <c r="J406" s="5"/>
      <c r="K406" s="5" t="str">
        <f>IF(COUNTA(H406:J406)=2,ROUND(PRODUCT(H406:J406),2),"")</f>
        <v/>
      </c>
      <c r="L406" s="5" t="str">
        <f>IF(OR(AND(COUNTA(H406:J406)=3,K406=""),AND(COUNTA(H406:J406)=1,K406&lt;&gt;"")),ROUND(PRODUCT(H406:K406),2),"")</f>
        <v/>
      </c>
      <c r="M406" s="5">
        <f>IF(L406&lt;&gt;"",ROUND(PRODUCT(F406,G406,L406),2),IF(K406&lt;&gt;"",ROUND(PRODUCT(F406,G406,K406),2),ROUND(PRODUCT(F406:J406),2)))</f>
        <v>110</v>
      </c>
      <c r="N406" s="5"/>
    </row>
    <row r="407" spans="1:14" x14ac:dyDescent="0.3">
      <c r="A407" s="23" t="s">
        <v>308</v>
      </c>
      <c r="B407" s="23" t="s">
        <v>564</v>
      </c>
      <c r="C407" s="23" t="str">
        <f>VLOOKUP(B407,CPU!$B:$J,2,FALSE)</f>
        <v>PRÓPRIA</v>
      </c>
      <c r="D407" s="24" t="str">
        <f>VLOOKUP(B407,CPU!$B:$J,3,FALSE)</f>
        <v>FORNECIMENTO E INSTALAÇÃO DE CABO CHATO SUBMERSO DE 3 X 6 MM²</v>
      </c>
      <c r="E407" s="23" t="str">
        <f>VLOOKUP(B407,CPU!$B:$J,4,FALSE)</f>
        <v>M</v>
      </c>
      <c r="F407" s="23"/>
      <c r="G407" s="23"/>
      <c r="H407" s="23"/>
      <c r="I407" s="23"/>
      <c r="J407" s="23"/>
      <c r="K407" s="23"/>
      <c r="L407" s="23"/>
      <c r="M407" s="23"/>
      <c r="N407" s="5">
        <f>SUM($M$408:$M$408)</f>
        <v>120</v>
      </c>
    </row>
    <row r="408" spans="1:14" x14ac:dyDescent="0.3">
      <c r="A408" s="23" t="s">
        <v>780</v>
      </c>
      <c r="B408" s="65" t="s">
        <v>516</v>
      </c>
      <c r="C408" s="66"/>
      <c r="D408" s="66"/>
      <c r="E408" s="67"/>
      <c r="F408" s="5">
        <v>120</v>
      </c>
      <c r="G408" s="26"/>
      <c r="H408" s="5"/>
      <c r="I408" s="5"/>
      <c r="J408" s="5"/>
      <c r="K408" s="5" t="str">
        <f>IF(COUNTA(H408:J408)=2,ROUND(PRODUCT(H408:J408),2),"")</f>
        <v/>
      </c>
      <c r="L408" s="5" t="str">
        <f>IF(OR(AND(COUNTA(H408:J408)=3,K408=""),AND(COUNTA(H408:J408)=1,K408&lt;&gt;"")),ROUND(PRODUCT(H408:K408),2),"")</f>
        <v/>
      </c>
      <c r="M408" s="5">
        <f>IF(L408&lt;&gt;"",ROUND(PRODUCT(F408,G408,L408),2),IF(K408&lt;&gt;"",ROUND(PRODUCT(F408,G408,K408),2),ROUND(PRODUCT(F408:J408),2)))</f>
        <v>120</v>
      </c>
      <c r="N408" s="5"/>
    </row>
    <row r="409" spans="1:14" x14ac:dyDescent="0.3">
      <c r="A409" s="23" t="s">
        <v>309</v>
      </c>
      <c r="B409" s="23" t="s">
        <v>566</v>
      </c>
      <c r="C409" s="23" t="str">
        <f>VLOOKUP(B409,CPU!$B:$J,2,FALSE)</f>
        <v>PRÓPRIA</v>
      </c>
      <c r="D409" s="24" t="str">
        <f>VLOOKUP(B409,CPU!$B:$J,3,FALSE)</f>
        <v>BARRILETE (CURVAS E CONEXÕES)</v>
      </c>
      <c r="E409" s="23" t="str">
        <f>VLOOKUP(B409,CPU!$B:$J,4,FALSE)</f>
        <v>UN</v>
      </c>
      <c r="F409" s="23"/>
      <c r="G409" s="23"/>
      <c r="H409" s="23"/>
      <c r="I409" s="23"/>
      <c r="J409" s="23"/>
      <c r="K409" s="23"/>
      <c r="L409" s="23"/>
      <c r="M409" s="23"/>
      <c r="N409" s="5">
        <f>SUM($M$410:$M$410)</f>
        <v>1</v>
      </c>
    </row>
    <row r="410" spans="1:14" x14ac:dyDescent="0.3">
      <c r="A410" s="23" t="s">
        <v>781</v>
      </c>
      <c r="B410" s="65" t="s">
        <v>516</v>
      </c>
      <c r="C410" s="66"/>
      <c r="D410" s="66"/>
      <c r="E410" s="67"/>
      <c r="F410" s="5">
        <v>1</v>
      </c>
      <c r="G410" s="26"/>
      <c r="H410" s="5"/>
      <c r="I410" s="5"/>
      <c r="J410" s="5"/>
      <c r="K410" s="5" t="str">
        <f>IF(COUNTA(H410:J410)=2,ROUND(PRODUCT(H410:J410),2),"")</f>
        <v/>
      </c>
      <c r="L410" s="5" t="str">
        <f>IF(OR(AND(COUNTA(H410:J410)=3,K410=""),AND(COUNTA(H410:J410)=1,K410&lt;&gt;"")),ROUND(PRODUCT(H410:K410),2),"")</f>
        <v/>
      </c>
      <c r="M410" s="5">
        <f>IF(L410&lt;&gt;"",ROUND(PRODUCT(F410,G410,L410),2),IF(K410&lt;&gt;"",ROUND(PRODUCT(F410,G410,K410),2),ROUND(PRODUCT(F410:J410),2)))</f>
        <v>1</v>
      </c>
      <c r="N410" s="5"/>
    </row>
    <row r="411" spans="1:14" x14ac:dyDescent="0.3">
      <c r="A411" s="23" t="s">
        <v>310</v>
      </c>
      <c r="B411" s="23" t="s">
        <v>568</v>
      </c>
      <c r="C411" s="23" t="str">
        <f>VLOOKUP(B411,CPU!$B:$J,2,FALSE)</f>
        <v>PRÓPRIA</v>
      </c>
      <c r="D411" s="24" t="str">
        <f>VLOOKUP(B411,CPU!$B:$J,3,FALSE)</f>
        <v>AQUISIÇÃO E INSTALAÇÃO DE DOSADOR DE CLORO</v>
      </c>
      <c r="E411" s="23" t="str">
        <f>VLOOKUP(B411,CPU!$B:$J,4,FALSE)</f>
        <v>UND</v>
      </c>
      <c r="F411" s="23"/>
      <c r="G411" s="23"/>
      <c r="H411" s="23"/>
      <c r="I411" s="23"/>
      <c r="J411" s="23"/>
      <c r="K411" s="23"/>
      <c r="L411" s="23"/>
      <c r="M411" s="23"/>
      <c r="N411" s="5">
        <f>SUM($M$412:$M$412)</f>
        <v>1</v>
      </c>
    </row>
    <row r="412" spans="1:14" x14ac:dyDescent="0.3">
      <c r="A412" s="23" t="s">
        <v>782</v>
      </c>
      <c r="B412" s="65" t="s">
        <v>516</v>
      </c>
      <c r="C412" s="66"/>
      <c r="D412" s="66"/>
      <c r="E412" s="67"/>
      <c r="F412" s="5">
        <v>1</v>
      </c>
      <c r="G412" s="26"/>
      <c r="H412" s="5"/>
      <c r="I412" s="5"/>
      <c r="J412" s="5"/>
      <c r="K412" s="5" t="str">
        <f>IF(COUNTA(H412:J412)=2,ROUND(PRODUCT(H412:J412),2),"")</f>
        <v/>
      </c>
      <c r="L412" s="5" t="str">
        <f>IF(OR(AND(COUNTA(H412:J412)=3,K412=""),AND(COUNTA(H412:J412)=1,K412&lt;&gt;"")),ROUND(PRODUCT(H412:K412),2),"")</f>
        <v/>
      </c>
      <c r="M412" s="5">
        <f>IF(L412&lt;&gt;"",ROUND(PRODUCT(F412,G412,L412),2),IF(K412&lt;&gt;"",ROUND(PRODUCT(F412,G412,K412),2),ROUND(PRODUCT(F412:J412),2)))</f>
        <v>1</v>
      </c>
      <c r="N412" s="5"/>
    </row>
    <row r="413" spans="1:14" x14ac:dyDescent="0.3">
      <c r="A413" s="12" t="s">
        <v>67</v>
      </c>
      <c r="B413" s="46" t="s">
        <v>570</v>
      </c>
      <c r="C413" s="47"/>
      <c r="D413" s="47"/>
      <c r="E413" s="47"/>
      <c r="F413" s="47"/>
      <c r="G413" s="47"/>
      <c r="H413" s="47"/>
      <c r="I413" s="47"/>
      <c r="J413" s="47"/>
      <c r="K413" s="47"/>
      <c r="L413" s="47"/>
      <c r="M413" s="47"/>
      <c r="N413" s="48"/>
    </row>
    <row r="414" spans="1:14" x14ac:dyDescent="0.3">
      <c r="A414" s="15" t="s">
        <v>68</v>
      </c>
      <c r="B414" s="49" t="s">
        <v>513</v>
      </c>
      <c r="C414" s="50"/>
      <c r="D414" s="50"/>
      <c r="E414" s="50"/>
      <c r="F414" s="50"/>
      <c r="G414" s="50"/>
      <c r="H414" s="50"/>
      <c r="I414" s="50"/>
      <c r="J414" s="50"/>
      <c r="K414" s="50"/>
      <c r="L414" s="50"/>
      <c r="M414" s="50"/>
      <c r="N414" s="51"/>
    </row>
    <row r="415" spans="1:14" x14ac:dyDescent="0.3">
      <c r="A415" s="23" t="s">
        <v>311</v>
      </c>
      <c r="B415" s="23">
        <v>98524</v>
      </c>
      <c r="C415" s="23" t="str">
        <f>VLOOKUP(B415,CPU!$B:$J,2,FALSE)</f>
        <v>SINAPI</v>
      </c>
      <c r="D415" s="24" t="str">
        <f>VLOOKUP(B415,CPU!$B:$J,3,FALSE)</f>
        <v>LIMPEZA MANUAL DE VEGETAÇÃO EM TERRENO COM ENXADA. AF_03/2024</v>
      </c>
      <c r="E415" s="23" t="str">
        <f>VLOOKUP(B415,CPU!$B:$J,4,FALSE)</f>
        <v>M2</v>
      </c>
      <c r="F415" s="23"/>
      <c r="G415" s="23"/>
      <c r="H415" s="23"/>
      <c r="I415" s="23"/>
      <c r="J415" s="23"/>
      <c r="K415" s="23"/>
      <c r="L415" s="23"/>
      <c r="M415" s="23"/>
      <c r="N415" s="5">
        <f>SUM($M$416:$M$416)</f>
        <v>100</v>
      </c>
    </row>
    <row r="416" spans="1:14" x14ac:dyDescent="0.3">
      <c r="A416" s="23" t="s">
        <v>783</v>
      </c>
      <c r="B416" s="65" t="s">
        <v>516</v>
      </c>
      <c r="C416" s="66"/>
      <c r="D416" s="66"/>
      <c r="E416" s="67"/>
      <c r="F416" s="5"/>
      <c r="G416" s="26"/>
      <c r="H416" s="5"/>
      <c r="I416" s="5">
        <v>10</v>
      </c>
      <c r="J416" s="5">
        <v>10</v>
      </c>
      <c r="K416" s="5">
        <f>IF(COUNTA(H416:J416)=2,ROUND(PRODUCT(H416:J416),2),"")</f>
        <v>100</v>
      </c>
      <c r="L416" s="5" t="str">
        <f>IF(OR(AND(COUNTA(H416:J416)=3,K416=""),AND(COUNTA(H416:J416)=1,K416&lt;&gt;"")),ROUND(PRODUCT(H416:K416),2),"")</f>
        <v/>
      </c>
      <c r="M416" s="5">
        <f>IF(L416&lt;&gt;"",ROUND(PRODUCT(F416,G416,L416),2),IF(K416&lt;&gt;"",ROUND(PRODUCT(F416,G416,K416),2),ROUND(PRODUCT(F416:J416),2)))</f>
        <v>100</v>
      </c>
      <c r="N416" s="5"/>
    </row>
    <row r="417" spans="1:14" ht="28.8" x14ac:dyDescent="0.3">
      <c r="A417" s="23" t="s">
        <v>312</v>
      </c>
      <c r="B417" s="23">
        <v>99059</v>
      </c>
      <c r="C417" s="23" t="str">
        <f>VLOOKUP(B417,CPU!$B:$J,2,FALSE)</f>
        <v>SINAPI</v>
      </c>
      <c r="D417" s="24" t="str">
        <f>VLOOKUP(B417,CPU!$B:$J,3,FALSE)</f>
        <v>LOCAÇÃO CONVENCIONAL DE OBRA, UTILIZANDO GABARITO DE TÁBUAS CORRIDAS PONTALETADAS A CADA 2,00M - 2 UTILIZAÇÕES. AF_03/2024</v>
      </c>
      <c r="E417" s="23" t="str">
        <f>VLOOKUP(B417,CPU!$B:$J,4,FALSE)</f>
        <v>M</v>
      </c>
      <c r="F417" s="23"/>
      <c r="G417" s="23"/>
      <c r="H417" s="23"/>
      <c r="I417" s="23"/>
      <c r="J417" s="23"/>
      <c r="K417" s="23"/>
      <c r="L417" s="23"/>
      <c r="M417" s="23"/>
      <c r="N417" s="5">
        <f>SUM($M$418:$M$418)</f>
        <v>44</v>
      </c>
    </row>
    <row r="418" spans="1:14" x14ac:dyDescent="0.3">
      <c r="A418" s="23" t="s">
        <v>784</v>
      </c>
      <c r="B418" s="65" t="s">
        <v>516</v>
      </c>
      <c r="C418" s="66"/>
      <c r="D418" s="66"/>
      <c r="E418" s="67"/>
      <c r="F418" s="5"/>
      <c r="G418" s="26">
        <v>4</v>
      </c>
      <c r="H418" s="5">
        <v>11</v>
      </c>
      <c r="I418" s="5"/>
      <c r="J418" s="5"/>
      <c r="K418" s="5" t="str">
        <f>IF(COUNTA(H418:J418)=2,ROUND(PRODUCT(H418:J418),2),"")</f>
        <v/>
      </c>
      <c r="L418" s="5" t="str">
        <f>IF(OR(AND(COUNTA(H418:J418)=3,K418=""),AND(COUNTA(H418:J418)=1,K418&lt;&gt;"")),ROUND(PRODUCT(H418:K418),2),"")</f>
        <v/>
      </c>
      <c r="M418" s="5">
        <f>IF(L418&lt;&gt;"",ROUND(PRODUCT(F418,G418,L418),2),IF(K418&lt;&gt;"",ROUND(PRODUCT(F418,G418,K418),2),ROUND(PRODUCT(F418:J418),2)))</f>
        <v>44</v>
      </c>
      <c r="N418" s="5"/>
    </row>
    <row r="419" spans="1:14" x14ac:dyDescent="0.3">
      <c r="A419" s="15" t="s">
        <v>69</v>
      </c>
      <c r="B419" s="49" t="s">
        <v>573</v>
      </c>
      <c r="C419" s="50"/>
      <c r="D419" s="50"/>
      <c r="E419" s="50"/>
      <c r="F419" s="50"/>
      <c r="G419" s="50"/>
      <c r="H419" s="50"/>
      <c r="I419" s="50"/>
      <c r="J419" s="50"/>
      <c r="K419" s="50"/>
      <c r="L419" s="50"/>
      <c r="M419" s="50"/>
      <c r="N419" s="51"/>
    </row>
    <row r="420" spans="1:14" x14ac:dyDescent="0.3">
      <c r="A420" s="23" t="s">
        <v>313</v>
      </c>
      <c r="B420" s="23">
        <v>93358</v>
      </c>
      <c r="C420" s="23" t="str">
        <f>VLOOKUP(B420,CPU!$B:$J,2,FALSE)</f>
        <v>SINAPI</v>
      </c>
      <c r="D420" s="24" t="str">
        <f>VLOOKUP(B420,CPU!$B:$J,3,FALSE)</f>
        <v>ESCAVAÇÃO MANUAL DE VALA. AF_09/2024</v>
      </c>
      <c r="E420" s="23" t="str">
        <f>VLOOKUP(B420,CPU!$B:$J,4,FALSE)</f>
        <v>M3</v>
      </c>
      <c r="F420" s="23"/>
      <c r="G420" s="23"/>
      <c r="H420" s="23"/>
      <c r="I420" s="23"/>
      <c r="J420" s="23"/>
      <c r="K420" s="23"/>
      <c r="L420" s="23"/>
      <c r="M420" s="23"/>
      <c r="N420" s="5">
        <f>SUM($M$421:$M$422)</f>
        <v>1.54</v>
      </c>
    </row>
    <row r="421" spans="1:14" x14ac:dyDescent="0.3">
      <c r="A421" s="23" t="s">
        <v>785</v>
      </c>
      <c r="B421" s="65" t="s">
        <v>516</v>
      </c>
      <c r="C421" s="66"/>
      <c r="D421" s="66"/>
      <c r="E421" s="67"/>
      <c r="F421" s="5"/>
      <c r="G421" s="26">
        <v>2</v>
      </c>
      <c r="H421" s="5">
        <v>2.2999999999999998</v>
      </c>
      <c r="I421" s="5">
        <v>0.3</v>
      </c>
      <c r="J421" s="5">
        <v>0.6</v>
      </c>
      <c r="K421" s="5" t="str">
        <f>IF(COUNTA(H421:J421)=2,ROUND(PRODUCT(H421:J421),2),"")</f>
        <v/>
      </c>
      <c r="L421" s="5">
        <f>IF(OR(AND(COUNTA(H421:J421)=3,K421=""),AND(COUNTA(H421:J421)=1,K421&lt;&gt;"")),ROUND(PRODUCT(H421:K421),2),"")</f>
        <v>0.41</v>
      </c>
      <c r="M421" s="5">
        <f>IF(L421&lt;&gt;"",ROUND(PRODUCT(F421,G421,L421),2),IF(K421&lt;&gt;"",ROUND(PRODUCT(F421,G421,K421),2),ROUND(PRODUCT(F421:J421),2)))</f>
        <v>0.82</v>
      </c>
      <c r="N421" s="5"/>
    </row>
    <row r="422" spans="1:14" x14ac:dyDescent="0.3">
      <c r="A422" s="23" t="s">
        <v>786</v>
      </c>
      <c r="B422" s="65" t="s">
        <v>516</v>
      </c>
      <c r="C422" s="66"/>
      <c r="D422" s="66"/>
      <c r="E422" s="67"/>
      <c r="F422" s="5"/>
      <c r="G422" s="26">
        <v>2</v>
      </c>
      <c r="H422" s="5">
        <v>2</v>
      </c>
      <c r="I422" s="5">
        <v>0.3</v>
      </c>
      <c r="J422" s="5">
        <v>0.6</v>
      </c>
      <c r="K422" s="5" t="str">
        <f>IF(COUNTA(H422:J422)=2,ROUND(PRODUCT(H422:J422),2),"")</f>
        <v/>
      </c>
      <c r="L422" s="5">
        <f>IF(OR(AND(COUNTA(H422:J422)=3,K422=""),AND(COUNTA(H422:J422)=1,K422&lt;&gt;"")),ROUND(PRODUCT(H422:K422),2),"")</f>
        <v>0.36</v>
      </c>
      <c r="M422" s="5">
        <f>IF(L422&lt;&gt;"",ROUND(PRODUCT(F422,G422,L422),2),IF(K422&lt;&gt;"",ROUND(PRODUCT(F422,G422,K422),2),ROUND(PRODUCT(F422:J422),2)))</f>
        <v>0.72</v>
      </c>
      <c r="N422" s="5"/>
    </row>
    <row r="423" spans="1:14" x14ac:dyDescent="0.3">
      <c r="A423" s="15" t="s">
        <v>70</v>
      </c>
      <c r="B423" s="49" t="s">
        <v>576</v>
      </c>
      <c r="C423" s="50"/>
      <c r="D423" s="50"/>
      <c r="E423" s="50"/>
      <c r="F423" s="50"/>
      <c r="G423" s="50"/>
      <c r="H423" s="50"/>
      <c r="I423" s="50"/>
      <c r="J423" s="50"/>
      <c r="K423" s="50"/>
      <c r="L423" s="50"/>
      <c r="M423" s="50"/>
      <c r="N423" s="51"/>
    </row>
    <row r="424" spans="1:14" ht="28.8" x14ac:dyDescent="0.3">
      <c r="A424" s="23" t="s">
        <v>314</v>
      </c>
      <c r="B424" s="23">
        <v>96617</v>
      </c>
      <c r="C424" s="23" t="str">
        <f>VLOOKUP(B424,CPU!$B:$J,2,FALSE)</f>
        <v>SINAPI</v>
      </c>
      <c r="D424" s="24" t="str">
        <f>VLOOKUP(B424,CPU!$B:$J,3,FALSE)</f>
        <v>LASTRO DE CONCRETO MAGRO, APLICADO EM BLOCOS DE COROAMENTO OU SAPATAS, ESPESSURA DE 3 CM. AF_01/2024</v>
      </c>
      <c r="E424" s="23" t="str">
        <f>VLOOKUP(B424,CPU!$B:$J,4,FALSE)</f>
        <v>M2</v>
      </c>
      <c r="F424" s="23"/>
      <c r="G424" s="23"/>
      <c r="H424" s="23"/>
      <c r="I424" s="23"/>
      <c r="J424" s="23"/>
      <c r="K424" s="23"/>
      <c r="L424" s="23"/>
      <c r="M424" s="23"/>
      <c r="N424" s="5">
        <f>SUM($M$425:$M$426)</f>
        <v>2.58</v>
      </c>
    </row>
    <row r="425" spans="1:14" x14ac:dyDescent="0.3">
      <c r="A425" s="23" t="s">
        <v>787</v>
      </c>
      <c r="B425" s="65" t="s">
        <v>516</v>
      </c>
      <c r="C425" s="66"/>
      <c r="D425" s="66"/>
      <c r="E425" s="67"/>
      <c r="F425" s="5"/>
      <c r="G425" s="26">
        <v>2</v>
      </c>
      <c r="H425" s="5">
        <v>2.2999999999999998</v>
      </c>
      <c r="I425" s="5">
        <v>0.3</v>
      </c>
      <c r="J425" s="5"/>
      <c r="K425" s="5">
        <f>IF(COUNTA(H425:J425)=2,ROUND(PRODUCT(H425:J425),2),"")</f>
        <v>0.69</v>
      </c>
      <c r="L425" s="5" t="str">
        <f>IF(OR(AND(COUNTA(H425:J425)=3,K425=""),AND(COUNTA(H425:J425)=1,K425&lt;&gt;"")),ROUND(PRODUCT(H425:K425),2),"")</f>
        <v/>
      </c>
      <c r="M425" s="5">
        <f>IF(L425&lt;&gt;"",ROUND(PRODUCT(F425,G425,L425),2),IF(K425&lt;&gt;"",ROUND(PRODUCT(F425,G425,K425),2),ROUND(PRODUCT(F425:J425),2)))</f>
        <v>1.38</v>
      </c>
      <c r="N425" s="5"/>
    </row>
    <row r="426" spans="1:14" x14ac:dyDescent="0.3">
      <c r="A426" s="23" t="s">
        <v>788</v>
      </c>
      <c r="B426" s="65" t="s">
        <v>516</v>
      </c>
      <c r="C426" s="66"/>
      <c r="D426" s="66"/>
      <c r="E426" s="67"/>
      <c r="F426" s="5"/>
      <c r="G426" s="26">
        <v>2</v>
      </c>
      <c r="H426" s="5">
        <v>2</v>
      </c>
      <c r="I426" s="5">
        <v>0.3</v>
      </c>
      <c r="J426" s="5"/>
      <c r="K426" s="5">
        <f>IF(COUNTA(H426:J426)=2,ROUND(PRODUCT(H426:J426),2),"")</f>
        <v>0.6</v>
      </c>
      <c r="L426" s="5" t="str">
        <f>IF(OR(AND(COUNTA(H426:J426)=3,K426=""),AND(COUNTA(H426:J426)=1,K426&lt;&gt;"")),ROUND(PRODUCT(H426:K426),2),"")</f>
        <v/>
      </c>
      <c r="M426" s="5">
        <f>IF(L426&lt;&gt;"",ROUND(PRODUCT(F426,G426,L426),2),IF(K426&lt;&gt;"",ROUND(PRODUCT(F426,G426,K426),2),ROUND(PRODUCT(F426:J426),2)))</f>
        <v>1.2</v>
      </c>
      <c r="N426" s="5"/>
    </row>
    <row r="427" spans="1:14" ht="28.8" x14ac:dyDescent="0.3">
      <c r="A427" s="23" t="s">
        <v>315</v>
      </c>
      <c r="B427" s="23">
        <v>103800</v>
      </c>
      <c r="C427" s="23" t="str">
        <f>VLOOKUP(B427,CPU!$B:$J,2,FALSE)</f>
        <v>SINAPI</v>
      </c>
      <c r="D427" s="24" t="str">
        <f>VLOOKUP(B427,CPU!$B:$J,3,FALSE)</f>
        <v>PEDRA ARGAMASSADA COM CIMENTO E AREIA 1:3, 40% DE ARGAMASSA EM VOLUME - AREIA E PEDRA DE MÃO COMERCIAIS - FORNECIMENTO E ASSENTAMENTO. AF_08/2022</v>
      </c>
      <c r="E427" s="23" t="str">
        <f>VLOOKUP(B427,CPU!$B:$J,4,FALSE)</f>
        <v>M3</v>
      </c>
      <c r="F427" s="23"/>
      <c r="G427" s="23"/>
      <c r="H427" s="23"/>
      <c r="I427" s="23"/>
      <c r="J427" s="23"/>
      <c r="K427" s="23"/>
      <c r="L427" s="23"/>
      <c r="M427" s="23"/>
      <c r="N427" s="5">
        <f>SUM($M$428:$M$429)</f>
        <v>1.04</v>
      </c>
    </row>
    <row r="428" spans="1:14" x14ac:dyDescent="0.3">
      <c r="A428" s="23" t="s">
        <v>789</v>
      </c>
      <c r="B428" s="65" t="s">
        <v>516</v>
      </c>
      <c r="C428" s="66"/>
      <c r="D428" s="66"/>
      <c r="E428" s="67"/>
      <c r="F428" s="5"/>
      <c r="G428" s="26">
        <v>2</v>
      </c>
      <c r="H428" s="5">
        <v>2.2999999999999998</v>
      </c>
      <c r="I428" s="5">
        <v>0.3</v>
      </c>
      <c r="J428" s="5">
        <v>0.4</v>
      </c>
      <c r="K428" s="5" t="str">
        <f>IF(COUNTA(H428:J428)=2,ROUND(PRODUCT(H428:J428),2),"")</f>
        <v/>
      </c>
      <c r="L428" s="5">
        <f>IF(OR(AND(COUNTA(H428:J428)=3,K428=""),AND(COUNTA(H428:J428)=1,K428&lt;&gt;"")),ROUND(PRODUCT(H428:K428),2),"")</f>
        <v>0.28000000000000003</v>
      </c>
      <c r="M428" s="5">
        <f>IF(L428&lt;&gt;"",ROUND(PRODUCT(F428,G428,L428),2),IF(K428&lt;&gt;"",ROUND(PRODUCT(F428,G428,K428),2),ROUND(PRODUCT(F428:J428),2)))</f>
        <v>0.56000000000000005</v>
      </c>
      <c r="N428" s="5"/>
    </row>
    <row r="429" spans="1:14" x14ac:dyDescent="0.3">
      <c r="A429" s="23" t="s">
        <v>790</v>
      </c>
      <c r="B429" s="65" t="s">
        <v>516</v>
      </c>
      <c r="C429" s="66"/>
      <c r="D429" s="66"/>
      <c r="E429" s="67"/>
      <c r="F429" s="5"/>
      <c r="G429" s="26">
        <v>2</v>
      </c>
      <c r="H429" s="5">
        <v>2</v>
      </c>
      <c r="I429" s="5">
        <v>0.3</v>
      </c>
      <c r="J429" s="5">
        <v>0.4</v>
      </c>
      <c r="K429" s="5" t="str">
        <f>IF(COUNTA(H429:J429)=2,ROUND(PRODUCT(H429:J429),2),"")</f>
        <v/>
      </c>
      <c r="L429" s="5">
        <f>IF(OR(AND(COUNTA(H429:J429)=3,K429=""),AND(COUNTA(H429:J429)=1,K429&lt;&gt;"")),ROUND(PRODUCT(H429:K429),2),"")</f>
        <v>0.24</v>
      </c>
      <c r="M429" s="5">
        <f>IF(L429&lt;&gt;"",ROUND(PRODUCT(F429,G429,L429),2),IF(K429&lt;&gt;"",ROUND(PRODUCT(F429,G429,K429),2),ROUND(PRODUCT(F429:J429),2)))</f>
        <v>0.48</v>
      </c>
      <c r="N429" s="5"/>
    </row>
    <row r="430" spans="1:14" ht="43.2" x14ac:dyDescent="0.3">
      <c r="A430" s="23" t="s">
        <v>316</v>
      </c>
      <c r="B430" s="23">
        <v>103335</v>
      </c>
      <c r="C430" s="23" t="str">
        <f>VLOOKUP(B430,CPU!$B:$J,2,FALSE)</f>
        <v>SINAPI</v>
      </c>
      <c r="D430" s="24" t="str">
        <f>VLOOKUP(B430,CPU!$B:$J,3,FALSE)</f>
        <v>ALVENARIA DE VEDAÇÃO DE BLOCOS CERÂMICOS FURADOS NA HORIZONTAL DE 14X9X19 CM (ESPESSURA 14 CM, BLOCO DEITADO) E ARGAMASSA DE ASSENTAMENTO COM PREPARO MANUAL. AF_12/2021</v>
      </c>
      <c r="E430" s="23" t="str">
        <f>VLOOKUP(B430,CPU!$B:$J,4,FALSE)</f>
        <v>M2</v>
      </c>
      <c r="F430" s="23"/>
      <c r="G430" s="23"/>
      <c r="H430" s="23"/>
      <c r="I430" s="23"/>
      <c r="J430" s="23"/>
      <c r="K430" s="23"/>
      <c r="L430" s="23"/>
      <c r="M430" s="23"/>
      <c r="N430" s="5">
        <f>SUM($M$431:$M$432)</f>
        <v>1.7200000000000002</v>
      </c>
    </row>
    <row r="431" spans="1:14" x14ac:dyDescent="0.3">
      <c r="A431" s="23" t="s">
        <v>791</v>
      </c>
      <c r="B431" s="65" t="s">
        <v>516</v>
      </c>
      <c r="C431" s="66"/>
      <c r="D431" s="66"/>
      <c r="E431" s="67"/>
      <c r="F431" s="5"/>
      <c r="G431" s="26">
        <v>2</v>
      </c>
      <c r="H431" s="5">
        <v>2.2999999999999998</v>
      </c>
      <c r="I431" s="5"/>
      <c r="J431" s="5">
        <v>0.2</v>
      </c>
      <c r="K431" s="5">
        <f>IF(COUNTA(H431:J431)=2,ROUND(PRODUCT(H431:J431),2),"")</f>
        <v>0.46</v>
      </c>
      <c r="L431" s="5" t="str">
        <f>IF(OR(AND(COUNTA(H431:J431)=3,K431=""),AND(COUNTA(H431:J431)=1,K431&lt;&gt;"")),ROUND(PRODUCT(H431:K431),2),"")</f>
        <v/>
      </c>
      <c r="M431" s="5">
        <f>IF(L431&lt;&gt;"",ROUND(PRODUCT(F431,G431,L431),2),IF(K431&lt;&gt;"",ROUND(PRODUCT(F431,G431,K431),2),ROUND(PRODUCT(F431:J431),2)))</f>
        <v>0.92</v>
      </c>
      <c r="N431" s="5"/>
    </row>
    <row r="432" spans="1:14" x14ac:dyDescent="0.3">
      <c r="A432" s="23" t="s">
        <v>792</v>
      </c>
      <c r="B432" s="65" t="s">
        <v>516</v>
      </c>
      <c r="C432" s="66"/>
      <c r="D432" s="66"/>
      <c r="E432" s="67"/>
      <c r="F432" s="5"/>
      <c r="G432" s="26">
        <v>2</v>
      </c>
      <c r="H432" s="5">
        <v>2</v>
      </c>
      <c r="I432" s="5"/>
      <c r="J432" s="5">
        <v>0.2</v>
      </c>
      <c r="K432" s="5">
        <f>IF(COUNTA(H432:J432)=2,ROUND(PRODUCT(H432:J432),2),"")</f>
        <v>0.4</v>
      </c>
      <c r="L432" s="5" t="str">
        <f>IF(OR(AND(COUNTA(H432:J432)=3,K432=""),AND(COUNTA(H432:J432)=1,K432&lt;&gt;"")),ROUND(PRODUCT(H432:K432),2),"")</f>
        <v/>
      </c>
      <c r="M432" s="5">
        <f>IF(L432&lt;&gt;"",ROUND(PRODUCT(F432,G432,L432),2),IF(K432&lt;&gt;"",ROUND(PRODUCT(F432,G432,K432),2),ROUND(PRODUCT(F432:J432),2)))</f>
        <v>0.8</v>
      </c>
      <c r="N432" s="5"/>
    </row>
    <row r="433" spans="1:14" x14ac:dyDescent="0.3">
      <c r="A433" s="15" t="s">
        <v>71</v>
      </c>
      <c r="B433" s="49" t="s">
        <v>583</v>
      </c>
      <c r="C433" s="50"/>
      <c r="D433" s="50"/>
      <c r="E433" s="50"/>
      <c r="F433" s="50"/>
      <c r="G433" s="50"/>
      <c r="H433" s="50"/>
      <c r="I433" s="50"/>
      <c r="J433" s="50"/>
      <c r="K433" s="50"/>
      <c r="L433" s="50"/>
      <c r="M433" s="50"/>
      <c r="N433" s="51"/>
    </row>
    <row r="434" spans="1:14" x14ac:dyDescent="0.3">
      <c r="A434" s="23" t="s">
        <v>317</v>
      </c>
      <c r="B434" s="23" t="s">
        <v>584</v>
      </c>
      <c r="C434" s="23" t="str">
        <f>VLOOKUP(B434,CPU!$B:$J,2,FALSE)</f>
        <v>PRÓPRIA</v>
      </c>
      <c r="D434" s="24" t="str">
        <f>VLOOKUP(B434,CPU!$B:$J,3,FALSE)</f>
        <v>CINTA DE AMARRAÇÃO DE ALVENARIA MOLDADA IN LOCO EM CONCRETO</v>
      </c>
      <c r="E434" s="23" t="str">
        <f>VLOOKUP(B434,CPU!$B:$J,4,FALSE)</f>
        <v>M</v>
      </c>
      <c r="F434" s="23"/>
      <c r="G434" s="23"/>
      <c r="H434" s="23"/>
      <c r="I434" s="23"/>
      <c r="J434" s="23"/>
      <c r="K434" s="23"/>
      <c r="L434" s="23"/>
      <c r="M434" s="23"/>
      <c r="N434" s="5">
        <f>SUM($M$435:$M$436)</f>
        <v>8.6</v>
      </c>
    </row>
    <row r="435" spans="1:14" x14ac:dyDescent="0.3">
      <c r="A435" s="23" t="s">
        <v>793</v>
      </c>
      <c r="B435" s="65" t="s">
        <v>516</v>
      </c>
      <c r="C435" s="66"/>
      <c r="D435" s="66"/>
      <c r="E435" s="67"/>
      <c r="F435" s="5"/>
      <c r="G435" s="26">
        <v>2</v>
      </c>
      <c r="H435" s="5">
        <v>2.2999999999999998</v>
      </c>
      <c r="I435" s="5"/>
      <c r="J435" s="5"/>
      <c r="K435" s="5" t="str">
        <f>IF(COUNTA(H435:J435)=2,ROUND(PRODUCT(H435:J435),2),"")</f>
        <v/>
      </c>
      <c r="L435" s="5" t="str">
        <f>IF(OR(AND(COUNTA(H435:J435)=3,K435=""),AND(COUNTA(H435:J435)=1,K435&lt;&gt;"")),ROUND(PRODUCT(H435:K435),2),"")</f>
        <v/>
      </c>
      <c r="M435" s="5">
        <f>IF(L435&lt;&gt;"",ROUND(PRODUCT(F435,G435,L435),2),IF(K435&lt;&gt;"",ROUND(PRODUCT(F435,G435,K435),2),ROUND(PRODUCT(F435:J435),2)))</f>
        <v>4.5999999999999996</v>
      </c>
      <c r="N435" s="5"/>
    </row>
    <row r="436" spans="1:14" x14ac:dyDescent="0.3">
      <c r="A436" s="23" t="s">
        <v>794</v>
      </c>
      <c r="B436" s="65" t="s">
        <v>516</v>
      </c>
      <c r="C436" s="66"/>
      <c r="D436" s="66"/>
      <c r="E436" s="67"/>
      <c r="F436" s="5"/>
      <c r="G436" s="26">
        <v>2</v>
      </c>
      <c r="H436" s="5">
        <v>2</v>
      </c>
      <c r="I436" s="5"/>
      <c r="J436" s="5"/>
      <c r="K436" s="5" t="str">
        <f>IF(COUNTA(H436:J436)=2,ROUND(PRODUCT(H436:J436),2),"")</f>
        <v/>
      </c>
      <c r="L436" s="5" t="str">
        <f>IF(OR(AND(COUNTA(H436:J436)=3,K436=""),AND(COUNTA(H436:J436)=1,K436&lt;&gt;"")),ROUND(PRODUCT(H436:K436),2),"")</f>
        <v/>
      </c>
      <c r="M436" s="5">
        <f>IF(L436&lt;&gt;"",ROUND(PRODUCT(F436,G436,L436),2),IF(K436&lt;&gt;"",ROUND(PRODUCT(F436,G436,K436),2),ROUND(PRODUCT(F436:J436),2)))</f>
        <v>4</v>
      </c>
      <c r="N436" s="5"/>
    </row>
    <row r="437" spans="1:14" ht="28.8" x14ac:dyDescent="0.3">
      <c r="A437" s="23" t="s">
        <v>318</v>
      </c>
      <c r="B437" s="23" t="s">
        <v>587</v>
      </c>
      <c r="C437" s="23" t="str">
        <f>VLOOKUP(B437,CPU!$B:$J,2,FALSE)</f>
        <v>PRÓPRIA</v>
      </c>
      <c r="D437" s="24" t="str">
        <f>VLOOKUP(B437,CPU!$B:$J,3,FALSE)</f>
        <v>(COMPOSIÇÃO REPRESENTATIVA) EXECUÇÃO DE ESTRUTURAS DE CONCRETO ARMADO, PARA EDIFICAÇÃO INSTITUCIONAL TÉRREA, FCK = 25 MPA</v>
      </c>
      <c r="E437" s="23" t="str">
        <f>VLOOKUP(B437,CPU!$B:$J,4,FALSE)</f>
        <v>M³</v>
      </c>
      <c r="F437" s="23"/>
      <c r="G437" s="23"/>
      <c r="H437" s="23"/>
      <c r="I437" s="23"/>
      <c r="J437" s="23"/>
      <c r="K437" s="23"/>
      <c r="L437" s="23"/>
      <c r="M437" s="23"/>
      <c r="N437" s="5">
        <f>SUM($M$438:$M$439)</f>
        <v>0.30000000000000004</v>
      </c>
    </row>
    <row r="438" spans="1:14" x14ac:dyDescent="0.3">
      <c r="A438" s="23" t="s">
        <v>795</v>
      </c>
      <c r="B438" s="65" t="s">
        <v>589</v>
      </c>
      <c r="C438" s="66"/>
      <c r="D438" s="66"/>
      <c r="E438" s="67"/>
      <c r="F438" s="5"/>
      <c r="G438" s="26">
        <v>2</v>
      </c>
      <c r="H438" s="5">
        <v>3.53</v>
      </c>
      <c r="I438" s="5">
        <v>0.15</v>
      </c>
      <c r="J438" s="5">
        <v>0.15</v>
      </c>
      <c r="K438" s="5" t="str">
        <f>IF(COUNTA(H438:J438)=2,ROUND(PRODUCT(H438:J438),2),"")</f>
        <v/>
      </c>
      <c r="L438" s="5">
        <f>IF(OR(AND(COUNTA(H438:J438)=3,K438=""),AND(COUNTA(H438:J438)=1,K438&lt;&gt;"")),ROUND(PRODUCT(H438:K438),2),"")</f>
        <v>0.08</v>
      </c>
      <c r="M438" s="5">
        <f>IF(L438&lt;&gt;"",ROUND(PRODUCT(F438,G438,L438),2),IF(K438&lt;&gt;"",ROUND(PRODUCT(F438,G438,K438),2),ROUND(PRODUCT(F438:J438),2)))</f>
        <v>0.16</v>
      </c>
      <c r="N438" s="5"/>
    </row>
    <row r="439" spans="1:14" x14ac:dyDescent="0.3">
      <c r="A439" s="23" t="s">
        <v>796</v>
      </c>
      <c r="B439" s="65" t="s">
        <v>589</v>
      </c>
      <c r="C439" s="66"/>
      <c r="D439" s="66"/>
      <c r="E439" s="67"/>
      <c r="F439" s="5"/>
      <c r="G439" s="26">
        <v>2</v>
      </c>
      <c r="H439" s="5">
        <v>2.95</v>
      </c>
      <c r="I439" s="5">
        <v>0.15</v>
      </c>
      <c r="J439" s="5">
        <v>0.15</v>
      </c>
      <c r="K439" s="5" t="str">
        <f>IF(COUNTA(H439:J439)=2,ROUND(PRODUCT(H439:J439),2),"")</f>
        <v/>
      </c>
      <c r="L439" s="5">
        <f>IF(OR(AND(COUNTA(H439:J439)=3,K439=""),AND(COUNTA(H439:J439)=1,K439&lt;&gt;"")),ROUND(PRODUCT(H439:K439),2),"")</f>
        <v>7.0000000000000007E-2</v>
      </c>
      <c r="M439" s="5">
        <f>IF(L439&lt;&gt;"",ROUND(PRODUCT(F439,G439,L439),2),IF(K439&lt;&gt;"",ROUND(PRODUCT(F439,G439,K439),2),ROUND(PRODUCT(F439:J439),2)))</f>
        <v>0.14000000000000001</v>
      </c>
      <c r="N439" s="5"/>
    </row>
    <row r="440" spans="1:14" x14ac:dyDescent="0.3">
      <c r="A440" s="15" t="s">
        <v>72</v>
      </c>
      <c r="B440" s="49" t="s">
        <v>591</v>
      </c>
      <c r="C440" s="50"/>
      <c r="D440" s="50"/>
      <c r="E440" s="50"/>
      <c r="F440" s="50"/>
      <c r="G440" s="50"/>
      <c r="H440" s="50"/>
      <c r="I440" s="50"/>
      <c r="J440" s="50"/>
      <c r="K440" s="50"/>
      <c r="L440" s="50"/>
      <c r="M440" s="50"/>
      <c r="N440" s="51"/>
    </row>
    <row r="441" spans="1:14" ht="43.2" x14ac:dyDescent="0.3">
      <c r="A441" s="23" t="s">
        <v>319</v>
      </c>
      <c r="B441" s="23">
        <v>103329</v>
      </c>
      <c r="C441" s="23" t="str">
        <f>VLOOKUP(B441,CPU!$B:$J,2,FALSE)</f>
        <v>SINAPI</v>
      </c>
      <c r="D441" s="24" t="str">
        <f>VLOOKUP(B441,CPU!$B:$J,3,FALSE)</f>
        <v>ALVENARIA DE VEDAÇÃO DE BLOCOS CERÂMICOS FURADOS NA HORIZONTAL DE 9X19X19 CM (ESPESSURA 9 CM) E ARGAMASSA DE ASSENTAMENTO COM PREPARO MANUAL. AF_12/2021</v>
      </c>
      <c r="E441" s="23" t="str">
        <f>VLOOKUP(B441,CPU!$B:$J,4,FALSE)</f>
        <v>M2</v>
      </c>
      <c r="F441" s="23"/>
      <c r="G441" s="23"/>
      <c r="H441" s="23"/>
      <c r="I441" s="23"/>
      <c r="J441" s="23"/>
      <c r="K441" s="23"/>
      <c r="L441" s="23"/>
      <c r="M441" s="23"/>
      <c r="N441" s="5">
        <f>SUM($M$442:$M$446)</f>
        <v>19.310000000000002</v>
      </c>
    </row>
    <row r="442" spans="1:14" x14ac:dyDescent="0.3">
      <c r="A442" s="23" t="s">
        <v>797</v>
      </c>
      <c r="B442" s="65" t="s">
        <v>516</v>
      </c>
      <c r="C442" s="66"/>
      <c r="D442" s="66"/>
      <c r="E442" s="67"/>
      <c r="F442" s="5"/>
      <c r="G442" s="26">
        <v>1</v>
      </c>
      <c r="H442" s="5">
        <v>2.2999999999999998</v>
      </c>
      <c r="I442" s="5">
        <v>2.2999999999999998</v>
      </c>
      <c r="J442" s="5"/>
      <c r="K442" s="5">
        <f>IF(COUNTA(H442:J442)=2,ROUND(PRODUCT(H442:J442),2),"")</f>
        <v>5.29</v>
      </c>
      <c r="L442" s="5" t="str">
        <f>IF(OR(AND(COUNTA(H442:J442)=3,K442=""),AND(COUNTA(H442:J442)=1,K442&lt;&gt;"")),ROUND(PRODUCT(H442:K442),2),"")</f>
        <v/>
      </c>
      <c r="M442" s="5">
        <f>IF(L442&lt;&gt;"",ROUND(PRODUCT(F442,G442,L442),2),IF(K442&lt;&gt;"",ROUND(PRODUCT(F442,G442,K442),2),ROUND(PRODUCT(F442:J442),2)))</f>
        <v>5.29</v>
      </c>
      <c r="N442" s="5"/>
    </row>
    <row r="443" spans="1:14" x14ac:dyDescent="0.3">
      <c r="A443" s="23" t="s">
        <v>798</v>
      </c>
      <c r="B443" s="65" t="s">
        <v>516</v>
      </c>
      <c r="C443" s="66"/>
      <c r="D443" s="66"/>
      <c r="E443" s="67"/>
      <c r="F443" s="5"/>
      <c r="G443" s="26">
        <v>1</v>
      </c>
      <c r="H443" s="5">
        <v>2.2999999999999998</v>
      </c>
      <c r="I443" s="5">
        <v>2.88</v>
      </c>
      <c r="J443" s="5"/>
      <c r="K443" s="5">
        <f>IF(COUNTA(H443:J443)=2,ROUND(PRODUCT(H443:J443),2),"")</f>
        <v>6.62</v>
      </c>
      <c r="L443" s="5" t="str">
        <f>IF(OR(AND(COUNTA(H443:J443)=3,K443=""),AND(COUNTA(H443:J443)=1,K443&lt;&gt;"")),ROUND(PRODUCT(H443:K443),2),"")</f>
        <v/>
      </c>
      <c r="M443" s="5">
        <f>IF(L443&lt;&gt;"",ROUND(PRODUCT(F443,G443,L443),2),IF(K443&lt;&gt;"",ROUND(PRODUCT(F443,G443,K443),2),ROUND(PRODUCT(F443:J443),2)))</f>
        <v>6.62</v>
      </c>
      <c r="N443" s="5"/>
    </row>
    <row r="444" spans="1:14" x14ac:dyDescent="0.3">
      <c r="A444" s="23" t="s">
        <v>799</v>
      </c>
      <c r="B444" s="65" t="s">
        <v>516</v>
      </c>
      <c r="C444" s="66"/>
      <c r="D444" s="66"/>
      <c r="E444" s="67"/>
      <c r="F444" s="5"/>
      <c r="G444" s="26">
        <v>2</v>
      </c>
      <c r="H444" s="5">
        <v>2.2999999999999998</v>
      </c>
      <c r="I444" s="5">
        <v>2.2999999999999998</v>
      </c>
      <c r="J444" s="5"/>
      <c r="K444" s="5">
        <f>IF(COUNTA(H444:J444)=2,ROUND(PRODUCT(H444:J444),2),"")</f>
        <v>5.29</v>
      </c>
      <c r="L444" s="5" t="str">
        <f>IF(OR(AND(COUNTA(H444:J444)=3,K444=""),AND(COUNTA(H444:J444)=1,K444&lt;&gt;"")),ROUND(PRODUCT(H444:K444),2),"")</f>
        <v/>
      </c>
      <c r="M444" s="5">
        <f>IF(L444&lt;&gt;"",ROUND(PRODUCT(F444,G444,L444),2),IF(K444&lt;&gt;"",ROUND(PRODUCT(F444,G444,K444),2),ROUND(PRODUCT(F444:J444),2)))</f>
        <v>10.58</v>
      </c>
      <c r="N444" s="5"/>
    </row>
    <row r="445" spans="1:14" x14ac:dyDescent="0.3">
      <c r="A445" s="23" t="s">
        <v>800</v>
      </c>
      <c r="B445" s="65" t="s">
        <v>516</v>
      </c>
      <c r="C445" s="66"/>
      <c r="D445" s="66"/>
      <c r="E445" s="67"/>
      <c r="F445" s="5"/>
      <c r="G445" s="26">
        <v>-3</v>
      </c>
      <c r="H445" s="5">
        <v>1</v>
      </c>
      <c r="I445" s="5">
        <v>0.5</v>
      </c>
      <c r="J445" s="5"/>
      <c r="K445" s="5">
        <f>IF(COUNTA(H445:J445)=2,ROUND(PRODUCT(H445:J445),2),"")</f>
        <v>0.5</v>
      </c>
      <c r="L445" s="5" t="str">
        <f>IF(OR(AND(COUNTA(H445:J445)=3,K445=""),AND(COUNTA(H445:J445)=1,K445&lt;&gt;"")),ROUND(PRODUCT(H445:K445),2),"")</f>
        <v/>
      </c>
      <c r="M445" s="5">
        <f>IF(L445&lt;&gt;"",ROUND(PRODUCT(F445,G445,L445),2),IF(K445&lt;&gt;"",ROUND(PRODUCT(F445,G445,K445),2),ROUND(PRODUCT(F445:J445),2)))</f>
        <v>-1.5</v>
      </c>
      <c r="N445" s="5"/>
    </row>
    <row r="446" spans="1:14" x14ac:dyDescent="0.3">
      <c r="A446" s="23" t="s">
        <v>801</v>
      </c>
      <c r="B446" s="65" t="s">
        <v>516</v>
      </c>
      <c r="C446" s="66"/>
      <c r="D446" s="66"/>
      <c r="E446" s="67"/>
      <c r="F446" s="5"/>
      <c r="G446" s="26">
        <v>-1</v>
      </c>
      <c r="H446" s="5">
        <v>0.8</v>
      </c>
      <c r="I446" s="5">
        <v>2.1</v>
      </c>
      <c r="J446" s="5"/>
      <c r="K446" s="5">
        <f>IF(COUNTA(H446:J446)=2,ROUND(PRODUCT(H446:J446),2),"")</f>
        <v>1.68</v>
      </c>
      <c r="L446" s="5" t="str">
        <f>IF(OR(AND(COUNTA(H446:J446)=3,K446=""),AND(COUNTA(H446:J446)=1,K446&lt;&gt;"")),ROUND(PRODUCT(H446:K446),2),"")</f>
        <v/>
      </c>
      <c r="M446" s="5">
        <f>IF(L446&lt;&gt;"",ROUND(PRODUCT(F446,G446,L446),2),IF(K446&lt;&gt;"",ROUND(PRODUCT(F446,G446,K446),2),ROUND(PRODUCT(F446:J446),2)))</f>
        <v>-1.68</v>
      </c>
      <c r="N446" s="5"/>
    </row>
    <row r="447" spans="1:14" ht="43.2" x14ac:dyDescent="0.3">
      <c r="A447" s="23" t="s">
        <v>320</v>
      </c>
      <c r="B447" s="23">
        <v>101161</v>
      </c>
      <c r="C447" s="23" t="str">
        <f>VLOOKUP(B447,CPU!$B:$J,2,FALSE)</f>
        <v>SINAPI</v>
      </c>
      <c r="D447" s="24" t="str">
        <f>VLOOKUP(B447,CPU!$B:$J,3,FALSE)</f>
        <v>ALVENARIA DE VEDAÇÃO COM ELEMENTO VAZADO DE CONCRETO (COBOGÓ) DE 7X50X50CM E ARGAMASSA DE ASSENTAMENTO COM PREPARO EM BETONEIRA. AF_05/2020</v>
      </c>
      <c r="E447" s="23" t="str">
        <f>VLOOKUP(B447,CPU!$B:$J,4,FALSE)</f>
        <v>M2</v>
      </c>
      <c r="F447" s="23"/>
      <c r="G447" s="23"/>
      <c r="H447" s="23"/>
      <c r="I447" s="23"/>
      <c r="J447" s="23"/>
      <c r="K447" s="23"/>
      <c r="L447" s="23"/>
      <c r="M447" s="23"/>
      <c r="N447" s="5">
        <f>SUM($M$448:$M$448)</f>
        <v>1.5</v>
      </c>
    </row>
    <row r="448" spans="1:14" x14ac:dyDescent="0.3">
      <c r="A448" s="23" t="s">
        <v>802</v>
      </c>
      <c r="B448" s="65" t="s">
        <v>516</v>
      </c>
      <c r="C448" s="66"/>
      <c r="D448" s="66"/>
      <c r="E448" s="67"/>
      <c r="F448" s="5"/>
      <c r="G448" s="26">
        <v>3</v>
      </c>
      <c r="H448" s="5">
        <v>1</v>
      </c>
      <c r="I448" s="5">
        <v>0.5</v>
      </c>
      <c r="J448" s="5"/>
      <c r="K448" s="5">
        <f>IF(COUNTA(H448:J448)=2,ROUND(PRODUCT(H448:J448),2),"")</f>
        <v>0.5</v>
      </c>
      <c r="L448" s="5" t="str">
        <f>IF(OR(AND(COUNTA(H448:J448)=3,K448=""),AND(COUNTA(H448:J448)=1,K448&lt;&gt;"")),ROUND(PRODUCT(H448:K448),2),"")</f>
        <v/>
      </c>
      <c r="M448" s="5">
        <f>IF(L448&lt;&gt;"",ROUND(PRODUCT(F448,G448,L448),2),IF(K448&lt;&gt;"",ROUND(PRODUCT(F448,G448,K448),2),ROUND(PRODUCT(F448:J448),2)))</f>
        <v>1.5</v>
      </c>
      <c r="N448" s="5"/>
    </row>
    <row r="449" spans="1:14" x14ac:dyDescent="0.3">
      <c r="A449" s="15" t="s">
        <v>73</v>
      </c>
      <c r="B449" s="49" t="s">
        <v>598</v>
      </c>
      <c r="C449" s="50"/>
      <c r="D449" s="50"/>
      <c r="E449" s="50"/>
      <c r="F449" s="50"/>
      <c r="G449" s="50"/>
      <c r="H449" s="50"/>
      <c r="I449" s="50"/>
      <c r="J449" s="50"/>
      <c r="K449" s="50"/>
      <c r="L449" s="50"/>
      <c r="M449" s="50"/>
      <c r="N449" s="51"/>
    </row>
    <row r="450" spans="1:14" ht="28.8" x14ac:dyDescent="0.3">
      <c r="A450" s="23" t="s">
        <v>321</v>
      </c>
      <c r="B450" s="23" t="s">
        <v>599</v>
      </c>
      <c r="C450" s="23" t="str">
        <f>VLOOKUP(B450,CPU!$B:$J,2,FALSE)</f>
        <v>PRÓPRIA</v>
      </c>
      <c r="D450" s="24" t="str">
        <f>VLOOKUP(B450,CPU!$B:$J,3,FALSE)</f>
        <v>TELHAMENTO COM TELHA CERÂMICA CAPA-CANAL, TIPO COLONIAL, COM ATÉ 2 ÁGUAS, INCLUSO TRANSPORTE VERTICAL</v>
      </c>
      <c r="E450" s="23" t="str">
        <f>VLOOKUP(B450,CPU!$B:$J,4,FALSE)</f>
        <v>M²</v>
      </c>
      <c r="F450" s="23"/>
      <c r="G450" s="23"/>
      <c r="H450" s="23"/>
      <c r="I450" s="23"/>
      <c r="J450" s="23"/>
      <c r="K450" s="23"/>
      <c r="L450" s="23"/>
      <c r="M450" s="23"/>
      <c r="N450" s="5">
        <f>SUM($M$451:$M$451)</f>
        <v>10.23</v>
      </c>
    </row>
    <row r="451" spans="1:14" x14ac:dyDescent="0.3">
      <c r="A451" s="23" t="s">
        <v>803</v>
      </c>
      <c r="B451" s="65" t="s">
        <v>516</v>
      </c>
      <c r="C451" s="66"/>
      <c r="D451" s="66"/>
      <c r="E451" s="67"/>
      <c r="F451" s="5"/>
      <c r="G451" s="26"/>
      <c r="H451" s="5">
        <v>3.1</v>
      </c>
      <c r="I451" s="5">
        <v>3.3</v>
      </c>
      <c r="J451" s="5"/>
      <c r="K451" s="5">
        <f>IF(COUNTA(H451:J451)=2,ROUND(PRODUCT(H451:J451),2),"")</f>
        <v>10.23</v>
      </c>
      <c r="L451" s="5" t="str">
        <f>IF(OR(AND(COUNTA(H451:J451)=3,K451=""),AND(COUNTA(H451:J451)=1,K451&lt;&gt;"")),ROUND(PRODUCT(H451:K451),2),"")</f>
        <v/>
      </c>
      <c r="M451" s="5">
        <f>IF(L451&lt;&gt;"",ROUND(PRODUCT(F451,G451,L451),2),IF(K451&lt;&gt;"",ROUND(PRODUCT(F451,G451,K451),2),ROUND(PRODUCT(F451:J451),2)))</f>
        <v>10.23</v>
      </c>
      <c r="N451" s="5"/>
    </row>
    <row r="452" spans="1:14" ht="28.8" x14ac:dyDescent="0.3">
      <c r="A452" s="23" t="s">
        <v>322</v>
      </c>
      <c r="B452" s="23" t="s">
        <v>601</v>
      </c>
      <c r="C452" s="23" t="str">
        <f>VLOOKUP(B452,CPU!$B:$J,2,FALSE)</f>
        <v>PRÓPRIA</v>
      </c>
      <c r="D452" s="24" t="str">
        <f>VLOOKUP(B452,CPU!$B:$J,3,FALSE)</f>
        <v>TRAMA DE MADEIRA COMPOSTA POR RIPAS, CAIBROS E TERÇAS PARA TELHADOS DE ATÉ 2 ÁGUAS PARA TELHA CERÂMICA CAPA-CANAL, INCLUSO TRANSPORTE VERTICAL</v>
      </c>
      <c r="E452" s="23" t="str">
        <f>VLOOKUP(B452,CPU!$B:$J,4,FALSE)</f>
        <v>M²</v>
      </c>
      <c r="F452" s="23"/>
      <c r="G452" s="23"/>
      <c r="H452" s="23"/>
      <c r="I452" s="23"/>
      <c r="J452" s="23"/>
      <c r="K452" s="23"/>
      <c r="L452" s="23"/>
      <c r="M452" s="23"/>
      <c r="N452" s="5">
        <f>SUM($M$453:$M$453)</f>
        <v>10.23</v>
      </c>
    </row>
    <row r="453" spans="1:14" x14ac:dyDescent="0.3">
      <c r="A453" s="23" t="s">
        <v>804</v>
      </c>
      <c r="B453" s="65" t="s">
        <v>516</v>
      </c>
      <c r="C453" s="66"/>
      <c r="D453" s="66"/>
      <c r="E453" s="67"/>
      <c r="F453" s="5"/>
      <c r="G453" s="26"/>
      <c r="H453" s="5">
        <v>3.1</v>
      </c>
      <c r="I453" s="5">
        <v>3.3</v>
      </c>
      <c r="J453" s="5"/>
      <c r="K453" s="5">
        <f>IF(COUNTA(H453:J453)=2,ROUND(PRODUCT(H453:J453),2),"")</f>
        <v>10.23</v>
      </c>
      <c r="L453" s="5" t="str">
        <f>IF(OR(AND(COUNTA(H453:J453)=3,K453=""),AND(COUNTA(H453:J453)=1,K453&lt;&gt;"")),ROUND(PRODUCT(H453:K453),2),"")</f>
        <v/>
      </c>
      <c r="M453" s="5">
        <f>IF(L453&lt;&gt;"",ROUND(PRODUCT(F453,G453,L453),2),IF(K453&lt;&gt;"",ROUND(PRODUCT(F453,G453,K453),2),ROUND(PRODUCT(F453:J453),2)))</f>
        <v>10.23</v>
      </c>
      <c r="N453" s="5"/>
    </row>
    <row r="454" spans="1:14" x14ac:dyDescent="0.3">
      <c r="A454" s="15" t="s">
        <v>74</v>
      </c>
      <c r="B454" s="49" t="s">
        <v>603</v>
      </c>
      <c r="C454" s="50"/>
      <c r="D454" s="50"/>
      <c r="E454" s="50"/>
      <c r="F454" s="50"/>
      <c r="G454" s="50"/>
      <c r="H454" s="50"/>
      <c r="I454" s="50"/>
      <c r="J454" s="50"/>
      <c r="K454" s="50"/>
      <c r="L454" s="50"/>
      <c r="M454" s="50"/>
      <c r="N454" s="51"/>
    </row>
    <row r="455" spans="1:14" ht="28.8" x14ac:dyDescent="0.3">
      <c r="A455" s="23" t="s">
        <v>323</v>
      </c>
      <c r="B455" s="23">
        <v>96617</v>
      </c>
      <c r="C455" s="23" t="str">
        <f>VLOOKUP(B455,CPU!$B:$J,2,FALSE)</f>
        <v>SINAPI</v>
      </c>
      <c r="D455" s="24" t="str">
        <f>VLOOKUP(B455,CPU!$B:$J,3,FALSE)</f>
        <v>LASTRO DE CONCRETO MAGRO, APLICADO EM BLOCOS DE COROAMENTO OU SAPATAS, ESPESSURA DE 3 CM. AF_01/2024</v>
      </c>
      <c r="E455" s="23" t="str">
        <f>VLOOKUP(B455,CPU!$B:$J,4,FALSE)</f>
        <v>M2</v>
      </c>
      <c r="F455" s="23"/>
      <c r="G455" s="23"/>
      <c r="H455" s="23"/>
      <c r="I455" s="23"/>
      <c r="J455" s="23"/>
      <c r="K455" s="23"/>
      <c r="L455" s="23"/>
      <c r="M455" s="23"/>
      <c r="N455" s="5">
        <f>SUM($M$456:$M$456)</f>
        <v>4</v>
      </c>
    </row>
    <row r="456" spans="1:14" x14ac:dyDescent="0.3">
      <c r="A456" s="23" t="s">
        <v>805</v>
      </c>
      <c r="B456" s="65" t="s">
        <v>516</v>
      </c>
      <c r="C456" s="66"/>
      <c r="D456" s="66"/>
      <c r="E456" s="67"/>
      <c r="F456" s="5"/>
      <c r="G456" s="26"/>
      <c r="H456" s="5">
        <v>2</v>
      </c>
      <c r="I456" s="5">
        <v>2</v>
      </c>
      <c r="J456" s="5"/>
      <c r="K456" s="5">
        <f>IF(COUNTA(H456:J456)=2,ROUND(PRODUCT(H456:J456),2),"")</f>
        <v>4</v>
      </c>
      <c r="L456" s="5" t="str">
        <f>IF(OR(AND(COUNTA(H456:J456)=3,K456=""),AND(COUNTA(H456:J456)=1,K456&lt;&gt;"")),ROUND(PRODUCT(H456:K456),2),"")</f>
        <v/>
      </c>
      <c r="M456" s="5">
        <f>IF(L456&lt;&gt;"",ROUND(PRODUCT(F456,G456,L456),2),IF(K456&lt;&gt;"",ROUND(PRODUCT(F456,G456,K456),2),ROUND(PRODUCT(F456:J456),2)))</f>
        <v>4</v>
      </c>
      <c r="N456" s="5"/>
    </row>
    <row r="457" spans="1:14" ht="28.8" x14ac:dyDescent="0.3">
      <c r="A457" s="23" t="s">
        <v>324</v>
      </c>
      <c r="B457" s="23">
        <v>101749</v>
      </c>
      <c r="C457" s="23" t="str">
        <f>VLOOKUP(B457,CPU!$B:$J,2,FALSE)</f>
        <v>SINAPI</v>
      </c>
      <c r="D457" s="24" t="str">
        <f>VLOOKUP(B457,CPU!$B:$J,3,FALSE)</f>
        <v>PISO CIMENTADO, TRAÇO 1:3 (CIMENTO E AREIA), ACABAMENTO LISO, ESPESSURA 4,0 CM, PREPARO MECÂNICO DA ARGAMASSA. AF_09/2020</v>
      </c>
      <c r="E457" s="23" t="str">
        <f>VLOOKUP(B457,CPU!$B:$J,4,FALSE)</f>
        <v>M2</v>
      </c>
      <c r="F457" s="23"/>
      <c r="G457" s="23"/>
      <c r="H457" s="23"/>
      <c r="I457" s="23"/>
      <c r="J457" s="23"/>
      <c r="K457" s="23"/>
      <c r="L457" s="23"/>
      <c r="M457" s="23"/>
      <c r="N457" s="5">
        <f>SUM($M$458:$M$458)</f>
        <v>4</v>
      </c>
    </row>
    <row r="458" spans="1:14" x14ac:dyDescent="0.3">
      <c r="A458" s="23" t="s">
        <v>806</v>
      </c>
      <c r="B458" s="65" t="s">
        <v>516</v>
      </c>
      <c r="C458" s="66"/>
      <c r="D458" s="66"/>
      <c r="E458" s="67"/>
      <c r="F458" s="5"/>
      <c r="G458" s="26"/>
      <c r="H458" s="5">
        <v>2</v>
      </c>
      <c r="I458" s="5">
        <v>2</v>
      </c>
      <c r="J458" s="5"/>
      <c r="K458" s="5">
        <f>IF(COUNTA(H458:J458)=2,ROUND(PRODUCT(H458:J458),2),"")</f>
        <v>4</v>
      </c>
      <c r="L458" s="5" t="str">
        <f>IF(OR(AND(COUNTA(H458:J458)=3,K458=""),AND(COUNTA(H458:J458)=1,K458&lt;&gt;"")),ROUND(PRODUCT(H458:K458),2),"")</f>
        <v/>
      </c>
      <c r="M458" s="5">
        <f>IF(L458&lt;&gt;"",ROUND(PRODUCT(F458,G458,L458),2),IF(K458&lt;&gt;"",ROUND(PRODUCT(F458,G458,K458),2),ROUND(PRODUCT(F458:J458),2)))</f>
        <v>4</v>
      </c>
      <c r="N458" s="5"/>
    </row>
    <row r="459" spans="1:14" ht="43.2" x14ac:dyDescent="0.3">
      <c r="A459" s="23" t="s">
        <v>325</v>
      </c>
      <c r="B459" s="23">
        <v>94994</v>
      </c>
      <c r="C459" s="23" t="str">
        <f>VLOOKUP(B459,CPU!$B:$J,2,FALSE)</f>
        <v>SINAPI</v>
      </c>
      <c r="D459" s="24" t="str">
        <f>VLOOKUP(B459,CPU!$B:$J,3,FALSE)</f>
        <v>EXECUÇÃO DE PASSEIO (CALÇADA) OU PISO DE CONCRETO COM CONCRETO MOLDADO IN LOCO, FEITO EM OBRA, ACABAMENTO CONVENCIONAL, ESPESSURA 8 CM, ARMADO. AF_08/2022</v>
      </c>
      <c r="E459" s="23" t="str">
        <f>VLOOKUP(B459,CPU!$B:$J,4,FALSE)</f>
        <v>M2</v>
      </c>
      <c r="F459" s="23"/>
      <c r="G459" s="23"/>
      <c r="H459" s="23"/>
      <c r="I459" s="23"/>
      <c r="J459" s="23"/>
      <c r="K459" s="23"/>
      <c r="L459" s="23"/>
      <c r="M459" s="23"/>
      <c r="N459" s="5">
        <f>SUM($M$460:$M$461)</f>
        <v>5.6</v>
      </c>
    </row>
    <row r="460" spans="1:14" x14ac:dyDescent="0.3">
      <c r="A460" s="23" t="s">
        <v>807</v>
      </c>
      <c r="B460" s="65" t="s">
        <v>516</v>
      </c>
      <c r="C460" s="66"/>
      <c r="D460" s="66"/>
      <c r="E460" s="67"/>
      <c r="F460" s="5"/>
      <c r="G460" s="26">
        <v>2</v>
      </c>
      <c r="H460" s="5">
        <v>3.3</v>
      </c>
      <c r="I460" s="5">
        <v>0.5</v>
      </c>
      <c r="J460" s="5"/>
      <c r="K460" s="5">
        <f>IF(COUNTA(H460:J460)=2,ROUND(PRODUCT(H460:J460),2),"")</f>
        <v>1.65</v>
      </c>
      <c r="L460" s="5" t="str">
        <f>IF(OR(AND(COUNTA(H460:J460)=3,K460=""),AND(COUNTA(H460:J460)=1,K460&lt;&gt;"")),ROUND(PRODUCT(H460:K460),2),"")</f>
        <v/>
      </c>
      <c r="M460" s="5">
        <f>IF(L460&lt;&gt;"",ROUND(PRODUCT(F460,G460,L460),2),IF(K460&lt;&gt;"",ROUND(PRODUCT(F460,G460,K460),2),ROUND(PRODUCT(F460:J460),2)))</f>
        <v>3.3</v>
      </c>
      <c r="N460" s="5"/>
    </row>
    <row r="461" spans="1:14" x14ac:dyDescent="0.3">
      <c r="A461" s="23" t="s">
        <v>808</v>
      </c>
      <c r="B461" s="65" t="s">
        <v>516</v>
      </c>
      <c r="C461" s="66"/>
      <c r="D461" s="66"/>
      <c r="E461" s="67"/>
      <c r="F461" s="5"/>
      <c r="G461" s="26">
        <v>2</v>
      </c>
      <c r="H461" s="5">
        <v>2.2999999999999998</v>
      </c>
      <c r="I461" s="5">
        <v>0.5</v>
      </c>
      <c r="J461" s="5"/>
      <c r="K461" s="5">
        <f>IF(COUNTA(H461:J461)=2,ROUND(PRODUCT(H461:J461),2),"")</f>
        <v>1.1499999999999999</v>
      </c>
      <c r="L461" s="5" t="str">
        <f>IF(OR(AND(COUNTA(H461:J461)=3,K461=""),AND(COUNTA(H461:J461)=1,K461&lt;&gt;"")),ROUND(PRODUCT(H461:K461),2),"")</f>
        <v/>
      </c>
      <c r="M461" s="5">
        <f>IF(L461&lt;&gt;"",ROUND(PRODUCT(F461,G461,L461),2),IF(K461&lt;&gt;"",ROUND(PRODUCT(F461,G461,K461),2),ROUND(PRODUCT(F461:J461),2)))</f>
        <v>2.2999999999999998</v>
      </c>
      <c r="N461" s="5"/>
    </row>
    <row r="462" spans="1:14" x14ac:dyDescent="0.3">
      <c r="A462" s="15" t="s">
        <v>75</v>
      </c>
      <c r="B462" s="49" t="s">
        <v>608</v>
      </c>
      <c r="C462" s="50"/>
      <c r="D462" s="50"/>
      <c r="E462" s="50"/>
      <c r="F462" s="50"/>
      <c r="G462" s="50"/>
      <c r="H462" s="50"/>
      <c r="I462" s="50"/>
      <c r="J462" s="50"/>
      <c r="K462" s="50"/>
      <c r="L462" s="50"/>
      <c r="M462" s="50"/>
      <c r="N462" s="51"/>
    </row>
    <row r="463" spans="1:14" ht="43.2" x14ac:dyDescent="0.3">
      <c r="A463" s="23" t="s">
        <v>326</v>
      </c>
      <c r="B463" s="23">
        <v>87904</v>
      </c>
      <c r="C463" s="23" t="str">
        <f>VLOOKUP(B463,CPU!$B:$J,2,FALSE)</f>
        <v>SINAPI</v>
      </c>
      <c r="D463" s="24" t="str">
        <f>VLOOKUP(B463,CPU!$B:$J,3,FALSE)</f>
        <v>CHAPISCO APLICADO EM ALVENARIA (COM PRESENÇA DE VÃOS) E ESTRUTURAS DE CONCRETO DE FACHADA, COM COLHER DE PEDREIRO. ARGAMASSA TRAÇO 1:3 COM PREPARO MANUAL. AF_10/2022</v>
      </c>
      <c r="E463" s="23" t="str">
        <f>VLOOKUP(B463,CPU!$B:$J,4,FALSE)</f>
        <v>M2</v>
      </c>
      <c r="F463" s="23"/>
      <c r="G463" s="23"/>
      <c r="H463" s="23"/>
      <c r="I463" s="23"/>
      <c r="J463" s="23"/>
      <c r="K463" s="23"/>
      <c r="L463" s="23"/>
      <c r="M463" s="23"/>
      <c r="N463" s="5">
        <f>SUM($M$464:$M$464)</f>
        <v>38.619999999999997</v>
      </c>
    </row>
    <row r="464" spans="1:14" x14ac:dyDescent="0.3">
      <c r="A464" s="23" t="s">
        <v>809</v>
      </c>
      <c r="B464" s="65" t="s">
        <v>610</v>
      </c>
      <c r="C464" s="66"/>
      <c r="D464" s="66"/>
      <c r="E464" s="67"/>
      <c r="F464" s="5"/>
      <c r="G464" s="26">
        <v>2</v>
      </c>
      <c r="H464" s="5"/>
      <c r="I464" s="5"/>
      <c r="J464" s="5"/>
      <c r="K464" s="5">
        <v>19.309999999999999</v>
      </c>
      <c r="L464" s="5" t="str">
        <f>IF(OR(AND(COUNTA(H464:J464)=3,K464=""),AND(COUNTA(H464:J464)=1,K464&lt;&gt;"")),ROUND(PRODUCT(H464:K464),2),"")</f>
        <v/>
      </c>
      <c r="M464" s="5">
        <f>IF(L464&lt;&gt;"",ROUND(PRODUCT(F464,G464,L464),2),IF(K464&lt;&gt;"",ROUND(PRODUCT(F464,G464,K464),2),ROUND(PRODUCT(F464:J464),2)))</f>
        <v>38.619999999999997</v>
      </c>
      <c r="N464" s="5"/>
    </row>
    <row r="465" spans="1:14" ht="43.2" x14ac:dyDescent="0.3">
      <c r="A465" s="23" t="s">
        <v>327</v>
      </c>
      <c r="B465" s="23">
        <v>87530</v>
      </c>
      <c r="C465" s="23" t="str">
        <f>VLOOKUP(B465,CPU!$B:$J,2,FALSE)</f>
        <v>SINAPI</v>
      </c>
      <c r="D465" s="24" t="str">
        <f>VLOOKUP(B465,CPU!$B:$J,3,FALSE)</f>
        <v>MASSA ÚNICA, EM ARGAMASSA TRAÇO 1:2:8, PREPARO MANUAL, APLICADA MANUALMENTE EM PAREDES INTERNAS DE AMBIENTES COM ÁREA ENTRE 5M² E 10M², E = 17,5MM, COM TALISCAS. AF_03/2024</v>
      </c>
      <c r="E465" s="23" t="str">
        <f>VLOOKUP(B465,CPU!$B:$J,4,FALSE)</f>
        <v>M2</v>
      </c>
      <c r="F465" s="23"/>
      <c r="G465" s="23"/>
      <c r="H465" s="23"/>
      <c r="I465" s="23"/>
      <c r="J465" s="23"/>
      <c r="K465" s="23"/>
      <c r="L465" s="23"/>
      <c r="M465" s="23"/>
      <c r="N465" s="5">
        <f>SUM($M$466:$M$466)</f>
        <v>38.619999999999997</v>
      </c>
    </row>
    <row r="466" spans="1:14" x14ac:dyDescent="0.3">
      <c r="A466" s="23" t="s">
        <v>810</v>
      </c>
      <c r="B466" s="65" t="s">
        <v>610</v>
      </c>
      <c r="C466" s="66"/>
      <c r="D466" s="66"/>
      <c r="E466" s="67"/>
      <c r="F466" s="5"/>
      <c r="G466" s="26">
        <v>2</v>
      </c>
      <c r="H466" s="5"/>
      <c r="I466" s="5"/>
      <c r="J466" s="5"/>
      <c r="K466" s="5">
        <v>19.309999999999999</v>
      </c>
      <c r="L466" s="5" t="str">
        <f>IF(OR(AND(COUNTA(H466:J466)=3,K466=""),AND(COUNTA(H466:J466)=1,K466&lt;&gt;"")),ROUND(PRODUCT(H466:K466),2),"")</f>
        <v/>
      </c>
      <c r="M466" s="5">
        <f>IF(L466&lt;&gt;"",ROUND(PRODUCT(F466,G466,L466),2),IF(K466&lt;&gt;"",ROUND(PRODUCT(F466,G466,K466),2),ROUND(PRODUCT(F466:J466),2)))</f>
        <v>38.619999999999997</v>
      </c>
      <c r="N466" s="5"/>
    </row>
    <row r="467" spans="1:14" x14ac:dyDescent="0.3">
      <c r="A467" s="15" t="s">
        <v>76</v>
      </c>
      <c r="B467" s="49" t="s">
        <v>612</v>
      </c>
      <c r="C467" s="50"/>
      <c r="D467" s="50"/>
      <c r="E467" s="50"/>
      <c r="F467" s="50"/>
      <c r="G467" s="50"/>
      <c r="H467" s="50"/>
      <c r="I467" s="50"/>
      <c r="J467" s="50"/>
      <c r="K467" s="50"/>
      <c r="L467" s="50"/>
      <c r="M467" s="50"/>
      <c r="N467" s="51"/>
    </row>
    <row r="468" spans="1:14" x14ac:dyDescent="0.3">
      <c r="A468" s="23" t="s">
        <v>328</v>
      </c>
      <c r="B468" s="23">
        <v>100701</v>
      </c>
      <c r="C468" s="23" t="str">
        <f>VLOOKUP(B468,CPU!$B:$J,2,FALSE)</f>
        <v>SINAPI</v>
      </c>
      <c r="D468" s="24" t="str">
        <f>VLOOKUP(B468,CPU!$B:$J,3,FALSE)</f>
        <v>PORTA DE FERRO, DE ABRIR, TIPO GRADE COM CHAPA, COM GUARNIÇÕES. AF_12/2019</v>
      </c>
      <c r="E468" s="23" t="str">
        <f>VLOOKUP(B468,CPU!$B:$J,4,FALSE)</f>
        <v>M2</v>
      </c>
      <c r="F468" s="23"/>
      <c r="G468" s="23"/>
      <c r="H468" s="23"/>
      <c r="I468" s="23"/>
      <c r="J468" s="23"/>
      <c r="K468" s="23"/>
      <c r="L468" s="23"/>
      <c r="M468" s="23"/>
      <c r="N468" s="5">
        <f>SUM($M$469:$M$469)</f>
        <v>1.68</v>
      </c>
    </row>
    <row r="469" spans="1:14" x14ac:dyDescent="0.3">
      <c r="A469" s="23" t="s">
        <v>811</v>
      </c>
      <c r="B469" s="65" t="s">
        <v>516</v>
      </c>
      <c r="C469" s="66"/>
      <c r="D469" s="66"/>
      <c r="E469" s="67"/>
      <c r="F469" s="5"/>
      <c r="G469" s="26">
        <v>1</v>
      </c>
      <c r="H469" s="5"/>
      <c r="I469" s="5">
        <v>0.8</v>
      </c>
      <c r="J469" s="5">
        <v>2.1</v>
      </c>
      <c r="K469" s="5">
        <f>IF(COUNTA(H469:J469)=2,ROUND(PRODUCT(H469:J469),2),"")</f>
        <v>1.68</v>
      </c>
      <c r="L469" s="5" t="str">
        <f>IF(OR(AND(COUNTA(H469:J469)=3,K469=""),AND(COUNTA(H469:J469)=1,K469&lt;&gt;"")),ROUND(PRODUCT(H469:K469),2),"")</f>
        <v/>
      </c>
      <c r="M469" s="5">
        <f>IF(L469&lt;&gt;"",ROUND(PRODUCT(F469,G469,L469),2),IF(K469&lt;&gt;"",ROUND(PRODUCT(F469,G469,K469),2),ROUND(PRODUCT(F469:J469),2)))</f>
        <v>1.68</v>
      </c>
      <c r="N469" s="5"/>
    </row>
    <row r="470" spans="1:14" ht="28.8" x14ac:dyDescent="0.3">
      <c r="A470" s="23" t="s">
        <v>329</v>
      </c>
      <c r="B470" s="23" t="s">
        <v>614</v>
      </c>
      <c r="C470" s="23" t="str">
        <f>VLOOKUP(B470,CPU!$B:$J,2,FALSE)</f>
        <v>SEINFRA</v>
      </c>
      <c r="D470" s="24" t="str">
        <f>VLOOKUP(B470,CPU!$B:$J,3,FALSE)</f>
        <v>PORTÃO DE METALON E BARRA CHATA DE FERRO C/FECHADURA E DOBRADIÇA, INCLUS. PINTURA ESMALTE SINTÉTICO</v>
      </c>
      <c r="E470" s="23" t="str">
        <f>VLOOKUP(B470,CPU!$B:$J,4,FALSE)</f>
        <v>M2</v>
      </c>
      <c r="F470" s="23"/>
      <c r="G470" s="23"/>
      <c r="H470" s="23"/>
      <c r="I470" s="23"/>
      <c r="J470" s="23"/>
      <c r="K470" s="23"/>
      <c r="L470" s="23"/>
      <c r="M470" s="23"/>
      <c r="N470" s="5">
        <f>SUM($M$471:$M$471)</f>
        <v>6</v>
      </c>
    </row>
    <row r="471" spans="1:14" x14ac:dyDescent="0.3">
      <c r="A471" s="23" t="s">
        <v>812</v>
      </c>
      <c r="B471" s="65" t="s">
        <v>516</v>
      </c>
      <c r="C471" s="66"/>
      <c r="D471" s="66"/>
      <c r="E471" s="67"/>
      <c r="F471" s="5"/>
      <c r="G471" s="26"/>
      <c r="H471" s="5"/>
      <c r="I471" s="5">
        <v>3</v>
      </c>
      <c r="J471" s="5">
        <v>2</v>
      </c>
      <c r="K471" s="5">
        <f>IF(COUNTA(H471:J471)=2,ROUND(PRODUCT(H471:J471),2),"")</f>
        <v>6</v>
      </c>
      <c r="L471" s="5" t="str">
        <f>IF(OR(AND(COUNTA(H471:J471)=3,K471=""),AND(COUNTA(H471:J471)=1,K471&lt;&gt;"")),ROUND(PRODUCT(H471:K471),2),"")</f>
        <v/>
      </c>
      <c r="M471" s="5">
        <f>IF(L471&lt;&gt;"",ROUND(PRODUCT(F471,G471,L471),2),IF(K471&lt;&gt;"",ROUND(PRODUCT(F471,G471,K471),2),ROUND(PRODUCT(F471:J471),2)))</f>
        <v>6</v>
      </c>
      <c r="N471" s="5"/>
    </row>
    <row r="472" spans="1:14" x14ac:dyDescent="0.3">
      <c r="A472" s="15" t="s">
        <v>77</v>
      </c>
      <c r="B472" s="49" t="s">
        <v>616</v>
      </c>
      <c r="C472" s="50"/>
      <c r="D472" s="50"/>
      <c r="E472" s="50"/>
      <c r="F472" s="50"/>
      <c r="G472" s="50"/>
      <c r="H472" s="50"/>
      <c r="I472" s="50"/>
      <c r="J472" s="50"/>
      <c r="K472" s="50"/>
      <c r="L472" s="50"/>
      <c r="M472" s="50"/>
      <c r="N472" s="51"/>
    </row>
    <row r="473" spans="1:14" x14ac:dyDescent="0.3">
      <c r="A473" s="23" t="s">
        <v>330</v>
      </c>
      <c r="B473" s="23" t="s">
        <v>617</v>
      </c>
      <c r="C473" s="23" t="str">
        <f>VLOOKUP(B473,CPU!$B:$J,2,FALSE)</f>
        <v>PRÓPRIA</v>
      </c>
      <c r="D473" s="24" t="str">
        <f>VLOOKUP(B473,CPU!$B:$J,3,FALSE)</f>
        <v>CAIAÇÃO EM TRES DEMÃOS EM PAREDES (REF: C0589-SEINFRA 28)</v>
      </c>
      <c r="E473" s="23" t="str">
        <f>VLOOKUP(B473,CPU!$B:$J,4,FALSE)</f>
        <v>M2</v>
      </c>
      <c r="F473" s="23"/>
      <c r="G473" s="23"/>
      <c r="H473" s="23"/>
      <c r="I473" s="23"/>
      <c r="J473" s="23"/>
      <c r="K473" s="23"/>
      <c r="L473" s="23"/>
      <c r="M473" s="23"/>
      <c r="N473" s="5">
        <f>SUM($M$474:$M$474)</f>
        <v>38.619999999999997</v>
      </c>
    </row>
    <row r="474" spans="1:14" x14ac:dyDescent="0.3">
      <c r="A474" s="23" t="s">
        <v>813</v>
      </c>
      <c r="B474" s="65" t="s">
        <v>610</v>
      </c>
      <c r="C474" s="66"/>
      <c r="D474" s="66"/>
      <c r="E474" s="67"/>
      <c r="F474" s="5"/>
      <c r="G474" s="26">
        <v>2</v>
      </c>
      <c r="H474" s="5"/>
      <c r="I474" s="5"/>
      <c r="J474" s="5"/>
      <c r="K474" s="5">
        <v>19.309999999999999</v>
      </c>
      <c r="L474" s="5" t="str">
        <f>IF(OR(AND(COUNTA(H474:J474)=3,K474=""),AND(COUNTA(H474:J474)=1,K474&lt;&gt;"")),ROUND(PRODUCT(H474:K474),2),"")</f>
        <v/>
      </c>
      <c r="M474" s="5">
        <f>IF(L474&lt;&gt;"",ROUND(PRODUCT(F474,G474,L474),2),IF(K474&lt;&gt;"",ROUND(PRODUCT(F474,G474,K474),2),ROUND(PRODUCT(F474:J474),2)))</f>
        <v>38.619999999999997</v>
      </c>
      <c r="N474" s="5"/>
    </row>
    <row r="475" spans="1:14" ht="43.2" x14ac:dyDescent="0.3">
      <c r="A475" s="23" t="s">
        <v>331</v>
      </c>
      <c r="B475" s="23">
        <v>100758</v>
      </c>
      <c r="C475" s="23" t="str">
        <f>VLOOKUP(B475,CPU!$B:$J,2,FALSE)</f>
        <v>SINAPI</v>
      </c>
      <c r="D475" s="24" t="str">
        <f>VLOOKUP(B475,CPU!$B:$J,3,FALSE)</f>
        <v>PINTURA COM TINTA ALQUÍDICA DE ACABAMENTO (ESMALTE SINTÉTICO ACETINADO) APLICADA A ROLO OU PINCEL SOBRE SUPERFÍCIES METÁLICAS (EXCETO PERFIL) EXECUTADO EM OBRA (02 DEMÃOS). AF_01/2020</v>
      </c>
      <c r="E475" s="23" t="str">
        <f>VLOOKUP(B475,CPU!$B:$J,4,FALSE)</f>
        <v>M2</v>
      </c>
      <c r="F475" s="23"/>
      <c r="G475" s="23"/>
      <c r="H475" s="23"/>
      <c r="I475" s="23"/>
      <c r="J475" s="23"/>
      <c r="K475" s="23"/>
      <c r="L475" s="23"/>
      <c r="M475" s="23"/>
      <c r="N475" s="5">
        <f>SUM($M$476:$M$476)</f>
        <v>3.36</v>
      </c>
    </row>
    <row r="476" spans="1:14" x14ac:dyDescent="0.3">
      <c r="A476" s="23" t="s">
        <v>814</v>
      </c>
      <c r="B476" s="65" t="s">
        <v>620</v>
      </c>
      <c r="C476" s="66"/>
      <c r="D476" s="66"/>
      <c r="E476" s="67"/>
      <c r="F476" s="5"/>
      <c r="G476" s="26">
        <v>2</v>
      </c>
      <c r="H476" s="5"/>
      <c r="I476" s="5">
        <v>0.8</v>
      </c>
      <c r="J476" s="5">
        <v>2.1</v>
      </c>
      <c r="K476" s="5">
        <f>IF(COUNTA(H476:J476)=2,ROUND(PRODUCT(H476:J476),2),"")</f>
        <v>1.68</v>
      </c>
      <c r="L476" s="5" t="str">
        <f>IF(OR(AND(COUNTA(H476:J476)=3,K476=""),AND(COUNTA(H476:J476)=1,K476&lt;&gt;"")),ROUND(PRODUCT(H476:K476),2),"")</f>
        <v/>
      </c>
      <c r="M476" s="5">
        <f>IF(L476&lt;&gt;"",ROUND(PRODUCT(F476,G476,L476),2),IF(K476&lt;&gt;"",ROUND(PRODUCT(F476,G476,K476),2),ROUND(PRODUCT(F476:J476),2)))</f>
        <v>3.36</v>
      </c>
      <c r="N476" s="5"/>
    </row>
    <row r="477" spans="1:14" x14ac:dyDescent="0.3">
      <c r="A477" s="15" t="s">
        <v>78</v>
      </c>
      <c r="B477" s="49" t="s">
        <v>621</v>
      </c>
      <c r="C477" s="50"/>
      <c r="D477" s="50"/>
      <c r="E477" s="50"/>
      <c r="F477" s="50"/>
      <c r="G477" s="50"/>
      <c r="H477" s="50"/>
      <c r="I477" s="50"/>
      <c r="J477" s="50"/>
      <c r="K477" s="50"/>
      <c r="L477" s="50"/>
      <c r="M477" s="50"/>
      <c r="N477" s="51"/>
    </row>
    <row r="478" spans="1:14" ht="43.2" x14ac:dyDescent="0.3">
      <c r="A478" s="23" t="s">
        <v>332</v>
      </c>
      <c r="B478" s="23">
        <v>101197</v>
      </c>
      <c r="C478" s="23" t="str">
        <f>VLOOKUP(B478,CPU!$B:$J,2,FALSE)</f>
        <v>SINAPI</v>
      </c>
      <c r="D478" s="24" t="str">
        <f>VLOOKUP(B478,CPU!$B:$J,3,FALSE)</f>
        <v>CERCA COM MOURÕES DE CONCRETO, SEÇÃO "T" PONTA INCLINADA, 10X10 CM, ESPAÇAMENTO DE 2,5 M, CRAVADOS 0,5 M, COM 11 FIOS DE ARAME FARPADO Nº 14 - FORNECIMENTO E INSTALAÇÃO. AF_05/2020</v>
      </c>
      <c r="E478" s="23" t="str">
        <f>VLOOKUP(B478,CPU!$B:$J,4,FALSE)</f>
        <v>M</v>
      </c>
      <c r="F478" s="23"/>
      <c r="G478" s="23"/>
      <c r="H478" s="23"/>
      <c r="I478" s="23"/>
      <c r="J478" s="23"/>
      <c r="K478" s="23"/>
      <c r="L478" s="23"/>
      <c r="M478" s="23"/>
      <c r="N478" s="5">
        <f>SUM($M$479:$M$480)</f>
        <v>37</v>
      </c>
    </row>
    <row r="479" spans="1:14" x14ac:dyDescent="0.3">
      <c r="A479" s="23" t="s">
        <v>815</v>
      </c>
      <c r="B479" s="65" t="s">
        <v>516</v>
      </c>
      <c r="C479" s="66"/>
      <c r="D479" s="66"/>
      <c r="E479" s="67"/>
      <c r="F479" s="5"/>
      <c r="G479" s="26">
        <v>4</v>
      </c>
      <c r="H479" s="5">
        <v>10</v>
      </c>
      <c r="I479" s="5"/>
      <c r="J479" s="5"/>
      <c r="K479" s="5" t="str">
        <f>IF(COUNTA(H479:J479)=2,ROUND(PRODUCT(H479:J479),2),"")</f>
        <v/>
      </c>
      <c r="L479" s="5" t="str">
        <f>IF(OR(AND(COUNTA(H479:J479)=3,K479=""),AND(COUNTA(H479:J479)=1,K479&lt;&gt;"")),ROUND(PRODUCT(H479:K479),2),"")</f>
        <v/>
      </c>
      <c r="M479" s="5">
        <f>IF(L479&lt;&gt;"",ROUND(PRODUCT(F479,G479,L479),2),IF(K479&lt;&gt;"",ROUND(PRODUCT(F479,G479,K479),2),ROUND(PRODUCT(F479:J479),2)))</f>
        <v>40</v>
      </c>
      <c r="N479" s="5"/>
    </row>
    <row r="480" spans="1:14" x14ac:dyDescent="0.3">
      <c r="A480" s="23" t="s">
        <v>816</v>
      </c>
      <c r="B480" s="65" t="s">
        <v>624</v>
      </c>
      <c r="C480" s="66"/>
      <c r="D480" s="66"/>
      <c r="E480" s="67"/>
      <c r="F480" s="5"/>
      <c r="G480" s="26">
        <v>-1</v>
      </c>
      <c r="H480" s="5">
        <v>3</v>
      </c>
      <c r="I480" s="5"/>
      <c r="J480" s="5"/>
      <c r="K480" s="5" t="str">
        <f>IF(COUNTA(H480:J480)=2,ROUND(PRODUCT(H480:J480),2),"")</f>
        <v/>
      </c>
      <c r="L480" s="5" t="str">
        <f>IF(OR(AND(COUNTA(H480:J480)=3,K480=""),AND(COUNTA(H480:J480)=1,K480&lt;&gt;"")),ROUND(PRODUCT(H480:K480),2),"")</f>
        <v/>
      </c>
      <c r="M480" s="5">
        <f>IF(L480&lt;&gt;"",ROUND(PRODUCT(F480,G480,L480),2),IF(K480&lt;&gt;"",ROUND(PRODUCT(F480,G480,K480),2),ROUND(PRODUCT(F480:J480),2)))</f>
        <v>-3</v>
      </c>
      <c r="N480" s="5"/>
    </row>
    <row r="481" spans="1:14" x14ac:dyDescent="0.3">
      <c r="A481" s="12" t="s">
        <v>79</v>
      </c>
      <c r="B481" s="46" t="s">
        <v>625</v>
      </c>
      <c r="C481" s="47"/>
      <c r="D481" s="47"/>
      <c r="E481" s="47"/>
      <c r="F481" s="47"/>
      <c r="G481" s="47"/>
      <c r="H481" s="47"/>
      <c r="I481" s="47"/>
      <c r="J481" s="47"/>
      <c r="K481" s="47"/>
      <c r="L481" s="47"/>
      <c r="M481" s="47"/>
      <c r="N481" s="48"/>
    </row>
    <row r="482" spans="1:14" ht="43.2" x14ac:dyDescent="0.3">
      <c r="A482" s="23" t="s">
        <v>333</v>
      </c>
      <c r="B482" s="23" t="s">
        <v>626</v>
      </c>
      <c r="C482" s="23" t="str">
        <f>VLOOKUP(B482,CPU!$B:$J,2,FALSE)</f>
        <v>PRÓPRIA</v>
      </c>
      <c r="D482" s="24" t="str">
        <f>VLOOKUP(B482,CPU!$B:$J,3,FALSE)</f>
        <v>ENTRADA DE ENERGIA ELÉTRICA, AÉREA, MONOFÁSICA, COM CAIXA DE EMBUTIR, CABO DE 10 MM2 E DISJUNTOR DIN 50A (NÃO INCLUSO O POSTE DE CONCRETO). AF_07/2020_PS (REF: 101493-SINAPI-06/2025)</v>
      </c>
      <c r="E482" s="23" t="str">
        <f>VLOOKUP(B482,CPU!$B:$J,4,FALSE)</f>
        <v>UN</v>
      </c>
      <c r="F482" s="23"/>
      <c r="G482" s="23"/>
      <c r="H482" s="23"/>
      <c r="I482" s="23"/>
      <c r="J482" s="23"/>
      <c r="K482" s="23"/>
      <c r="L482" s="23"/>
      <c r="M482" s="23"/>
      <c r="N482" s="5">
        <f>SUM($M$483:$M$483)</f>
        <v>1</v>
      </c>
    </row>
    <row r="483" spans="1:14" x14ac:dyDescent="0.3">
      <c r="A483" s="23" t="s">
        <v>817</v>
      </c>
      <c r="B483" s="65" t="s">
        <v>516</v>
      </c>
      <c r="C483" s="66"/>
      <c r="D483" s="66"/>
      <c r="E483" s="67"/>
      <c r="F483" s="5">
        <v>1</v>
      </c>
      <c r="G483" s="26"/>
      <c r="H483" s="5"/>
      <c r="I483" s="5"/>
      <c r="J483" s="5"/>
      <c r="K483" s="5" t="str">
        <f>IF(COUNTA(H483:J483)=2,ROUND(PRODUCT(H483:J483),2),"")</f>
        <v/>
      </c>
      <c r="L483" s="5" t="str">
        <f>IF(OR(AND(COUNTA(H483:J483)=3,K483=""),AND(COUNTA(H483:J483)=1,K483&lt;&gt;"")),ROUND(PRODUCT(H483:K483),2),"")</f>
        <v/>
      </c>
      <c r="M483" s="5">
        <f>IF(L483&lt;&gt;"",ROUND(PRODUCT(F483,G483,L483),2),IF(K483&lt;&gt;"",ROUND(PRODUCT(F483,G483,K483),2),ROUND(PRODUCT(F483:J483),2)))</f>
        <v>1</v>
      </c>
      <c r="N483" s="5"/>
    </row>
    <row r="484" spans="1:14" ht="28.8" x14ac:dyDescent="0.3">
      <c r="A484" s="23" t="s">
        <v>334</v>
      </c>
      <c r="B484" s="23">
        <v>93656</v>
      </c>
      <c r="C484" s="23" t="str">
        <f>VLOOKUP(B484,CPU!$B:$J,2,FALSE)</f>
        <v>SINAPI</v>
      </c>
      <c r="D484" s="24" t="str">
        <f>VLOOKUP(B484,CPU!$B:$J,3,FALSE)</f>
        <v>DISJUNTOR MONOPOLAR TIPO DIN, CORRENTE NOMINAL DE 25A - FORNECIMENTO E INSTALAÇÃO. AF_10/2020</v>
      </c>
      <c r="E484" s="23" t="str">
        <f>VLOOKUP(B484,CPU!$B:$J,4,FALSE)</f>
        <v>UN</v>
      </c>
      <c r="F484" s="23"/>
      <c r="G484" s="23"/>
      <c r="H484" s="23"/>
      <c r="I484" s="23"/>
      <c r="J484" s="23"/>
      <c r="K484" s="23"/>
      <c r="L484" s="23"/>
      <c r="M484" s="23"/>
      <c r="N484" s="5">
        <f>SUM($M$485:$M$485)</f>
        <v>1</v>
      </c>
    </row>
    <row r="485" spans="1:14" x14ac:dyDescent="0.3">
      <c r="A485" s="23" t="s">
        <v>818</v>
      </c>
      <c r="B485" s="65" t="s">
        <v>516</v>
      </c>
      <c r="C485" s="66"/>
      <c r="D485" s="66"/>
      <c r="E485" s="67"/>
      <c r="F485" s="5">
        <v>1</v>
      </c>
      <c r="G485" s="26"/>
      <c r="H485" s="5"/>
      <c r="I485" s="5"/>
      <c r="J485" s="5"/>
      <c r="K485" s="5" t="str">
        <f>IF(COUNTA(H485:J485)=2,ROUND(PRODUCT(H485:J485),2),"")</f>
        <v/>
      </c>
      <c r="L485" s="5" t="str">
        <f>IF(OR(AND(COUNTA(H485:J485)=3,K485=""),AND(COUNTA(H485:J485)=1,K485&lt;&gt;"")),ROUND(PRODUCT(H485:K485),2),"")</f>
        <v/>
      </c>
      <c r="M485" s="5">
        <f>IF(L485&lt;&gt;"",ROUND(PRODUCT(F485,G485,L485),2),IF(K485&lt;&gt;"",ROUND(PRODUCT(F485,G485,K485),2),ROUND(PRODUCT(F485:J485),2)))</f>
        <v>1</v>
      </c>
      <c r="N485" s="5"/>
    </row>
    <row r="486" spans="1:14" ht="28.8" x14ac:dyDescent="0.3">
      <c r="A486" s="23" t="s">
        <v>335</v>
      </c>
      <c r="B486" s="23">
        <v>93653</v>
      </c>
      <c r="C486" s="23" t="str">
        <f>VLOOKUP(B486,CPU!$B:$J,2,FALSE)</f>
        <v>SINAPI</v>
      </c>
      <c r="D486" s="24" t="str">
        <f>VLOOKUP(B486,CPU!$B:$J,3,FALSE)</f>
        <v>DISJUNTOR MONOPOLAR TIPO DIN, CORRENTE NOMINAL DE 10A - FORNECIMENTO E INSTALAÇÃO. AF_10/2020</v>
      </c>
      <c r="E486" s="23" t="str">
        <f>VLOOKUP(B486,CPU!$B:$J,4,FALSE)</f>
        <v>UN</v>
      </c>
      <c r="F486" s="23"/>
      <c r="G486" s="23"/>
      <c r="H486" s="23"/>
      <c r="I486" s="23"/>
      <c r="J486" s="23"/>
      <c r="K486" s="23"/>
      <c r="L486" s="23"/>
      <c r="M486" s="23"/>
      <c r="N486" s="5">
        <f>SUM($M$487:$M$487)</f>
        <v>1</v>
      </c>
    </row>
    <row r="487" spans="1:14" x14ac:dyDescent="0.3">
      <c r="A487" s="23" t="s">
        <v>819</v>
      </c>
      <c r="B487" s="65" t="s">
        <v>516</v>
      </c>
      <c r="C487" s="66"/>
      <c r="D487" s="66"/>
      <c r="E487" s="67"/>
      <c r="F487" s="5">
        <v>1</v>
      </c>
      <c r="G487" s="26"/>
      <c r="H487" s="5"/>
      <c r="I487" s="5"/>
      <c r="J487" s="5"/>
      <c r="K487" s="5" t="str">
        <f>IF(COUNTA(H487:J487)=2,ROUND(PRODUCT(H487:J487),2),"")</f>
        <v/>
      </c>
      <c r="L487" s="5" t="str">
        <f>IF(OR(AND(COUNTA(H487:J487)=3,K487=""),AND(COUNTA(H487:J487)=1,K487&lt;&gt;"")),ROUND(PRODUCT(H487:K487),2),"")</f>
        <v/>
      </c>
      <c r="M487" s="5">
        <f>IF(L487&lt;&gt;"",ROUND(PRODUCT(F487,G487,L487),2),IF(K487&lt;&gt;"",ROUND(PRODUCT(F487,G487,K487),2),ROUND(PRODUCT(F487:J487),2)))</f>
        <v>1</v>
      </c>
      <c r="N487" s="5"/>
    </row>
    <row r="488" spans="1:14" x14ac:dyDescent="0.3">
      <c r="A488" s="23" t="s">
        <v>336</v>
      </c>
      <c r="B488" s="23" t="s">
        <v>630</v>
      </c>
      <c r="C488" s="23" t="str">
        <f>VLOOKUP(B488,CPU!$B:$J,2,FALSE)</f>
        <v>ORSE</v>
      </c>
      <c r="D488" s="24" t="str">
        <f>VLOOKUP(B488,CPU!$B:$J,3,FALSE)</f>
        <v>DISPOSITIVO DE PROTEÇÃO CONTRA SURTO DE TENSÃO DPS 60KA - 275V</v>
      </c>
      <c r="E488" s="23" t="str">
        <f>VLOOKUP(B488,CPU!$B:$J,4,FALSE)</f>
        <v>UN</v>
      </c>
      <c r="F488" s="23"/>
      <c r="G488" s="23"/>
      <c r="H488" s="23"/>
      <c r="I488" s="23"/>
      <c r="J488" s="23"/>
      <c r="K488" s="23"/>
      <c r="L488" s="23"/>
      <c r="M488" s="23"/>
      <c r="N488" s="5">
        <f>SUM($M$489:$M$489)</f>
        <v>1</v>
      </c>
    </row>
    <row r="489" spans="1:14" x14ac:dyDescent="0.3">
      <c r="A489" s="23" t="s">
        <v>820</v>
      </c>
      <c r="B489" s="65" t="s">
        <v>516</v>
      </c>
      <c r="C489" s="66"/>
      <c r="D489" s="66"/>
      <c r="E489" s="67"/>
      <c r="F489" s="5">
        <v>1</v>
      </c>
      <c r="G489" s="26"/>
      <c r="H489" s="5"/>
      <c r="I489" s="5"/>
      <c r="J489" s="5"/>
      <c r="K489" s="5" t="str">
        <f>IF(COUNTA(H489:J489)=2,ROUND(PRODUCT(H489:J489),2),"")</f>
        <v/>
      </c>
      <c r="L489" s="5" t="str">
        <f>IF(OR(AND(COUNTA(H489:J489)=3,K489=""),AND(COUNTA(H489:J489)=1,K489&lt;&gt;"")),ROUND(PRODUCT(H489:K489),2),"")</f>
        <v/>
      </c>
      <c r="M489" s="5">
        <f>IF(L489&lt;&gt;"",ROUND(PRODUCT(F489,G489,L489),2),IF(K489&lt;&gt;"",ROUND(PRODUCT(F489,G489,K489),2),ROUND(PRODUCT(F489:J489),2)))</f>
        <v>1</v>
      </c>
      <c r="N489" s="5"/>
    </row>
    <row r="490" spans="1:14" ht="28.8" x14ac:dyDescent="0.3">
      <c r="A490" s="23" t="s">
        <v>337</v>
      </c>
      <c r="B490" s="23">
        <v>101877</v>
      </c>
      <c r="C490" s="23" t="str">
        <f>VLOOKUP(B490,CPU!$B:$J,2,FALSE)</f>
        <v>SINAPI</v>
      </c>
      <c r="D490" s="24" t="str">
        <f>VLOOKUP(B490,CPU!$B:$J,3,FALSE)</f>
        <v>QUADRO DE DISTRIBUIÇÃO DE ENERGIA EM PVC, DE EMBUTIR, SEM BARRAMENTO, PARA 3 DISJUNTORES - FORNECIMENTO E INSTALAÇÃO. AF_10/2020</v>
      </c>
      <c r="E490" s="23" t="str">
        <f>VLOOKUP(B490,CPU!$B:$J,4,FALSE)</f>
        <v>UN</v>
      </c>
      <c r="F490" s="23"/>
      <c r="G490" s="23"/>
      <c r="H490" s="23"/>
      <c r="I490" s="23"/>
      <c r="J490" s="23"/>
      <c r="K490" s="23"/>
      <c r="L490" s="23"/>
      <c r="M490" s="23"/>
      <c r="N490" s="5">
        <f>SUM($M$491:$M$491)</f>
        <v>1</v>
      </c>
    </row>
    <row r="491" spans="1:14" x14ac:dyDescent="0.3">
      <c r="A491" s="23" t="s">
        <v>821</v>
      </c>
      <c r="B491" s="65" t="s">
        <v>516</v>
      </c>
      <c r="C491" s="66"/>
      <c r="D491" s="66"/>
      <c r="E491" s="67"/>
      <c r="F491" s="5">
        <v>1</v>
      </c>
      <c r="G491" s="26"/>
      <c r="H491" s="5"/>
      <c r="I491" s="5"/>
      <c r="J491" s="5"/>
      <c r="K491" s="5" t="str">
        <f>IF(COUNTA(H491:J491)=2,ROUND(PRODUCT(H491:J491),2),"")</f>
        <v/>
      </c>
      <c r="L491" s="5" t="str">
        <f>IF(OR(AND(COUNTA(H491:J491)=3,K491=""),AND(COUNTA(H491:J491)=1,K491&lt;&gt;"")),ROUND(PRODUCT(H491:K491),2),"")</f>
        <v/>
      </c>
      <c r="M491" s="5">
        <f>IF(L491&lt;&gt;"",ROUND(PRODUCT(F491,G491,L491),2),IF(K491&lt;&gt;"",ROUND(PRODUCT(F491,G491,K491),2),ROUND(PRODUCT(F491:J491),2)))</f>
        <v>1</v>
      </c>
      <c r="N491" s="5"/>
    </row>
    <row r="492" spans="1:14" ht="43.2" x14ac:dyDescent="0.3">
      <c r="A492" s="23" t="s">
        <v>338</v>
      </c>
      <c r="B492" s="23" t="s">
        <v>633</v>
      </c>
      <c r="C492" s="23" t="str">
        <f>VLOOKUP(B492,CPU!$B:$J,2,FALSE)</f>
        <v>PRÓPRIA</v>
      </c>
      <c r="D492" s="24" t="str">
        <f>VLOOKUP(B492,CPU!$B:$J,3,FALSE)</f>
        <v>PONTO DE ILUMINAÇÃO E TOMADA, RESIDENCIAL, INCLUINDO INTERRUPTOR SIMPLES E TOMADA 10A/250V, CAIXA ELÉTRICA, ELETRODUTO, CABO, RASGO, QUEBRA E CHUMBAMENTO (EXCLUINDO LUMINÁRIA E LÂMPADA)</v>
      </c>
      <c r="E492" s="23" t="str">
        <f>VLOOKUP(B492,CPU!$B:$J,4,FALSE)</f>
        <v>UN</v>
      </c>
      <c r="F492" s="23"/>
      <c r="G492" s="23"/>
      <c r="H492" s="23"/>
      <c r="I492" s="23"/>
      <c r="J492" s="23"/>
      <c r="K492" s="23"/>
      <c r="L492" s="23"/>
      <c r="M492" s="23"/>
      <c r="N492" s="5">
        <f>SUM($M$493:$M$493)</f>
        <v>1</v>
      </c>
    </row>
    <row r="493" spans="1:14" x14ac:dyDescent="0.3">
      <c r="A493" s="23" t="s">
        <v>822</v>
      </c>
      <c r="B493" s="65" t="s">
        <v>516</v>
      </c>
      <c r="C493" s="66"/>
      <c r="D493" s="66"/>
      <c r="E493" s="67"/>
      <c r="F493" s="5">
        <v>1</v>
      </c>
      <c r="G493" s="26"/>
      <c r="H493" s="5"/>
      <c r="I493" s="5"/>
      <c r="J493" s="5"/>
      <c r="K493" s="5" t="str">
        <f>IF(COUNTA(H493:J493)=2,ROUND(PRODUCT(H493:J493),2),"")</f>
        <v/>
      </c>
      <c r="L493" s="5" t="str">
        <f>IF(OR(AND(COUNTA(H493:J493)=3,K493=""),AND(COUNTA(H493:J493)=1,K493&lt;&gt;"")),ROUND(PRODUCT(H493:K493),2),"")</f>
        <v/>
      </c>
      <c r="M493" s="5">
        <f>IF(L493&lt;&gt;"",ROUND(PRODUCT(F493,G493,L493),2),IF(K493&lt;&gt;"",ROUND(PRODUCT(F493,G493,K493),2),ROUND(PRODUCT(F493:J493),2)))</f>
        <v>1</v>
      </c>
      <c r="N493" s="5"/>
    </row>
    <row r="494" spans="1:14" ht="28.8" x14ac:dyDescent="0.3">
      <c r="A494" s="23" t="s">
        <v>339</v>
      </c>
      <c r="B494" s="23">
        <v>97610</v>
      </c>
      <c r="C494" s="23" t="str">
        <f>VLOOKUP(B494,CPU!$B:$J,2,FALSE)</f>
        <v>SINAPI</v>
      </c>
      <c r="D494" s="24" t="str">
        <f>VLOOKUP(B494,CPU!$B:$J,3,FALSE)</f>
        <v>LÂMPADA COMPACTA DE LED 10 W, BASE E27 - FORNECIMENTO E INSTALAÇÃO. AF_09/2024</v>
      </c>
      <c r="E494" s="23" t="str">
        <f>VLOOKUP(B494,CPU!$B:$J,4,FALSE)</f>
        <v>UN</v>
      </c>
      <c r="F494" s="23"/>
      <c r="G494" s="23"/>
      <c r="H494" s="23"/>
      <c r="I494" s="23"/>
      <c r="J494" s="23"/>
      <c r="K494" s="23"/>
      <c r="L494" s="23"/>
      <c r="M494" s="23"/>
      <c r="N494" s="5">
        <f>SUM($M$495:$M$495)</f>
        <v>1</v>
      </c>
    </row>
    <row r="495" spans="1:14" x14ac:dyDescent="0.3">
      <c r="A495" s="23" t="s">
        <v>823</v>
      </c>
      <c r="B495" s="65" t="s">
        <v>516</v>
      </c>
      <c r="C495" s="66"/>
      <c r="D495" s="66"/>
      <c r="E495" s="67"/>
      <c r="F495" s="5">
        <v>1</v>
      </c>
      <c r="G495" s="26"/>
      <c r="H495" s="5"/>
      <c r="I495" s="5"/>
      <c r="J495" s="5"/>
      <c r="K495" s="5" t="str">
        <f>IF(COUNTA(H495:J495)=2,ROUND(PRODUCT(H495:J495),2),"")</f>
        <v/>
      </c>
      <c r="L495" s="5" t="str">
        <f>IF(OR(AND(COUNTA(H495:J495)=3,K495=""),AND(COUNTA(H495:J495)=1,K495&lt;&gt;"")),ROUND(PRODUCT(H495:K495),2),"")</f>
        <v/>
      </c>
      <c r="M495" s="5">
        <f>IF(L495&lt;&gt;"",ROUND(PRODUCT(F495,G495,L495),2),IF(K495&lt;&gt;"",ROUND(PRODUCT(F495,G495,K495),2),ROUND(PRODUCT(F495:J495),2)))</f>
        <v>1</v>
      </c>
      <c r="N495" s="5"/>
    </row>
    <row r="496" spans="1:14" ht="28.8" x14ac:dyDescent="0.3">
      <c r="A496" s="23" t="s">
        <v>340</v>
      </c>
      <c r="B496" s="23" t="s">
        <v>636</v>
      </c>
      <c r="C496" s="23" t="str">
        <f>VLOOKUP(B496,CPU!$B:$J,2,FALSE)</f>
        <v>PRÓPRIA</v>
      </c>
      <c r="D496" s="24" t="str">
        <f>VLOOKUP(B496,CPU!$B:$J,3,FALSE)</f>
        <v>LUMINÁRIA ARANDELA TIPO MEIA-LUA COM VIDRO FOSCO *30 X 15* CM, PARA 1 LÂMPADA (SINAPI ADAPTADO 97605)</v>
      </c>
      <c r="E496" s="23" t="str">
        <f>VLOOKUP(B496,CPU!$B:$J,4,FALSE)</f>
        <v>UN</v>
      </c>
      <c r="F496" s="23"/>
      <c r="G496" s="23"/>
      <c r="H496" s="23"/>
      <c r="I496" s="23"/>
      <c r="J496" s="23"/>
      <c r="K496" s="23"/>
      <c r="L496" s="23"/>
      <c r="M496" s="23"/>
      <c r="N496" s="5">
        <f>SUM($M$497:$M$497)</f>
        <v>1</v>
      </c>
    </row>
    <row r="497" spans="1:14" x14ac:dyDescent="0.3">
      <c r="A497" s="23" t="s">
        <v>824</v>
      </c>
      <c r="B497" s="65" t="s">
        <v>516</v>
      </c>
      <c r="C497" s="66"/>
      <c r="D497" s="66"/>
      <c r="E497" s="67"/>
      <c r="F497" s="5">
        <v>1</v>
      </c>
      <c r="G497" s="26"/>
      <c r="H497" s="5"/>
      <c r="I497" s="5"/>
      <c r="J497" s="5"/>
      <c r="K497" s="5" t="str">
        <f>IF(COUNTA(H497:J497)=2,ROUND(PRODUCT(H497:J497),2),"")</f>
        <v/>
      </c>
      <c r="L497" s="5" t="str">
        <f>IF(OR(AND(COUNTA(H497:J497)=3,K497=""),AND(COUNTA(H497:J497)=1,K497&lt;&gt;"")),ROUND(PRODUCT(H497:K497),2),"")</f>
        <v/>
      </c>
      <c r="M497" s="5">
        <f>IF(L497&lt;&gt;"",ROUND(PRODUCT(F497,G497,L497),2),IF(K497&lt;&gt;"",ROUND(PRODUCT(F497,G497,K497),2),ROUND(PRODUCT(F497:J497),2)))</f>
        <v>1</v>
      </c>
      <c r="N497" s="5"/>
    </row>
    <row r="498" spans="1:14" x14ac:dyDescent="0.3">
      <c r="A498" s="12" t="s">
        <v>80</v>
      </c>
      <c r="B498" s="46" t="s">
        <v>638</v>
      </c>
      <c r="C498" s="47"/>
      <c r="D498" s="47"/>
      <c r="E498" s="47"/>
      <c r="F498" s="47"/>
      <c r="G498" s="47"/>
      <c r="H498" s="47"/>
      <c r="I498" s="47"/>
      <c r="J498" s="47"/>
      <c r="K498" s="47"/>
      <c r="L498" s="47"/>
      <c r="M498" s="47"/>
      <c r="N498" s="48"/>
    </row>
    <row r="499" spans="1:14" x14ac:dyDescent="0.3">
      <c r="A499" s="15" t="s">
        <v>81</v>
      </c>
      <c r="B499" s="49" t="s">
        <v>573</v>
      </c>
      <c r="C499" s="50"/>
      <c r="D499" s="50"/>
      <c r="E499" s="50"/>
      <c r="F499" s="50"/>
      <c r="G499" s="50"/>
      <c r="H499" s="50"/>
      <c r="I499" s="50"/>
      <c r="J499" s="50"/>
      <c r="K499" s="50"/>
      <c r="L499" s="50"/>
      <c r="M499" s="50"/>
      <c r="N499" s="51"/>
    </row>
    <row r="500" spans="1:14" x14ac:dyDescent="0.3">
      <c r="A500" s="23" t="s">
        <v>341</v>
      </c>
      <c r="B500" s="23">
        <v>93358</v>
      </c>
      <c r="C500" s="23" t="str">
        <f>VLOOKUP(B500,CPU!$B:$J,2,FALSE)</f>
        <v>SINAPI</v>
      </c>
      <c r="D500" s="24" t="str">
        <f>VLOOKUP(B500,CPU!$B:$J,3,FALSE)</f>
        <v>ESCAVAÇÃO MANUAL DE VALA. AF_09/2024</v>
      </c>
      <c r="E500" s="23" t="str">
        <f>VLOOKUP(B500,CPU!$B:$J,4,FALSE)</f>
        <v>M3</v>
      </c>
      <c r="F500" s="23"/>
      <c r="G500" s="23"/>
      <c r="H500" s="23"/>
      <c r="I500" s="23"/>
      <c r="J500" s="23"/>
      <c r="K500" s="23"/>
      <c r="L500" s="23"/>
      <c r="M500" s="23"/>
      <c r="N500" s="5">
        <f>SUM($M$501:$M$501)</f>
        <v>2.76</v>
      </c>
    </row>
    <row r="501" spans="1:14" x14ac:dyDescent="0.3">
      <c r="A501" s="23" t="s">
        <v>825</v>
      </c>
      <c r="B501" s="65" t="s">
        <v>516</v>
      </c>
      <c r="C501" s="66"/>
      <c r="D501" s="66"/>
      <c r="E501" s="67"/>
      <c r="F501" s="5"/>
      <c r="G501" s="26"/>
      <c r="H501" s="5">
        <v>3.6</v>
      </c>
      <c r="I501" s="5">
        <v>0.6</v>
      </c>
      <c r="J501" s="5">
        <v>1.28</v>
      </c>
      <c r="K501" s="5" t="str">
        <f>IF(COUNTA(H501:J501)=2,ROUND(PRODUCT(H501:J501),2),"")</f>
        <v/>
      </c>
      <c r="L501" s="5">
        <f>IF(OR(AND(COUNTA(H501:J501)=3,K501=""),AND(COUNTA(H501:J501)=1,K501&lt;&gt;"")),ROUND(PRODUCT(H501:K501),2),"")</f>
        <v>2.76</v>
      </c>
      <c r="M501" s="5">
        <f>IF(L501&lt;&gt;"",ROUND(PRODUCT(F501,G501,L501),2),IF(K501&lt;&gt;"",ROUND(PRODUCT(F501,G501,K501),2),ROUND(PRODUCT(F501:J501),2)))</f>
        <v>2.76</v>
      </c>
      <c r="N501" s="5"/>
    </row>
    <row r="502" spans="1:14" x14ac:dyDescent="0.3">
      <c r="A502" s="23" t="s">
        <v>342</v>
      </c>
      <c r="B502" s="23" t="s">
        <v>640</v>
      </c>
      <c r="C502" s="23" t="str">
        <f>VLOOKUP(B502,CPU!$B:$J,2,FALSE)</f>
        <v>PRÓPRIA</v>
      </c>
      <c r="D502" s="24" t="str">
        <f>VLOOKUP(B502,CPU!$B:$J,3,FALSE)</f>
        <v>REATERRO DE VALA COM COMPACTAÇÃO MANUAL</v>
      </c>
      <c r="E502" s="23" t="str">
        <f>VLOOKUP(B502,CPU!$B:$J,4,FALSE)</f>
        <v>M³</v>
      </c>
      <c r="F502" s="23"/>
      <c r="G502" s="23"/>
      <c r="H502" s="23"/>
      <c r="I502" s="23"/>
      <c r="J502" s="23"/>
      <c r="K502" s="23"/>
      <c r="L502" s="23"/>
      <c r="M502" s="23"/>
      <c r="N502" s="5">
        <f>SUM($M$503:$M$503)</f>
        <v>2.76</v>
      </c>
    </row>
    <row r="503" spans="1:14" x14ac:dyDescent="0.3">
      <c r="A503" s="23" t="s">
        <v>826</v>
      </c>
      <c r="B503" s="65" t="s">
        <v>516</v>
      </c>
      <c r="C503" s="66"/>
      <c r="D503" s="66"/>
      <c r="E503" s="67"/>
      <c r="F503" s="5"/>
      <c r="G503" s="26"/>
      <c r="H503" s="5">
        <v>3.6</v>
      </c>
      <c r="I503" s="5">
        <v>0.6</v>
      </c>
      <c r="J503" s="5">
        <v>1.28</v>
      </c>
      <c r="K503" s="5" t="str">
        <f>IF(COUNTA(H503:J503)=2,ROUND(PRODUCT(H503:J503),2),"")</f>
        <v/>
      </c>
      <c r="L503" s="5">
        <f>IF(OR(AND(COUNTA(H503:J503)=3,K503=""),AND(COUNTA(H503:J503)=1,K503&lt;&gt;"")),ROUND(PRODUCT(H503:K503),2),"")</f>
        <v>2.76</v>
      </c>
      <c r="M503" s="5">
        <f>IF(L503&lt;&gt;"",ROUND(PRODUCT(F503,G503,L503),2),IF(K503&lt;&gt;"",ROUND(PRODUCT(F503,G503,K503),2),ROUND(PRODUCT(F503:J503),2)))</f>
        <v>2.76</v>
      </c>
      <c r="N503" s="5"/>
    </row>
    <row r="504" spans="1:14" x14ac:dyDescent="0.3">
      <c r="A504" s="15" t="s">
        <v>82</v>
      </c>
      <c r="B504" s="49" t="s">
        <v>576</v>
      </c>
      <c r="C504" s="50"/>
      <c r="D504" s="50"/>
      <c r="E504" s="50"/>
      <c r="F504" s="50"/>
      <c r="G504" s="50"/>
      <c r="H504" s="50"/>
      <c r="I504" s="50"/>
      <c r="J504" s="50"/>
      <c r="K504" s="50"/>
      <c r="L504" s="50"/>
      <c r="M504" s="50"/>
      <c r="N504" s="51"/>
    </row>
    <row r="505" spans="1:14" x14ac:dyDescent="0.3">
      <c r="A505" s="23" t="s">
        <v>343</v>
      </c>
      <c r="B505" s="23" t="s">
        <v>642</v>
      </c>
      <c r="C505" s="23" t="str">
        <f>VLOOKUP(B505,CPU!$B:$J,2,FALSE)</f>
        <v>SEINFRA</v>
      </c>
      <c r="D505" s="24" t="str">
        <f>VLOOKUP(B505,CPU!$B:$J,3,FALSE)</f>
        <v>BLOCO DE ANCORAGEM EM CONCRETO SIMPLES FCK=10MPa</v>
      </c>
      <c r="E505" s="23" t="str">
        <f>VLOOKUP(B505,CPU!$B:$J,4,FALSE)</f>
        <v>M3</v>
      </c>
      <c r="F505" s="23"/>
      <c r="G505" s="23"/>
      <c r="H505" s="23"/>
      <c r="I505" s="23"/>
      <c r="J505" s="23"/>
      <c r="K505" s="23"/>
      <c r="L505" s="23"/>
      <c r="M505" s="23"/>
      <c r="N505" s="5">
        <f>SUM($M$506:$M$506)</f>
        <v>0.26</v>
      </c>
    </row>
    <row r="506" spans="1:14" x14ac:dyDescent="0.3">
      <c r="A506" s="23" t="s">
        <v>827</v>
      </c>
      <c r="B506" s="65" t="s">
        <v>516</v>
      </c>
      <c r="C506" s="66"/>
      <c r="D506" s="66"/>
      <c r="E506" s="67"/>
      <c r="F506" s="5"/>
      <c r="G506" s="26">
        <v>2</v>
      </c>
      <c r="H506" s="5">
        <v>0.5</v>
      </c>
      <c r="I506" s="5">
        <v>0.5</v>
      </c>
      <c r="J506" s="5">
        <v>0.5</v>
      </c>
      <c r="K506" s="5" t="str">
        <f>IF(COUNTA(H506:J506)=2,ROUND(PRODUCT(H506:J506),2),"")</f>
        <v/>
      </c>
      <c r="L506" s="5">
        <f>IF(OR(AND(COUNTA(H506:J506)=3,K506=""),AND(COUNTA(H506:J506)=1,K506&lt;&gt;"")),ROUND(PRODUCT(H506:K506),2),"")</f>
        <v>0.13</v>
      </c>
      <c r="M506" s="5">
        <f>IF(L506&lt;&gt;"",ROUND(PRODUCT(F506,G506,L506),2),IF(K506&lt;&gt;"",ROUND(PRODUCT(F506,G506,K506),2),ROUND(PRODUCT(F506:J506),2)))</f>
        <v>0.26</v>
      </c>
      <c r="N506" s="5"/>
    </row>
    <row r="507" spans="1:14" x14ac:dyDescent="0.3">
      <c r="A507" s="15" t="s">
        <v>83</v>
      </c>
      <c r="B507" s="49" t="s">
        <v>644</v>
      </c>
      <c r="C507" s="50"/>
      <c r="D507" s="50"/>
      <c r="E507" s="50"/>
      <c r="F507" s="50"/>
      <c r="G507" s="50"/>
      <c r="H507" s="50"/>
      <c r="I507" s="50"/>
      <c r="J507" s="50"/>
      <c r="K507" s="50"/>
      <c r="L507" s="50"/>
      <c r="M507" s="50"/>
      <c r="N507" s="51"/>
    </row>
    <row r="508" spans="1:14" ht="28.8" x14ac:dyDescent="0.3">
      <c r="A508" s="23" t="s">
        <v>344</v>
      </c>
      <c r="B508" s="23" t="s">
        <v>645</v>
      </c>
      <c r="C508" s="23" t="str">
        <f>VLOOKUP(B508,CPU!$B:$J,2,FALSE)</f>
        <v>PRÓPRIA</v>
      </c>
      <c r="D508" s="24" t="str">
        <f>VLOOKUP(B508,CPU!$B:$J,3,FALSE)</f>
        <v>AQUISIÇÃO E ASSENTAMENTO DE TUBO RÍGIDO PVC, CLASSE 12, DN 50 MM, INCLUSO CONEXÕES</v>
      </c>
      <c r="E508" s="23" t="str">
        <f>VLOOKUP(B508,CPU!$B:$J,4,FALSE)</f>
        <v>M</v>
      </c>
      <c r="F508" s="23"/>
      <c r="G508" s="23"/>
      <c r="H508" s="23"/>
      <c r="I508" s="23"/>
      <c r="J508" s="23"/>
      <c r="K508" s="23"/>
      <c r="L508" s="23"/>
      <c r="M508" s="23"/>
      <c r="N508" s="5">
        <f>SUM($M$509:$M$509)</f>
        <v>16</v>
      </c>
    </row>
    <row r="509" spans="1:14" x14ac:dyDescent="0.3">
      <c r="A509" s="23" t="s">
        <v>828</v>
      </c>
      <c r="B509" s="65" t="s">
        <v>516</v>
      </c>
      <c r="C509" s="66"/>
      <c r="D509" s="66"/>
      <c r="E509" s="67"/>
      <c r="F509" s="5">
        <v>16</v>
      </c>
      <c r="G509" s="26"/>
      <c r="H509" s="5"/>
      <c r="I509" s="5"/>
      <c r="J509" s="5"/>
      <c r="K509" s="5" t="str">
        <f>IF(COUNTA(H509:J509)=2,ROUND(PRODUCT(H509:J509),2),"")</f>
        <v/>
      </c>
      <c r="L509" s="5" t="str">
        <f>IF(OR(AND(COUNTA(H509:J509)=3,K509=""),AND(COUNTA(H509:J509)=1,K509&lt;&gt;"")),ROUND(PRODUCT(H509:K509),2),"")</f>
        <v/>
      </c>
      <c r="M509" s="5">
        <f>IF(L509&lt;&gt;"",ROUND(PRODUCT(F509,G509,L509),2),IF(K509&lt;&gt;"",ROUND(PRODUCT(F509,G509,K509),2),ROUND(PRODUCT(F509:J509),2)))</f>
        <v>16</v>
      </c>
      <c r="N509" s="5"/>
    </row>
    <row r="510" spans="1:14" ht="28.8" x14ac:dyDescent="0.3">
      <c r="A510" s="23" t="s">
        <v>345</v>
      </c>
      <c r="B510" s="23">
        <v>94497</v>
      </c>
      <c r="C510" s="23" t="str">
        <f>VLOOKUP(B510,CPU!$B:$J,2,FALSE)</f>
        <v>SINAPI</v>
      </c>
      <c r="D510" s="24" t="str">
        <f>VLOOKUP(B510,CPU!$B:$J,3,FALSE)</f>
        <v>REGISTRO DE GAVETA BRUTO, LATÃO, ROSCÁVEL, 1 1/2" - FORNECIMENTO E INSTALAÇÃO. AF_08/2021</v>
      </c>
      <c r="E510" s="23" t="str">
        <f>VLOOKUP(B510,CPU!$B:$J,4,FALSE)</f>
        <v>UN</v>
      </c>
      <c r="F510" s="23"/>
      <c r="G510" s="23"/>
      <c r="H510" s="23"/>
      <c r="I510" s="23"/>
      <c r="J510" s="23"/>
      <c r="K510" s="23"/>
      <c r="L510" s="23"/>
      <c r="M510" s="23"/>
      <c r="N510" s="5">
        <f>SUM($M$511:$M$511)</f>
        <v>1</v>
      </c>
    </row>
    <row r="511" spans="1:14" x14ac:dyDescent="0.3">
      <c r="A511" s="23" t="s">
        <v>829</v>
      </c>
      <c r="B511" s="65" t="s">
        <v>516</v>
      </c>
      <c r="C511" s="66"/>
      <c r="D511" s="66"/>
      <c r="E511" s="67"/>
      <c r="F511" s="5">
        <v>1</v>
      </c>
      <c r="G511" s="26"/>
      <c r="H511" s="5"/>
      <c r="I511" s="5"/>
      <c r="J511" s="5"/>
      <c r="K511" s="5" t="str">
        <f>IF(COUNTA(H511:J511)=2,ROUND(PRODUCT(H511:J511),2),"")</f>
        <v/>
      </c>
      <c r="L511" s="5" t="str">
        <f>IF(OR(AND(COUNTA(H511:J511)=3,K511=""),AND(COUNTA(H511:J511)=1,K511&lt;&gt;"")),ROUND(PRODUCT(H511:K511),2),"")</f>
        <v/>
      </c>
      <c r="M511" s="5">
        <f>IF(L511&lt;&gt;"",ROUND(PRODUCT(F511,G511,L511),2),IF(K511&lt;&gt;"",ROUND(PRODUCT(F511,G511,K511),2),ROUND(PRODUCT(F511:J511),2)))</f>
        <v>1</v>
      </c>
      <c r="N511" s="5"/>
    </row>
    <row r="512" spans="1:14" x14ac:dyDescent="0.3">
      <c r="A512" s="12" t="s">
        <v>84</v>
      </c>
      <c r="B512" s="46" t="s">
        <v>648</v>
      </c>
      <c r="C512" s="47"/>
      <c r="D512" s="47"/>
      <c r="E512" s="47"/>
      <c r="F512" s="47"/>
      <c r="G512" s="47"/>
      <c r="H512" s="47"/>
      <c r="I512" s="47"/>
      <c r="J512" s="47"/>
      <c r="K512" s="47"/>
      <c r="L512" s="47"/>
      <c r="M512" s="47"/>
      <c r="N512" s="48"/>
    </row>
    <row r="513" spans="1:14" ht="57.6" x14ac:dyDescent="0.3">
      <c r="A513" s="23" t="s">
        <v>346</v>
      </c>
      <c r="B513" s="23" t="s">
        <v>649</v>
      </c>
      <c r="C513" s="23" t="str">
        <f>VLOOKUP(B513,CPU!$B:$J,2,FALSE)</f>
        <v>PRÓPRIA</v>
      </c>
      <c r="D513" s="24" t="str">
        <f>VLOOKUP(B513,CPU!$B:$J,3,FALSE)</f>
        <v>RESERVATÓRIO ELEVADO C/ CAIXA D'AGUA EM FIBRA DE VIDRO DE 10.000 LITROS APOIADO EM ESTRUTURA PRÉ-MOLDADA EM CONCRETO, COMPOSTA DE CAPITEL P/APOIO DA CAIXA E PILAR C/ALTURA ÚTIL = 7,00M, INCLUSO FRETE E MONTAGEM NO LOCAL, EXCETO INST. HIDRÁULICA</v>
      </c>
      <c r="E513" s="23" t="str">
        <f>VLOOKUP(B513,CPU!$B:$J,4,FALSE)</f>
        <v>UND</v>
      </c>
      <c r="F513" s="23"/>
      <c r="G513" s="23"/>
      <c r="H513" s="23"/>
      <c r="I513" s="23"/>
      <c r="J513" s="23"/>
      <c r="K513" s="23"/>
      <c r="L513" s="23"/>
      <c r="M513" s="23"/>
      <c r="N513" s="5">
        <f>SUM($M$514:$M$514)</f>
        <v>1</v>
      </c>
    </row>
    <row r="514" spans="1:14" x14ac:dyDescent="0.3">
      <c r="A514" s="23" t="s">
        <v>830</v>
      </c>
      <c r="B514" s="65" t="s">
        <v>516</v>
      </c>
      <c r="C514" s="66"/>
      <c r="D514" s="66"/>
      <c r="E514" s="67"/>
      <c r="F514" s="5">
        <v>1</v>
      </c>
      <c r="G514" s="26"/>
      <c r="H514" s="5"/>
      <c r="I514" s="5"/>
      <c r="J514" s="5"/>
      <c r="K514" s="5" t="str">
        <f>IF(COUNTA(H514:J514)=2,ROUND(PRODUCT(H514:J514),2),"")</f>
        <v/>
      </c>
      <c r="L514" s="5" t="str">
        <f>IF(OR(AND(COUNTA(H514:J514)=3,K514=""),AND(COUNTA(H514:J514)=1,K514&lt;&gt;"")),ROUND(PRODUCT(H514:K514),2),"")</f>
        <v/>
      </c>
      <c r="M514" s="5">
        <f>IF(L514&lt;&gt;"",ROUND(PRODUCT(F514,G514,L514),2),IF(K514&lt;&gt;"",ROUND(PRODUCT(F514,G514,K514),2),ROUND(PRODUCT(F514:J514),2)))</f>
        <v>1</v>
      </c>
      <c r="N514" s="5"/>
    </row>
    <row r="515" spans="1:14" x14ac:dyDescent="0.3">
      <c r="A515" s="12" t="s">
        <v>85</v>
      </c>
      <c r="B515" s="46" t="s">
        <v>651</v>
      </c>
      <c r="C515" s="47"/>
      <c r="D515" s="47"/>
      <c r="E515" s="47"/>
      <c r="F515" s="47"/>
      <c r="G515" s="47"/>
      <c r="H515" s="47"/>
      <c r="I515" s="47"/>
      <c r="J515" s="47"/>
      <c r="K515" s="47"/>
      <c r="L515" s="47"/>
      <c r="M515" s="47"/>
      <c r="N515" s="48"/>
    </row>
    <row r="516" spans="1:14" ht="28.8" x14ac:dyDescent="0.3">
      <c r="A516" s="23" t="s">
        <v>347</v>
      </c>
      <c r="B516" s="23" t="s">
        <v>645</v>
      </c>
      <c r="C516" s="23" t="str">
        <f>VLOOKUP(B516,CPU!$B:$J,2,FALSE)</f>
        <v>PRÓPRIA</v>
      </c>
      <c r="D516" s="24" t="str">
        <f>VLOOKUP(B516,CPU!$B:$J,3,FALSE)</f>
        <v>AQUISIÇÃO E ASSENTAMENTO DE TUBO RÍGIDO PVC, CLASSE 12, DN 50 MM, INCLUSO CONEXÕES</v>
      </c>
      <c r="E516" s="23" t="str">
        <f>VLOOKUP(B516,CPU!$B:$J,4,FALSE)</f>
        <v>M</v>
      </c>
      <c r="F516" s="23"/>
      <c r="G516" s="23"/>
      <c r="H516" s="23"/>
      <c r="I516" s="23"/>
      <c r="J516" s="23"/>
      <c r="K516" s="23"/>
      <c r="L516" s="23"/>
      <c r="M516" s="23"/>
      <c r="N516" s="5">
        <f>SUM($M$517:$M$517)</f>
        <v>18</v>
      </c>
    </row>
    <row r="517" spans="1:14" x14ac:dyDescent="0.3">
      <c r="A517" s="23" t="s">
        <v>831</v>
      </c>
      <c r="B517" s="65" t="s">
        <v>516</v>
      </c>
      <c r="C517" s="66"/>
      <c r="D517" s="66"/>
      <c r="E517" s="67"/>
      <c r="F517" s="5">
        <v>18</v>
      </c>
      <c r="G517" s="26"/>
      <c r="H517" s="5"/>
      <c r="I517" s="5"/>
      <c r="J517" s="5"/>
      <c r="K517" s="5" t="str">
        <f>IF(COUNTA(H517:J517)=2,ROUND(PRODUCT(H517:J517),2),"")</f>
        <v/>
      </c>
      <c r="L517" s="5" t="str">
        <f>IF(OR(AND(COUNTA(H517:J517)=3,K517=""),AND(COUNTA(H517:J517)=1,K517&lt;&gt;"")),ROUND(PRODUCT(H517:K517),2),"")</f>
        <v/>
      </c>
      <c r="M517" s="5">
        <f>IF(L517&lt;&gt;"",ROUND(PRODUCT(F517,G517,L517),2),IF(K517&lt;&gt;"",ROUND(PRODUCT(F517,G517,K517),2),ROUND(PRODUCT(F517:J517),2)))</f>
        <v>18</v>
      </c>
      <c r="N517" s="5"/>
    </row>
    <row r="518" spans="1:14" ht="28.8" x14ac:dyDescent="0.3">
      <c r="A518" s="23" t="s">
        <v>348</v>
      </c>
      <c r="B518" s="23" t="s">
        <v>653</v>
      </c>
      <c r="C518" s="23" t="str">
        <f>VLOOKUP(B518,CPU!$B:$J,2,FALSE)</f>
        <v>ORSE</v>
      </c>
      <c r="D518" s="24" t="str">
        <f>VLOOKUP(B518,CPU!$B:$J,3,FALSE)</f>
        <v>CONCRETO ARMADO FCK=15MPA FABRICADO NA OBRA, ADENSADO E LANÇADO, PARA USO GERAL, COM FORMAS PLANAS EM COMPENSADO RESINADO 12MM (05 USOS)</v>
      </c>
      <c r="E518" s="23" t="str">
        <f>VLOOKUP(B518,CPU!$B:$J,4,FALSE)</f>
        <v>M3</v>
      </c>
      <c r="F518" s="23"/>
      <c r="G518" s="23"/>
      <c r="H518" s="23"/>
      <c r="I518" s="23"/>
      <c r="J518" s="23"/>
      <c r="K518" s="23"/>
      <c r="L518" s="23"/>
      <c r="M518" s="23"/>
      <c r="N518" s="5">
        <f>SUM($M$519:$M$519)</f>
        <v>0.26</v>
      </c>
    </row>
    <row r="519" spans="1:14" x14ac:dyDescent="0.3">
      <c r="A519" s="23" t="s">
        <v>832</v>
      </c>
      <c r="B519" s="65" t="s">
        <v>655</v>
      </c>
      <c r="C519" s="66"/>
      <c r="D519" s="66"/>
      <c r="E519" s="67"/>
      <c r="F519" s="5"/>
      <c r="G519" s="26">
        <v>2</v>
      </c>
      <c r="H519" s="5">
        <v>0.5</v>
      </c>
      <c r="I519" s="5">
        <v>0.5</v>
      </c>
      <c r="J519" s="5">
        <v>0.5</v>
      </c>
      <c r="K519" s="5" t="str">
        <f>IF(COUNTA(H519:J519)=2,ROUND(PRODUCT(H519:J519),2),"")</f>
        <v/>
      </c>
      <c r="L519" s="5">
        <f>IF(OR(AND(COUNTA(H519:J519)=3,K519=""),AND(COUNTA(H519:J519)=1,K519&lt;&gt;"")),ROUND(PRODUCT(H519:K519),2),"")</f>
        <v>0.13</v>
      </c>
      <c r="M519" s="5">
        <f>IF(L519&lt;&gt;"",ROUND(PRODUCT(F519,G519,L519),2),IF(K519&lt;&gt;"",ROUND(PRODUCT(F519,G519,K519),2),ROUND(PRODUCT(F519:J519),2)))</f>
        <v>0.26</v>
      </c>
      <c r="N519" s="5"/>
    </row>
    <row r="520" spans="1:14" ht="28.8" x14ac:dyDescent="0.3">
      <c r="A520" s="23" t="s">
        <v>349</v>
      </c>
      <c r="B520" s="23">
        <v>86906</v>
      </c>
      <c r="C520" s="23" t="str">
        <f>VLOOKUP(B520,CPU!$B:$J,2,FALSE)</f>
        <v>SINAPI</v>
      </c>
      <c r="D520" s="24" t="str">
        <f>VLOOKUP(B520,CPU!$B:$J,3,FALSE)</f>
        <v>TORNEIRA CROMADA DE MESA, 1/2" OU 3/4", PARA LAVATÓRIO, PADRÃO POPULAR - FORNECIMENTO E INSTALAÇÃO. AF_01/2020</v>
      </c>
      <c r="E520" s="23" t="str">
        <f>VLOOKUP(B520,CPU!$B:$J,4,FALSE)</f>
        <v>UN</v>
      </c>
      <c r="F520" s="23"/>
      <c r="G520" s="23"/>
      <c r="H520" s="23"/>
      <c r="I520" s="23"/>
      <c r="J520" s="23"/>
      <c r="K520" s="23"/>
      <c r="L520" s="23"/>
      <c r="M520" s="23"/>
      <c r="N520" s="5">
        <f>SUM($M$521:$M$521)</f>
        <v>4</v>
      </c>
    </row>
    <row r="521" spans="1:14" x14ac:dyDescent="0.3">
      <c r="A521" s="23" t="s">
        <v>833</v>
      </c>
      <c r="B521" s="65" t="s">
        <v>516</v>
      </c>
      <c r="C521" s="66"/>
      <c r="D521" s="66"/>
      <c r="E521" s="67"/>
      <c r="F521" s="5">
        <v>4</v>
      </c>
      <c r="G521" s="26"/>
      <c r="H521" s="5"/>
      <c r="I521" s="5"/>
      <c r="J521" s="5"/>
      <c r="K521" s="5" t="str">
        <f>IF(COUNTA(H521:J521)=2,ROUND(PRODUCT(H521:J521),2),"")</f>
        <v/>
      </c>
      <c r="L521" s="5" t="str">
        <f>IF(OR(AND(COUNTA(H521:J521)=3,K521=""),AND(COUNTA(H521:J521)=1,K521&lt;&gt;"")),ROUND(PRODUCT(H521:K521),2),"")</f>
        <v/>
      </c>
      <c r="M521" s="5">
        <f>IF(L521&lt;&gt;"",ROUND(PRODUCT(F521,G521,L521),2),IF(K521&lt;&gt;"",ROUND(PRODUCT(F521,G521,K521),2),ROUND(PRODUCT(F521:J521),2)))</f>
        <v>4</v>
      </c>
      <c r="N521" s="5"/>
    </row>
    <row r="522" spans="1:14" ht="43.2" x14ac:dyDescent="0.3">
      <c r="A522" s="23" t="s">
        <v>350</v>
      </c>
      <c r="B522" s="23">
        <v>92920</v>
      </c>
      <c r="C522" s="23" t="str">
        <f>VLOOKUP(B522,CPU!$B:$J,2,FALSE)</f>
        <v>SINAPI</v>
      </c>
      <c r="D522" s="24" t="str">
        <f>VLOOKUP(B522,CPU!$B:$J,3,FALSE)</f>
        <v>LUVA DE REDUÇÃO, EM FERRO GALVANIZADO, 1" X 3/4", CONEXÃO ROSQUEADA, INSTALADO EM REDE DE ALIMENTAÇÃO PARA HIDRANTE - FORNECIMENTO E INSTALAÇÃO. AF_10/2020</v>
      </c>
      <c r="E522" s="23" t="str">
        <f>VLOOKUP(B522,CPU!$B:$J,4,FALSE)</f>
        <v>UN</v>
      </c>
      <c r="F522" s="23"/>
      <c r="G522" s="23"/>
      <c r="H522" s="23"/>
      <c r="I522" s="23"/>
      <c r="J522" s="23"/>
      <c r="K522" s="23"/>
      <c r="L522" s="23"/>
      <c r="M522" s="23"/>
      <c r="N522" s="5">
        <f>SUM($M$523:$M$523)</f>
        <v>4</v>
      </c>
    </row>
    <row r="523" spans="1:14" x14ac:dyDescent="0.3">
      <c r="A523" s="23" t="s">
        <v>834</v>
      </c>
      <c r="B523" s="65" t="s">
        <v>516</v>
      </c>
      <c r="C523" s="66"/>
      <c r="D523" s="66"/>
      <c r="E523" s="67"/>
      <c r="F523" s="5">
        <v>4</v>
      </c>
      <c r="G523" s="26"/>
      <c r="H523" s="5"/>
      <c r="I523" s="5"/>
      <c r="J523" s="5"/>
      <c r="K523" s="5" t="str">
        <f>IF(COUNTA(H523:J523)=2,ROUND(PRODUCT(H523:J523),2),"")</f>
        <v/>
      </c>
      <c r="L523" s="5" t="str">
        <f>IF(OR(AND(COUNTA(H523:J523)=3,K523=""),AND(COUNTA(H523:J523)=1,K523&lt;&gt;"")),ROUND(PRODUCT(H523:K523),2),"")</f>
        <v/>
      </c>
      <c r="M523" s="5">
        <f>IF(L523&lt;&gt;"",ROUND(PRODUCT(F523,G523,L523),2),IF(K523&lt;&gt;"",ROUND(PRODUCT(F523,G523,K523),2),ROUND(PRODUCT(F523:J523),2)))</f>
        <v>4</v>
      </c>
      <c r="N523" s="5"/>
    </row>
    <row r="524" spans="1:14" x14ac:dyDescent="0.3">
      <c r="A524" s="23" t="s">
        <v>351</v>
      </c>
      <c r="B524" s="23" t="s">
        <v>658</v>
      </c>
      <c r="C524" s="23" t="str">
        <f>VLOOKUP(B524,CPU!$B:$J,2,FALSE)</f>
        <v>PRÓPRIA</v>
      </c>
      <c r="D524" s="24" t="str">
        <f>VLOOKUP(B524,CPU!$B:$J,3,FALSE)</f>
        <v>CRUZETA DE FERRO GALVANIZADO, COM ROSCA BSP, DE 1"</v>
      </c>
      <c r="E524" s="23" t="str">
        <f>VLOOKUP(B524,CPU!$B:$J,4,FALSE)</f>
        <v>UN</v>
      </c>
      <c r="F524" s="23"/>
      <c r="G524" s="23"/>
      <c r="H524" s="23"/>
      <c r="I524" s="23"/>
      <c r="J524" s="23"/>
      <c r="K524" s="23"/>
      <c r="L524" s="23"/>
      <c r="M524" s="23"/>
      <c r="N524" s="5">
        <f>SUM($M$525:$M$525)</f>
        <v>1</v>
      </c>
    </row>
    <row r="525" spans="1:14" x14ac:dyDescent="0.3">
      <c r="A525" s="23" t="s">
        <v>835</v>
      </c>
      <c r="B525" s="65" t="s">
        <v>516</v>
      </c>
      <c r="C525" s="66"/>
      <c r="D525" s="66"/>
      <c r="E525" s="67"/>
      <c r="F525" s="5">
        <v>1</v>
      </c>
      <c r="G525" s="26"/>
      <c r="H525" s="5"/>
      <c r="I525" s="5"/>
      <c r="J525" s="5"/>
      <c r="K525" s="5" t="str">
        <f>IF(COUNTA(H525:J525)=2,ROUND(PRODUCT(H525:J525),2),"")</f>
        <v/>
      </c>
      <c r="L525" s="5" t="str">
        <f>IF(OR(AND(COUNTA(H525:J525)=3,K525=""),AND(COUNTA(H525:J525)=1,K525&lt;&gt;"")),ROUND(PRODUCT(H525:K525),2),"")</f>
        <v/>
      </c>
      <c r="M525" s="5">
        <f>IF(L525&lt;&gt;"",ROUND(PRODUCT(F525,G525,L525),2),IF(K525&lt;&gt;"",ROUND(PRODUCT(F525,G525,K525),2),ROUND(PRODUCT(F525:J525),2)))</f>
        <v>1</v>
      </c>
      <c r="N525" s="5"/>
    </row>
    <row r="526" spans="1:14" ht="28.8" x14ac:dyDescent="0.3">
      <c r="A526" s="23" t="s">
        <v>352</v>
      </c>
      <c r="B526" s="23" t="s">
        <v>660</v>
      </c>
      <c r="C526" s="23" t="str">
        <f>VLOOKUP(B526,CPU!$B:$J,2,FALSE)</f>
        <v>PRÓPRIA</v>
      </c>
      <c r="D526" s="24" t="str">
        <f>VLOOKUP(B526,CPU!$B:$J,3,FALSE)</f>
        <v>TÊ, EM FERRO GALVANIZADO, 1", CONEXÃO ROSQUEADA, INSTALADO EM PRUMADAS - FORNECIMENTO E INSTALAÇÃO.</v>
      </c>
      <c r="E526" s="23" t="str">
        <f>VLOOKUP(B526,CPU!$B:$J,4,FALSE)</f>
        <v>UN</v>
      </c>
      <c r="F526" s="23"/>
      <c r="G526" s="23"/>
      <c r="H526" s="23"/>
      <c r="I526" s="23"/>
      <c r="J526" s="23"/>
      <c r="K526" s="23"/>
      <c r="L526" s="23"/>
      <c r="M526" s="23"/>
      <c r="N526" s="5">
        <f>SUM($M$527:$M$527)</f>
        <v>1</v>
      </c>
    </row>
    <row r="527" spans="1:14" x14ac:dyDescent="0.3">
      <c r="A527" s="23" t="s">
        <v>836</v>
      </c>
      <c r="B527" s="65" t="s">
        <v>516</v>
      </c>
      <c r="C527" s="66"/>
      <c r="D527" s="66"/>
      <c r="E527" s="67"/>
      <c r="F527" s="5">
        <v>1</v>
      </c>
      <c r="G527" s="26"/>
      <c r="H527" s="5"/>
      <c r="I527" s="5"/>
      <c r="J527" s="5"/>
      <c r="K527" s="5" t="str">
        <f>IF(COUNTA(H527:J527)=2,ROUND(PRODUCT(H527:J527),2),"")</f>
        <v/>
      </c>
      <c r="L527" s="5" t="str">
        <f>IF(OR(AND(COUNTA(H527:J527)=3,K527=""),AND(COUNTA(H527:J527)=1,K527&lt;&gt;"")),ROUND(PRODUCT(H527:K527),2),"")</f>
        <v/>
      </c>
      <c r="M527" s="5">
        <f>IF(L527&lt;&gt;"",ROUND(PRODUCT(F527,G527,L527),2),IF(K527&lt;&gt;"",ROUND(PRODUCT(F527,G527,K527),2),ROUND(PRODUCT(F527:J527),2)))</f>
        <v>1</v>
      </c>
      <c r="N527" s="5"/>
    </row>
    <row r="528" spans="1:14" x14ac:dyDescent="0.3">
      <c r="A528" s="23" t="s">
        <v>353</v>
      </c>
      <c r="B528" s="23" t="s">
        <v>662</v>
      </c>
      <c r="C528" s="23" t="str">
        <f>VLOOKUP(B528,CPU!$B:$J,2,FALSE)</f>
        <v>PRÓPRIA</v>
      </c>
      <c r="D528" s="24" t="str">
        <f>VLOOKUP(B528,CPU!$B:$J,3,FALSE)</f>
        <v>LUVA DE FERRO GALVANIZADO, COM ROSCA BSP, DE 1"- FORNECIMENTO E INSTALAÇÃO</v>
      </c>
      <c r="E528" s="23" t="str">
        <f>VLOOKUP(B528,CPU!$B:$J,4,FALSE)</f>
        <v>UN</v>
      </c>
      <c r="F528" s="23"/>
      <c r="G528" s="23"/>
      <c r="H528" s="23"/>
      <c r="I528" s="23"/>
      <c r="J528" s="23"/>
      <c r="K528" s="23"/>
      <c r="L528" s="23"/>
      <c r="M528" s="23"/>
      <c r="N528" s="5">
        <f>SUM($M$529:$M$529)</f>
        <v>1</v>
      </c>
    </row>
    <row r="529" spans="1:14" x14ac:dyDescent="0.3">
      <c r="A529" s="23" t="s">
        <v>837</v>
      </c>
      <c r="B529" s="65" t="s">
        <v>516</v>
      </c>
      <c r="C529" s="66"/>
      <c r="D529" s="66"/>
      <c r="E529" s="67"/>
      <c r="F529" s="5">
        <v>1</v>
      </c>
      <c r="G529" s="26"/>
      <c r="H529" s="5"/>
      <c r="I529" s="5"/>
      <c r="J529" s="5"/>
      <c r="K529" s="5" t="str">
        <f>IF(COUNTA(H529:J529)=2,ROUND(PRODUCT(H529:J529),2),"")</f>
        <v/>
      </c>
      <c r="L529" s="5" t="str">
        <f>IF(OR(AND(COUNTA(H529:J529)=3,K529=""),AND(COUNTA(H529:J529)=1,K529&lt;&gt;"")),ROUND(PRODUCT(H529:K529),2),"")</f>
        <v/>
      </c>
      <c r="M529" s="5">
        <f>IF(L529&lt;&gt;"",ROUND(PRODUCT(F529,G529,L529),2),IF(K529&lt;&gt;"",ROUND(PRODUCT(F529,G529,K529),2),ROUND(PRODUCT(F529:J529),2)))</f>
        <v>1</v>
      </c>
      <c r="N529" s="5"/>
    </row>
    <row r="530" spans="1:14" ht="28.8" x14ac:dyDescent="0.3">
      <c r="A530" s="23" t="s">
        <v>354</v>
      </c>
      <c r="B530" s="23" t="s">
        <v>664</v>
      </c>
      <c r="C530" s="23" t="str">
        <f>VLOOKUP(B530,CPU!$B:$J,2,FALSE)</f>
        <v>PRÓPRIA</v>
      </c>
      <c r="D530" s="24" t="str">
        <f>VLOOKUP(B530,CPU!$B:$J,3,FALSE)</f>
        <v>CURVA 90 GRAUS DE FERRO GALVANIZADO, COM ROSCA BSP FEMEA, DE 1"- FORNECIMENTO E INSTALAÇÃO</v>
      </c>
      <c r="E530" s="23" t="str">
        <f>VLOOKUP(B530,CPU!$B:$J,4,FALSE)</f>
        <v>UN</v>
      </c>
      <c r="F530" s="23"/>
      <c r="G530" s="23"/>
      <c r="H530" s="23"/>
      <c r="I530" s="23"/>
      <c r="J530" s="23"/>
      <c r="K530" s="23"/>
      <c r="L530" s="23"/>
      <c r="M530" s="23"/>
      <c r="N530" s="5">
        <f>SUM($M$531:$M$531)</f>
        <v>1</v>
      </c>
    </row>
    <row r="531" spans="1:14" x14ac:dyDescent="0.3">
      <c r="A531" s="23" t="s">
        <v>838</v>
      </c>
      <c r="B531" s="65" t="s">
        <v>516</v>
      </c>
      <c r="C531" s="66"/>
      <c r="D531" s="66"/>
      <c r="E531" s="67"/>
      <c r="F531" s="5">
        <v>1</v>
      </c>
      <c r="G531" s="26"/>
      <c r="H531" s="5"/>
      <c r="I531" s="5"/>
      <c r="J531" s="5"/>
      <c r="K531" s="5" t="str">
        <f>IF(COUNTA(H531:J531)=2,ROUND(PRODUCT(H531:J531),2),"")</f>
        <v/>
      </c>
      <c r="L531" s="5" t="str">
        <f>IF(OR(AND(COUNTA(H531:J531)=3,K531=""),AND(COUNTA(H531:J531)=1,K531&lt;&gt;"")),ROUND(PRODUCT(H531:K531),2),"")</f>
        <v/>
      </c>
      <c r="M531" s="5">
        <f>IF(L531&lt;&gt;"",ROUND(PRODUCT(F531,G531,L531),2),IF(K531&lt;&gt;"",ROUND(PRODUCT(F531,G531,K531),2),ROUND(PRODUCT(F531:J531),2)))</f>
        <v>1</v>
      </c>
      <c r="N531" s="5"/>
    </row>
    <row r="532" spans="1:14" ht="28.8" x14ac:dyDescent="0.3">
      <c r="A532" s="23" t="s">
        <v>355</v>
      </c>
      <c r="B532" s="23" t="s">
        <v>666</v>
      </c>
      <c r="C532" s="23" t="str">
        <f>VLOOKUP(B532,CPU!$B:$J,2,FALSE)</f>
        <v>PRÓPRIA</v>
      </c>
      <c r="D532" s="24" t="str">
        <f>VLOOKUP(B532,CPU!$B:$J,3,FALSE)</f>
        <v>TUBO DE AÇO GALVANIZADO COM COSTURA 1" (25MM), INCLUSIVE CONEXOES - FORNECIMENTO E INSTALAÇÃO</v>
      </c>
      <c r="E532" s="23" t="str">
        <f>VLOOKUP(B532,CPU!$B:$J,4,FALSE)</f>
        <v>M</v>
      </c>
      <c r="F532" s="23"/>
      <c r="G532" s="23"/>
      <c r="H532" s="23"/>
      <c r="I532" s="23"/>
      <c r="J532" s="23"/>
      <c r="K532" s="23"/>
      <c r="L532" s="23"/>
      <c r="M532" s="23"/>
      <c r="N532" s="5">
        <f>SUM($M$533:$M$533)</f>
        <v>3</v>
      </c>
    </row>
    <row r="533" spans="1:14" x14ac:dyDescent="0.3">
      <c r="A533" s="23" t="s">
        <v>839</v>
      </c>
      <c r="B533" s="65" t="s">
        <v>516</v>
      </c>
      <c r="C533" s="66"/>
      <c r="D533" s="66"/>
      <c r="E533" s="67"/>
      <c r="F533" s="5">
        <v>3</v>
      </c>
      <c r="G533" s="26"/>
      <c r="H533" s="5"/>
      <c r="I533" s="5"/>
      <c r="J533" s="5"/>
      <c r="K533" s="5" t="str">
        <f>IF(COUNTA(H533:J533)=2,ROUND(PRODUCT(H533:J533),2),"")</f>
        <v/>
      </c>
      <c r="L533" s="5" t="str">
        <f>IF(OR(AND(COUNTA(H533:J533)=3,K533=""),AND(COUNTA(H533:J533)=1,K533&lt;&gt;"")),ROUND(PRODUCT(H533:K533),2),"")</f>
        <v/>
      </c>
      <c r="M533" s="5">
        <f>IF(L533&lt;&gt;"",ROUND(PRODUCT(F533,G533,L533),2),IF(K533&lt;&gt;"",ROUND(PRODUCT(F533,G533,K533),2),ROUND(PRODUCT(F533:J533),2)))</f>
        <v>3</v>
      </c>
      <c r="N533" s="5"/>
    </row>
    <row r="534" spans="1:14" ht="28.8" x14ac:dyDescent="0.3">
      <c r="A534" s="23" t="s">
        <v>356</v>
      </c>
      <c r="B534" s="23" t="s">
        <v>668</v>
      </c>
      <c r="C534" s="23" t="str">
        <f>VLOOKUP(B534,CPU!$B:$J,2,FALSE)</f>
        <v>PRÓPRIA</v>
      </c>
      <c r="D534" s="24" t="str">
        <f>VLOOKUP(B534,CPU!$B:$J,3,FALSE)</f>
        <v>BUCHA DE REDUCAO DE FERRO GALVANIZADO, COM ROSCA BSP, DE 1 1/2" X 1"- FORNECIMENTO E INSTALAÇÃO</v>
      </c>
      <c r="E534" s="23" t="str">
        <f>VLOOKUP(B534,CPU!$B:$J,4,FALSE)</f>
        <v>UN</v>
      </c>
      <c r="F534" s="23"/>
      <c r="G534" s="23"/>
      <c r="H534" s="23"/>
      <c r="I534" s="23"/>
      <c r="J534" s="23"/>
      <c r="K534" s="23"/>
      <c r="L534" s="23"/>
      <c r="M534" s="23"/>
      <c r="N534" s="5">
        <f>SUM($M$535:$M$535)</f>
        <v>1</v>
      </c>
    </row>
    <row r="535" spans="1:14" x14ac:dyDescent="0.3">
      <c r="A535" s="23" t="s">
        <v>840</v>
      </c>
      <c r="B535" s="65" t="s">
        <v>516</v>
      </c>
      <c r="C535" s="66"/>
      <c r="D535" s="66"/>
      <c r="E535" s="67"/>
      <c r="F535" s="5">
        <v>1</v>
      </c>
      <c r="G535" s="26"/>
      <c r="H535" s="5"/>
      <c r="I535" s="5"/>
      <c r="J535" s="5"/>
      <c r="K535" s="5" t="str">
        <f>IF(COUNTA(H535:J535)=2,ROUND(PRODUCT(H535:J535),2),"")</f>
        <v/>
      </c>
      <c r="L535" s="5" t="str">
        <f>IF(OR(AND(COUNTA(H535:J535)=3,K535=""),AND(COUNTA(H535:J535)=1,K535&lt;&gt;"")),ROUND(PRODUCT(H535:K535),2),"")</f>
        <v/>
      </c>
      <c r="M535" s="5">
        <f>IF(L535&lt;&gt;"",ROUND(PRODUCT(F535,G535,L535),2),IF(K535&lt;&gt;"",ROUND(PRODUCT(F535,G535,K535),2),ROUND(PRODUCT(F535:J535),2)))</f>
        <v>1</v>
      </c>
      <c r="N535" s="5"/>
    </row>
    <row r="536" spans="1:14" ht="28.8" x14ac:dyDescent="0.3">
      <c r="A536" s="23" t="s">
        <v>357</v>
      </c>
      <c r="B536" s="23">
        <v>94497</v>
      </c>
      <c r="C536" s="23" t="str">
        <f>VLOOKUP(B536,CPU!$B:$J,2,FALSE)</f>
        <v>SINAPI</v>
      </c>
      <c r="D536" s="24" t="str">
        <f>VLOOKUP(B536,CPU!$B:$J,3,FALSE)</f>
        <v>REGISTRO DE GAVETA BRUTO, LATÃO, ROSCÁVEL, 1 1/2" - FORNECIMENTO E INSTALAÇÃO. AF_08/2021</v>
      </c>
      <c r="E536" s="23" t="str">
        <f>VLOOKUP(B536,CPU!$B:$J,4,FALSE)</f>
        <v>UN</v>
      </c>
      <c r="F536" s="23"/>
      <c r="G536" s="23"/>
      <c r="H536" s="23"/>
      <c r="I536" s="23"/>
      <c r="J536" s="23"/>
      <c r="K536" s="23"/>
      <c r="L536" s="23"/>
      <c r="M536" s="23"/>
      <c r="N536" s="5">
        <f>SUM($M$537:$M$537)</f>
        <v>2</v>
      </c>
    </row>
    <row r="537" spans="1:14" x14ac:dyDescent="0.3">
      <c r="A537" s="23" t="s">
        <v>841</v>
      </c>
      <c r="B537" s="65" t="s">
        <v>516</v>
      </c>
      <c r="C537" s="66"/>
      <c r="D537" s="66"/>
      <c r="E537" s="67"/>
      <c r="F537" s="5">
        <v>2</v>
      </c>
      <c r="G537" s="26"/>
      <c r="H537" s="5"/>
      <c r="I537" s="5"/>
      <c r="J537" s="5"/>
      <c r="K537" s="5" t="str">
        <f>IF(COUNTA(H537:J537)=2,ROUND(PRODUCT(H537:J537),2),"")</f>
        <v/>
      </c>
      <c r="L537" s="5" t="str">
        <f>IF(OR(AND(COUNTA(H537:J537)=3,K537=""),AND(COUNTA(H537:J537)=1,K537&lt;&gt;"")),ROUND(PRODUCT(H537:K537),2),"")</f>
        <v/>
      </c>
      <c r="M537" s="5">
        <f>IF(L537&lt;&gt;"",ROUND(PRODUCT(F537,G537,L537),2),IF(K537&lt;&gt;"",ROUND(PRODUCT(F537,G537,K537),2),ROUND(PRODUCT(F537:J537),2)))</f>
        <v>2</v>
      </c>
      <c r="N537" s="5"/>
    </row>
    <row r="538" spans="1:14" ht="28.8" x14ac:dyDescent="0.3">
      <c r="A538" s="23" t="s">
        <v>358</v>
      </c>
      <c r="B538" s="23" t="s">
        <v>671</v>
      </c>
      <c r="C538" s="23" t="str">
        <f>VLOOKUP(B538,CPU!$B:$J,2,FALSE)</f>
        <v>PRÓPRIA</v>
      </c>
      <c r="D538" s="24" t="str">
        <f>VLOOKUP(B538,CPU!$B:$J,3,FALSE)</f>
        <v>ADAPTADOR CURTO COM BOLSA E ROSCA PARA REGISTRO, PVC, SOLDÁVEL, DN 40MM X 1.1/2, INSTALADO EM PRUMADA DE ÁGUA - FORNECIMENTO E INSTALAÇÃO</v>
      </c>
      <c r="E538" s="23" t="str">
        <f>VLOOKUP(B538,CPU!$B:$J,4,FALSE)</f>
        <v>UN</v>
      </c>
      <c r="F538" s="23"/>
      <c r="G538" s="23"/>
      <c r="H538" s="23"/>
      <c r="I538" s="23"/>
      <c r="J538" s="23"/>
      <c r="K538" s="23"/>
      <c r="L538" s="23"/>
      <c r="M538" s="23"/>
      <c r="N538" s="5">
        <f>SUM($M$539:$M$539)</f>
        <v>1</v>
      </c>
    </row>
    <row r="539" spans="1:14" x14ac:dyDescent="0.3">
      <c r="A539" s="23" t="s">
        <v>842</v>
      </c>
      <c r="B539" s="65" t="s">
        <v>516</v>
      </c>
      <c r="C539" s="66"/>
      <c r="D539" s="66"/>
      <c r="E539" s="67"/>
      <c r="F539" s="5">
        <v>1</v>
      </c>
      <c r="G539" s="26"/>
      <c r="H539" s="5"/>
      <c r="I539" s="5"/>
      <c r="J539" s="5"/>
      <c r="K539" s="5" t="str">
        <f>IF(COUNTA(H539:J539)=2,ROUND(PRODUCT(H539:J539),2),"")</f>
        <v/>
      </c>
      <c r="L539" s="5" t="str">
        <f>IF(OR(AND(COUNTA(H539:J539)=3,K539=""),AND(COUNTA(H539:J539)=1,K539&lt;&gt;"")),ROUND(PRODUCT(H539:K539),2),"")</f>
        <v/>
      </c>
      <c r="M539" s="5">
        <f>IF(L539&lt;&gt;"",ROUND(PRODUCT(F539,G539,L539),2),IF(K539&lt;&gt;"",ROUND(PRODUCT(F539,G539,K539),2),ROUND(PRODUCT(F539:J539),2)))</f>
        <v>1</v>
      </c>
      <c r="N539" s="5"/>
    </row>
    <row r="540" spans="1:14" x14ac:dyDescent="0.3">
      <c r="A540" s="9">
        <v>5</v>
      </c>
      <c r="B540" s="52" t="s">
        <v>843</v>
      </c>
      <c r="C540" s="53"/>
      <c r="D540" s="53"/>
      <c r="E540" s="53"/>
      <c r="F540" s="53"/>
      <c r="G540" s="53"/>
      <c r="H540" s="53"/>
      <c r="I540" s="53"/>
      <c r="J540" s="53"/>
      <c r="K540" s="53"/>
      <c r="L540" s="53"/>
      <c r="M540" s="53"/>
      <c r="N540" s="54"/>
    </row>
    <row r="541" spans="1:14" x14ac:dyDescent="0.3">
      <c r="A541" s="12" t="s">
        <v>86</v>
      </c>
      <c r="B541" s="46" t="s">
        <v>520</v>
      </c>
      <c r="C541" s="47"/>
      <c r="D541" s="47"/>
      <c r="E541" s="47"/>
      <c r="F541" s="47"/>
      <c r="G541" s="47"/>
      <c r="H541" s="47"/>
      <c r="I541" s="47"/>
      <c r="J541" s="47"/>
      <c r="K541" s="47"/>
      <c r="L541" s="47"/>
      <c r="M541" s="47"/>
      <c r="N541" s="48"/>
    </row>
    <row r="542" spans="1:14" x14ac:dyDescent="0.3">
      <c r="A542" s="23" t="s">
        <v>359</v>
      </c>
      <c r="B542" s="23" t="s">
        <v>521</v>
      </c>
      <c r="C542" s="23" t="str">
        <f>VLOOKUP(B542,CPU!$B:$J,2,FALSE)</f>
        <v>PRÓPRIA</v>
      </c>
      <c r="D542" s="24" t="str">
        <f>VLOOKUP(B542,CPU!$B:$J,3,FALSE)</f>
        <v>LOCAÇÃO DO POÇO COM ESTUDO GEOLÓGICO/HIDROGEOLÓGICO/GEOFÍSICO</v>
      </c>
      <c r="E542" s="23" t="str">
        <f>VLOOKUP(B542,CPU!$B:$J,4,FALSE)</f>
        <v>UN</v>
      </c>
      <c r="F542" s="23"/>
      <c r="G542" s="23"/>
      <c r="H542" s="23"/>
      <c r="I542" s="23"/>
      <c r="J542" s="23"/>
      <c r="K542" s="23"/>
      <c r="L542" s="23"/>
      <c r="M542" s="23"/>
      <c r="N542" s="5">
        <f>SUM($M$543:$M$543)</f>
        <v>1</v>
      </c>
    </row>
    <row r="543" spans="1:14" x14ac:dyDescent="0.3">
      <c r="A543" s="23" t="s">
        <v>844</v>
      </c>
      <c r="B543" s="65" t="s">
        <v>516</v>
      </c>
      <c r="C543" s="66"/>
      <c r="D543" s="66"/>
      <c r="E543" s="67"/>
      <c r="F543" s="5">
        <v>1</v>
      </c>
      <c r="G543" s="26"/>
      <c r="H543" s="5"/>
      <c r="I543" s="5"/>
      <c r="J543" s="5"/>
      <c r="K543" s="5" t="str">
        <f>IF(COUNTA(H543:J543)=2,ROUND(PRODUCT(H543:J543),2),"")</f>
        <v/>
      </c>
      <c r="L543" s="5" t="str">
        <f>IF(OR(AND(COUNTA(H543:J543)=3,K543=""),AND(COUNTA(H543:J543)=1,K543&lt;&gt;"")),ROUND(PRODUCT(H543:K543),2),"")</f>
        <v/>
      </c>
      <c r="M543" s="5">
        <f>IF(L543&lt;&gt;"",ROUND(PRODUCT(F543,G543,L543),2),IF(K543&lt;&gt;"",ROUND(PRODUCT(F543,G543,K543),2),ROUND(PRODUCT(F543:J543),2)))</f>
        <v>1</v>
      </c>
      <c r="N543" s="5"/>
    </row>
    <row r="544" spans="1:14" x14ac:dyDescent="0.3">
      <c r="A544" s="23" t="s">
        <v>360</v>
      </c>
      <c r="B544" s="23" t="s">
        <v>523</v>
      </c>
      <c r="C544" s="23" t="str">
        <f>VLOOKUP(B544,CPU!$B:$J,2,FALSE)</f>
        <v>PRÓPRIA</v>
      </c>
      <c r="D544" s="24" t="str">
        <f>VLOOKUP(B544,CPU!$B:$J,3,FALSE)</f>
        <v>TRANSPORTE DE MÁQUINAS E EQUIPAMENTOS</v>
      </c>
      <c r="E544" s="23" t="str">
        <f>VLOOKUP(B544,CPU!$B:$J,4,FALSE)</f>
        <v>KM</v>
      </c>
      <c r="F544" s="23"/>
      <c r="G544" s="23"/>
      <c r="H544" s="23"/>
      <c r="I544" s="23"/>
      <c r="J544" s="23"/>
      <c r="K544" s="23"/>
      <c r="L544" s="23"/>
      <c r="M544" s="23"/>
      <c r="N544" s="5">
        <f>SUM($M$545:$M$545)</f>
        <v>39.5</v>
      </c>
    </row>
    <row r="545" spans="1:14" x14ac:dyDescent="0.3">
      <c r="A545" s="23" t="s">
        <v>845</v>
      </c>
      <c r="B545" s="65" t="s">
        <v>676</v>
      </c>
      <c r="C545" s="66"/>
      <c r="D545" s="66"/>
      <c r="E545" s="67"/>
      <c r="F545" s="5">
        <v>39.5</v>
      </c>
      <c r="G545" s="26"/>
      <c r="H545" s="5"/>
      <c r="I545" s="5"/>
      <c r="J545" s="5"/>
      <c r="K545" s="5" t="str">
        <f>IF(COUNTA(H545:J545)=2,ROUND(PRODUCT(H545:J545),2),"")</f>
        <v/>
      </c>
      <c r="L545" s="5" t="str">
        <f>IF(OR(AND(COUNTA(H545:J545)=3,K545=""),AND(COUNTA(H545:J545)=1,K545&lt;&gt;"")),ROUND(PRODUCT(H545:K545),2),"")</f>
        <v/>
      </c>
      <c r="M545" s="5">
        <f>IF(L545&lt;&gt;"",ROUND(PRODUCT(F545,G545,L545),2),IF(K545&lt;&gt;"",ROUND(PRODUCT(F545,G545,K545),2),ROUND(PRODUCT(F545:J545),2)))</f>
        <v>39.5</v>
      </c>
      <c r="N545" s="5"/>
    </row>
    <row r="546" spans="1:14" x14ac:dyDescent="0.3">
      <c r="A546" s="23" t="s">
        <v>361</v>
      </c>
      <c r="B546" s="23" t="s">
        <v>523</v>
      </c>
      <c r="C546" s="23" t="str">
        <f>VLOOKUP(B546,CPU!$B:$J,2,FALSE)</f>
        <v>PRÓPRIA</v>
      </c>
      <c r="D546" s="24" t="str">
        <f>VLOOKUP(B546,CPU!$B:$J,3,FALSE)</f>
        <v>TRANSPORTE DE MÁQUINAS E EQUIPAMENTOS</v>
      </c>
      <c r="E546" s="23" t="str">
        <f>VLOOKUP(B546,CPU!$B:$J,4,FALSE)</f>
        <v>KM</v>
      </c>
      <c r="F546" s="23"/>
      <c r="G546" s="23"/>
      <c r="H546" s="23"/>
      <c r="I546" s="23"/>
      <c r="J546" s="23"/>
      <c r="K546" s="23"/>
      <c r="L546" s="23"/>
      <c r="M546" s="23"/>
      <c r="N546" s="5">
        <f>SUM($M$547:$M$547)</f>
        <v>39.5</v>
      </c>
    </row>
    <row r="547" spans="1:14" x14ac:dyDescent="0.3">
      <c r="A547" s="23" t="s">
        <v>846</v>
      </c>
      <c r="B547" s="65" t="s">
        <v>678</v>
      </c>
      <c r="C547" s="66"/>
      <c r="D547" s="66"/>
      <c r="E547" s="67"/>
      <c r="F547" s="5">
        <v>39.5</v>
      </c>
      <c r="G547" s="26"/>
      <c r="H547" s="5"/>
      <c r="I547" s="5"/>
      <c r="J547" s="5"/>
      <c r="K547" s="5" t="str">
        <f>IF(COUNTA(H547:J547)=2,ROUND(PRODUCT(H547:J547),2),"")</f>
        <v/>
      </c>
      <c r="L547" s="5" t="str">
        <f>IF(OR(AND(COUNTA(H547:J547)=3,K547=""),AND(COUNTA(H547:J547)=1,K547&lt;&gt;"")),ROUND(PRODUCT(H547:K547),2),"")</f>
        <v/>
      </c>
      <c r="M547" s="5">
        <f>IF(L547&lt;&gt;"",ROUND(PRODUCT(F547,G547,L547),2),IF(K547&lt;&gt;"",ROUND(PRODUCT(F547,G547,K547),2),ROUND(PRODUCT(F547:J547),2)))</f>
        <v>39.5</v>
      </c>
      <c r="N547" s="5"/>
    </row>
    <row r="548" spans="1:14" x14ac:dyDescent="0.3">
      <c r="A548" s="23" t="s">
        <v>362</v>
      </c>
      <c r="B548" s="23" t="s">
        <v>528</v>
      </c>
      <c r="C548" s="23" t="str">
        <f>VLOOKUP(B548,CPU!$B:$J,2,FALSE)</f>
        <v>PRÓPRIA</v>
      </c>
      <c r="D548" s="24" t="str">
        <f>VLOOKUP(B548,CPU!$B:$J,3,FALSE)</f>
        <v>PERFILAGEM ÓTICA</v>
      </c>
      <c r="E548" s="23" t="str">
        <f>VLOOKUP(B548,CPU!$B:$J,4,FALSE)</f>
        <v>UN</v>
      </c>
      <c r="F548" s="23"/>
      <c r="G548" s="23"/>
      <c r="H548" s="23"/>
      <c r="I548" s="23"/>
      <c r="J548" s="23"/>
      <c r="K548" s="23"/>
      <c r="L548" s="23"/>
      <c r="M548" s="23"/>
      <c r="N548" s="5">
        <f>SUM($M$549:$M$549)</f>
        <v>1</v>
      </c>
    </row>
    <row r="549" spans="1:14" x14ac:dyDescent="0.3">
      <c r="A549" s="23" t="s">
        <v>847</v>
      </c>
      <c r="B549" s="65" t="s">
        <v>516</v>
      </c>
      <c r="C549" s="66"/>
      <c r="D549" s="66"/>
      <c r="E549" s="67"/>
      <c r="F549" s="5">
        <v>1</v>
      </c>
      <c r="G549" s="26"/>
      <c r="H549" s="5"/>
      <c r="I549" s="5"/>
      <c r="J549" s="5"/>
      <c r="K549" s="5" t="str">
        <f>IF(COUNTA(H549:J549)=2,ROUND(PRODUCT(H549:J549),2),"")</f>
        <v/>
      </c>
      <c r="L549" s="5" t="str">
        <f>IF(OR(AND(COUNTA(H549:J549)=3,K549=""),AND(COUNTA(H549:J549)=1,K549&lt;&gt;"")),ROUND(PRODUCT(H549:K549),2),"")</f>
        <v/>
      </c>
      <c r="M549" s="5">
        <f>IF(L549&lt;&gt;"",ROUND(PRODUCT(F549,G549,L549),2),IF(K549&lt;&gt;"",ROUND(PRODUCT(F549,G549,K549),2),ROUND(PRODUCT(F549:J549),2)))</f>
        <v>1</v>
      </c>
      <c r="N549" s="5"/>
    </row>
    <row r="550" spans="1:14" x14ac:dyDescent="0.3">
      <c r="A550" s="23" t="s">
        <v>363</v>
      </c>
      <c r="B550" s="23" t="s">
        <v>530</v>
      </c>
      <c r="C550" s="23" t="str">
        <f>VLOOKUP(B550,CPU!$B:$J,2,FALSE)</f>
        <v>PRÓPRIA</v>
      </c>
      <c r="D550" s="24" t="str">
        <f>VLOOKUP(B550,CPU!$B:$J,3,FALSE)</f>
        <v>PERFURAÇÃO EM 10'' (SEDIMENTO)</v>
      </c>
      <c r="E550" s="23" t="str">
        <f>VLOOKUP(B550,CPU!$B:$J,4,FALSE)</f>
        <v>M</v>
      </c>
      <c r="F550" s="23"/>
      <c r="G550" s="23"/>
      <c r="H550" s="23"/>
      <c r="I550" s="23"/>
      <c r="J550" s="23"/>
      <c r="K550" s="23"/>
      <c r="L550" s="23"/>
      <c r="M550" s="23"/>
      <c r="N550" s="5">
        <f>SUM($M$551:$M$551)</f>
        <v>35</v>
      </c>
    </row>
    <row r="551" spans="1:14" x14ac:dyDescent="0.3">
      <c r="A551" s="23" t="s">
        <v>848</v>
      </c>
      <c r="B551" s="65" t="s">
        <v>532</v>
      </c>
      <c r="C551" s="66"/>
      <c r="D551" s="66"/>
      <c r="E551" s="67"/>
      <c r="F551" s="5">
        <v>35</v>
      </c>
      <c r="G551" s="26"/>
      <c r="H551" s="5"/>
      <c r="I551" s="5"/>
      <c r="J551" s="5"/>
      <c r="K551" s="5" t="str">
        <f>IF(COUNTA(H551:J551)=2,ROUND(PRODUCT(H551:J551),2),"")</f>
        <v/>
      </c>
      <c r="L551" s="5" t="str">
        <f>IF(OR(AND(COUNTA(H551:J551)=3,K551=""),AND(COUNTA(H551:J551)=1,K551&lt;&gt;"")),ROUND(PRODUCT(H551:K551),2),"")</f>
        <v/>
      </c>
      <c r="M551" s="5">
        <f>IF(L551&lt;&gt;"",ROUND(PRODUCT(F551,G551,L551),2),IF(K551&lt;&gt;"",ROUND(PRODUCT(F551,G551,K551),2),ROUND(PRODUCT(F551:J551),2)))</f>
        <v>35</v>
      </c>
      <c r="N551" s="5"/>
    </row>
    <row r="552" spans="1:14" x14ac:dyDescent="0.3">
      <c r="A552" s="23" t="s">
        <v>364</v>
      </c>
      <c r="B552" s="23" t="s">
        <v>533</v>
      </c>
      <c r="C552" s="23" t="str">
        <f>VLOOKUP(B552,CPU!$B:$J,2,FALSE)</f>
        <v>PRÓPRIA</v>
      </c>
      <c r="D552" s="24" t="str">
        <f>VLOOKUP(B552,CPU!$B:$J,3,FALSE)</f>
        <v>PERFURAÇÃO EM 8'' (ROCHA CRISTALINA)</v>
      </c>
      <c r="E552" s="23" t="str">
        <f>VLOOKUP(B552,CPU!$B:$J,4,FALSE)</f>
        <v>M</v>
      </c>
      <c r="F552" s="23"/>
      <c r="G552" s="23"/>
      <c r="H552" s="23"/>
      <c r="I552" s="23"/>
      <c r="J552" s="23"/>
      <c r="K552" s="23"/>
      <c r="L552" s="23"/>
      <c r="M552" s="23"/>
      <c r="N552" s="5">
        <f>SUM($M$553:$M$553)</f>
        <v>0</v>
      </c>
    </row>
    <row r="553" spans="1:14" x14ac:dyDescent="0.3">
      <c r="A553" s="23" t="s">
        <v>849</v>
      </c>
      <c r="B553" s="65" t="s">
        <v>532</v>
      </c>
      <c r="C553" s="66"/>
      <c r="D553" s="66"/>
      <c r="E553" s="67"/>
      <c r="F553" s="5">
        <v>0</v>
      </c>
      <c r="G553" s="26"/>
      <c r="H553" s="5"/>
      <c r="I553" s="5"/>
      <c r="J553" s="5"/>
      <c r="K553" s="5" t="str">
        <f>IF(COUNTA(H553:J553)=2,ROUND(PRODUCT(H553:J553),2),"")</f>
        <v/>
      </c>
      <c r="L553" s="5" t="str">
        <f>IF(OR(AND(COUNTA(H553:J553)=3,K553=""),AND(COUNTA(H553:J553)=1,K553&lt;&gt;"")),ROUND(PRODUCT(H553:K553),2),"")</f>
        <v/>
      </c>
      <c r="M553" s="5">
        <f>IF(L553&lt;&gt;"",ROUND(PRODUCT(F553,G553,L553),2),IF(K553&lt;&gt;"",ROUND(PRODUCT(F553,G553,K553),2),ROUND(PRODUCT(F553:J553),2)))</f>
        <v>0</v>
      </c>
      <c r="N553" s="5"/>
    </row>
    <row r="554" spans="1:14" x14ac:dyDescent="0.3">
      <c r="A554" s="23" t="s">
        <v>365</v>
      </c>
      <c r="B554" s="23" t="s">
        <v>535</v>
      </c>
      <c r="C554" s="23" t="str">
        <f>VLOOKUP(B554,CPU!$B:$J,2,FALSE)</f>
        <v>PRÓPRIA</v>
      </c>
      <c r="D554" s="24" t="str">
        <f>VLOOKUP(B554,CPU!$B:$J,3,FALSE)</f>
        <v>PERFURAÇÃO EM 6'' (SEDIMENTO)</v>
      </c>
      <c r="E554" s="23" t="str">
        <f>VLOOKUP(B554,CPU!$B:$J,4,FALSE)</f>
        <v>M</v>
      </c>
      <c r="F554" s="23"/>
      <c r="G554" s="23"/>
      <c r="H554" s="23"/>
      <c r="I554" s="23"/>
      <c r="J554" s="23"/>
      <c r="K554" s="23"/>
      <c r="L554" s="23"/>
      <c r="M554" s="23"/>
      <c r="N554" s="5">
        <f>SUM($M$555:$M$555)</f>
        <v>95</v>
      </c>
    </row>
    <row r="555" spans="1:14" x14ac:dyDescent="0.3">
      <c r="A555" s="23" t="s">
        <v>850</v>
      </c>
      <c r="B555" s="65" t="s">
        <v>532</v>
      </c>
      <c r="C555" s="66"/>
      <c r="D555" s="66"/>
      <c r="E555" s="67"/>
      <c r="F555" s="5">
        <v>95</v>
      </c>
      <c r="G555" s="26"/>
      <c r="H555" s="5"/>
      <c r="I555" s="5"/>
      <c r="J555" s="5"/>
      <c r="K555" s="5" t="str">
        <f>IF(COUNTA(H555:J555)=2,ROUND(PRODUCT(H555:J555),2),"")</f>
        <v/>
      </c>
      <c r="L555" s="5" t="str">
        <f>IF(OR(AND(COUNTA(H555:J555)=3,K555=""),AND(COUNTA(H555:J555)=1,K555&lt;&gt;"")),ROUND(PRODUCT(H555:K555),2),"")</f>
        <v/>
      </c>
      <c r="M555" s="5">
        <f>IF(L555&lt;&gt;"",ROUND(PRODUCT(F555,G555,L555),2),IF(K555&lt;&gt;"",ROUND(PRODUCT(F555,G555,K555),2),ROUND(PRODUCT(F555:J555),2)))</f>
        <v>95</v>
      </c>
      <c r="N555" s="5"/>
    </row>
    <row r="556" spans="1:14" x14ac:dyDescent="0.3">
      <c r="A556" s="23" t="s">
        <v>366</v>
      </c>
      <c r="B556" s="23" t="s">
        <v>537</v>
      </c>
      <c r="C556" s="23" t="str">
        <f>VLOOKUP(B556,CPU!$B:$J,2,FALSE)</f>
        <v>PRÓPRIA</v>
      </c>
      <c r="D556" s="24" t="str">
        <f>VLOOKUP(B556,CPU!$B:$J,3,FALSE)</f>
        <v>PERFURAÇÃO EM 6'' (ROCHA CRISTALINA)</v>
      </c>
      <c r="E556" s="23" t="str">
        <f>VLOOKUP(B556,CPU!$B:$J,4,FALSE)</f>
        <v>M</v>
      </c>
      <c r="F556" s="23"/>
      <c r="G556" s="23"/>
      <c r="H556" s="23"/>
      <c r="I556" s="23"/>
      <c r="J556" s="23"/>
      <c r="K556" s="23"/>
      <c r="L556" s="23"/>
      <c r="M556" s="23"/>
      <c r="N556" s="5">
        <f>SUM($M$557:$M$557)</f>
        <v>0</v>
      </c>
    </row>
    <row r="557" spans="1:14" x14ac:dyDescent="0.3">
      <c r="A557" s="23" t="s">
        <v>851</v>
      </c>
      <c r="B557" s="65" t="s">
        <v>532</v>
      </c>
      <c r="C557" s="66"/>
      <c r="D557" s="66"/>
      <c r="E557" s="67"/>
      <c r="F557" s="5">
        <v>0</v>
      </c>
      <c r="G557" s="26"/>
      <c r="H557" s="5"/>
      <c r="I557" s="5"/>
      <c r="J557" s="5"/>
      <c r="K557" s="5" t="str">
        <f>IF(COUNTA(H557:J557)=2,ROUND(PRODUCT(H557:J557),2),"")</f>
        <v/>
      </c>
      <c r="L557" s="5" t="str">
        <f>IF(OR(AND(COUNTA(H557:J557)=3,K557=""),AND(COUNTA(H557:J557)=1,K557&lt;&gt;"")),ROUND(PRODUCT(H557:K557),2),"")</f>
        <v/>
      </c>
      <c r="M557" s="5">
        <f>IF(L557&lt;&gt;"",ROUND(PRODUCT(F557,G557,L557),2),IF(K557&lt;&gt;"",ROUND(PRODUCT(F557,G557,K557),2),ROUND(PRODUCT(F557:J557),2)))</f>
        <v>0</v>
      </c>
      <c r="N557" s="5"/>
    </row>
    <row r="558" spans="1:14" x14ac:dyDescent="0.3">
      <c r="A558" s="23" t="s">
        <v>367</v>
      </c>
      <c r="B558" s="23" t="s">
        <v>539</v>
      </c>
      <c r="C558" s="23" t="str">
        <f>VLOOKUP(B558,CPU!$B:$J,2,FALSE)</f>
        <v>PRÓPRIA</v>
      </c>
      <c r="D558" s="24" t="str">
        <f>VLOOKUP(B558,CPU!$B:$J,3,FALSE)</f>
        <v>CIMENTAÇÃO SANITÁRIA</v>
      </c>
      <c r="E558" s="23" t="str">
        <f>VLOOKUP(B558,CPU!$B:$J,4,FALSE)</f>
        <v>M³</v>
      </c>
      <c r="F558" s="23"/>
      <c r="G558" s="23"/>
      <c r="H558" s="23"/>
      <c r="I558" s="23"/>
      <c r="J558" s="23"/>
      <c r="K558" s="23"/>
      <c r="L558" s="23"/>
      <c r="M558" s="23"/>
      <c r="N558" s="5">
        <f>SUM($M$559:$M$559)</f>
        <v>4.55</v>
      </c>
    </row>
    <row r="559" spans="1:14" x14ac:dyDescent="0.3">
      <c r="A559" s="23" t="s">
        <v>852</v>
      </c>
      <c r="B559" s="65" t="s">
        <v>516</v>
      </c>
      <c r="C559" s="66"/>
      <c r="D559" s="66"/>
      <c r="E559" s="67"/>
      <c r="F559" s="5"/>
      <c r="G559" s="26"/>
      <c r="H559" s="5"/>
      <c r="I559" s="5"/>
      <c r="J559" s="5">
        <v>35</v>
      </c>
      <c r="K559" s="5">
        <v>0.13</v>
      </c>
      <c r="L559" s="5">
        <f>IF(OR(AND(COUNTA(H559:J559)=3,K559=""),AND(COUNTA(H559:J559)=1,K559&lt;&gt;"")),ROUND(PRODUCT(H559:K559),2),"")</f>
        <v>4.55</v>
      </c>
      <c r="M559" s="5">
        <f>IF(L559&lt;&gt;"",ROUND(PRODUCT(F559,G559,L559),2),IF(K559&lt;&gt;"",ROUND(PRODUCT(F559,G559,K559),2),ROUND(PRODUCT(F559:J559),2)))</f>
        <v>4.55</v>
      </c>
      <c r="N559" s="5"/>
    </row>
    <row r="560" spans="1:14" x14ac:dyDescent="0.3">
      <c r="A560" s="23" t="s">
        <v>368</v>
      </c>
      <c r="B560" s="23" t="s">
        <v>541</v>
      </c>
      <c r="C560" s="23" t="str">
        <f>VLOOKUP(B560,CPU!$B:$J,2,FALSE)</f>
        <v>PRÓPRIA</v>
      </c>
      <c r="D560" s="24" t="str">
        <f>VLOOKUP(B560,CPU!$B:$J,3,FALSE)</f>
        <v>LAJE DE PROTEÇÃO EM CONCRETO (1,0 M X 1,0 M X 0,15 M)</v>
      </c>
      <c r="E560" s="23" t="str">
        <f>VLOOKUP(B560,CPU!$B:$J,4,FALSE)</f>
        <v>M³</v>
      </c>
      <c r="F560" s="23"/>
      <c r="G560" s="23"/>
      <c r="H560" s="23"/>
      <c r="I560" s="23"/>
      <c r="J560" s="23"/>
      <c r="K560" s="23"/>
      <c r="L560" s="23"/>
      <c r="M560" s="23"/>
      <c r="N560" s="5">
        <f>SUM($M$561:$M$561)</f>
        <v>0.15</v>
      </c>
    </row>
    <row r="561" spans="1:14" x14ac:dyDescent="0.3">
      <c r="A561" s="23" t="s">
        <v>853</v>
      </c>
      <c r="B561" s="65" t="s">
        <v>516</v>
      </c>
      <c r="C561" s="66"/>
      <c r="D561" s="66"/>
      <c r="E561" s="67"/>
      <c r="F561" s="5"/>
      <c r="G561" s="26"/>
      <c r="H561" s="5">
        <v>1</v>
      </c>
      <c r="I561" s="5">
        <v>1</v>
      </c>
      <c r="J561" s="5">
        <v>0.15</v>
      </c>
      <c r="K561" s="5" t="str">
        <f>IF(COUNTA(H561:J561)=2,ROUND(PRODUCT(H561:J561),2),"")</f>
        <v/>
      </c>
      <c r="L561" s="5">
        <f>IF(OR(AND(COUNTA(H561:J561)=3,K561=""),AND(COUNTA(H561:J561)=1,K561&lt;&gt;"")),ROUND(PRODUCT(H561:K561),2),"")</f>
        <v>0.15</v>
      </c>
      <c r="M561" s="5">
        <f>IF(L561&lt;&gt;"",ROUND(PRODUCT(F561,G561,L561),2),IF(K561&lt;&gt;"",ROUND(PRODUCT(F561,G561,K561),2),ROUND(PRODUCT(F561:J561),2)))</f>
        <v>0.15</v>
      </c>
      <c r="N561" s="5"/>
    </row>
    <row r="562" spans="1:14" x14ac:dyDescent="0.3">
      <c r="A562" s="23" t="s">
        <v>369</v>
      </c>
      <c r="B562" s="23" t="s">
        <v>543</v>
      </c>
      <c r="C562" s="23" t="str">
        <f>VLOOKUP(B562,CPU!$B:$J,2,FALSE)</f>
        <v>PRÓPRIA</v>
      </c>
      <c r="D562" s="24" t="str">
        <f>VLOOKUP(B562,CPU!$B:$J,3,FALSE)</f>
        <v>DESENVOLVIMENTO COM BOMBA SUBMERSA</v>
      </c>
      <c r="E562" s="23" t="str">
        <f>VLOOKUP(B562,CPU!$B:$J,4,FALSE)</f>
        <v>H</v>
      </c>
      <c r="F562" s="23"/>
      <c r="G562" s="23"/>
      <c r="H562" s="23"/>
      <c r="I562" s="23"/>
      <c r="J562" s="23"/>
      <c r="K562" s="23"/>
      <c r="L562" s="23"/>
      <c r="M562" s="23"/>
      <c r="N562" s="5">
        <f>SUM($M$563:$M$563)</f>
        <v>6</v>
      </c>
    </row>
    <row r="563" spans="1:14" x14ac:dyDescent="0.3">
      <c r="A563" s="23" t="s">
        <v>854</v>
      </c>
      <c r="B563" s="65" t="s">
        <v>516</v>
      </c>
      <c r="C563" s="66"/>
      <c r="D563" s="66"/>
      <c r="E563" s="67"/>
      <c r="F563" s="5">
        <v>6</v>
      </c>
      <c r="G563" s="26"/>
      <c r="H563" s="5"/>
      <c r="I563" s="5"/>
      <c r="J563" s="5"/>
      <c r="K563" s="5" t="str">
        <f>IF(COUNTA(H563:J563)=2,ROUND(PRODUCT(H563:J563),2),"")</f>
        <v/>
      </c>
      <c r="L563" s="5" t="str">
        <f>IF(OR(AND(COUNTA(H563:J563)=3,K563=""),AND(COUNTA(H563:J563)=1,K563&lt;&gt;"")),ROUND(PRODUCT(H563:K563),2),"")</f>
        <v/>
      </c>
      <c r="M563" s="5">
        <f>IF(L563&lt;&gt;"",ROUND(PRODUCT(F563,G563,L563),2),IF(K563&lt;&gt;"",ROUND(PRODUCT(F563,G563,K563),2),ROUND(PRODUCT(F563:J563),2)))</f>
        <v>6</v>
      </c>
      <c r="N563" s="5"/>
    </row>
    <row r="564" spans="1:14" x14ac:dyDescent="0.3">
      <c r="A564" s="23" t="s">
        <v>370</v>
      </c>
      <c r="B564" s="23" t="s">
        <v>545</v>
      </c>
      <c r="C564" s="23" t="str">
        <f>VLOOKUP(B564,CPU!$B:$J,2,FALSE)</f>
        <v>PRÓPRIA</v>
      </c>
      <c r="D564" s="24" t="str">
        <f>VLOOKUP(B564,CPU!$B:$J,3,FALSE)</f>
        <v>TESTE VAZÃO COM BOMBA SUBMERSA</v>
      </c>
      <c r="E564" s="23" t="str">
        <f>VLOOKUP(B564,CPU!$B:$J,4,FALSE)</f>
        <v>H</v>
      </c>
      <c r="F564" s="23"/>
      <c r="G564" s="23"/>
      <c r="H564" s="23"/>
      <c r="I564" s="23"/>
      <c r="J564" s="23"/>
      <c r="K564" s="23"/>
      <c r="L564" s="23"/>
      <c r="M564" s="23"/>
      <c r="N564" s="5">
        <f>SUM($M$565:$M$565)</f>
        <v>24</v>
      </c>
    </row>
    <row r="565" spans="1:14" x14ac:dyDescent="0.3">
      <c r="A565" s="23" t="s">
        <v>855</v>
      </c>
      <c r="B565" s="65" t="s">
        <v>516</v>
      </c>
      <c r="C565" s="66"/>
      <c r="D565" s="66"/>
      <c r="E565" s="67"/>
      <c r="F565" s="5">
        <v>24</v>
      </c>
      <c r="G565" s="26"/>
      <c r="H565" s="5"/>
      <c r="I565" s="5"/>
      <c r="J565" s="5"/>
      <c r="K565" s="5" t="str">
        <f>IF(COUNTA(H565:J565)=2,ROUND(PRODUCT(H565:J565),2),"")</f>
        <v/>
      </c>
      <c r="L565" s="5" t="str">
        <f>IF(OR(AND(COUNTA(H565:J565)=3,K565=""),AND(COUNTA(H565:J565)=1,K565&lt;&gt;"")),ROUND(PRODUCT(H565:K565),2),"")</f>
        <v/>
      </c>
      <c r="M565" s="5">
        <f>IF(L565&lt;&gt;"",ROUND(PRODUCT(F565,G565,L565),2),IF(K565&lt;&gt;"",ROUND(PRODUCT(F565,G565,K565),2),ROUND(PRODUCT(F565:J565),2)))</f>
        <v>24</v>
      </c>
      <c r="N565" s="5"/>
    </row>
    <row r="566" spans="1:14" x14ac:dyDescent="0.3">
      <c r="A566" s="23" t="s">
        <v>371</v>
      </c>
      <c r="B566" s="23" t="s">
        <v>547</v>
      </c>
      <c r="C566" s="23" t="str">
        <f>VLOOKUP(B566,CPU!$B:$J,2,FALSE)</f>
        <v>PRÓPRIA</v>
      </c>
      <c r="D566" s="24" t="str">
        <f>VLOOKUP(B566,CPU!$B:$J,3,FALSE)</f>
        <v>DESINFECÇÃO</v>
      </c>
      <c r="E566" s="23" t="str">
        <f>VLOOKUP(B566,CPU!$B:$J,4,FALSE)</f>
        <v>H</v>
      </c>
      <c r="F566" s="23"/>
      <c r="G566" s="23"/>
      <c r="H566" s="23"/>
      <c r="I566" s="23"/>
      <c r="J566" s="23"/>
      <c r="K566" s="23"/>
      <c r="L566" s="23"/>
      <c r="M566" s="23"/>
      <c r="N566" s="5">
        <f>SUM($M$567:$M$567)</f>
        <v>6</v>
      </c>
    </row>
    <row r="567" spans="1:14" x14ac:dyDescent="0.3">
      <c r="A567" s="23" t="s">
        <v>856</v>
      </c>
      <c r="B567" s="65" t="s">
        <v>516</v>
      </c>
      <c r="C567" s="66"/>
      <c r="D567" s="66"/>
      <c r="E567" s="67"/>
      <c r="F567" s="5">
        <v>6</v>
      </c>
      <c r="G567" s="26"/>
      <c r="H567" s="5"/>
      <c r="I567" s="5"/>
      <c r="J567" s="5"/>
      <c r="K567" s="5" t="str">
        <f>IF(COUNTA(H567:J567)=2,ROUND(PRODUCT(H567:J567),2),"")</f>
        <v/>
      </c>
      <c r="L567" s="5" t="str">
        <f>IF(OR(AND(COUNTA(H567:J567)=3,K567=""),AND(COUNTA(H567:J567)=1,K567&lt;&gt;"")),ROUND(PRODUCT(H567:K567),2),"")</f>
        <v/>
      </c>
      <c r="M567" s="5">
        <f>IF(L567&lt;&gt;"",ROUND(PRODUCT(F567,G567,L567),2),IF(K567&lt;&gt;"",ROUND(PRODUCT(F567,G567,K567),2),ROUND(PRODUCT(F567:J567),2)))</f>
        <v>6</v>
      </c>
      <c r="N567" s="5"/>
    </row>
    <row r="568" spans="1:14" x14ac:dyDescent="0.3">
      <c r="A568" s="23" t="s">
        <v>372</v>
      </c>
      <c r="B568" s="23" t="s">
        <v>549</v>
      </c>
      <c r="C568" s="23" t="str">
        <f>VLOOKUP(B568,CPU!$B:$J,2,FALSE)</f>
        <v>PRÓPRIA</v>
      </c>
      <c r="D568" s="24" t="str">
        <f>VLOOKUP(B568,CPU!$B:$J,3,FALSE)</f>
        <v>RELATÓRIO TÉCNICO</v>
      </c>
      <c r="E568" s="23" t="str">
        <f>VLOOKUP(B568,CPU!$B:$J,4,FALSE)</f>
        <v>UN</v>
      </c>
      <c r="F568" s="23"/>
      <c r="G568" s="23"/>
      <c r="H568" s="23"/>
      <c r="I568" s="23"/>
      <c r="J568" s="23"/>
      <c r="K568" s="23"/>
      <c r="L568" s="23"/>
      <c r="M568" s="23"/>
      <c r="N568" s="5">
        <f>SUM($M$569:$M$569)</f>
        <v>1</v>
      </c>
    </row>
    <row r="569" spans="1:14" x14ac:dyDescent="0.3">
      <c r="A569" s="23" t="s">
        <v>857</v>
      </c>
      <c r="B569" s="65" t="s">
        <v>516</v>
      </c>
      <c r="C569" s="66"/>
      <c r="D569" s="66"/>
      <c r="E569" s="67"/>
      <c r="F569" s="5">
        <v>1</v>
      </c>
      <c r="G569" s="26"/>
      <c r="H569" s="5"/>
      <c r="I569" s="5"/>
      <c r="J569" s="5"/>
      <c r="K569" s="5" t="str">
        <f>IF(COUNTA(H569:J569)=2,ROUND(PRODUCT(H569:J569),2),"")</f>
        <v/>
      </c>
      <c r="L569" s="5" t="str">
        <f>IF(OR(AND(COUNTA(H569:J569)=3,K569=""),AND(COUNTA(H569:J569)=1,K569&lt;&gt;"")),ROUND(PRODUCT(H569:K569),2),"")</f>
        <v/>
      </c>
      <c r="M569" s="5">
        <f>IF(L569&lt;&gt;"",ROUND(PRODUCT(F569,G569,L569),2),IF(K569&lt;&gt;"",ROUND(PRODUCT(F569,G569,K569),2),ROUND(PRODUCT(F569:J569),2)))</f>
        <v>1</v>
      </c>
      <c r="N569" s="5"/>
    </row>
    <row r="570" spans="1:14" x14ac:dyDescent="0.3">
      <c r="A570" s="23" t="s">
        <v>373</v>
      </c>
      <c r="B570" s="23" t="s">
        <v>551</v>
      </c>
      <c r="C570" s="23" t="str">
        <f>VLOOKUP(B570,CPU!$B:$J,2,FALSE)</f>
        <v>PRÓPRIA</v>
      </c>
      <c r="D570" s="24" t="str">
        <f>VLOOKUP(B570,CPU!$B:$J,3,FALSE)</f>
        <v>ANÁLISE FÍSICO-QUÍMICA DA ÁGUA</v>
      </c>
      <c r="E570" s="23" t="str">
        <f>VLOOKUP(B570,CPU!$B:$J,4,FALSE)</f>
        <v>UN</v>
      </c>
      <c r="F570" s="23"/>
      <c r="G570" s="23"/>
      <c r="H570" s="23"/>
      <c r="I570" s="23"/>
      <c r="J570" s="23"/>
      <c r="K570" s="23"/>
      <c r="L570" s="23"/>
      <c r="M570" s="23"/>
      <c r="N570" s="5">
        <f>SUM($M$571:$M$571)</f>
        <v>1</v>
      </c>
    </row>
    <row r="571" spans="1:14" x14ac:dyDescent="0.3">
      <c r="A571" s="23" t="s">
        <v>858</v>
      </c>
      <c r="B571" s="65" t="s">
        <v>516</v>
      </c>
      <c r="C571" s="66"/>
      <c r="D571" s="66"/>
      <c r="E571" s="67"/>
      <c r="F571" s="5">
        <v>1</v>
      </c>
      <c r="G571" s="26"/>
      <c r="H571" s="5"/>
      <c r="I571" s="5"/>
      <c r="J571" s="5"/>
      <c r="K571" s="5" t="str">
        <f>IF(COUNTA(H571:J571)=2,ROUND(PRODUCT(H571:J571),2),"")</f>
        <v/>
      </c>
      <c r="L571" s="5" t="str">
        <f>IF(OR(AND(COUNTA(H571:J571)=3,K571=""),AND(COUNTA(H571:J571)=1,K571&lt;&gt;"")),ROUND(PRODUCT(H571:K571),2),"")</f>
        <v/>
      </c>
      <c r="M571" s="5">
        <f>IF(L571&lt;&gt;"",ROUND(PRODUCT(F571,G571,L571),2),IF(K571&lt;&gt;"",ROUND(PRODUCT(F571,G571,K571),2),ROUND(PRODUCT(F571:J571),2)))</f>
        <v>1</v>
      </c>
      <c r="N571" s="5"/>
    </row>
    <row r="572" spans="1:14" x14ac:dyDescent="0.3">
      <c r="A572" s="23" t="s">
        <v>374</v>
      </c>
      <c r="B572" s="23" t="s">
        <v>553</v>
      </c>
      <c r="C572" s="23" t="str">
        <f>VLOOKUP(B572,CPU!$B:$J,2,FALSE)</f>
        <v>PRÓPRIA</v>
      </c>
      <c r="D572" s="24" t="str">
        <f>VLOOKUP(B572,CPU!$B:$J,3,FALSE)</f>
        <v>FORNECIMENTO E INSTALAÇÃO DE REVESTIMENTO GEOMECÂNICO STANDART DN-154-S</v>
      </c>
      <c r="E572" s="23" t="str">
        <f>VLOOKUP(B572,CPU!$B:$J,4,FALSE)</f>
        <v>M</v>
      </c>
      <c r="F572" s="23"/>
      <c r="G572" s="23"/>
      <c r="H572" s="23"/>
      <c r="I572" s="23"/>
      <c r="J572" s="23"/>
      <c r="K572" s="23"/>
      <c r="L572" s="23"/>
      <c r="M572" s="23"/>
      <c r="N572" s="5">
        <f>SUM($M$573:$M$573)</f>
        <v>36</v>
      </c>
    </row>
    <row r="573" spans="1:14" x14ac:dyDescent="0.3">
      <c r="A573" s="23" t="s">
        <v>859</v>
      </c>
      <c r="B573" s="65" t="s">
        <v>532</v>
      </c>
      <c r="C573" s="66"/>
      <c r="D573" s="66"/>
      <c r="E573" s="67"/>
      <c r="F573" s="5">
        <v>36</v>
      </c>
      <c r="G573" s="26"/>
      <c r="H573" s="5"/>
      <c r="I573" s="5"/>
      <c r="J573" s="5"/>
      <c r="K573" s="5" t="str">
        <f>IF(COUNTA(H573:J573)=2,ROUND(PRODUCT(H573:J573),2),"")</f>
        <v/>
      </c>
      <c r="L573" s="5" t="str">
        <f>IF(OR(AND(COUNTA(H573:J573)=3,K573=""),AND(COUNTA(H573:J573)=1,K573&lt;&gt;"")),ROUND(PRODUCT(H573:K573),2),"")</f>
        <v/>
      </c>
      <c r="M573" s="5">
        <f>IF(L573&lt;&gt;"",ROUND(PRODUCT(F573,G573,L573),2),IF(K573&lt;&gt;"",ROUND(PRODUCT(F573,G573,K573),2),ROUND(PRODUCT(F573:J573),2)))</f>
        <v>36</v>
      </c>
      <c r="N573" s="5"/>
    </row>
    <row r="574" spans="1:14" x14ac:dyDescent="0.3">
      <c r="A574" s="23" t="s">
        <v>375</v>
      </c>
      <c r="B574" s="23" t="s">
        <v>555</v>
      </c>
      <c r="C574" s="23" t="str">
        <f>VLOOKUP(B574,CPU!$B:$J,2,FALSE)</f>
        <v>PRÓPRIA</v>
      </c>
      <c r="D574" s="24" t="str">
        <f>VLOOKUP(B574,CPU!$B:$J,3,FALSE)</f>
        <v>FORNECIMENTO E INSTALAÇÃO DE TAMPA PARA POÇO</v>
      </c>
      <c r="E574" s="23" t="str">
        <f>VLOOKUP(B574,CPU!$B:$J,4,FALSE)</f>
        <v>UN</v>
      </c>
      <c r="F574" s="23"/>
      <c r="G574" s="23"/>
      <c r="H574" s="23"/>
      <c r="I574" s="23"/>
      <c r="J574" s="23"/>
      <c r="K574" s="23"/>
      <c r="L574" s="23"/>
      <c r="M574" s="23"/>
      <c r="N574" s="5">
        <f>SUM($M$575:$M$575)</f>
        <v>1</v>
      </c>
    </row>
    <row r="575" spans="1:14" x14ac:dyDescent="0.3">
      <c r="A575" s="23" t="s">
        <v>860</v>
      </c>
      <c r="B575" s="65" t="s">
        <v>516</v>
      </c>
      <c r="C575" s="66"/>
      <c r="D575" s="66"/>
      <c r="E575" s="67"/>
      <c r="F575" s="5">
        <v>1</v>
      </c>
      <c r="G575" s="26"/>
      <c r="H575" s="5"/>
      <c r="I575" s="5"/>
      <c r="J575" s="5"/>
      <c r="K575" s="5" t="str">
        <f>IF(COUNTA(H575:J575)=2,ROUND(PRODUCT(H575:J575),2),"")</f>
        <v/>
      </c>
      <c r="L575" s="5" t="str">
        <f>IF(OR(AND(COUNTA(H575:J575)=3,K575=""),AND(COUNTA(H575:J575)=1,K575&lt;&gt;"")),ROUND(PRODUCT(H575:K575),2),"")</f>
        <v/>
      </c>
      <c r="M575" s="5">
        <f>IF(L575&lt;&gt;"",ROUND(PRODUCT(F575,G575,L575),2),IF(K575&lt;&gt;"",ROUND(PRODUCT(F575,G575,K575),2),ROUND(PRODUCT(F575:J575),2)))</f>
        <v>1</v>
      </c>
      <c r="N575" s="5"/>
    </row>
    <row r="576" spans="1:14" x14ac:dyDescent="0.3">
      <c r="A576" s="12" t="s">
        <v>87</v>
      </c>
      <c r="B576" s="46" t="s">
        <v>557</v>
      </c>
      <c r="C576" s="47"/>
      <c r="D576" s="47"/>
      <c r="E576" s="47"/>
      <c r="F576" s="47"/>
      <c r="G576" s="47"/>
      <c r="H576" s="47"/>
      <c r="I576" s="47"/>
      <c r="J576" s="47"/>
      <c r="K576" s="47"/>
      <c r="L576" s="47"/>
      <c r="M576" s="47"/>
      <c r="N576" s="48"/>
    </row>
    <row r="577" spans="1:14" ht="28.8" x14ac:dyDescent="0.3">
      <c r="A577" s="23" t="s">
        <v>376</v>
      </c>
      <c r="B577" s="23" t="s">
        <v>558</v>
      </c>
      <c r="C577" s="23" t="str">
        <f>VLOOKUP(B577,CPU!$B:$J,2,FALSE)</f>
        <v>PRÓPRIA</v>
      </c>
      <c r="D577" s="24" t="str">
        <f>VLOOKUP(B577,CPU!$B:$J,3,FALSE)</f>
        <v>FORNECIMENTO E INSTALAÇÃO DE BOMBA SUBMERSA DE 3CV, MONOFÁSICA, 220 V, LEÃO OU SIMILAR</v>
      </c>
      <c r="E577" s="23" t="str">
        <f>VLOOKUP(B577,CPU!$B:$J,4,FALSE)</f>
        <v>UN</v>
      </c>
      <c r="F577" s="23"/>
      <c r="G577" s="23"/>
      <c r="H577" s="23"/>
      <c r="I577" s="23"/>
      <c r="J577" s="23"/>
      <c r="K577" s="23"/>
      <c r="L577" s="23"/>
      <c r="M577" s="23"/>
      <c r="N577" s="5">
        <f>SUM($M$578:$M$578)</f>
        <v>1</v>
      </c>
    </row>
    <row r="578" spans="1:14" x14ac:dyDescent="0.3">
      <c r="A578" s="23" t="s">
        <v>861</v>
      </c>
      <c r="B578" s="65" t="s">
        <v>516</v>
      </c>
      <c r="C578" s="66"/>
      <c r="D578" s="66"/>
      <c r="E578" s="67"/>
      <c r="F578" s="5">
        <v>1</v>
      </c>
      <c r="G578" s="26"/>
      <c r="H578" s="5"/>
      <c r="I578" s="5"/>
      <c r="J578" s="5"/>
      <c r="K578" s="5" t="str">
        <f>IF(COUNTA(H578:J578)=2,ROUND(PRODUCT(H578:J578),2),"")</f>
        <v/>
      </c>
      <c r="L578" s="5" t="str">
        <f>IF(OR(AND(COUNTA(H578:J578)=3,K578=""),AND(COUNTA(H578:J578)=1,K578&lt;&gt;"")),ROUND(PRODUCT(H578:K578),2),"")</f>
        <v/>
      </c>
      <c r="M578" s="5">
        <f>IF(L578&lt;&gt;"",ROUND(PRODUCT(F578,G578,L578),2),IF(K578&lt;&gt;"",ROUND(PRODUCT(F578,G578,K578),2),ROUND(PRODUCT(F578:J578),2)))</f>
        <v>1</v>
      </c>
      <c r="N578" s="5"/>
    </row>
    <row r="579" spans="1:14" ht="28.8" x14ac:dyDescent="0.3">
      <c r="A579" s="23" t="s">
        <v>377</v>
      </c>
      <c r="B579" s="23" t="s">
        <v>560</v>
      </c>
      <c r="C579" s="23" t="str">
        <f>VLOOKUP(B579,CPU!$B:$J,2,FALSE)</f>
        <v>PRÓPRIA</v>
      </c>
      <c r="D579" s="24" t="str">
        <f>VLOOKUP(B579,CPU!$B:$J,3,FALSE)</f>
        <v>FORNECIMENTO E INSTALAÇÃO DE PAINEL DE COMANDO ELÉTRICO PARA BOMBA 3CV, MONOFÁSICO</v>
      </c>
      <c r="E579" s="23" t="str">
        <f>VLOOKUP(B579,CPU!$B:$J,4,FALSE)</f>
        <v>UN</v>
      </c>
      <c r="F579" s="23"/>
      <c r="G579" s="23"/>
      <c r="H579" s="23"/>
      <c r="I579" s="23"/>
      <c r="J579" s="23"/>
      <c r="K579" s="23"/>
      <c r="L579" s="23"/>
      <c r="M579" s="23"/>
      <c r="N579" s="5">
        <f>SUM($M$580:$M$580)</f>
        <v>1</v>
      </c>
    </row>
    <row r="580" spans="1:14" x14ac:dyDescent="0.3">
      <c r="A580" s="23" t="s">
        <v>862</v>
      </c>
      <c r="B580" s="65" t="s">
        <v>516</v>
      </c>
      <c r="C580" s="66"/>
      <c r="D580" s="66"/>
      <c r="E580" s="67"/>
      <c r="F580" s="5">
        <v>1</v>
      </c>
      <c r="G580" s="26"/>
      <c r="H580" s="5"/>
      <c r="I580" s="5"/>
      <c r="J580" s="5"/>
      <c r="K580" s="5" t="str">
        <f>IF(COUNTA(H580:J580)=2,ROUND(PRODUCT(H580:J580),2),"")</f>
        <v/>
      </c>
      <c r="L580" s="5" t="str">
        <f>IF(OR(AND(COUNTA(H580:J580)=3,K580=""),AND(COUNTA(H580:J580)=1,K580&lt;&gt;"")),ROUND(PRODUCT(H580:K580),2),"")</f>
        <v/>
      </c>
      <c r="M580" s="5">
        <f>IF(L580&lt;&gt;"",ROUND(PRODUCT(F580,G580,L580),2),IF(K580&lt;&gt;"",ROUND(PRODUCT(F580,G580,K580),2),ROUND(PRODUCT(F580:J580),2)))</f>
        <v>1</v>
      </c>
      <c r="N580" s="5"/>
    </row>
    <row r="581" spans="1:14" x14ac:dyDescent="0.3">
      <c r="A581" s="23" t="s">
        <v>378</v>
      </c>
      <c r="B581" s="23" t="s">
        <v>562</v>
      </c>
      <c r="C581" s="23" t="str">
        <f>VLOOKUP(B581,CPU!$B:$J,2,FALSE)</f>
        <v>PRÓPRIA</v>
      </c>
      <c r="D581" s="24" t="str">
        <f>VLOOKUP(B581,CPU!$B:$J,3,FALSE)</f>
        <v>FORNECIMENTO E INSTALAÇÃO DE TUBO EDUTOR DE PVC DE 1.1/2'' COM LUVA</v>
      </c>
      <c r="E581" s="23" t="str">
        <f>VLOOKUP(B581,CPU!$B:$J,4,FALSE)</f>
        <v>M</v>
      </c>
      <c r="F581" s="23"/>
      <c r="G581" s="23"/>
      <c r="H581" s="23"/>
      <c r="I581" s="23"/>
      <c r="J581" s="23"/>
      <c r="K581" s="23"/>
      <c r="L581" s="23"/>
      <c r="M581" s="23"/>
      <c r="N581" s="5">
        <f>SUM($M$582:$M$582)</f>
        <v>110</v>
      </c>
    </row>
    <row r="582" spans="1:14" x14ac:dyDescent="0.3">
      <c r="A582" s="23" t="s">
        <v>863</v>
      </c>
      <c r="B582" s="65" t="s">
        <v>516</v>
      </c>
      <c r="C582" s="66"/>
      <c r="D582" s="66"/>
      <c r="E582" s="67"/>
      <c r="F582" s="5">
        <v>110</v>
      </c>
      <c r="G582" s="26"/>
      <c r="H582" s="5"/>
      <c r="I582" s="5"/>
      <c r="J582" s="5"/>
      <c r="K582" s="5" t="str">
        <f>IF(COUNTA(H582:J582)=2,ROUND(PRODUCT(H582:J582),2),"")</f>
        <v/>
      </c>
      <c r="L582" s="5" t="str">
        <f>IF(OR(AND(COUNTA(H582:J582)=3,K582=""),AND(COUNTA(H582:J582)=1,K582&lt;&gt;"")),ROUND(PRODUCT(H582:K582),2),"")</f>
        <v/>
      </c>
      <c r="M582" s="5">
        <f>IF(L582&lt;&gt;"",ROUND(PRODUCT(F582,G582,L582),2),IF(K582&lt;&gt;"",ROUND(PRODUCT(F582,G582,K582),2),ROUND(PRODUCT(F582:J582),2)))</f>
        <v>110</v>
      </c>
      <c r="N582" s="5"/>
    </row>
    <row r="583" spans="1:14" x14ac:dyDescent="0.3">
      <c r="A583" s="23" t="s">
        <v>379</v>
      </c>
      <c r="B583" s="23" t="s">
        <v>564</v>
      </c>
      <c r="C583" s="23" t="str">
        <f>VLOOKUP(B583,CPU!$B:$J,2,FALSE)</f>
        <v>PRÓPRIA</v>
      </c>
      <c r="D583" s="24" t="str">
        <f>VLOOKUP(B583,CPU!$B:$J,3,FALSE)</f>
        <v>FORNECIMENTO E INSTALAÇÃO DE CABO CHATO SUBMERSO DE 3 X 6 MM²</v>
      </c>
      <c r="E583" s="23" t="str">
        <f>VLOOKUP(B583,CPU!$B:$J,4,FALSE)</f>
        <v>M</v>
      </c>
      <c r="F583" s="23"/>
      <c r="G583" s="23"/>
      <c r="H583" s="23"/>
      <c r="I583" s="23"/>
      <c r="J583" s="23"/>
      <c r="K583" s="23"/>
      <c r="L583" s="23"/>
      <c r="M583" s="23"/>
      <c r="N583" s="5">
        <f>SUM($M$584:$M$584)</f>
        <v>120</v>
      </c>
    </row>
    <row r="584" spans="1:14" x14ac:dyDescent="0.3">
      <c r="A584" s="23" t="s">
        <v>864</v>
      </c>
      <c r="B584" s="65" t="s">
        <v>516</v>
      </c>
      <c r="C584" s="66"/>
      <c r="D584" s="66"/>
      <c r="E584" s="67"/>
      <c r="F584" s="5">
        <v>120</v>
      </c>
      <c r="G584" s="26"/>
      <c r="H584" s="5"/>
      <c r="I584" s="5"/>
      <c r="J584" s="5"/>
      <c r="K584" s="5" t="str">
        <f>IF(COUNTA(H584:J584)=2,ROUND(PRODUCT(H584:J584),2),"")</f>
        <v/>
      </c>
      <c r="L584" s="5" t="str">
        <f>IF(OR(AND(COUNTA(H584:J584)=3,K584=""),AND(COUNTA(H584:J584)=1,K584&lt;&gt;"")),ROUND(PRODUCT(H584:K584),2),"")</f>
        <v/>
      </c>
      <c r="M584" s="5">
        <f>IF(L584&lt;&gt;"",ROUND(PRODUCT(F584,G584,L584),2),IF(K584&lt;&gt;"",ROUND(PRODUCT(F584,G584,K584),2),ROUND(PRODUCT(F584:J584),2)))</f>
        <v>120</v>
      </c>
      <c r="N584" s="5"/>
    </row>
    <row r="585" spans="1:14" x14ac:dyDescent="0.3">
      <c r="A585" s="23" t="s">
        <v>380</v>
      </c>
      <c r="B585" s="23" t="s">
        <v>566</v>
      </c>
      <c r="C585" s="23" t="str">
        <f>VLOOKUP(B585,CPU!$B:$J,2,FALSE)</f>
        <v>PRÓPRIA</v>
      </c>
      <c r="D585" s="24" t="str">
        <f>VLOOKUP(B585,CPU!$B:$J,3,FALSE)</f>
        <v>BARRILETE (CURVAS E CONEXÕES)</v>
      </c>
      <c r="E585" s="23" t="str">
        <f>VLOOKUP(B585,CPU!$B:$J,4,FALSE)</f>
        <v>UN</v>
      </c>
      <c r="F585" s="23"/>
      <c r="G585" s="23"/>
      <c r="H585" s="23"/>
      <c r="I585" s="23"/>
      <c r="J585" s="23"/>
      <c r="K585" s="23"/>
      <c r="L585" s="23"/>
      <c r="M585" s="23"/>
      <c r="N585" s="5">
        <f>SUM($M$586:$M$586)</f>
        <v>1</v>
      </c>
    </row>
    <row r="586" spans="1:14" x14ac:dyDescent="0.3">
      <c r="A586" s="23" t="s">
        <v>865</v>
      </c>
      <c r="B586" s="65" t="s">
        <v>516</v>
      </c>
      <c r="C586" s="66"/>
      <c r="D586" s="66"/>
      <c r="E586" s="67"/>
      <c r="F586" s="5">
        <v>1</v>
      </c>
      <c r="G586" s="26"/>
      <c r="H586" s="5"/>
      <c r="I586" s="5"/>
      <c r="J586" s="5"/>
      <c r="K586" s="5" t="str">
        <f>IF(COUNTA(H586:J586)=2,ROUND(PRODUCT(H586:J586),2),"")</f>
        <v/>
      </c>
      <c r="L586" s="5" t="str">
        <f>IF(OR(AND(COUNTA(H586:J586)=3,K586=""),AND(COUNTA(H586:J586)=1,K586&lt;&gt;"")),ROUND(PRODUCT(H586:K586),2),"")</f>
        <v/>
      </c>
      <c r="M586" s="5">
        <f>IF(L586&lt;&gt;"",ROUND(PRODUCT(F586,G586,L586),2),IF(K586&lt;&gt;"",ROUND(PRODUCT(F586,G586,K586),2),ROUND(PRODUCT(F586:J586),2)))</f>
        <v>1</v>
      </c>
      <c r="N586" s="5"/>
    </row>
    <row r="587" spans="1:14" x14ac:dyDescent="0.3">
      <c r="A587" s="23" t="s">
        <v>381</v>
      </c>
      <c r="B587" s="23" t="s">
        <v>568</v>
      </c>
      <c r="C587" s="23" t="str">
        <f>VLOOKUP(B587,CPU!$B:$J,2,FALSE)</f>
        <v>PRÓPRIA</v>
      </c>
      <c r="D587" s="24" t="str">
        <f>VLOOKUP(B587,CPU!$B:$J,3,FALSE)</f>
        <v>AQUISIÇÃO E INSTALAÇÃO DE DOSADOR DE CLORO</v>
      </c>
      <c r="E587" s="23" t="str">
        <f>VLOOKUP(B587,CPU!$B:$J,4,FALSE)</f>
        <v>UND</v>
      </c>
      <c r="F587" s="23"/>
      <c r="G587" s="23"/>
      <c r="H587" s="23"/>
      <c r="I587" s="23"/>
      <c r="J587" s="23"/>
      <c r="K587" s="23"/>
      <c r="L587" s="23"/>
      <c r="M587" s="23"/>
      <c r="N587" s="5">
        <f>SUM($M$588:$M$588)</f>
        <v>1</v>
      </c>
    </row>
    <row r="588" spans="1:14" x14ac:dyDescent="0.3">
      <c r="A588" s="23" t="s">
        <v>866</v>
      </c>
      <c r="B588" s="65" t="s">
        <v>516</v>
      </c>
      <c r="C588" s="66"/>
      <c r="D588" s="66"/>
      <c r="E588" s="67"/>
      <c r="F588" s="5">
        <v>1</v>
      </c>
      <c r="G588" s="26"/>
      <c r="H588" s="5"/>
      <c r="I588" s="5"/>
      <c r="J588" s="5"/>
      <c r="K588" s="5" t="str">
        <f>IF(COUNTA(H588:J588)=2,ROUND(PRODUCT(H588:J588),2),"")</f>
        <v/>
      </c>
      <c r="L588" s="5" t="str">
        <f>IF(OR(AND(COUNTA(H588:J588)=3,K588=""),AND(COUNTA(H588:J588)=1,K588&lt;&gt;"")),ROUND(PRODUCT(H588:K588),2),"")</f>
        <v/>
      </c>
      <c r="M588" s="5">
        <f>IF(L588&lt;&gt;"",ROUND(PRODUCT(F588,G588,L588),2),IF(K588&lt;&gt;"",ROUND(PRODUCT(F588,G588,K588),2),ROUND(PRODUCT(F588:J588),2)))</f>
        <v>1</v>
      </c>
      <c r="N588" s="5"/>
    </row>
    <row r="589" spans="1:14" x14ac:dyDescent="0.3">
      <c r="A589" s="12" t="s">
        <v>88</v>
      </c>
      <c r="B589" s="46" t="s">
        <v>570</v>
      </c>
      <c r="C589" s="47"/>
      <c r="D589" s="47"/>
      <c r="E589" s="47"/>
      <c r="F589" s="47"/>
      <c r="G589" s="47"/>
      <c r="H589" s="47"/>
      <c r="I589" s="47"/>
      <c r="J589" s="47"/>
      <c r="K589" s="47"/>
      <c r="L589" s="47"/>
      <c r="M589" s="47"/>
      <c r="N589" s="48"/>
    </row>
    <row r="590" spans="1:14" x14ac:dyDescent="0.3">
      <c r="A590" s="15" t="s">
        <v>89</v>
      </c>
      <c r="B590" s="49" t="s">
        <v>513</v>
      </c>
      <c r="C590" s="50"/>
      <c r="D590" s="50"/>
      <c r="E590" s="50"/>
      <c r="F590" s="50"/>
      <c r="G590" s="50"/>
      <c r="H590" s="50"/>
      <c r="I590" s="50"/>
      <c r="J590" s="50"/>
      <c r="K590" s="50"/>
      <c r="L590" s="50"/>
      <c r="M590" s="50"/>
      <c r="N590" s="51"/>
    </row>
    <row r="591" spans="1:14" x14ac:dyDescent="0.3">
      <c r="A591" s="23" t="s">
        <v>382</v>
      </c>
      <c r="B591" s="23">
        <v>98524</v>
      </c>
      <c r="C591" s="23" t="str">
        <f>VLOOKUP(B591,CPU!$B:$J,2,FALSE)</f>
        <v>SINAPI</v>
      </c>
      <c r="D591" s="24" t="str">
        <f>VLOOKUP(B591,CPU!$B:$J,3,FALSE)</f>
        <v>LIMPEZA MANUAL DE VEGETAÇÃO EM TERRENO COM ENXADA. AF_03/2024</v>
      </c>
      <c r="E591" s="23" t="str">
        <f>VLOOKUP(B591,CPU!$B:$J,4,FALSE)</f>
        <v>M2</v>
      </c>
      <c r="F591" s="23"/>
      <c r="G591" s="23"/>
      <c r="H591" s="23"/>
      <c r="I591" s="23"/>
      <c r="J591" s="23"/>
      <c r="K591" s="23"/>
      <c r="L591" s="23"/>
      <c r="M591" s="23"/>
      <c r="N591" s="5">
        <f>SUM($M$592:$M$592)</f>
        <v>100</v>
      </c>
    </row>
    <row r="592" spans="1:14" x14ac:dyDescent="0.3">
      <c r="A592" s="23" t="s">
        <v>867</v>
      </c>
      <c r="B592" s="65" t="s">
        <v>516</v>
      </c>
      <c r="C592" s="66"/>
      <c r="D592" s="66"/>
      <c r="E592" s="67"/>
      <c r="F592" s="5"/>
      <c r="G592" s="26"/>
      <c r="H592" s="5"/>
      <c r="I592" s="5">
        <v>10</v>
      </c>
      <c r="J592" s="5">
        <v>10</v>
      </c>
      <c r="K592" s="5">
        <f>IF(COUNTA(H592:J592)=2,ROUND(PRODUCT(H592:J592),2),"")</f>
        <v>100</v>
      </c>
      <c r="L592" s="5" t="str">
        <f>IF(OR(AND(COUNTA(H592:J592)=3,K592=""),AND(COUNTA(H592:J592)=1,K592&lt;&gt;"")),ROUND(PRODUCT(H592:K592),2),"")</f>
        <v/>
      </c>
      <c r="M592" s="5">
        <f>IF(L592&lt;&gt;"",ROUND(PRODUCT(F592,G592,L592),2),IF(K592&lt;&gt;"",ROUND(PRODUCT(F592,G592,K592),2),ROUND(PRODUCT(F592:J592),2)))</f>
        <v>100</v>
      </c>
      <c r="N592" s="5"/>
    </row>
    <row r="593" spans="1:14" ht="28.8" x14ac:dyDescent="0.3">
      <c r="A593" s="23" t="s">
        <v>383</v>
      </c>
      <c r="B593" s="23">
        <v>99059</v>
      </c>
      <c r="C593" s="23" t="str">
        <f>VLOOKUP(B593,CPU!$B:$J,2,FALSE)</f>
        <v>SINAPI</v>
      </c>
      <c r="D593" s="24" t="str">
        <f>VLOOKUP(B593,CPU!$B:$J,3,FALSE)</f>
        <v>LOCAÇÃO CONVENCIONAL DE OBRA, UTILIZANDO GABARITO DE TÁBUAS CORRIDAS PONTALETADAS A CADA 2,00M - 2 UTILIZAÇÕES. AF_03/2024</v>
      </c>
      <c r="E593" s="23" t="str">
        <f>VLOOKUP(B593,CPU!$B:$J,4,FALSE)</f>
        <v>M</v>
      </c>
      <c r="F593" s="23"/>
      <c r="G593" s="23"/>
      <c r="H593" s="23"/>
      <c r="I593" s="23"/>
      <c r="J593" s="23"/>
      <c r="K593" s="23"/>
      <c r="L593" s="23"/>
      <c r="M593" s="23"/>
      <c r="N593" s="5">
        <f>SUM($M$594:$M$594)</f>
        <v>44</v>
      </c>
    </row>
    <row r="594" spans="1:14" x14ac:dyDescent="0.3">
      <c r="A594" s="23" t="s">
        <v>868</v>
      </c>
      <c r="B594" s="65" t="s">
        <v>516</v>
      </c>
      <c r="C594" s="66"/>
      <c r="D594" s="66"/>
      <c r="E594" s="67"/>
      <c r="F594" s="5"/>
      <c r="G594" s="26">
        <v>4</v>
      </c>
      <c r="H594" s="5">
        <v>11</v>
      </c>
      <c r="I594" s="5"/>
      <c r="J594" s="5"/>
      <c r="K594" s="5" t="str">
        <f>IF(COUNTA(H594:J594)=2,ROUND(PRODUCT(H594:J594),2),"")</f>
        <v/>
      </c>
      <c r="L594" s="5" t="str">
        <f>IF(OR(AND(COUNTA(H594:J594)=3,K594=""),AND(COUNTA(H594:J594)=1,K594&lt;&gt;"")),ROUND(PRODUCT(H594:K594),2),"")</f>
        <v/>
      </c>
      <c r="M594" s="5">
        <f>IF(L594&lt;&gt;"",ROUND(PRODUCT(F594,G594,L594),2),IF(K594&lt;&gt;"",ROUND(PRODUCT(F594,G594,K594),2),ROUND(PRODUCT(F594:J594),2)))</f>
        <v>44</v>
      </c>
      <c r="N594" s="5"/>
    </row>
    <row r="595" spans="1:14" x14ac:dyDescent="0.3">
      <c r="A595" s="15" t="s">
        <v>90</v>
      </c>
      <c r="B595" s="49" t="s">
        <v>573</v>
      </c>
      <c r="C595" s="50"/>
      <c r="D595" s="50"/>
      <c r="E595" s="50"/>
      <c r="F595" s="50"/>
      <c r="G595" s="50"/>
      <c r="H595" s="50"/>
      <c r="I595" s="50"/>
      <c r="J595" s="50"/>
      <c r="K595" s="50"/>
      <c r="L595" s="50"/>
      <c r="M595" s="50"/>
      <c r="N595" s="51"/>
    </row>
    <row r="596" spans="1:14" x14ac:dyDescent="0.3">
      <c r="A596" s="23" t="s">
        <v>384</v>
      </c>
      <c r="B596" s="23">
        <v>93358</v>
      </c>
      <c r="C596" s="23" t="str">
        <f>VLOOKUP(B596,CPU!$B:$J,2,FALSE)</f>
        <v>SINAPI</v>
      </c>
      <c r="D596" s="24" t="str">
        <f>VLOOKUP(B596,CPU!$B:$J,3,FALSE)</f>
        <v>ESCAVAÇÃO MANUAL DE VALA. AF_09/2024</v>
      </c>
      <c r="E596" s="23" t="str">
        <f>VLOOKUP(B596,CPU!$B:$J,4,FALSE)</f>
        <v>M3</v>
      </c>
      <c r="F596" s="23"/>
      <c r="G596" s="23"/>
      <c r="H596" s="23"/>
      <c r="I596" s="23"/>
      <c r="J596" s="23"/>
      <c r="K596" s="23"/>
      <c r="L596" s="23"/>
      <c r="M596" s="23"/>
      <c r="N596" s="5">
        <f>SUM($M$597:$M$598)</f>
        <v>1.54</v>
      </c>
    </row>
    <row r="597" spans="1:14" x14ac:dyDescent="0.3">
      <c r="A597" s="23" t="s">
        <v>869</v>
      </c>
      <c r="B597" s="65" t="s">
        <v>516</v>
      </c>
      <c r="C597" s="66"/>
      <c r="D597" s="66"/>
      <c r="E597" s="67"/>
      <c r="F597" s="5"/>
      <c r="G597" s="26">
        <v>2</v>
      </c>
      <c r="H597" s="5">
        <v>2.2999999999999998</v>
      </c>
      <c r="I597" s="5">
        <v>0.3</v>
      </c>
      <c r="J597" s="5">
        <v>0.6</v>
      </c>
      <c r="K597" s="5" t="str">
        <f>IF(COUNTA(H597:J597)=2,ROUND(PRODUCT(H597:J597),2),"")</f>
        <v/>
      </c>
      <c r="L597" s="5">
        <f>IF(OR(AND(COUNTA(H597:J597)=3,K597=""),AND(COUNTA(H597:J597)=1,K597&lt;&gt;"")),ROUND(PRODUCT(H597:K597),2),"")</f>
        <v>0.41</v>
      </c>
      <c r="M597" s="5">
        <f>IF(L597&lt;&gt;"",ROUND(PRODUCT(F597,G597,L597),2),IF(K597&lt;&gt;"",ROUND(PRODUCT(F597,G597,K597),2),ROUND(PRODUCT(F597:J597),2)))</f>
        <v>0.82</v>
      </c>
      <c r="N597" s="5"/>
    </row>
    <row r="598" spans="1:14" x14ac:dyDescent="0.3">
      <c r="A598" s="23" t="s">
        <v>870</v>
      </c>
      <c r="B598" s="65" t="s">
        <v>516</v>
      </c>
      <c r="C598" s="66"/>
      <c r="D598" s="66"/>
      <c r="E598" s="67"/>
      <c r="F598" s="5"/>
      <c r="G598" s="26">
        <v>2</v>
      </c>
      <c r="H598" s="5">
        <v>2</v>
      </c>
      <c r="I598" s="5">
        <v>0.3</v>
      </c>
      <c r="J598" s="5">
        <v>0.6</v>
      </c>
      <c r="K598" s="5" t="str">
        <f>IF(COUNTA(H598:J598)=2,ROUND(PRODUCT(H598:J598),2),"")</f>
        <v/>
      </c>
      <c r="L598" s="5">
        <f>IF(OR(AND(COUNTA(H598:J598)=3,K598=""),AND(COUNTA(H598:J598)=1,K598&lt;&gt;"")),ROUND(PRODUCT(H598:K598),2),"")</f>
        <v>0.36</v>
      </c>
      <c r="M598" s="5">
        <f>IF(L598&lt;&gt;"",ROUND(PRODUCT(F598,G598,L598),2),IF(K598&lt;&gt;"",ROUND(PRODUCT(F598,G598,K598),2),ROUND(PRODUCT(F598:J598),2)))</f>
        <v>0.72</v>
      </c>
      <c r="N598" s="5"/>
    </row>
    <row r="599" spans="1:14" x14ac:dyDescent="0.3">
      <c r="A599" s="15" t="s">
        <v>91</v>
      </c>
      <c r="B599" s="49" t="s">
        <v>576</v>
      </c>
      <c r="C599" s="50"/>
      <c r="D599" s="50"/>
      <c r="E599" s="50"/>
      <c r="F599" s="50"/>
      <c r="G599" s="50"/>
      <c r="H599" s="50"/>
      <c r="I599" s="50"/>
      <c r="J599" s="50"/>
      <c r="K599" s="50"/>
      <c r="L599" s="50"/>
      <c r="M599" s="50"/>
      <c r="N599" s="51"/>
    </row>
    <row r="600" spans="1:14" ht="28.8" x14ac:dyDescent="0.3">
      <c r="A600" s="23" t="s">
        <v>385</v>
      </c>
      <c r="B600" s="23">
        <v>96617</v>
      </c>
      <c r="C600" s="23" t="str">
        <f>VLOOKUP(B600,CPU!$B:$J,2,FALSE)</f>
        <v>SINAPI</v>
      </c>
      <c r="D600" s="24" t="str">
        <f>VLOOKUP(B600,CPU!$B:$J,3,FALSE)</f>
        <v>LASTRO DE CONCRETO MAGRO, APLICADO EM BLOCOS DE COROAMENTO OU SAPATAS, ESPESSURA DE 3 CM. AF_01/2024</v>
      </c>
      <c r="E600" s="23" t="str">
        <f>VLOOKUP(B600,CPU!$B:$J,4,FALSE)</f>
        <v>M2</v>
      </c>
      <c r="F600" s="23"/>
      <c r="G600" s="23"/>
      <c r="H600" s="23"/>
      <c r="I600" s="23"/>
      <c r="J600" s="23"/>
      <c r="K600" s="23"/>
      <c r="L600" s="23"/>
      <c r="M600" s="23"/>
      <c r="N600" s="5">
        <f>SUM($M$601:$M$602)</f>
        <v>2.58</v>
      </c>
    </row>
    <row r="601" spans="1:14" x14ac:dyDescent="0.3">
      <c r="A601" s="23" t="s">
        <v>871</v>
      </c>
      <c r="B601" s="65" t="s">
        <v>516</v>
      </c>
      <c r="C601" s="66"/>
      <c r="D601" s="66"/>
      <c r="E601" s="67"/>
      <c r="F601" s="5"/>
      <c r="G601" s="26">
        <v>2</v>
      </c>
      <c r="H601" s="5">
        <v>2.2999999999999998</v>
      </c>
      <c r="I601" s="5">
        <v>0.3</v>
      </c>
      <c r="J601" s="5"/>
      <c r="K601" s="5">
        <f>IF(COUNTA(H601:J601)=2,ROUND(PRODUCT(H601:J601),2),"")</f>
        <v>0.69</v>
      </c>
      <c r="L601" s="5" t="str">
        <f>IF(OR(AND(COUNTA(H601:J601)=3,K601=""),AND(COUNTA(H601:J601)=1,K601&lt;&gt;"")),ROUND(PRODUCT(H601:K601),2),"")</f>
        <v/>
      </c>
      <c r="M601" s="5">
        <f>IF(L601&lt;&gt;"",ROUND(PRODUCT(F601,G601,L601),2),IF(K601&lt;&gt;"",ROUND(PRODUCT(F601,G601,K601),2),ROUND(PRODUCT(F601:J601),2)))</f>
        <v>1.38</v>
      </c>
      <c r="N601" s="5"/>
    </row>
    <row r="602" spans="1:14" x14ac:dyDescent="0.3">
      <c r="A602" s="23" t="s">
        <v>872</v>
      </c>
      <c r="B602" s="65" t="s">
        <v>516</v>
      </c>
      <c r="C602" s="66"/>
      <c r="D602" s="66"/>
      <c r="E602" s="67"/>
      <c r="F602" s="5"/>
      <c r="G602" s="26">
        <v>2</v>
      </c>
      <c r="H602" s="5">
        <v>2</v>
      </c>
      <c r="I602" s="5">
        <v>0.3</v>
      </c>
      <c r="J602" s="5"/>
      <c r="K602" s="5">
        <f>IF(COUNTA(H602:J602)=2,ROUND(PRODUCT(H602:J602),2),"")</f>
        <v>0.6</v>
      </c>
      <c r="L602" s="5" t="str">
        <f>IF(OR(AND(COUNTA(H602:J602)=3,K602=""),AND(COUNTA(H602:J602)=1,K602&lt;&gt;"")),ROUND(PRODUCT(H602:K602),2),"")</f>
        <v/>
      </c>
      <c r="M602" s="5">
        <f>IF(L602&lt;&gt;"",ROUND(PRODUCT(F602,G602,L602),2),IF(K602&lt;&gt;"",ROUND(PRODUCT(F602,G602,K602),2),ROUND(PRODUCT(F602:J602),2)))</f>
        <v>1.2</v>
      </c>
      <c r="N602" s="5"/>
    </row>
    <row r="603" spans="1:14" ht="28.8" x14ac:dyDescent="0.3">
      <c r="A603" s="23" t="s">
        <v>386</v>
      </c>
      <c r="B603" s="23">
        <v>103800</v>
      </c>
      <c r="C603" s="23" t="str">
        <f>VLOOKUP(B603,CPU!$B:$J,2,FALSE)</f>
        <v>SINAPI</v>
      </c>
      <c r="D603" s="24" t="str">
        <f>VLOOKUP(B603,CPU!$B:$J,3,FALSE)</f>
        <v>PEDRA ARGAMASSADA COM CIMENTO E AREIA 1:3, 40% DE ARGAMASSA EM VOLUME - AREIA E PEDRA DE MÃO COMERCIAIS - FORNECIMENTO E ASSENTAMENTO. AF_08/2022</v>
      </c>
      <c r="E603" s="23" t="str">
        <f>VLOOKUP(B603,CPU!$B:$J,4,FALSE)</f>
        <v>M3</v>
      </c>
      <c r="F603" s="23"/>
      <c r="G603" s="23"/>
      <c r="H603" s="23"/>
      <c r="I603" s="23"/>
      <c r="J603" s="23"/>
      <c r="K603" s="23"/>
      <c r="L603" s="23"/>
      <c r="M603" s="23"/>
      <c r="N603" s="5">
        <f>SUM($M$604:$M$605)</f>
        <v>1.04</v>
      </c>
    </row>
    <row r="604" spans="1:14" x14ac:dyDescent="0.3">
      <c r="A604" s="23" t="s">
        <v>873</v>
      </c>
      <c r="B604" s="65" t="s">
        <v>516</v>
      </c>
      <c r="C604" s="66"/>
      <c r="D604" s="66"/>
      <c r="E604" s="67"/>
      <c r="F604" s="5"/>
      <c r="G604" s="26">
        <v>2</v>
      </c>
      <c r="H604" s="5">
        <v>2.2999999999999998</v>
      </c>
      <c r="I604" s="5">
        <v>0.3</v>
      </c>
      <c r="J604" s="5">
        <v>0.4</v>
      </c>
      <c r="K604" s="5" t="str">
        <f>IF(COUNTA(H604:J604)=2,ROUND(PRODUCT(H604:J604),2),"")</f>
        <v/>
      </c>
      <c r="L604" s="5">
        <f>IF(OR(AND(COUNTA(H604:J604)=3,K604=""),AND(COUNTA(H604:J604)=1,K604&lt;&gt;"")),ROUND(PRODUCT(H604:K604),2),"")</f>
        <v>0.28000000000000003</v>
      </c>
      <c r="M604" s="5">
        <f>IF(L604&lt;&gt;"",ROUND(PRODUCT(F604,G604,L604),2),IF(K604&lt;&gt;"",ROUND(PRODUCT(F604,G604,K604),2),ROUND(PRODUCT(F604:J604),2)))</f>
        <v>0.56000000000000005</v>
      </c>
      <c r="N604" s="5"/>
    </row>
    <row r="605" spans="1:14" x14ac:dyDescent="0.3">
      <c r="A605" s="23" t="s">
        <v>874</v>
      </c>
      <c r="B605" s="65" t="s">
        <v>516</v>
      </c>
      <c r="C605" s="66"/>
      <c r="D605" s="66"/>
      <c r="E605" s="67"/>
      <c r="F605" s="5"/>
      <c r="G605" s="26">
        <v>2</v>
      </c>
      <c r="H605" s="5">
        <v>2</v>
      </c>
      <c r="I605" s="5">
        <v>0.3</v>
      </c>
      <c r="J605" s="5">
        <v>0.4</v>
      </c>
      <c r="K605" s="5" t="str">
        <f>IF(COUNTA(H605:J605)=2,ROUND(PRODUCT(H605:J605),2),"")</f>
        <v/>
      </c>
      <c r="L605" s="5">
        <f>IF(OR(AND(COUNTA(H605:J605)=3,K605=""),AND(COUNTA(H605:J605)=1,K605&lt;&gt;"")),ROUND(PRODUCT(H605:K605),2),"")</f>
        <v>0.24</v>
      </c>
      <c r="M605" s="5">
        <f>IF(L605&lt;&gt;"",ROUND(PRODUCT(F605,G605,L605),2),IF(K605&lt;&gt;"",ROUND(PRODUCT(F605,G605,K605),2),ROUND(PRODUCT(F605:J605),2)))</f>
        <v>0.48</v>
      </c>
      <c r="N605" s="5"/>
    </row>
    <row r="606" spans="1:14" ht="43.2" x14ac:dyDescent="0.3">
      <c r="A606" s="23" t="s">
        <v>387</v>
      </c>
      <c r="B606" s="23">
        <v>103335</v>
      </c>
      <c r="C606" s="23" t="str">
        <f>VLOOKUP(B606,CPU!$B:$J,2,FALSE)</f>
        <v>SINAPI</v>
      </c>
      <c r="D606" s="24" t="str">
        <f>VLOOKUP(B606,CPU!$B:$J,3,FALSE)</f>
        <v>ALVENARIA DE VEDAÇÃO DE BLOCOS CERÂMICOS FURADOS NA HORIZONTAL DE 14X9X19 CM (ESPESSURA 14 CM, BLOCO DEITADO) E ARGAMASSA DE ASSENTAMENTO COM PREPARO MANUAL. AF_12/2021</v>
      </c>
      <c r="E606" s="23" t="str">
        <f>VLOOKUP(B606,CPU!$B:$J,4,FALSE)</f>
        <v>M2</v>
      </c>
      <c r="F606" s="23"/>
      <c r="G606" s="23"/>
      <c r="H606" s="23"/>
      <c r="I606" s="23"/>
      <c r="J606" s="23"/>
      <c r="K606" s="23"/>
      <c r="L606" s="23"/>
      <c r="M606" s="23"/>
      <c r="N606" s="5">
        <f>SUM($M$607:$M$608)</f>
        <v>1.7200000000000002</v>
      </c>
    </row>
    <row r="607" spans="1:14" x14ac:dyDescent="0.3">
      <c r="A607" s="23" t="s">
        <v>875</v>
      </c>
      <c r="B607" s="65" t="s">
        <v>516</v>
      </c>
      <c r="C607" s="66"/>
      <c r="D607" s="66"/>
      <c r="E607" s="67"/>
      <c r="F607" s="5"/>
      <c r="G607" s="26">
        <v>2</v>
      </c>
      <c r="H607" s="5">
        <v>2.2999999999999998</v>
      </c>
      <c r="I607" s="5"/>
      <c r="J607" s="5">
        <v>0.2</v>
      </c>
      <c r="K607" s="5">
        <f>IF(COUNTA(H607:J607)=2,ROUND(PRODUCT(H607:J607),2),"")</f>
        <v>0.46</v>
      </c>
      <c r="L607" s="5" t="str">
        <f>IF(OR(AND(COUNTA(H607:J607)=3,K607=""),AND(COUNTA(H607:J607)=1,K607&lt;&gt;"")),ROUND(PRODUCT(H607:K607),2),"")</f>
        <v/>
      </c>
      <c r="M607" s="5">
        <f>IF(L607&lt;&gt;"",ROUND(PRODUCT(F607,G607,L607),2),IF(K607&lt;&gt;"",ROUND(PRODUCT(F607,G607,K607),2),ROUND(PRODUCT(F607:J607),2)))</f>
        <v>0.92</v>
      </c>
      <c r="N607" s="5"/>
    </row>
    <row r="608" spans="1:14" x14ac:dyDescent="0.3">
      <c r="A608" s="23" t="s">
        <v>876</v>
      </c>
      <c r="B608" s="65" t="s">
        <v>516</v>
      </c>
      <c r="C608" s="66"/>
      <c r="D608" s="66"/>
      <c r="E608" s="67"/>
      <c r="F608" s="5"/>
      <c r="G608" s="26">
        <v>2</v>
      </c>
      <c r="H608" s="5">
        <v>2</v>
      </c>
      <c r="I608" s="5"/>
      <c r="J608" s="5">
        <v>0.2</v>
      </c>
      <c r="K608" s="5">
        <f>IF(COUNTA(H608:J608)=2,ROUND(PRODUCT(H608:J608),2),"")</f>
        <v>0.4</v>
      </c>
      <c r="L608" s="5" t="str">
        <f>IF(OR(AND(COUNTA(H608:J608)=3,K608=""),AND(COUNTA(H608:J608)=1,K608&lt;&gt;"")),ROUND(PRODUCT(H608:K608),2),"")</f>
        <v/>
      </c>
      <c r="M608" s="5">
        <f>IF(L608&lt;&gt;"",ROUND(PRODUCT(F608,G608,L608),2),IF(K608&lt;&gt;"",ROUND(PRODUCT(F608,G608,K608),2),ROUND(PRODUCT(F608:J608),2)))</f>
        <v>0.8</v>
      </c>
      <c r="N608" s="5"/>
    </row>
    <row r="609" spans="1:14" x14ac:dyDescent="0.3">
      <c r="A609" s="15" t="s">
        <v>92</v>
      </c>
      <c r="B609" s="49" t="s">
        <v>583</v>
      </c>
      <c r="C609" s="50"/>
      <c r="D609" s="50"/>
      <c r="E609" s="50"/>
      <c r="F609" s="50"/>
      <c r="G609" s="50"/>
      <c r="H609" s="50"/>
      <c r="I609" s="50"/>
      <c r="J609" s="50"/>
      <c r="K609" s="50"/>
      <c r="L609" s="50"/>
      <c r="M609" s="50"/>
      <c r="N609" s="51"/>
    </row>
    <row r="610" spans="1:14" x14ac:dyDescent="0.3">
      <c r="A610" s="23" t="s">
        <v>388</v>
      </c>
      <c r="B610" s="23" t="s">
        <v>584</v>
      </c>
      <c r="C610" s="23" t="str">
        <f>VLOOKUP(B610,CPU!$B:$J,2,FALSE)</f>
        <v>PRÓPRIA</v>
      </c>
      <c r="D610" s="24" t="str">
        <f>VLOOKUP(B610,CPU!$B:$J,3,FALSE)</f>
        <v>CINTA DE AMARRAÇÃO DE ALVENARIA MOLDADA IN LOCO EM CONCRETO</v>
      </c>
      <c r="E610" s="23" t="str">
        <f>VLOOKUP(B610,CPU!$B:$J,4,FALSE)</f>
        <v>M</v>
      </c>
      <c r="F610" s="23"/>
      <c r="G610" s="23"/>
      <c r="H610" s="23"/>
      <c r="I610" s="23"/>
      <c r="J610" s="23"/>
      <c r="K610" s="23"/>
      <c r="L610" s="23"/>
      <c r="M610" s="23"/>
      <c r="N610" s="5">
        <f>SUM($M$611:$M$612)</f>
        <v>8.6</v>
      </c>
    </row>
    <row r="611" spans="1:14" x14ac:dyDescent="0.3">
      <c r="A611" s="23" t="s">
        <v>877</v>
      </c>
      <c r="B611" s="65" t="s">
        <v>516</v>
      </c>
      <c r="C611" s="66"/>
      <c r="D611" s="66"/>
      <c r="E611" s="67"/>
      <c r="F611" s="5"/>
      <c r="G611" s="26">
        <v>2</v>
      </c>
      <c r="H611" s="5">
        <v>2.2999999999999998</v>
      </c>
      <c r="I611" s="5"/>
      <c r="J611" s="5"/>
      <c r="K611" s="5" t="str">
        <f>IF(COUNTA(H611:J611)=2,ROUND(PRODUCT(H611:J611),2),"")</f>
        <v/>
      </c>
      <c r="L611" s="5" t="str">
        <f>IF(OR(AND(COUNTA(H611:J611)=3,K611=""),AND(COUNTA(H611:J611)=1,K611&lt;&gt;"")),ROUND(PRODUCT(H611:K611),2),"")</f>
        <v/>
      </c>
      <c r="M611" s="5">
        <f>IF(L611&lt;&gt;"",ROUND(PRODUCT(F611,G611,L611),2),IF(K611&lt;&gt;"",ROUND(PRODUCT(F611,G611,K611),2),ROUND(PRODUCT(F611:J611),2)))</f>
        <v>4.5999999999999996</v>
      </c>
      <c r="N611" s="5"/>
    </row>
    <row r="612" spans="1:14" x14ac:dyDescent="0.3">
      <c r="A612" s="23" t="s">
        <v>878</v>
      </c>
      <c r="B612" s="65" t="s">
        <v>516</v>
      </c>
      <c r="C612" s="66"/>
      <c r="D612" s="66"/>
      <c r="E612" s="67"/>
      <c r="F612" s="5"/>
      <c r="G612" s="26">
        <v>2</v>
      </c>
      <c r="H612" s="5">
        <v>2</v>
      </c>
      <c r="I612" s="5"/>
      <c r="J612" s="5"/>
      <c r="K612" s="5" t="str">
        <f>IF(COUNTA(H612:J612)=2,ROUND(PRODUCT(H612:J612),2),"")</f>
        <v/>
      </c>
      <c r="L612" s="5" t="str">
        <f>IF(OR(AND(COUNTA(H612:J612)=3,K612=""),AND(COUNTA(H612:J612)=1,K612&lt;&gt;"")),ROUND(PRODUCT(H612:K612),2),"")</f>
        <v/>
      </c>
      <c r="M612" s="5">
        <f>IF(L612&lt;&gt;"",ROUND(PRODUCT(F612,G612,L612),2),IF(K612&lt;&gt;"",ROUND(PRODUCT(F612,G612,K612),2),ROUND(PRODUCT(F612:J612),2)))</f>
        <v>4</v>
      </c>
      <c r="N612" s="5"/>
    </row>
    <row r="613" spans="1:14" ht="28.8" x14ac:dyDescent="0.3">
      <c r="A613" s="23" t="s">
        <v>389</v>
      </c>
      <c r="B613" s="23" t="s">
        <v>587</v>
      </c>
      <c r="C613" s="23" t="str">
        <f>VLOOKUP(B613,CPU!$B:$J,2,FALSE)</f>
        <v>PRÓPRIA</v>
      </c>
      <c r="D613" s="24" t="str">
        <f>VLOOKUP(B613,CPU!$B:$J,3,FALSE)</f>
        <v>(COMPOSIÇÃO REPRESENTATIVA) EXECUÇÃO DE ESTRUTURAS DE CONCRETO ARMADO, PARA EDIFICAÇÃO INSTITUCIONAL TÉRREA, FCK = 25 MPA</v>
      </c>
      <c r="E613" s="23" t="str">
        <f>VLOOKUP(B613,CPU!$B:$J,4,FALSE)</f>
        <v>M³</v>
      </c>
      <c r="F613" s="23"/>
      <c r="G613" s="23"/>
      <c r="H613" s="23"/>
      <c r="I613" s="23"/>
      <c r="J613" s="23"/>
      <c r="K613" s="23"/>
      <c r="L613" s="23"/>
      <c r="M613" s="23"/>
      <c r="N613" s="5">
        <f>SUM($M$614:$M$615)</f>
        <v>0.30000000000000004</v>
      </c>
    </row>
    <row r="614" spans="1:14" x14ac:dyDescent="0.3">
      <c r="A614" s="23" t="s">
        <v>879</v>
      </c>
      <c r="B614" s="65" t="s">
        <v>589</v>
      </c>
      <c r="C614" s="66"/>
      <c r="D614" s="66"/>
      <c r="E614" s="67"/>
      <c r="F614" s="5"/>
      <c r="G614" s="26">
        <v>2</v>
      </c>
      <c r="H614" s="5">
        <v>3.53</v>
      </c>
      <c r="I614" s="5">
        <v>0.15</v>
      </c>
      <c r="J614" s="5">
        <v>0.15</v>
      </c>
      <c r="K614" s="5" t="str">
        <f>IF(COUNTA(H614:J614)=2,ROUND(PRODUCT(H614:J614),2),"")</f>
        <v/>
      </c>
      <c r="L614" s="5">
        <f>IF(OR(AND(COUNTA(H614:J614)=3,K614=""),AND(COUNTA(H614:J614)=1,K614&lt;&gt;"")),ROUND(PRODUCT(H614:K614),2),"")</f>
        <v>0.08</v>
      </c>
      <c r="M614" s="5">
        <f>IF(L614&lt;&gt;"",ROUND(PRODUCT(F614,G614,L614),2),IF(K614&lt;&gt;"",ROUND(PRODUCT(F614,G614,K614),2),ROUND(PRODUCT(F614:J614),2)))</f>
        <v>0.16</v>
      </c>
      <c r="N614" s="5"/>
    </row>
    <row r="615" spans="1:14" x14ac:dyDescent="0.3">
      <c r="A615" s="23" t="s">
        <v>880</v>
      </c>
      <c r="B615" s="65" t="s">
        <v>589</v>
      </c>
      <c r="C615" s="66"/>
      <c r="D615" s="66"/>
      <c r="E615" s="67"/>
      <c r="F615" s="5"/>
      <c r="G615" s="26">
        <v>2</v>
      </c>
      <c r="H615" s="5">
        <v>2.95</v>
      </c>
      <c r="I615" s="5">
        <v>0.15</v>
      </c>
      <c r="J615" s="5">
        <v>0.15</v>
      </c>
      <c r="K615" s="5" t="str">
        <f>IF(COUNTA(H615:J615)=2,ROUND(PRODUCT(H615:J615),2),"")</f>
        <v/>
      </c>
      <c r="L615" s="5">
        <f>IF(OR(AND(COUNTA(H615:J615)=3,K615=""),AND(COUNTA(H615:J615)=1,K615&lt;&gt;"")),ROUND(PRODUCT(H615:K615),2),"")</f>
        <v>7.0000000000000007E-2</v>
      </c>
      <c r="M615" s="5">
        <f>IF(L615&lt;&gt;"",ROUND(PRODUCT(F615,G615,L615),2),IF(K615&lt;&gt;"",ROUND(PRODUCT(F615,G615,K615),2),ROUND(PRODUCT(F615:J615),2)))</f>
        <v>0.14000000000000001</v>
      </c>
      <c r="N615" s="5"/>
    </row>
    <row r="616" spans="1:14" x14ac:dyDescent="0.3">
      <c r="A616" s="15" t="s">
        <v>93</v>
      </c>
      <c r="B616" s="49" t="s">
        <v>591</v>
      </c>
      <c r="C616" s="50"/>
      <c r="D616" s="50"/>
      <c r="E616" s="50"/>
      <c r="F616" s="50"/>
      <c r="G616" s="50"/>
      <c r="H616" s="50"/>
      <c r="I616" s="50"/>
      <c r="J616" s="50"/>
      <c r="K616" s="50"/>
      <c r="L616" s="50"/>
      <c r="M616" s="50"/>
      <c r="N616" s="51"/>
    </row>
    <row r="617" spans="1:14" ht="43.2" x14ac:dyDescent="0.3">
      <c r="A617" s="23" t="s">
        <v>390</v>
      </c>
      <c r="B617" s="23">
        <v>103329</v>
      </c>
      <c r="C617" s="23" t="str">
        <f>VLOOKUP(B617,CPU!$B:$J,2,FALSE)</f>
        <v>SINAPI</v>
      </c>
      <c r="D617" s="24" t="str">
        <f>VLOOKUP(B617,CPU!$B:$J,3,FALSE)</f>
        <v>ALVENARIA DE VEDAÇÃO DE BLOCOS CERÂMICOS FURADOS NA HORIZONTAL DE 9X19X19 CM (ESPESSURA 9 CM) E ARGAMASSA DE ASSENTAMENTO COM PREPARO MANUAL. AF_12/2021</v>
      </c>
      <c r="E617" s="23" t="str">
        <f>VLOOKUP(B617,CPU!$B:$J,4,FALSE)</f>
        <v>M2</v>
      </c>
      <c r="F617" s="23"/>
      <c r="G617" s="23"/>
      <c r="H617" s="23"/>
      <c r="I617" s="23"/>
      <c r="J617" s="23"/>
      <c r="K617" s="23"/>
      <c r="L617" s="23"/>
      <c r="M617" s="23"/>
      <c r="N617" s="5">
        <f>SUM($M$618:$M$622)</f>
        <v>19.310000000000002</v>
      </c>
    </row>
    <row r="618" spans="1:14" x14ac:dyDescent="0.3">
      <c r="A618" s="23" t="s">
        <v>881</v>
      </c>
      <c r="B618" s="65" t="s">
        <v>516</v>
      </c>
      <c r="C618" s="66"/>
      <c r="D618" s="66"/>
      <c r="E618" s="67"/>
      <c r="F618" s="5"/>
      <c r="G618" s="26">
        <v>1</v>
      </c>
      <c r="H618" s="5">
        <v>2.2999999999999998</v>
      </c>
      <c r="I618" s="5">
        <v>2.2999999999999998</v>
      </c>
      <c r="J618" s="5"/>
      <c r="K618" s="5">
        <f>IF(COUNTA(H618:J618)=2,ROUND(PRODUCT(H618:J618),2),"")</f>
        <v>5.29</v>
      </c>
      <c r="L618" s="5" t="str">
        <f>IF(OR(AND(COUNTA(H618:J618)=3,K618=""),AND(COUNTA(H618:J618)=1,K618&lt;&gt;"")),ROUND(PRODUCT(H618:K618),2),"")</f>
        <v/>
      </c>
      <c r="M618" s="5">
        <f>IF(L618&lt;&gt;"",ROUND(PRODUCT(F618,G618,L618),2),IF(K618&lt;&gt;"",ROUND(PRODUCT(F618,G618,K618),2),ROUND(PRODUCT(F618:J618),2)))</f>
        <v>5.29</v>
      </c>
      <c r="N618" s="5"/>
    </row>
    <row r="619" spans="1:14" x14ac:dyDescent="0.3">
      <c r="A619" s="23" t="s">
        <v>882</v>
      </c>
      <c r="B619" s="65" t="s">
        <v>516</v>
      </c>
      <c r="C619" s="66"/>
      <c r="D619" s="66"/>
      <c r="E619" s="67"/>
      <c r="F619" s="5"/>
      <c r="G619" s="26">
        <v>1</v>
      </c>
      <c r="H619" s="5">
        <v>2.2999999999999998</v>
      </c>
      <c r="I619" s="5">
        <v>2.88</v>
      </c>
      <c r="J619" s="5"/>
      <c r="K619" s="5">
        <f>IF(COUNTA(H619:J619)=2,ROUND(PRODUCT(H619:J619),2),"")</f>
        <v>6.62</v>
      </c>
      <c r="L619" s="5" t="str">
        <f>IF(OR(AND(COUNTA(H619:J619)=3,K619=""),AND(COUNTA(H619:J619)=1,K619&lt;&gt;"")),ROUND(PRODUCT(H619:K619),2),"")</f>
        <v/>
      </c>
      <c r="M619" s="5">
        <f>IF(L619&lt;&gt;"",ROUND(PRODUCT(F619,G619,L619),2),IF(K619&lt;&gt;"",ROUND(PRODUCT(F619,G619,K619),2),ROUND(PRODUCT(F619:J619),2)))</f>
        <v>6.62</v>
      </c>
      <c r="N619" s="5"/>
    </row>
    <row r="620" spans="1:14" x14ac:dyDescent="0.3">
      <c r="A620" s="23" t="s">
        <v>883</v>
      </c>
      <c r="B620" s="65" t="s">
        <v>516</v>
      </c>
      <c r="C620" s="66"/>
      <c r="D620" s="66"/>
      <c r="E620" s="67"/>
      <c r="F620" s="5"/>
      <c r="G620" s="26">
        <v>2</v>
      </c>
      <c r="H620" s="5">
        <v>2.2999999999999998</v>
      </c>
      <c r="I620" s="5">
        <v>2.2999999999999998</v>
      </c>
      <c r="J620" s="5"/>
      <c r="K620" s="5">
        <f>IF(COUNTA(H620:J620)=2,ROUND(PRODUCT(H620:J620),2),"")</f>
        <v>5.29</v>
      </c>
      <c r="L620" s="5" t="str">
        <f>IF(OR(AND(COUNTA(H620:J620)=3,K620=""),AND(COUNTA(H620:J620)=1,K620&lt;&gt;"")),ROUND(PRODUCT(H620:K620),2),"")</f>
        <v/>
      </c>
      <c r="M620" s="5">
        <f>IF(L620&lt;&gt;"",ROUND(PRODUCT(F620,G620,L620),2),IF(K620&lt;&gt;"",ROUND(PRODUCT(F620,G620,K620),2),ROUND(PRODUCT(F620:J620),2)))</f>
        <v>10.58</v>
      </c>
      <c r="N620" s="5"/>
    </row>
    <row r="621" spans="1:14" x14ac:dyDescent="0.3">
      <c r="A621" s="23" t="s">
        <v>884</v>
      </c>
      <c r="B621" s="65" t="s">
        <v>516</v>
      </c>
      <c r="C621" s="66"/>
      <c r="D621" s="66"/>
      <c r="E621" s="67"/>
      <c r="F621" s="5"/>
      <c r="G621" s="26">
        <v>-3</v>
      </c>
      <c r="H621" s="5">
        <v>1</v>
      </c>
      <c r="I621" s="5">
        <v>0.5</v>
      </c>
      <c r="J621" s="5"/>
      <c r="K621" s="5">
        <f>IF(COUNTA(H621:J621)=2,ROUND(PRODUCT(H621:J621),2),"")</f>
        <v>0.5</v>
      </c>
      <c r="L621" s="5" t="str">
        <f>IF(OR(AND(COUNTA(H621:J621)=3,K621=""),AND(COUNTA(H621:J621)=1,K621&lt;&gt;"")),ROUND(PRODUCT(H621:K621),2),"")</f>
        <v/>
      </c>
      <c r="M621" s="5">
        <f>IF(L621&lt;&gt;"",ROUND(PRODUCT(F621,G621,L621),2),IF(K621&lt;&gt;"",ROUND(PRODUCT(F621,G621,K621),2),ROUND(PRODUCT(F621:J621),2)))</f>
        <v>-1.5</v>
      </c>
      <c r="N621" s="5"/>
    </row>
    <row r="622" spans="1:14" x14ac:dyDescent="0.3">
      <c r="A622" s="23" t="s">
        <v>885</v>
      </c>
      <c r="B622" s="65" t="s">
        <v>516</v>
      </c>
      <c r="C622" s="66"/>
      <c r="D622" s="66"/>
      <c r="E622" s="67"/>
      <c r="F622" s="5"/>
      <c r="G622" s="26">
        <v>-1</v>
      </c>
      <c r="H622" s="5">
        <v>0.8</v>
      </c>
      <c r="I622" s="5">
        <v>2.1</v>
      </c>
      <c r="J622" s="5"/>
      <c r="K622" s="5">
        <f>IF(COUNTA(H622:J622)=2,ROUND(PRODUCT(H622:J622),2),"")</f>
        <v>1.68</v>
      </c>
      <c r="L622" s="5" t="str">
        <f>IF(OR(AND(COUNTA(H622:J622)=3,K622=""),AND(COUNTA(H622:J622)=1,K622&lt;&gt;"")),ROUND(PRODUCT(H622:K622),2),"")</f>
        <v/>
      </c>
      <c r="M622" s="5">
        <f>IF(L622&lt;&gt;"",ROUND(PRODUCT(F622,G622,L622),2),IF(K622&lt;&gt;"",ROUND(PRODUCT(F622,G622,K622),2),ROUND(PRODUCT(F622:J622),2)))</f>
        <v>-1.68</v>
      </c>
      <c r="N622" s="5"/>
    </row>
    <row r="623" spans="1:14" ht="43.2" x14ac:dyDescent="0.3">
      <c r="A623" s="23" t="s">
        <v>391</v>
      </c>
      <c r="B623" s="23">
        <v>101161</v>
      </c>
      <c r="C623" s="23" t="str">
        <f>VLOOKUP(B623,CPU!$B:$J,2,FALSE)</f>
        <v>SINAPI</v>
      </c>
      <c r="D623" s="24" t="str">
        <f>VLOOKUP(B623,CPU!$B:$J,3,FALSE)</f>
        <v>ALVENARIA DE VEDAÇÃO COM ELEMENTO VAZADO DE CONCRETO (COBOGÓ) DE 7X50X50CM E ARGAMASSA DE ASSENTAMENTO COM PREPARO EM BETONEIRA. AF_05/2020</v>
      </c>
      <c r="E623" s="23" t="str">
        <f>VLOOKUP(B623,CPU!$B:$J,4,FALSE)</f>
        <v>M2</v>
      </c>
      <c r="F623" s="23"/>
      <c r="G623" s="23"/>
      <c r="H623" s="23"/>
      <c r="I623" s="23"/>
      <c r="J623" s="23"/>
      <c r="K623" s="23"/>
      <c r="L623" s="23"/>
      <c r="M623" s="23"/>
      <c r="N623" s="5">
        <f>SUM($M$624:$M$624)</f>
        <v>1.5</v>
      </c>
    </row>
    <row r="624" spans="1:14" x14ac:dyDescent="0.3">
      <c r="A624" s="23" t="s">
        <v>886</v>
      </c>
      <c r="B624" s="65" t="s">
        <v>516</v>
      </c>
      <c r="C624" s="66"/>
      <c r="D624" s="66"/>
      <c r="E624" s="67"/>
      <c r="F624" s="5"/>
      <c r="G624" s="26">
        <v>3</v>
      </c>
      <c r="H624" s="5">
        <v>1</v>
      </c>
      <c r="I624" s="5">
        <v>0.5</v>
      </c>
      <c r="J624" s="5"/>
      <c r="K624" s="5">
        <f>IF(COUNTA(H624:J624)=2,ROUND(PRODUCT(H624:J624),2),"")</f>
        <v>0.5</v>
      </c>
      <c r="L624" s="5" t="str">
        <f>IF(OR(AND(COUNTA(H624:J624)=3,K624=""),AND(COUNTA(H624:J624)=1,K624&lt;&gt;"")),ROUND(PRODUCT(H624:K624),2),"")</f>
        <v/>
      </c>
      <c r="M624" s="5">
        <f>IF(L624&lt;&gt;"",ROUND(PRODUCT(F624,G624,L624),2),IF(K624&lt;&gt;"",ROUND(PRODUCT(F624,G624,K624),2),ROUND(PRODUCT(F624:J624),2)))</f>
        <v>1.5</v>
      </c>
      <c r="N624" s="5"/>
    </row>
    <row r="625" spans="1:14" x14ac:dyDescent="0.3">
      <c r="A625" s="15" t="s">
        <v>94</v>
      </c>
      <c r="B625" s="49" t="s">
        <v>598</v>
      </c>
      <c r="C625" s="50"/>
      <c r="D625" s="50"/>
      <c r="E625" s="50"/>
      <c r="F625" s="50"/>
      <c r="G625" s="50"/>
      <c r="H625" s="50"/>
      <c r="I625" s="50"/>
      <c r="J625" s="50"/>
      <c r="K625" s="50"/>
      <c r="L625" s="50"/>
      <c r="M625" s="50"/>
      <c r="N625" s="51"/>
    </row>
    <row r="626" spans="1:14" ht="28.8" x14ac:dyDescent="0.3">
      <c r="A626" s="23" t="s">
        <v>392</v>
      </c>
      <c r="B626" s="23" t="s">
        <v>599</v>
      </c>
      <c r="C626" s="23" t="str">
        <f>VLOOKUP(B626,CPU!$B:$J,2,FALSE)</f>
        <v>PRÓPRIA</v>
      </c>
      <c r="D626" s="24" t="str">
        <f>VLOOKUP(B626,CPU!$B:$J,3,FALSE)</f>
        <v>TELHAMENTO COM TELHA CERÂMICA CAPA-CANAL, TIPO COLONIAL, COM ATÉ 2 ÁGUAS, INCLUSO TRANSPORTE VERTICAL</v>
      </c>
      <c r="E626" s="23" t="str">
        <f>VLOOKUP(B626,CPU!$B:$J,4,FALSE)</f>
        <v>M²</v>
      </c>
      <c r="F626" s="23"/>
      <c r="G626" s="23"/>
      <c r="H626" s="23"/>
      <c r="I626" s="23"/>
      <c r="J626" s="23"/>
      <c r="K626" s="23"/>
      <c r="L626" s="23"/>
      <c r="M626" s="23"/>
      <c r="N626" s="5">
        <f>SUM($M$627:$M$627)</f>
        <v>10.23</v>
      </c>
    </row>
    <row r="627" spans="1:14" x14ac:dyDescent="0.3">
      <c r="A627" s="23" t="s">
        <v>887</v>
      </c>
      <c r="B627" s="65" t="s">
        <v>516</v>
      </c>
      <c r="C627" s="66"/>
      <c r="D627" s="66"/>
      <c r="E627" s="67"/>
      <c r="F627" s="5"/>
      <c r="G627" s="26"/>
      <c r="H627" s="5">
        <v>3.1</v>
      </c>
      <c r="I627" s="5">
        <v>3.3</v>
      </c>
      <c r="J627" s="5"/>
      <c r="K627" s="5">
        <f>IF(COUNTA(H627:J627)=2,ROUND(PRODUCT(H627:J627),2),"")</f>
        <v>10.23</v>
      </c>
      <c r="L627" s="5" t="str">
        <f>IF(OR(AND(COUNTA(H627:J627)=3,K627=""),AND(COUNTA(H627:J627)=1,K627&lt;&gt;"")),ROUND(PRODUCT(H627:K627),2),"")</f>
        <v/>
      </c>
      <c r="M627" s="5">
        <f>IF(L627&lt;&gt;"",ROUND(PRODUCT(F627,G627,L627),2),IF(K627&lt;&gt;"",ROUND(PRODUCT(F627,G627,K627),2),ROUND(PRODUCT(F627:J627),2)))</f>
        <v>10.23</v>
      </c>
      <c r="N627" s="5"/>
    </row>
    <row r="628" spans="1:14" ht="28.8" x14ac:dyDescent="0.3">
      <c r="A628" s="23" t="s">
        <v>393</v>
      </c>
      <c r="B628" s="23" t="s">
        <v>601</v>
      </c>
      <c r="C628" s="23" t="str">
        <f>VLOOKUP(B628,CPU!$B:$J,2,FALSE)</f>
        <v>PRÓPRIA</v>
      </c>
      <c r="D628" s="24" t="str">
        <f>VLOOKUP(B628,CPU!$B:$J,3,FALSE)</f>
        <v>TRAMA DE MADEIRA COMPOSTA POR RIPAS, CAIBROS E TERÇAS PARA TELHADOS DE ATÉ 2 ÁGUAS PARA TELHA CERÂMICA CAPA-CANAL, INCLUSO TRANSPORTE VERTICAL</v>
      </c>
      <c r="E628" s="23" t="str">
        <f>VLOOKUP(B628,CPU!$B:$J,4,FALSE)</f>
        <v>M²</v>
      </c>
      <c r="F628" s="23"/>
      <c r="G628" s="23"/>
      <c r="H628" s="23"/>
      <c r="I628" s="23"/>
      <c r="J628" s="23"/>
      <c r="K628" s="23"/>
      <c r="L628" s="23"/>
      <c r="M628" s="23"/>
      <c r="N628" s="5">
        <f>SUM($M$629:$M$629)</f>
        <v>10.23</v>
      </c>
    </row>
    <row r="629" spans="1:14" x14ac:dyDescent="0.3">
      <c r="A629" s="23" t="s">
        <v>888</v>
      </c>
      <c r="B629" s="65" t="s">
        <v>516</v>
      </c>
      <c r="C629" s="66"/>
      <c r="D629" s="66"/>
      <c r="E629" s="67"/>
      <c r="F629" s="5"/>
      <c r="G629" s="26"/>
      <c r="H629" s="5">
        <v>3.1</v>
      </c>
      <c r="I629" s="5">
        <v>3.3</v>
      </c>
      <c r="J629" s="5"/>
      <c r="K629" s="5">
        <f>IF(COUNTA(H629:J629)=2,ROUND(PRODUCT(H629:J629),2),"")</f>
        <v>10.23</v>
      </c>
      <c r="L629" s="5" t="str">
        <f>IF(OR(AND(COUNTA(H629:J629)=3,K629=""),AND(COUNTA(H629:J629)=1,K629&lt;&gt;"")),ROUND(PRODUCT(H629:K629),2),"")</f>
        <v/>
      </c>
      <c r="M629" s="5">
        <f>IF(L629&lt;&gt;"",ROUND(PRODUCT(F629,G629,L629),2),IF(K629&lt;&gt;"",ROUND(PRODUCT(F629,G629,K629),2),ROUND(PRODUCT(F629:J629),2)))</f>
        <v>10.23</v>
      </c>
      <c r="N629" s="5"/>
    </row>
    <row r="630" spans="1:14" x14ac:dyDescent="0.3">
      <c r="A630" s="15" t="s">
        <v>95</v>
      </c>
      <c r="B630" s="49" t="s">
        <v>603</v>
      </c>
      <c r="C630" s="50"/>
      <c r="D630" s="50"/>
      <c r="E630" s="50"/>
      <c r="F630" s="50"/>
      <c r="G630" s="50"/>
      <c r="H630" s="50"/>
      <c r="I630" s="50"/>
      <c r="J630" s="50"/>
      <c r="K630" s="50"/>
      <c r="L630" s="50"/>
      <c r="M630" s="50"/>
      <c r="N630" s="51"/>
    </row>
    <row r="631" spans="1:14" ht="28.8" x14ac:dyDescent="0.3">
      <c r="A631" s="23" t="s">
        <v>394</v>
      </c>
      <c r="B631" s="23">
        <v>96617</v>
      </c>
      <c r="C631" s="23" t="str">
        <f>VLOOKUP(B631,CPU!$B:$J,2,FALSE)</f>
        <v>SINAPI</v>
      </c>
      <c r="D631" s="24" t="str">
        <f>VLOOKUP(B631,CPU!$B:$J,3,FALSE)</f>
        <v>LASTRO DE CONCRETO MAGRO, APLICADO EM BLOCOS DE COROAMENTO OU SAPATAS, ESPESSURA DE 3 CM. AF_01/2024</v>
      </c>
      <c r="E631" s="23" t="str">
        <f>VLOOKUP(B631,CPU!$B:$J,4,FALSE)</f>
        <v>M2</v>
      </c>
      <c r="F631" s="23"/>
      <c r="G631" s="23"/>
      <c r="H631" s="23"/>
      <c r="I631" s="23"/>
      <c r="J631" s="23"/>
      <c r="K631" s="23"/>
      <c r="L631" s="23"/>
      <c r="M631" s="23"/>
      <c r="N631" s="5">
        <f>SUM($M$632:$M$632)</f>
        <v>4</v>
      </c>
    </row>
    <row r="632" spans="1:14" x14ac:dyDescent="0.3">
      <c r="A632" s="23" t="s">
        <v>889</v>
      </c>
      <c r="B632" s="65" t="s">
        <v>516</v>
      </c>
      <c r="C632" s="66"/>
      <c r="D632" s="66"/>
      <c r="E632" s="67"/>
      <c r="F632" s="5"/>
      <c r="G632" s="26"/>
      <c r="H632" s="5">
        <v>2</v>
      </c>
      <c r="I632" s="5">
        <v>2</v>
      </c>
      <c r="J632" s="5"/>
      <c r="K632" s="5">
        <f>IF(COUNTA(H632:J632)=2,ROUND(PRODUCT(H632:J632),2),"")</f>
        <v>4</v>
      </c>
      <c r="L632" s="5" t="str">
        <f>IF(OR(AND(COUNTA(H632:J632)=3,K632=""),AND(COUNTA(H632:J632)=1,K632&lt;&gt;"")),ROUND(PRODUCT(H632:K632),2),"")</f>
        <v/>
      </c>
      <c r="M632" s="5">
        <f>IF(L632&lt;&gt;"",ROUND(PRODUCT(F632,G632,L632),2),IF(K632&lt;&gt;"",ROUND(PRODUCT(F632,G632,K632),2),ROUND(PRODUCT(F632:J632),2)))</f>
        <v>4</v>
      </c>
      <c r="N632" s="5"/>
    </row>
    <row r="633" spans="1:14" ht="28.8" x14ac:dyDescent="0.3">
      <c r="A633" s="23" t="s">
        <v>395</v>
      </c>
      <c r="B633" s="23">
        <v>101749</v>
      </c>
      <c r="C633" s="23" t="str">
        <f>VLOOKUP(B633,CPU!$B:$J,2,FALSE)</f>
        <v>SINAPI</v>
      </c>
      <c r="D633" s="24" t="str">
        <f>VLOOKUP(B633,CPU!$B:$J,3,FALSE)</f>
        <v>PISO CIMENTADO, TRAÇO 1:3 (CIMENTO E AREIA), ACABAMENTO LISO, ESPESSURA 4,0 CM, PREPARO MECÂNICO DA ARGAMASSA. AF_09/2020</v>
      </c>
      <c r="E633" s="23" t="str">
        <f>VLOOKUP(B633,CPU!$B:$J,4,FALSE)</f>
        <v>M2</v>
      </c>
      <c r="F633" s="23"/>
      <c r="G633" s="23"/>
      <c r="H633" s="23"/>
      <c r="I633" s="23"/>
      <c r="J633" s="23"/>
      <c r="K633" s="23"/>
      <c r="L633" s="23"/>
      <c r="M633" s="23"/>
      <c r="N633" s="5">
        <f>SUM($M$634:$M$634)</f>
        <v>4</v>
      </c>
    </row>
    <row r="634" spans="1:14" x14ac:dyDescent="0.3">
      <c r="A634" s="23" t="s">
        <v>890</v>
      </c>
      <c r="B634" s="65" t="s">
        <v>516</v>
      </c>
      <c r="C634" s="66"/>
      <c r="D634" s="66"/>
      <c r="E634" s="67"/>
      <c r="F634" s="5"/>
      <c r="G634" s="26"/>
      <c r="H634" s="5">
        <v>2</v>
      </c>
      <c r="I634" s="5">
        <v>2</v>
      </c>
      <c r="J634" s="5"/>
      <c r="K634" s="5">
        <f>IF(COUNTA(H634:J634)=2,ROUND(PRODUCT(H634:J634),2),"")</f>
        <v>4</v>
      </c>
      <c r="L634" s="5" t="str">
        <f>IF(OR(AND(COUNTA(H634:J634)=3,K634=""),AND(COUNTA(H634:J634)=1,K634&lt;&gt;"")),ROUND(PRODUCT(H634:K634),2),"")</f>
        <v/>
      </c>
      <c r="M634" s="5">
        <f>IF(L634&lt;&gt;"",ROUND(PRODUCT(F634,G634,L634),2),IF(K634&lt;&gt;"",ROUND(PRODUCT(F634,G634,K634),2),ROUND(PRODUCT(F634:J634),2)))</f>
        <v>4</v>
      </c>
      <c r="N634" s="5"/>
    </row>
    <row r="635" spans="1:14" ht="43.2" x14ac:dyDescent="0.3">
      <c r="A635" s="23" t="s">
        <v>396</v>
      </c>
      <c r="B635" s="23">
        <v>94994</v>
      </c>
      <c r="C635" s="23" t="str">
        <f>VLOOKUP(B635,CPU!$B:$J,2,FALSE)</f>
        <v>SINAPI</v>
      </c>
      <c r="D635" s="24" t="str">
        <f>VLOOKUP(B635,CPU!$B:$J,3,FALSE)</f>
        <v>EXECUÇÃO DE PASSEIO (CALÇADA) OU PISO DE CONCRETO COM CONCRETO MOLDADO IN LOCO, FEITO EM OBRA, ACABAMENTO CONVENCIONAL, ESPESSURA 8 CM, ARMADO. AF_08/2022</v>
      </c>
      <c r="E635" s="23" t="str">
        <f>VLOOKUP(B635,CPU!$B:$J,4,FALSE)</f>
        <v>M2</v>
      </c>
      <c r="F635" s="23"/>
      <c r="G635" s="23"/>
      <c r="H635" s="23"/>
      <c r="I635" s="23"/>
      <c r="J635" s="23"/>
      <c r="K635" s="23"/>
      <c r="L635" s="23"/>
      <c r="M635" s="23"/>
      <c r="N635" s="5">
        <f>SUM($M$636:$M$637)</f>
        <v>5.6</v>
      </c>
    </row>
    <row r="636" spans="1:14" x14ac:dyDescent="0.3">
      <c r="A636" s="23" t="s">
        <v>891</v>
      </c>
      <c r="B636" s="65" t="s">
        <v>516</v>
      </c>
      <c r="C636" s="66"/>
      <c r="D636" s="66"/>
      <c r="E636" s="67"/>
      <c r="F636" s="5"/>
      <c r="G636" s="26">
        <v>2</v>
      </c>
      <c r="H636" s="5">
        <v>3.3</v>
      </c>
      <c r="I636" s="5">
        <v>0.5</v>
      </c>
      <c r="J636" s="5"/>
      <c r="K636" s="5">
        <f>IF(COUNTA(H636:J636)=2,ROUND(PRODUCT(H636:J636),2),"")</f>
        <v>1.65</v>
      </c>
      <c r="L636" s="5" t="str">
        <f>IF(OR(AND(COUNTA(H636:J636)=3,K636=""),AND(COUNTA(H636:J636)=1,K636&lt;&gt;"")),ROUND(PRODUCT(H636:K636),2),"")</f>
        <v/>
      </c>
      <c r="M636" s="5">
        <f>IF(L636&lt;&gt;"",ROUND(PRODUCT(F636,G636,L636),2),IF(K636&lt;&gt;"",ROUND(PRODUCT(F636,G636,K636),2),ROUND(PRODUCT(F636:J636),2)))</f>
        <v>3.3</v>
      </c>
      <c r="N636" s="5"/>
    </row>
    <row r="637" spans="1:14" x14ac:dyDescent="0.3">
      <c r="A637" s="23" t="s">
        <v>892</v>
      </c>
      <c r="B637" s="65" t="s">
        <v>516</v>
      </c>
      <c r="C637" s="66"/>
      <c r="D637" s="66"/>
      <c r="E637" s="67"/>
      <c r="F637" s="5"/>
      <c r="G637" s="26">
        <v>2</v>
      </c>
      <c r="H637" s="5">
        <v>2.2999999999999998</v>
      </c>
      <c r="I637" s="5">
        <v>0.5</v>
      </c>
      <c r="J637" s="5"/>
      <c r="K637" s="5">
        <f>IF(COUNTA(H637:J637)=2,ROUND(PRODUCT(H637:J637),2),"")</f>
        <v>1.1499999999999999</v>
      </c>
      <c r="L637" s="5" t="str">
        <f>IF(OR(AND(COUNTA(H637:J637)=3,K637=""),AND(COUNTA(H637:J637)=1,K637&lt;&gt;"")),ROUND(PRODUCT(H637:K637),2),"")</f>
        <v/>
      </c>
      <c r="M637" s="5">
        <f>IF(L637&lt;&gt;"",ROUND(PRODUCT(F637,G637,L637),2),IF(K637&lt;&gt;"",ROUND(PRODUCT(F637,G637,K637),2),ROUND(PRODUCT(F637:J637),2)))</f>
        <v>2.2999999999999998</v>
      </c>
      <c r="N637" s="5"/>
    </row>
    <row r="638" spans="1:14" x14ac:dyDescent="0.3">
      <c r="A638" s="15" t="s">
        <v>96</v>
      </c>
      <c r="B638" s="49" t="s">
        <v>608</v>
      </c>
      <c r="C638" s="50"/>
      <c r="D638" s="50"/>
      <c r="E638" s="50"/>
      <c r="F638" s="50"/>
      <c r="G638" s="50"/>
      <c r="H638" s="50"/>
      <c r="I638" s="50"/>
      <c r="J638" s="50"/>
      <c r="K638" s="50"/>
      <c r="L638" s="50"/>
      <c r="M638" s="50"/>
      <c r="N638" s="51"/>
    </row>
    <row r="639" spans="1:14" ht="43.2" x14ac:dyDescent="0.3">
      <c r="A639" s="23" t="s">
        <v>397</v>
      </c>
      <c r="B639" s="23">
        <v>87904</v>
      </c>
      <c r="C639" s="23" t="str">
        <f>VLOOKUP(B639,CPU!$B:$J,2,FALSE)</f>
        <v>SINAPI</v>
      </c>
      <c r="D639" s="24" t="str">
        <f>VLOOKUP(B639,CPU!$B:$J,3,FALSE)</f>
        <v>CHAPISCO APLICADO EM ALVENARIA (COM PRESENÇA DE VÃOS) E ESTRUTURAS DE CONCRETO DE FACHADA, COM COLHER DE PEDREIRO. ARGAMASSA TRAÇO 1:3 COM PREPARO MANUAL. AF_10/2022</v>
      </c>
      <c r="E639" s="23" t="str">
        <f>VLOOKUP(B639,CPU!$B:$J,4,FALSE)</f>
        <v>M2</v>
      </c>
      <c r="F639" s="23"/>
      <c r="G639" s="23"/>
      <c r="H639" s="23"/>
      <c r="I639" s="23"/>
      <c r="J639" s="23"/>
      <c r="K639" s="23"/>
      <c r="L639" s="23"/>
      <c r="M639" s="23"/>
      <c r="N639" s="5">
        <f>SUM($M$640:$M$640)</f>
        <v>38.619999999999997</v>
      </c>
    </row>
    <row r="640" spans="1:14" x14ac:dyDescent="0.3">
      <c r="A640" s="23" t="s">
        <v>893</v>
      </c>
      <c r="B640" s="65" t="s">
        <v>610</v>
      </c>
      <c r="C640" s="66"/>
      <c r="D640" s="66"/>
      <c r="E640" s="67"/>
      <c r="F640" s="5"/>
      <c r="G640" s="26">
        <v>2</v>
      </c>
      <c r="H640" s="5"/>
      <c r="I640" s="5"/>
      <c r="J640" s="5"/>
      <c r="K640" s="5">
        <v>19.309999999999999</v>
      </c>
      <c r="L640" s="5" t="str">
        <f>IF(OR(AND(COUNTA(H640:J640)=3,K640=""),AND(COUNTA(H640:J640)=1,K640&lt;&gt;"")),ROUND(PRODUCT(H640:K640),2),"")</f>
        <v/>
      </c>
      <c r="M640" s="5">
        <f>IF(L640&lt;&gt;"",ROUND(PRODUCT(F640,G640,L640),2),IF(K640&lt;&gt;"",ROUND(PRODUCT(F640,G640,K640),2),ROUND(PRODUCT(F640:J640),2)))</f>
        <v>38.619999999999997</v>
      </c>
      <c r="N640" s="5"/>
    </row>
    <row r="641" spans="1:14" ht="43.2" x14ac:dyDescent="0.3">
      <c r="A641" s="23" t="s">
        <v>398</v>
      </c>
      <c r="B641" s="23">
        <v>87530</v>
      </c>
      <c r="C641" s="23" t="str">
        <f>VLOOKUP(B641,CPU!$B:$J,2,FALSE)</f>
        <v>SINAPI</v>
      </c>
      <c r="D641" s="24" t="str">
        <f>VLOOKUP(B641,CPU!$B:$J,3,FALSE)</f>
        <v>MASSA ÚNICA, EM ARGAMASSA TRAÇO 1:2:8, PREPARO MANUAL, APLICADA MANUALMENTE EM PAREDES INTERNAS DE AMBIENTES COM ÁREA ENTRE 5M² E 10M², E = 17,5MM, COM TALISCAS. AF_03/2024</v>
      </c>
      <c r="E641" s="23" t="str">
        <f>VLOOKUP(B641,CPU!$B:$J,4,FALSE)</f>
        <v>M2</v>
      </c>
      <c r="F641" s="23"/>
      <c r="G641" s="23"/>
      <c r="H641" s="23"/>
      <c r="I641" s="23"/>
      <c r="J641" s="23"/>
      <c r="K641" s="23"/>
      <c r="L641" s="23"/>
      <c r="M641" s="23"/>
      <c r="N641" s="5">
        <f>SUM($M$642:$M$642)</f>
        <v>38.619999999999997</v>
      </c>
    </row>
    <row r="642" spans="1:14" x14ac:dyDescent="0.3">
      <c r="A642" s="23" t="s">
        <v>894</v>
      </c>
      <c r="B642" s="65" t="s">
        <v>610</v>
      </c>
      <c r="C642" s="66"/>
      <c r="D642" s="66"/>
      <c r="E642" s="67"/>
      <c r="F642" s="5"/>
      <c r="G642" s="26">
        <v>2</v>
      </c>
      <c r="H642" s="5"/>
      <c r="I642" s="5"/>
      <c r="J642" s="5"/>
      <c r="K642" s="5">
        <v>19.309999999999999</v>
      </c>
      <c r="L642" s="5" t="str">
        <f>IF(OR(AND(COUNTA(H642:J642)=3,K642=""),AND(COUNTA(H642:J642)=1,K642&lt;&gt;"")),ROUND(PRODUCT(H642:K642),2),"")</f>
        <v/>
      </c>
      <c r="M642" s="5">
        <f>IF(L642&lt;&gt;"",ROUND(PRODUCT(F642,G642,L642),2),IF(K642&lt;&gt;"",ROUND(PRODUCT(F642,G642,K642),2),ROUND(PRODUCT(F642:J642),2)))</f>
        <v>38.619999999999997</v>
      </c>
      <c r="N642" s="5"/>
    </row>
    <row r="643" spans="1:14" x14ac:dyDescent="0.3">
      <c r="A643" s="15" t="s">
        <v>97</v>
      </c>
      <c r="B643" s="49" t="s">
        <v>612</v>
      </c>
      <c r="C643" s="50"/>
      <c r="D643" s="50"/>
      <c r="E643" s="50"/>
      <c r="F643" s="50"/>
      <c r="G643" s="50"/>
      <c r="H643" s="50"/>
      <c r="I643" s="50"/>
      <c r="J643" s="50"/>
      <c r="K643" s="50"/>
      <c r="L643" s="50"/>
      <c r="M643" s="50"/>
      <c r="N643" s="51"/>
    </row>
    <row r="644" spans="1:14" x14ac:dyDescent="0.3">
      <c r="A644" s="23" t="s">
        <v>399</v>
      </c>
      <c r="B644" s="23">
        <v>100701</v>
      </c>
      <c r="C644" s="23" t="str">
        <f>VLOOKUP(B644,CPU!$B:$J,2,FALSE)</f>
        <v>SINAPI</v>
      </c>
      <c r="D644" s="24" t="str">
        <f>VLOOKUP(B644,CPU!$B:$J,3,FALSE)</f>
        <v>PORTA DE FERRO, DE ABRIR, TIPO GRADE COM CHAPA, COM GUARNIÇÕES. AF_12/2019</v>
      </c>
      <c r="E644" s="23" t="str">
        <f>VLOOKUP(B644,CPU!$B:$J,4,FALSE)</f>
        <v>M2</v>
      </c>
      <c r="F644" s="23"/>
      <c r="G644" s="23"/>
      <c r="H644" s="23"/>
      <c r="I644" s="23"/>
      <c r="J644" s="23"/>
      <c r="K644" s="23"/>
      <c r="L644" s="23"/>
      <c r="M644" s="23"/>
      <c r="N644" s="5">
        <f>SUM($M$645:$M$645)</f>
        <v>1.68</v>
      </c>
    </row>
    <row r="645" spans="1:14" x14ac:dyDescent="0.3">
      <c r="A645" s="23" t="s">
        <v>895</v>
      </c>
      <c r="B645" s="65" t="s">
        <v>516</v>
      </c>
      <c r="C645" s="66"/>
      <c r="D645" s="66"/>
      <c r="E645" s="67"/>
      <c r="F645" s="5"/>
      <c r="G645" s="26">
        <v>1</v>
      </c>
      <c r="H645" s="5"/>
      <c r="I645" s="5">
        <v>0.8</v>
      </c>
      <c r="J645" s="5">
        <v>2.1</v>
      </c>
      <c r="K645" s="5">
        <f>IF(COUNTA(H645:J645)=2,ROUND(PRODUCT(H645:J645),2),"")</f>
        <v>1.68</v>
      </c>
      <c r="L645" s="5" t="str">
        <f>IF(OR(AND(COUNTA(H645:J645)=3,K645=""),AND(COUNTA(H645:J645)=1,K645&lt;&gt;"")),ROUND(PRODUCT(H645:K645),2),"")</f>
        <v/>
      </c>
      <c r="M645" s="5">
        <f>IF(L645&lt;&gt;"",ROUND(PRODUCT(F645,G645,L645),2),IF(K645&lt;&gt;"",ROUND(PRODUCT(F645,G645,K645),2),ROUND(PRODUCT(F645:J645),2)))</f>
        <v>1.68</v>
      </c>
      <c r="N645" s="5"/>
    </row>
    <row r="646" spans="1:14" ht="28.8" x14ac:dyDescent="0.3">
      <c r="A646" s="23" t="s">
        <v>400</v>
      </c>
      <c r="B646" s="23" t="s">
        <v>614</v>
      </c>
      <c r="C646" s="23" t="str">
        <f>VLOOKUP(B646,CPU!$B:$J,2,FALSE)</f>
        <v>SEINFRA</v>
      </c>
      <c r="D646" s="24" t="str">
        <f>VLOOKUP(B646,CPU!$B:$J,3,FALSE)</f>
        <v>PORTÃO DE METALON E BARRA CHATA DE FERRO C/FECHADURA E DOBRADIÇA, INCLUS. PINTURA ESMALTE SINTÉTICO</v>
      </c>
      <c r="E646" s="23" t="str">
        <f>VLOOKUP(B646,CPU!$B:$J,4,FALSE)</f>
        <v>M2</v>
      </c>
      <c r="F646" s="23"/>
      <c r="G646" s="23"/>
      <c r="H646" s="23"/>
      <c r="I646" s="23"/>
      <c r="J646" s="23"/>
      <c r="K646" s="23"/>
      <c r="L646" s="23"/>
      <c r="M646" s="23"/>
      <c r="N646" s="5">
        <f>SUM($M$647:$M$647)</f>
        <v>6</v>
      </c>
    </row>
    <row r="647" spans="1:14" x14ac:dyDescent="0.3">
      <c r="A647" s="23" t="s">
        <v>896</v>
      </c>
      <c r="B647" s="65" t="s">
        <v>516</v>
      </c>
      <c r="C647" s="66"/>
      <c r="D647" s="66"/>
      <c r="E647" s="67"/>
      <c r="F647" s="5"/>
      <c r="G647" s="26"/>
      <c r="H647" s="5"/>
      <c r="I647" s="5">
        <v>3</v>
      </c>
      <c r="J647" s="5">
        <v>2</v>
      </c>
      <c r="K647" s="5">
        <f>IF(COUNTA(H647:J647)=2,ROUND(PRODUCT(H647:J647),2),"")</f>
        <v>6</v>
      </c>
      <c r="L647" s="5" t="str">
        <f>IF(OR(AND(COUNTA(H647:J647)=3,K647=""),AND(COUNTA(H647:J647)=1,K647&lt;&gt;"")),ROUND(PRODUCT(H647:K647),2),"")</f>
        <v/>
      </c>
      <c r="M647" s="5">
        <f>IF(L647&lt;&gt;"",ROUND(PRODUCT(F647,G647,L647),2),IF(K647&lt;&gt;"",ROUND(PRODUCT(F647,G647,K647),2),ROUND(PRODUCT(F647:J647),2)))</f>
        <v>6</v>
      </c>
      <c r="N647" s="5"/>
    </row>
    <row r="648" spans="1:14" x14ac:dyDescent="0.3">
      <c r="A648" s="15" t="s">
        <v>98</v>
      </c>
      <c r="B648" s="49" t="s">
        <v>616</v>
      </c>
      <c r="C648" s="50"/>
      <c r="D648" s="50"/>
      <c r="E648" s="50"/>
      <c r="F648" s="50"/>
      <c r="G648" s="50"/>
      <c r="H648" s="50"/>
      <c r="I648" s="50"/>
      <c r="J648" s="50"/>
      <c r="K648" s="50"/>
      <c r="L648" s="50"/>
      <c r="M648" s="50"/>
      <c r="N648" s="51"/>
    </row>
    <row r="649" spans="1:14" x14ac:dyDescent="0.3">
      <c r="A649" s="23" t="s">
        <v>401</v>
      </c>
      <c r="B649" s="23" t="s">
        <v>617</v>
      </c>
      <c r="C649" s="23" t="str">
        <f>VLOOKUP(B649,CPU!$B:$J,2,FALSE)</f>
        <v>PRÓPRIA</v>
      </c>
      <c r="D649" s="24" t="str">
        <f>VLOOKUP(B649,CPU!$B:$J,3,FALSE)</f>
        <v>CAIAÇÃO EM TRES DEMÃOS EM PAREDES (REF: C0589-SEINFRA 28)</v>
      </c>
      <c r="E649" s="23" t="str">
        <f>VLOOKUP(B649,CPU!$B:$J,4,FALSE)</f>
        <v>M2</v>
      </c>
      <c r="F649" s="23"/>
      <c r="G649" s="23"/>
      <c r="H649" s="23"/>
      <c r="I649" s="23"/>
      <c r="J649" s="23"/>
      <c r="K649" s="23"/>
      <c r="L649" s="23"/>
      <c r="M649" s="23"/>
      <c r="N649" s="5">
        <f>SUM($M$650:$M$650)</f>
        <v>38.619999999999997</v>
      </c>
    </row>
    <row r="650" spans="1:14" x14ac:dyDescent="0.3">
      <c r="A650" s="23" t="s">
        <v>897</v>
      </c>
      <c r="B650" s="65" t="s">
        <v>610</v>
      </c>
      <c r="C650" s="66"/>
      <c r="D650" s="66"/>
      <c r="E650" s="67"/>
      <c r="F650" s="5"/>
      <c r="G650" s="26">
        <v>2</v>
      </c>
      <c r="H650" s="5"/>
      <c r="I650" s="5"/>
      <c r="J650" s="5"/>
      <c r="K650" s="5">
        <v>19.309999999999999</v>
      </c>
      <c r="L650" s="5" t="str">
        <f>IF(OR(AND(COUNTA(H650:J650)=3,K650=""),AND(COUNTA(H650:J650)=1,K650&lt;&gt;"")),ROUND(PRODUCT(H650:K650),2),"")</f>
        <v/>
      </c>
      <c r="M650" s="5">
        <f>IF(L650&lt;&gt;"",ROUND(PRODUCT(F650,G650,L650),2),IF(K650&lt;&gt;"",ROUND(PRODUCT(F650,G650,K650),2),ROUND(PRODUCT(F650:J650),2)))</f>
        <v>38.619999999999997</v>
      </c>
      <c r="N650" s="5"/>
    </row>
    <row r="651" spans="1:14" ht="43.2" x14ac:dyDescent="0.3">
      <c r="A651" s="23" t="s">
        <v>402</v>
      </c>
      <c r="B651" s="23">
        <v>100758</v>
      </c>
      <c r="C651" s="23" t="str">
        <f>VLOOKUP(B651,CPU!$B:$J,2,FALSE)</f>
        <v>SINAPI</v>
      </c>
      <c r="D651" s="24" t="str">
        <f>VLOOKUP(B651,CPU!$B:$J,3,FALSE)</f>
        <v>PINTURA COM TINTA ALQUÍDICA DE ACABAMENTO (ESMALTE SINTÉTICO ACETINADO) APLICADA A ROLO OU PINCEL SOBRE SUPERFÍCIES METÁLICAS (EXCETO PERFIL) EXECUTADO EM OBRA (02 DEMÃOS). AF_01/2020</v>
      </c>
      <c r="E651" s="23" t="str">
        <f>VLOOKUP(B651,CPU!$B:$J,4,FALSE)</f>
        <v>M2</v>
      </c>
      <c r="F651" s="23"/>
      <c r="G651" s="23"/>
      <c r="H651" s="23"/>
      <c r="I651" s="23"/>
      <c r="J651" s="23"/>
      <c r="K651" s="23"/>
      <c r="L651" s="23"/>
      <c r="M651" s="23"/>
      <c r="N651" s="5">
        <f>SUM($M$652:$M$652)</f>
        <v>3.36</v>
      </c>
    </row>
    <row r="652" spans="1:14" x14ac:dyDescent="0.3">
      <c r="A652" s="23" t="s">
        <v>898</v>
      </c>
      <c r="B652" s="65" t="s">
        <v>620</v>
      </c>
      <c r="C652" s="66"/>
      <c r="D652" s="66"/>
      <c r="E652" s="67"/>
      <c r="F652" s="5"/>
      <c r="G652" s="26">
        <v>2</v>
      </c>
      <c r="H652" s="5"/>
      <c r="I652" s="5">
        <v>0.8</v>
      </c>
      <c r="J652" s="5">
        <v>2.1</v>
      </c>
      <c r="K652" s="5">
        <f>IF(COUNTA(H652:J652)=2,ROUND(PRODUCT(H652:J652),2),"")</f>
        <v>1.68</v>
      </c>
      <c r="L652" s="5" t="str">
        <f>IF(OR(AND(COUNTA(H652:J652)=3,K652=""),AND(COUNTA(H652:J652)=1,K652&lt;&gt;"")),ROUND(PRODUCT(H652:K652),2),"")</f>
        <v/>
      </c>
      <c r="M652" s="5">
        <f>IF(L652&lt;&gt;"",ROUND(PRODUCT(F652,G652,L652),2),IF(K652&lt;&gt;"",ROUND(PRODUCT(F652,G652,K652),2),ROUND(PRODUCT(F652:J652),2)))</f>
        <v>3.36</v>
      </c>
      <c r="N652" s="5"/>
    </row>
    <row r="653" spans="1:14" x14ac:dyDescent="0.3">
      <c r="A653" s="15" t="s">
        <v>99</v>
      </c>
      <c r="B653" s="49" t="s">
        <v>621</v>
      </c>
      <c r="C653" s="50"/>
      <c r="D653" s="50"/>
      <c r="E653" s="50"/>
      <c r="F653" s="50"/>
      <c r="G653" s="50"/>
      <c r="H653" s="50"/>
      <c r="I653" s="50"/>
      <c r="J653" s="50"/>
      <c r="K653" s="50"/>
      <c r="L653" s="50"/>
      <c r="M653" s="50"/>
      <c r="N653" s="51"/>
    </row>
    <row r="654" spans="1:14" ht="43.2" x14ac:dyDescent="0.3">
      <c r="A654" s="23" t="s">
        <v>403</v>
      </c>
      <c r="B654" s="23">
        <v>101197</v>
      </c>
      <c r="C654" s="23" t="str">
        <f>VLOOKUP(B654,CPU!$B:$J,2,FALSE)</f>
        <v>SINAPI</v>
      </c>
      <c r="D654" s="24" t="str">
        <f>VLOOKUP(B654,CPU!$B:$J,3,FALSE)</f>
        <v>CERCA COM MOURÕES DE CONCRETO, SEÇÃO "T" PONTA INCLINADA, 10X10 CM, ESPAÇAMENTO DE 2,5 M, CRAVADOS 0,5 M, COM 11 FIOS DE ARAME FARPADO Nº 14 - FORNECIMENTO E INSTALAÇÃO. AF_05/2020</v>
      </c>
      <c r="E654" s="23" t="str">
        <f>VLOOKUP(B654,CPU!$B:$J,4,FALSE)</f>
        <v>M</v>
      </c>
      <c r="F654" s="23"/>
      <c r="G654" s="23"/>
      <c r="H654" s="23"/>
      <c r="I654" s="23"/>
      <c r="J654" s="23"/>
      <c r="K654" s="23"/>
      <c r="L654" s="23"/>
      <c r="M654" s="23"/>
      <c r="N654" s="5">
        <f>SUM($M$655:$M$656)</f>
        <v>37</v>
      </c>
    </row>
    <row r="655" spans="1:14" x14ac:dyDescent="0.3">
      <c r="A655" s="23" t="s">
        <v>899</v>
      </c>
      <c r="B655" s="65" t="s">
        <v>516</v>
      </c>
      <c r="C655" s="66"/>
      <c r="D655" s="66"/>
      <c r="E655" s="67"/>
      <c r="F655" s="5"/>
      <c r="G655" s="26">
        <v>4</v>
      </c>
      <c r="H655" s="5">
        <v>10</v>
      </c>
      <c r="I655" s="5"/>
      <c r="J655" s="5"/>
      <c r="K655" s="5" t="str">
        <f>IF(COUNTA(H655:J655)=2,ROUND(PRODUCT(H655:J655),2),"")</f>
        <v/>
      </c>
      <c r="L655" s="5" t="str">
        <f>IF(OR(AND(COUNTA(H655:J655)=3,K655=""),AND(COUNTA(H655:J655)=1,K655&lt;&gt;"")),ROUND(PRODUCT(H655:K655),2),"")</f>
        <v/>
      </c>
      <c r="M655" s="5">
        <f>IF(L655&lt;&gt;"",ROUND(PRODUCT(F655,G655,L655),2),IF(K655&lt;&gt;"",ROUND(PRODUCT(F655,G655,K655),2),ROUND(PRODUCT(F655:J655),2)))</f>
        <v>40</v>
      </c>
      <c r="N655" s="5"/>
    </row>
    <row r="656" spans="1:14" x14ac:dyDescent="0.3">
      <c r="A656" s="23" t="s">
        <v>900</v>
      </c>
      <c r="B656" s="65" t="s">
        <v>624</v>
      </c>
      <c r="C656" s="66"/>
      <c r="D656" s="66"/>
      <c r="E656" s="67"/>
      <c r="F656" s="5"/>
      <c r="G656" s="26">
        <v>-1</v>
      </c>
      <c r="H656" s="5">
        <v>3</v>
      </c>
      <c r="I656" s="5"/>
      <c r="J656" s="5"/>
      <c r="K656" s="5" t="str">
        <f>IF(COUNTA(H656:J656)=2,ROUND(PRODUCT(H656:J656),2),"")</f>
        <v/>
      </c>
      <c r="L656" s="5" t="str">
        <f>IF(OR(AND(COUNTA(H656:J656)=3,K656=""),AND(COUNTA(H656:J656)=1,K656&lt;&gt;"")),ROUND(PRODUCT(H656:K656),2),"")</f>
        <v/>
      </c>
      <c r="M656" s="5">
        <f>IF(L656&lt;&gt;"",ROUND(PRODUCT(F656,G656,L656),2),IF(K656&lt;&gt;"",ROUND(PRODUCT(F656,G656,K656),2),ROUND(PRODUCT(F656:J656),2)))</f>
        <v>-3</v>
      </c>
      <c r="N656" s="5"/>
    </row>
    <row r="657" spans="1:14" x14ac:dyDescent="0.3">
      <c r="A657" s="12" t="s">
        <v>100</v>
      </c>
      <c r="B657" s="46" t="s">
        <v>625</v>
      </c>
      <c r="C657" s="47"/>
      <c r="D657" s="47"/>
      <c r="E657" s="47"/>
      <c r="F657" s="47"/>
      <c r="G657" s="47"/>
      <c r="H657" s="47"/>
      <c r="I657" s="47"/>
      <c r="J657" s="47"/>
      <c r="K657" s="47"/>
      <c r="L657" s="47"/>
      <c r="M657" s="47"/>
      <c r="N657" s="48"/>
    </row>
    <row r="658" spans="1:14" ht="43.2" x14ac:dyDescent="0.3">
      <c r="A658" s="23" t="s">
        <v>404</v>
      </c>
      <c r="B658" s="23" t="s">
        <v>626</v>
      </c>
      <c r="C658" s="23" t="str">
        <f>VLOOKUP(B658,CPU!$B:$J,2,FALSE)</f>
        <v>PRÓPRIA</v>
      </c>
      <c r="D658" s="24" t="str">
        <f>VLOOKUP(B658,CPU!$B:$J,3,FALSE)</f>
        <v>ENTRADA DE ENERGIA ELÉTRICA, AÉREA, MONOFÁSICA, COM CAIXA DE EMBUTIR, CABO DE 10 MM2 E DISJUNTOR DIN 50A (NÃO INCLUSO O POSTE DE CONCRETO). AF_07/2020_PS (REF: 101493-SINAPI-06/2025)</v>
      </c>
      <c r="E658" s="23" t="str">
        <f>VLOOKUP(B658,CPU!$B:$J,4,FALSE)</f>
        <v>UN</v>
      </c>
      <c r="F658" s="23"/>
      <c r="G658" s="23"/>
      <c r="H658" s="23"/>
      <c r="I658" s="23"/>
      <c r="J658" s="23"/>
      <c r="K658" s="23"/>
      <c r="L658" s="23"/>
      <c r="M658" s="23"/>
      <c r="N658" s="5">
        <f>SUM($M$659:$M$659)</f>
        <v>1</v>
      </c>
    </row>
    <row r="659" spans="1:14" x14ac:dyDescent="0.3">
      <c r="A659" s="23" t="s">
        <v>901</v>
      </c>
      <c r="B659" s="65" t="s">
        <v>516</v>
      </c>
      <c r="C659" s="66"/>
      <c r="D659" s="66"/>
      <c r="E659" s="67"/>
      <c r="F659" s="5">
        <v>1</v>
      </c>
      <c r="G659" s="26"/>
      <c r="H659" s="5"/>
      <c r="I659" s="5"/>
      <c r="J659" s="5"/>
      <c r="K659" s="5" t="str">
        <f>IF(COUNTA(H659:J659)=2,ROUND(PRODUCT(H659:J659),2),"")</f>
        <v/>
      </c>
      <c r="L659" s="5" t="str">
        <f>IF(OR(AND(COUNTA(H659:J659)=3,K659=""),AND(COUNTA(H659:J659)=1,K659&lt;&gt;"")),ROUND(PRODUCT(H659:K659),2),"")</f>
        <v/>
      </c>
      <c r="M659" s="5">
        <f>IF(L659&lt;&gt;"",ROUND(PRODUCT(F659,G659,L659),2),IF(K659&lt;&gt;"",ROUND(PRODUCT(F659,G659,K659),2),ROUND(PRODUCT(F659:J659),2)))</f>
        <v>1</v>
      </c>
      <c r="N659" s="5"/>
    </row>
    <row r="660" spans="1:14" ht="28.8" x14ac:dyDescent="0.3">
      <c r="A660" s="23" t="s">
        <v>405</v>
      </c>
      <c r="B660" s="23">
        <v>93656</v>
      </c>
      <c r="C660" s="23" t="str">
        <f>VLOOKUP(B660,CPU!$B:$J,2,FALSE)</f>
        <v>SINAPI</v>
      </c>
      <c r="D660" s="24" t="str">
        <f>VLOOKUP(B660,CPU!$B:$J,3,FALSE)</f>
        <v>DISJUNTOR MONOPOLAR TIPO DIN, CORRENTE NOMINAL DE 25A - FORNECIMENTO E INSTALAÇÃO. AF_10/2020</v>
      </c>
      <c r="E660" s="23" t="str">
        <f>VLOOKUP(B660,CPU!$B:$J,4,FALSE)</f>
        <v>UN</v>
      </c>
      <c r="F660" s="23"/>
      <c r="G660" s="23"/>
      <c r="H660" s="23"/>
      <c r="I660" s="23"/>
      <c r="J660" s="23"/>
      <c r="K660" s="23"/>
      <c r="L660" s="23"/>
      <c r="M660" s="23"/>
      <c r="N660" s="5">
        <f>SUM($M$661:$M$661)</f>
        <v>1</v>
      </c>
    </row>
    <row r="661" spans="1:14" x14ac:dyDescent="0.3">
      <c r="A661" s="23" t="s">
        <v>902</v>
      </c>
      <c r="B661" s="65" t="s">
        <v>516</v>
      </c>
      <c r="C661" s="66"/>
      <c r="D661" s="66"/>
      <c r="E661" s="67"/>
      <c r="F661" s="5">
        <v>1</v>
      </c>
      <c r="G661" s="26"/>
      <c r="H661" s="5"/>
      <c r="I661" s="5"/>
      <c r="J661" s="5"/>
      <c r="K661" s="5" t="str">
        <f>IF(COUNTA(H661:J661)=2,ROUND(PRODUCT(H661:J661),2),"")</f>
        <v/>
      </c>
      <c r="L661" s="5" t="str">
        <f>IF(OR(AND(COUNTA(H661:J661)=3,K661=""),AND(COUNTA(H661:J661)=1,K661&lt;&gt;"")),ROUND(PRODUCT(H661:K661),2),"")</f>
        <v/>
      </c>
      <c r="M661" s="5">
        <f>IF(L661&lt;&gt;"",ROUND(PRODUCT(F661,G661,L661),2),IF(K661&lt;&gt;"",ROUND(PRODUCT(F661,G661,K661),2),ROUND(PRODUCT(F661:J661),2)))</f>
        <v>1</v>
      </c>
      <c r="N661" s="5"/>
    </row>
    <row r="662" spans="1:14" ht="28.8" x14ac:dyDescent="0.3">
      <c r="A662" s="23" t="s">
        <v>406</v>
      </c>
      <c r="B662" s="23">
        <v>93653</v>
      </c>
      <c r="C662" s="23" t="str">
        <f>VLOOKUP(B662,CPU!$B:$J,2,FALSE)</f>
        <v>SINAPI</v>
      </c>
      <c r="D662" s="24" t="str">
        <f>VLOOKUP(B662,CPU!$B:$J,3,FALSE)</f>
        <v>DISJUNTOR MONOPOLAR TIPO DIN, CORRENTE NOMINAL DE 10A - FORNECIMENTO E INSTALAÇÃO. AF_10/2020</v>
      </c>
      <c r="E662" s="23" t="str">
        <f>VLOOKUP(B662,CPU!$B:$J,4,FALSE)</f>
        <v>UN</v>
      </c>
      <c r="F662" s="23"/>
      <c r="G662" s="23"/>
      <c r="H662" s="23"/>
      <c r="I662" s="23"/>
      <c r="J662" s="23"/>
      <c r="K662" s="23"/>
      <c r="L662" s="23"/>
      <c r="M662" s="23"/>
      <c r="N662" s="5">
        <f>SUM($M$663:$M$663)</f>
        <v>1</v>
      </c>
    </row>
    <row r="663" spans="1:14" x14ac:dyDescent="0.3">
      <c r="A663" s="23" t="s">
        <v>903</v>
      </c>
      <c r="B663" s="65" t="s">
        <v>516</v>
      </c>
      <c r="C663" s="66"/>
      <c r="D663" s="66"/>
      <c r="E663" s="67"/>
      <c r="F663" s="5">
        <v>1</v>
      </c>
      <c r="G663" s="26"/>
      <c r="H663" s="5"/>
      <c r="I663" s="5"/>
      <c r="J663" s="5"/>
      <c r="K663" s="5" t="str">
        <f>IF(COUNTA(H663:J663)=2,ROUND(PRODUCT(H663:J663),2),"")</f>
        <v/>
      </c>
      <c r="L663" s="5" t="str">
        <f>IF(OR(AND(COUNTA(H663:J663)=3,K663=""),AND(COUNTA(H663:J663)=1,K663&lt;&gt;"")),ROUND(PRODUCT(H663:K663),2),"")</f>
        <v/>
      </c>
      <c r="M663" s="5">
        <f>IF(L663&lt;&gt;"",ROUND(PRODUCT(F663,G663,L663),2),IF(K663&lt;&gt;"",ROUND(PRODUCT(F663,G663,K663),2),ROUND(PRODUCT(F663:J663),2)))</f>
        <v>1</v>
      </c>
      <c r="N663" s="5"/>
    </row>
    <row r="664" spans="1:14" x14ac:dyDescent="0.3">
      <c r="A664" s="23" t="s">
        <v>407</v>
      </c>
      <c r="B664" s="23" t="s">
        <v>630</v>
      </c>
      <c r="C664" s="23" t="str">
        <f>VLOOKUP(B664,CPU!$B:$J,2,FALSE)</f>
        <v>ORSE</v>
      </c>
      <c r="D664" s="24" t="str">
        <f>VLOOKUP(B664,CPU!$B:$J,3,FALSE)</f>
        <v>DISPOSITIVO DE PROTEÇÃO CONTRA SURTO DE TENSÃO DPS 60KA - 275V</v>
      </c>
      <c r="E664" s="23" t="str">
        <f>VLOOKUP(B664,CPU!$B:$J,4,FALSE)</f>
        <v>UN</v>
      </c>
      <c r="F664" s="23"/>
      <c r="G664" s="23"/>
      <c r="H664" s="23"/>
      <c r="I664" s="23"/>
      <c r="J664" s="23"/>
      <c r="K664" s="23"/>
      <c r="L664" s="23"/>
      <c r="M664" s="23"/>
      <c r="N664" s="5">
        <f>SUM($M$665:$M$665)</f>
        <v>1</v>
      </c>
    </row>
    <row r="665" spans="1:14" x14ac:dyDescent="0.3">
      <c r="A665" s="23" t="s">
        <v>904</v>
      </c>
      <c r="B665" s="65" t="s">
        <v>516</v>
      </c>
      <c r="C665" s="66"/>
      <c r="D665" s="66"/>
      <c r="E665" s="67"/>
      <c r="F665" s="5">
        <v>1</v>
      </c>
      <c r="G665" s="26"/>
      <c r="H665" s="5"/>
      <c r="I665" s="5"/>
      <c r="J665" s="5"/>
      <c r="K665" s="5" t="str">
        <f>IF(COUNTA(H665:J665)=2,ROUND(PRODUCT(H665:J665),2),"")</f>
        <v/>
      </c>
      <c r="L665" s="5" t="str">
        <f>IF(OR(AND(COUNTA(H665:J665)=3,K665=""),AND(COUNTA(H665:J665)=1,K665&lt;&gt;"")),ROUND(PRODUCT(H665:K665),2),"")</f>
        <v/>
      </c>
      <c r="M665" s="5">
        <f>IF(L665&lt;&gt;"",ROUND(PRODUCT(F665,G665,L665),2),IF(K665&lt;&gt;"",ROUND(PRODUCT(F665,G665,K665),2),ROUND(PRODUCT(F665:J665),2)))</f>
        <v>1</v>
      </c>
      <c r="N665" s="5"/>
    </row>
    <row r="666" spans="1:14" ht="28.8" x14ac:dyDescent="0.3">
      <c r="A666" s="23" t="s">
        <v>408</v>
      </c>
      <c r="B666" s="23">
        <v>101877</v>
      </c>
      <c r="C666" s="23" t="str">
        <f>VLOOKUP(B666,CPU!$B:$J,2,FALSE)</f>
        <v>SINAPI</v>
      </c>
      <c r="D666" s="24" t="str">
        <f>VLOOKUP(B666,CPU!$B:$J,3,FALSE)</f>
        <v>QUADRO DE DISTRIBUIÇÃO DE ENERGIA EM PVC, DE EMBUTIR, SEM BARRAMENTO, PARA 3 DISJUNTORES - FORNECIMENTO E INSTALAÇÃO. AF_10/2020</v>
      </c>
      <c r="E666" s="23" t="str">
        <f>VLOOKUP(B666,CPU!$B:$J,4,FALSE)</f>
        <v>UN</v>
      </c>
      <c r="F666" s="23"/>
      <c r="G666" s="23"/>
      <c r="H666" s="23"/>
      <c r="I666" s="23"/>
      <c r="J666" s="23"/>
      <c r="K666" s="23"/>
      <c r="L666" s="23"/>
      <c r="M666" s="23"/>
      <c r="N666" s="5">
        <f>SUM($M$667:$M$667)</f>
        <v>1</v>
      </c>
    </row>
    <row r="667" spans="1:14" x14ac:dyDescent="0.3">
      <c r="A667" s="23" t="s">
        <v>905</v>
      </c>
      <c r="B667" s="65" t="s">
        <v>516</v>
      </c>
      <c r="C667" s="66"/>
      <c r="D667" s="66"/>
      <c r="E667" s="67"/>
      <c r="F667" s="5">
        <v>1</v>
      </c>
      <c r="G667" s="26"/>
      <c r="H667" s="5"/>
      <c r="I667" s="5"/>
      <c r="J667" s="5"/>
      <c r="K667" s="5" t="str">
        <f>IF(COUNTA(H667:J667)=2,ROUND(PRODUCT(H667:J667),2),"")</f>
        <v/>
      </c>
      <c r="L667" s="5" t="str">
        <f>IF(OR(AND(COUNTA(H667:J667)=3,K667=""),AND(COUNTA(H667:J667)=1,K667&lt;&gt;"")),ROUND(PRODUCT(H667:K667),2),"")</f>
        <v/>
      </c>
      <c r="M667" s="5">
        <f>IF(L667&lt;&gt;"",ROUND(PRODUCT(F667,G667,L667),2),IF(K667&lt;&gt;"",ROUND(PRODUCT(F667,G667,K667),2),ROUND(PRODUCT(F667:J667),2)))</f>
        <v>1</v>
      </c>
      <c r="N667" s="5"/>
    </row>
    <row r="668" spans="1:14" ht="43.2" x14ac:dyDescent="0.3">
      <c r="A668" s="23" t="s">
        <v>409</v>
      </c>
      <c r="B668" s="23" t="s">
        <v>633</v>
      </c>
      <c r="C668" s="23" t="str">
        <f>VLOOKUP(B668,CPU!$B:$J,2,FALSE)</f>
        <v>PRÓPRIA</v>
      </c>
      <c r="D668" s="24" t="str">
        <f>VLOOKUP(B668,CPU!$B:$J,3,FALSE)</f>
        <v>PONTO DE ILUMINAÇÃO E TOMADA, RESIDENCIAL, INCLUINDO INTERRUPTOR SIMPLES E TOMADA 10A/250V, CAIXA ELÉTRICA, ELETRODUTO, CABO, RASGO, QUEBRA E CHUMBAMENTO (EXCLUINDO LUMINÁRIA E LÂMPADA)</v>
      </c>
      <c r="E668" s="23" t="str">
        <f>VLOOKUP(B668,CPU!$B:$J,4,FALSE)</f>
        <v>UN</v>
      </c>
      <c r="F668" s="23"/>
      <c r="G668" s="23"/>
      <c r="H668" s="23"/>
      <c r="I668" s="23"/>
      <c r="J668" s="23"/>
      <c r="K668" s="23"/>
      <c r="L668" s="23"/>
      <c r="M668" s="23"/>
      <c r="N668" s="5">
        <f>SUM($M$669:$M$669)</f>
        <v>1</v>
      </c>
    </row>
    <row r="669" spans="1:14" x14ac:dyDescent="0.3">
      <c r="A669" s="23" t="s">
        <v>906</v>
      </c>
      <c r="B669" s="65" t="s">
        <v>516</v>
      </c>
      <c r="C669" s="66"/>
      <c r="D669" s="66"/>
      <c r="E669" s="67"/>
      <c r="F669" s="5">
        <v>1</v>
      </c>
      <c r="G669" s="26"/>
      <c r="H669" s="5"/>
      <c r="I669" s="5"/>
      <c r="J669" s="5"/>
      <c r="K669" s="5" t="str">
        <f>IF(COUNTA(H669:J669)=2,ROUND(PRODUCT(H669:J669),2),"")</f>
        <v/>
      </c>
      <c r="L669" s="5" t="str">
        <f>IF(OR(AND(COUNTA(H669:J669)=3,K669=""),AND(COUNTA(H669:J669)=1,K669&lt;&gt;"")),ROUND(PRODUCT(H669:K669),2),"")</f>
        <v/>
      </c>
      <c r="M669" s="5">
        <f>IF(L669&lt;&gt;"",ROUND(PRODUCT(F669,G669,L669),2),IF(K669&lt;&gt;"",ROUND(PRODUCT(F669,G669,K669),2),ROUND(PRODUCT(F669:J669),2)))</f>
        <v>1</v>
      </c>
      <c r="N669" s="5"/>
    </row>
    <row r="670" spans="1:14" ht="28.8" x14ac:dyDescent="0.3">
      <c r="A670" s="23" t="s">
        <v>410</v>
      </c>
      <c r="B670" s="23">
        <v>97610</v>
      </c>
      <c r="C670" s="23" t="str">
        <f>VLOOKUP(B670,CPU!$B:$J,2,FALSE)</f>
        <v>SINAPI</v>
      </c>
      <c r="D670" s="24" t="str">
        <f>VLOOKUP(B670,CPU!$B:$J,3,FALSE)</f>
        <v>LÂMPADA COMPACTA DE LED 10 W, BASE E27 - FORNECIMENTO E INSTALAÇÃO. AF_09/2024</v>
      </c>
      <c r="E670" s="23" t="str">
        <f>VLOOKUP(B670,CPU!$B:$J,4,FALSE)</f>
        <v>UN</v>
      </c>
      <c r="F670" s="23"/>
      <c r="G670" s="23"/>
      <c r="H670" s="23"/>
      <c r="I670" s="23"/>
      <c r="J670" s="23"/>
      <c r="K670" s="23"/>
      <c r="L670" s="23"/>
      <c r="M670" s="23"/>
      <c r="N670" s="5">
        <f>SUM($M$671:$M$671)</f>
        <v>1</v>
      </c>
    </row>
    <row r="671" spans="1:14" x14ac:dyDescent="0.3">
      <c r="A671" s="23" t="s">
        <v>907</v>
      </c>
      <c r="B671" s="65" t="s">
        <v>516</v>
      </c>
      <c r="C671" s="66"/>
      <c r="D671" s="66"/>
      <c r="E671" s="67"/>
      <c r="F671" s="5">
        <v>1</v>
      </c>
      <c r="G671" s="26"/>
      <c r="H671" s="5"/>
      <c r="I671" s="5"/>
      <c r="J671" s="5"/>
      <c r="K671" s="5" t="str">
        <f>IF(COUNTA(H671:J671)=2,ROUND(PRODUCT(H671:J671),2),"")</f>
        <v/>
      </c>
      <c r="L671" s="5" t="str">
        <f>IF(OR(AND(COUNTA(H671:J671)=3,K671=""),AND(COUNTA(H671:J671)=1,K671&lt;&gt;"")),ROUND(PRODUCT(H671:K671),2),"")</f>
        <v/>
      </c>
      <c r="M671" s="5">
        <f>IF(L671&lt;&gt;"",ROUND(PRODUCT(F671,G671,L671),2),IF(K671&lt;&gt;"",ROUND(PRODUCT(F671,G671,K671),2),ROUND(PRODUCT(F671:J671),2)))</f>
        <v>1</v>
      </c>
      <c r="N671" s="5"/>
    </row>
    <row r="672" spans="1:14" ht="28.8" x14ac:dyDescent="0.3">
      <c r="A672" s="23" t="s">
        <v>411</v>
      </c>
      <c r="B672" s="23" t="s">
        <v>636</v>
      </c>
      <c r="C672" s="23" t="str">
        <f>VLOOKUP(B672,CPU!$B:$J,2,FALSE)</f>
        <v>PRÓPRIA</v>
      </c>
      <c r="D672" s="24" t="str">
        <f>VLOOKUP(B672,CPU!$B:$J,3,FALSE)</f>
        <v>LUMINÁRIA ARANDELA TIPO MEIA-LUA COM VIDRO FOSCO *30 X 15* CM, PARA 1 LÂMPADA (SINAPI ADAPTADO 97605)</v>
      </c>
      <c r="E672" s="23" t="str">
        <f>VLOOKUP(B672,CPU!$B:$J,4,FALSE)</f>
        <v>UN</v>
      </c>
      <c r="F672" s="23"/>
      <c r="G672" s="23"/>
      <c r="H672" s="23"/>
      <c r="I672" s="23"/>
      <c r="J672" s="23"/>
      <c r="K672" s="23"/>
      <c r="L672" s="23"/>
      <c r="M672" s="23"/>
      <c r="N672" s="5">
        <f>SUM($M$673:$M$673)</f>
        <v>1</v>
      </c>
    </row>
    <row r="673" spans="1:14" x14ac:dyDescent="0.3">
      <c r="A673" s="23" t="s">
        <v>908</v>
      </c>
      <c r="B673" s="65" t="s">
        <v>516</v>
      </c>
      <c r="C673" s="66"/>
      <c r="D673" s="66"/>
      <c r="E673" s="67"/>
      <c r="F673" s="5">
        <v>1</v>
      </c>
      <c r="G673" s="26"/>
      <c r="H673" s="5"/>
      <c r="I673" s="5"/>
      <c r="J673" s="5"/>
      <c r="K673" s="5" t="str">
        <f>IF(COUNTA(H673:J673)=2,ROUND(PRODUCT(H673:J673),2),"")</f>
        <v/>
      </c>
      <c r="L673" s="5" t="str">
        <f>IF(OR(AND(COUNTA(H673:J673)=3,K673=""),AND(COUNTA(H673:J673)=1,K673&lt;&gt;"")),ROUND(PRODUCT(H673:K673),2),"")</f>
        <v/>
      </c>
      <c r="M673" s="5">
        <f>IF(L673&lt;&gt;"",ROUND(PRODUCT(F673,G673,L673),2),IF(K673&lt;&gt;"",ROUND(PRODUCT(F673,G673,K673),2),ROUND(PRODUCT(F673:J673),2)))</f>
        <v>1</v>
      </c>
      <c r="N673" s="5"/>
    </row>
    <row r="674" spans="1:14" x14ac:dyDescent="0.3">
      <c r="A674" s="12" t="s">
        <v>101</v>
      </c>
      <c r="B674" s="46" t="s">
        <v>638</v>
      </c>
      <c r="C674" s="47"/>
      <c r="D674" s="47"/>
      <c r="E674" s="47"/>
      <c r="F674" s="47"/>
      <c r="G674" s="47"/>
      <c r="H674" s="47"/>
      <c r="I674" s="47"/>
      <c r="J674" s="47"/>
      <c r="K674" s="47"/>
      <c r="L674" s="47"/>
      <c r="M674" s="47"/>
      <c r="N674" s="48"/>
    </row>
    <row r="675" spans="1:14" x14ac:dyDescent="0.3">
      <c r="A675" s="15" t="s">
        <v>102</v>
      </c>
      <c r="B675" s="49" t="s">
        <v>573</v>
      </c>
      <c r="C675" s="50"/>
      <c r="D675" s="50"/>
      <c r="E675" s="50"/>
      <c r="F675" s="50"/>
      <c r="G675" s="50"/>
      <c r="H675" s="50"/>
      <c r="I675" s="50"/>
      <c r="J675" s="50"/>
      <c r="K675" s="50"/>
      <c r="L675" s="50"/>
      <c r="M675" s="50"/>
      <c r="N675" s="51"/>
    </row>
    <row r="676" spans="1:14" x14ac:dyDescent="0.3">
      <c r="A676" s="23" t="s">
        <v>412</v>
      </c>
      <c r="B676" s="23">
        <v>93358</v>
      </c>
      <c r="C676" s="23" t="str">
        <f>VLOOKUP(B676,CPU!$B:$J,2,FALSE)</f>
        <v>SINAPI</v>
      </c>
      <c r="D676" s="24" t="str">
        <f>VLOOKUP(B676,CPU!$B:$J,3,FALSE)</f>
        <v>ESCAVAÇÃO MANUAL DE VALA. AF_09/2024</v>
      </c>
      <c r="E676" s="23" t="str">
        <f>VLOOKUP(B676,CPU!$B:$J,4,FALSE)</f>
        <v>M3</v>
      </c>
      <c r="F676" s="23"/>
      <c r="G676" s="23"/>
      <c r="H676" s="23"/>
      <c r="I676" s="23"/>
      <c r="J676" s="23"/>
      <c r="K676" s="23"/>
      <c r="L676" s="23"/>
      <c r="M676" s="23"/>
      <c r="N676" s="5">
        <f>SUM($M$677:$M$677)</f>
        <v>2.76</v>
      </c>
    </row>
    <row r="677" spans="1:14" x14ac:dyDescent="0.3">
      <c r="A677" s="23" t="s">
        <v>909</v>
      </c>
      <c r="B677" s="65" t="s">
        <v>516</v>
      </c>
      <c r="C677" s="66"/>
      <c r="D677" s="66"/>
      <c r="E677" s="67"/>
      <c r="F677" s="5"/>
      <c r="G677" s="26"/>
      <c r="H677" s="5">
        <v>3.6</v>
      </c>
      <c r="I677" s="5">
        <v>0.6</v>
      </c>
      <c r="J677" s="5">
        <v>1.28</v>
      </c>
      <c r="K677" s="5" t="str">
        <f>IF(COUNTA(H677:J677)=2,ROUND(PRODUCT(H677:J677),2),"")</f>
        <v/>
      </c>
      <c r="L677" s="5">
        <f>IF(OR(AND(COUNTA(H677:J677)=3,K677=""),AND(COUNTA(H677:J677)=1,K677&lt;&gt;"")),ROUND(PRODUCT(H677:K677),2),"")</f>
        <v>2.76</v>
      </c>
      <c r="M677" s="5">
        <f>IF(L677&lt;&gt;"",ROUND(PRODUCT(F677,G677,L677),2),IF(K677&lt;&gt;"",ROUND(PRODUCT(F677,G677,K677),2),ROUND(PRODUCT(F677:J677),2)))</f>
        <v>2.76</v>
      </c>
      <c r="N677" s="5"/>
    </row>
    <row r="678" spans="1:14" x14ac:dyDescent="0.3">
      <c r="A678" s="23" t="s">
        <v>413</v>
      </c>
      <c r="B678" s="23" t="s">
        <v>640</v>
      </c>
      <c r="C678" s="23" t="str">
        <f>VLOOKUP(B678,CPU!$B:$J,2,FALSE)</f>
        <v>PRÓPRIA</v>
      </c>
      <c r="D678" s="24" t="str">
        <f>VLOOKUP(B678,CPU!$B:$J,3,FALSE)</f>
        <v>REATERRO DE VALA COM COMPACTAÇÃO MANUAL</v>
      </c>
      <c r="E678" s="23" t="str">
        <f>VLOOKUP(B678,CPU!$B:$J,4,FALSE)</f>
        <v>M³</v>
      </c>
      <c r="F678" s="23"/>
      <c r="G678" s="23"/>
      <c r="H678" s="23"/>
      <c r="I678" s="23"/>
      <c r="J678" s="23"/>
      <c r="K678" s="23"/>
      <c r="L678" s="23"/>
      <c r="M678" s="23"/>
      <c r="N678" s="5">
        <f>SUM($M$679:$M$679)</f>
        <v>2.76</v>
      </c>
    </row>
    <row r="679" spans="1:14" x14ac:dyDescent="0.3">
      <c r="A679" s="23" t="s">
        <v>910</v>
      </c>
      <c r="B679" s="65" t="s">
        <v>516</v>
      </c>
      <c r="C679" s="66"/>
      <c r="D679" s="66"/>
      <c r="E679" s="67"/>
      <c r="F679" s="5"/>
      <c r="G679" s="26"/>
      <c r="H679" s="5">
        <v>3.6</v>
      </c>
      <c r="I679" s="5">
        <v>0.6</v>
      </c>
      <c r="J679" s="5">
        <v>1.28</v>
      </c>
      <c r="K679" s="5" t="str">
        <f>IF(COUNTA(H679:J679)=2,ROUND(PRODUCT(H679:J679),2),"")</f>
        <v/>
      </c>
      <c r="L679" s="5">
        <f>IF(OR(AND(COUNTA(H679:J679)=3,K679=""),AND(COUNTA(H679:J679)=1,K679&lt;&gt;"")),ROUND(PRODUCT(H679:K679),2),"")</f>
        <v>2.76</v>
      </c>
      <c r="M679" s="5">
        <f>IF(L679&lt;&gt;"",ROUND(PRODUCT(F679,G679,L679),2),IF(K679&lt;&gt;"",ROUND(PRODUCT(F679,G679,K679),2),ROUND(PRODUCT(F679:J679),2)))</f>
        <v>2.76</v>
      </c>
      <c r="N679" s="5"/>
    </row>
    <row r="680" spans="1:14" x14ac:dyDescent="0.3">
      <c r="A680" s="15" t="s">
        <v>103</v>
      </c>
      <c r="B680" s="49" t="s">
        <v>576</v>
      </c>
      <c r="C680" s="50"/>
      <c r="D680" s="50"/>
      <c r="E680" s="50"/>
      <c r="F680" s="50"/>
      <c r="G680" s="50"/>
      <c r="H680" s="50"/>
      <c r="I680" s="50"/>
      <c r="J680" s="50"/>
      <c r="K680" s="50"/>
      <c r="L680" s="50"/>
      <c r="M680" s="50"/>
      <c r="N680" s="51"/>
    </row>
    <row r="681" spans="1:14" x14ac:dyDescent="0.3">
      <c r="A681" s="23" t="s">
        <v>414</v>
      </c>
      <c r="B681" s="23" t="s">
        <v>642</v>
      </c>
      <c r="C681" s="23" t="str">
        <f>VLOOKUP(B681,CPU!$B:$J,2,FALSE)</f>
        <v>SEINFRA</v>
      </c>
      <c r="D681" s="24" t="str">
        <f>VLOOKUP(B681,CPU!$B:$J,3,FALSE)</f>
        <v>BLOCO DE ANCORAGEM EM CONCRETO SIMPLES FCK=10MPa</v>
      </c>
      <c r="E681" s="23" t="str">
        <f>VLOOKUP(B681,CPU!$B:$J,4,FALSE)</f>
        <v>M3</v>
      </c>
      <c r="F681" s="23"/>
      <c r="G681" s="23"/>
      <c r="H681" s="23"/>
      <c r="I681" s="23"/>
      <c r="J681" s="23"/>
      <c r="K681" s="23"/>
      <c r="L681" s="23"/>
      <c r="M681" s="23"/>
      <c r="N681" s="5">
        <f>SUM($M$682:$M$682)</f>
        <v>0.26</v>
      </c>
    </row>
    <row r="682" spans="1:14" x14ac:dyDescent="0.3">
      <c r="A682" s="23" t="s">
        <v>911</v>
      </c>
      <c r="B682" s="65" t="s">
        <v>516</v>
      </c>
      <c r="C682" s="66"/>
      <c r="D682" s="66"/>
      <c r="E682" s="67"/>
      <c r="F682" s="5"/>
      <c r="G682" s="26">
        <v>2</v>
      </c>
      <c r="H682" s="5">
        <v>0.5</v>
      </c>
      <c r="I682" s="5">
        <v>0.5</v>
      </c>
      <c r="J682" s="5">
        <v>0.5</v>
      </c>
      <c r="K682" s="5" t="str">
        <f>IF(COUNTA(H682:J682)=2,ROUND(PRODUCT(H682:J682),2),"")</f>
        <v/>
      </c>
      <c r="L682" s="5">
        <f>IF(OR(AND(COUNTA(H682:J682)=3,K682=""),AND(COUNTA(H682:J682)=1,K682&lt;&gt;"")),ROUND(PRODUCT(H682:K682),2),"")</f>
        <v>0.13</v>
      </c>
      <c r="M682" s="5">
        <f>IF(L682&lt;&gt;"",ROUND(PRODUCT(F682,G682,L682),2),IF(K682&lt;&gt;"",ROUND(PRODUCT(F682,G682,K682),2),ROUND(PRODUCT(F682:J682),2)))</f>
        <v>0.26</v>
      </c>
      <c r="N682" s="5"/>
    </row>
    <row r="683" spans="1:14" x14ac:dyDescent="0.3">
      <c r="A683" s="15" t="s">
        <v>104</v>
      </c>
      <c r="B683" s="49" t="s">
        <v>644</v>
      </c>
      <c r="C683" s="50"/>
      <c r="D683" s="50"/>
      <c r="E683" s="50"/>
      <c r="F683" s="50"/>
      <c r="G683" s="50"/>
      <c r="H683" s="50"/>
      <c r="I683" s="50"/>
      <c r="J683" s="50"/>
      <c r="K683" s="50"/>
      <c r="L683" s="50"/>
      <c r="M683" s="50"/>
      <c r="N683" s="51"/>
    </row>
    <row r="684" spans="1:14" ht="28.8" x14ac:dyDescent="0.3">
      <c r="A684" s="23" t="s">
        <v>415</v>
      </c>
      <c r="B684" s="23" t="s">
        <v>645</v>
      </c>
      <c r="C684" s="23" t="str">
        <f>VLOOKUP(B684,CPU!$B:$J,2,FALSE)</f>
        <v>PRÓPRIA</v>
      </c>
      <c r="D684" s="24" t="str">
        <f>VLOOKUP(B684,CPU!$B:$J,3,FALSE)</f>
        <v>AQUISIÇÃO E ASSENTAMENTO DE TUBO RÍGIDO PVC, CLASSE 12, DN 50 MM, INCLUSO CONEXÕES</v>
      </c>
      <c r="E684" s="23" t="str">
        <f>VLOOKUP(B684,CPU!$B:$J,4,FALSE)</f>
        <v>M</v>
      </c>
      <c r="F684" s="23"/>
      <c r="G684" s="23"/>
      <c r="H684" s="23"/>
      <c r="I684" s="23"/>
      <c r="J684" s="23"/>
      <c r="K684" s="23"/>
      <c r="L684" s="23"/>
      <c r="M684" s="23"/>
      <c r="N684" s="5">
        <f>SUM($M$685:$M$685)</f>
        <v>16</v>
      </c>
    </row>
    <row r="685" spans="1:14" x14ac:dyDescent="0.3">
      <c r="A685" s="23" t="s">
        <v>912</v>
      </c>
      <c r="B685" s="65" t="s">
        <v>516</v>
      </c>
      <c r="C685" s="66"/>
      <c r="D685" s="66"/>
      <c r="E685" s="67"/>
      <c r="F685" s="5">
        <v>16</v>
      </c>
      <c r="G685" s="26"/>
      <c r="H685" s="5"/>
      <c r="I685" s="5"/>
      <c r="J685" s="5"/>
      <c r="K685" s="5" t="str">
        <f>IF(COUNTA(H685:J685)=2,ROUND(PRODUCT(H685:J685),2),"")</f>
        <v/>
      </c>
      <c r="L685" s="5" t="str">
        <f>IF(OR(AND(COUNTA(H685:J685)=3,K685=""),AND(COUNTA(H685:J685)=1,K685&lt;&gt;"")),ROUND(PRODUCT(H685:K685),2),"")</f>
        <v/>
      </c>
      <c r="M685" s="5">
        <f>IF(L685&lt;&gt;"",ROUND(PRODUCT(F685,G685,L685),2),IF(K685&lt;&gt;"",ROUND(PRODUCT(F685,G685,K685),2),ROUND(PRODUCT(F685:J685),2)))</f>
        <v>16</v>
      </c>
      <c r="N685" s="5"/>
    </row>
    <row r="686" spans="1:14" ht="28.8" x14ac:dyDescent="0.3">
      <c r="A686" s="23" t="s">
        <v>416</v>
      </c>
      <c r="B686" s="23">
        <v>94497</v>
      </c>
      <c r="C686" s="23" t="str">
        <f>VLOOKUP(B686,CPU!$B:$J,2,FALSE)</f>
        <v>SINAPI</v>
      </c>
      <c r="D686" s="24" t="str">
        <f>VLOOKUP(B686,CPU!$B:$J,3,FALSE)</f>
        <v>REGISTRO DE GAVETA BRUTO, LATÃO, ROSCÁVEL, 1 1/2" - FORNECIMENTO E INSTALAÇÃO. AF_08/2021</v>
      </c>
      <c r="E686" s="23" t="str">
        <f>VLOOKUP(B686,CPU!$B:$J,4,FALSE)</f>
        <v>UN</v>
      </c>
      <c r="F686" s="23"/>
      <c r="G686" s="23"/>
      <c r="H686" s="23"/>
      <c r="I686" s="23"/>
      <c r="J686" s="23"/>
      <c r="K686" s="23"/>
      <c r="L686" s="23"/>
      <c r="M686" s="23"/>
      <c r="N686" s="5">
        <f>SUM($M$687:$M$687)</f>
        <v>1</v>
      </c>
    </row>
    <row r="687" spans="1:14" x14ac:dyDescent="0.3">
      <c r="A687" s="23" t="s">
        <v>913</v>
      </c>
      <c r="B687" s="65" t="s">
        <v>516</v>
      </c>
      <c r="C687" s="66"/>
      <c r="D687" s="66"/>
      <c r="E687" s="67"/>
      <c r="F687" s="5">
        <v>1</v>
      </c>
      <c r="G687" s="26"/>
      <c r="H687" s="5"/>
      <c r="I687" s="5"/>
      <c r="J687" s="5"/>
      <c r="K687" s="5" t="str">
        <f>IF(COUNTA(H687:J687)=2,ROUND(PRODUCT(H687:J687),2),"")</f>
        <v/>
      </c>
      <c r="L687" s="5" t="str">
        <f>IF(OR(AND(COUNTA(H687:J687)=3,K687=""),AND(COUNTA(H687:J687)=1,K687&lt;&gt;"")),ROUND(PRODUCT(H687:K687),2),"")</f>
        <v/>
      </c>
      <c r="M687" s="5">
        <f>IF(L687&lt;&gt;"",ROUND(PRODUCT(F687,G687,L687),2),IF(K687&lt;&gt;"",ROUND(PRODUCT(F687,G687,K687),2),ROUND(PRODUCT(F687:J687),2)))</f>
        <v>1</v>
      </c>
      <c r="N687" s="5"/>
    </row>
    <row r="688" spans="1:14" x14ac:dyDescent="0.3">
      <c r="A688" s="12" t="s">
        <v>105</v>
      </c>
      <c r="B688" s="46" t="s">
        <v>648</v>
      </c>
      <c r="C688" s="47"/>
      <c r="D688" s="47"/>
      <c r="E688" s="47"/>
      <c r="F688" s="47"/>
      <c r="G688" s="47"/>
      <c r="H688" s="47"/>
      <c r="I688" s="47"/>
      <c r="J688" s="47"/>
      <c r="K688" s="47"/>
      <c r="L688" s="47"/>
      <c r="M688" s="47"/>
      <c r="N688" s="48"/>
    </row>
    <row r="689" spans="1:14" ht="57.6" x14ac:dyDescent="0.3">
      <c r="A689" s="23" t="s">
        <v>417</v>
      </c>
      <c r="B689" s="23" t="s">
        <v>649</v>
      </c>
      <c r="C689" s="23" t="str">
        <f>VLOOKUP(B689,CPU!$B:$J,2,FALSE)</f>
        <v>PRÓPRIA</v>
      </c>
      <c r="D689" s="24" t="str">
        <f>VLOOKUP(B689,CPU!$B:$J,3,FALSE)</f>
        <v>RESERVATÓRIO ELEVADO C/ CAIXA D'AGUA EM FIBRA DE VIDRO DE 10.000 LITROS APOIADO EM ESTRUTURA PRÉ-MOLDADA EM CONCRETO, COMPOSTA DE CAPITEL P/APOIO DA CAIXA E PILAR C/ALTURA ÚTIL = 7,00M, INCLUSO FRETE E MONTAGEM NO LOCAL, EXCETO INST. HIDRÁULICA</v>
      </c>
      <c r="E689" s="23" t="str">
        <f>VLOOKUP(B689,CPU!$B:$J,4,FALSE)</f>
        <v>UND</v>
      </c>
      <c r="F689" s="23"/>
      <c r="G689" s="23"/>
      <c r="H689" s="23"/>
      <c r="I689" s="23"/>
      <c r="J689" s="23"/>
      <c r="K689" s="23"/>
      <c r="L689" s="23"/>
      <c r="M689" s="23"/>
      <c r="N689" s="5">
        <f>SUM($M$690:$M$690)</f>
        <v>1</v>
      </c>
    </row>
    <row r="690" spans="1:14" x14ac:dyDescent="0.3">
      <c r="A690" s="23" t="s">
        <v>914</v>
      </c>
      <c r="B690" s="65" t="s">
        <v>516</v>
      </c>
      <c r="C690" s="66"/>
      <c r="D690" s="66"/>
      <c r="E690" s="67"/>
      <c r="F690" s="5">
        <v>1</v>
      </c>
      <c r="G690" s="26"/>
      <c r="H690" s="5"/>
      <c r="I690" s="5"/>
      <c r="J690" s="5"/>
      <c r="K690" s="5" t="str">
        <f>IF(COUNTA(H690:J690)=2,ROUND(PRODUCT(H690:J690),2),"")</f>
        <v/>
      </c>
      <c r="L690" s="5" t="str">
        <f>IF(OR(AND(COUNTA(H690:J690)=3,K690=""),AND(COUNTA(H690:J690)=1,K690&lt;&gt;"")),ROUND(PRODUCT(H690:K690),2),"")</f>
        <v/>
      </c>
      <c r="M690" s="5">
        <f>IF(L690&lt;&gt;"",ROUND(PRODUCT(F690,G690,L690),2),IF(K690&lt;&gt;"",ROUND(PRODUCT(F690,G690,K690),2),ROUND(PRODUCT(F690:J690),2)))</f>
        <v>1</v>
      </c>
      <c r="N690" s="5"/>
    </row>
    <row r="691" spans="1:14" x14ac:dyDescent="0.3">
      <c r="A691" s="12" t="s">
        <v>106</v>
      </c>
      <c r="B691" s="46" t="s">
        <v>651</v>
      </c>
      <c r="C691" s="47"/>
      <c r="D691" s="47"/>
      <c r="E691" s="47"/>
      <c r="F691" s="47"/>
      <c r="G691" s="47"/>
      <c r="H691" s="47"/>
      <c r="I691" s="47"/>
      <c r="J691" s="47"/>
      <c r="K691" s="47"/>
      <c r="L691" s="47"/>
      <c r="M691" s="47"/>
      <c r="N691" s="48"/>
    </row>
    <row r="692" spans="1:14" ht="28.8" x14ac:dyDescent="0.3">
      <c r="A692" s="23" t="s">
        <v>418</v>
      </c>
      <c r="B692" s="23" t="s">
        <v>645</v>
      </c>
      <c r="C692" s="23" t="str">
        <f>VLOOKUP(B692,CPU!$B:$J,2,FALSE)</f>
        <v>PRÓPRIA</v>
      </c>
      <c r="D692" s="24" t="str">
        <f>VLOOKUP(B692,CPU!$B:$J,3,FALSE)</f>
        <v>AQUISIÇÃO E ASSENTAMENTO DE TUBO RÍGIDO PVC, CLASSE 12, DN 50 MM, INCLUSO CONEXÕES</v>
      </c>
      <c r="E692" s="23" t="str">
        <f>VLOOKUP(B692,CPU!$B:$J,4,FALSE)</f>
        <v>M</v>
      </c>
      <c r="F692" s="23"/>
      <c r="G692" s="23"/>
      <c r="H692" s="23"/>
      <c r="I692" s="23"/>
      <c r="J692" s="23"/>
      <c r="K692" s="23"/>
      <c r="L692" s="23"/>
      <c r="M692" s="23"/>
      <c r="N692" s="5">
        <f>SUM($M$693:$M$693)</f>
        <v>18</v>
      </c>
    </row>
    <row r="693" spans="1:14" x14ac:dyDescent="0.3">
      <c r="A693" s="23" t="s">
        <v>915</v>
      </c>
      <c r="B693" s="65" t="s">
        <v>516</v>
      </c>
      <c r="C693" s="66"/>
      <c r="D693" s="66"/>
      <c r="E693" s="67"/>
      <c r="F693" s="5">
        <v>18</v>
      </c>
      <c r="G693" s="26"/>
      <c r="H693" s="5"/>
      <c r="I693" s="5"/>
      <c r="J693" s="5"/>
      <c r="K693" s="5" t="str">
        <f>IF(COUNTA(H693:J693)=2,ROUND(PRODUCT(H693:J693),2),"")</f>
        <v/>
      </c>
      <c r="L693" s="5" t="str">
        <f>IF(OR(AND(COUNTA(H693:J693)=3,K693=""),AND(COUNTA(H693:J693)=1,K693&lt;&gt;"")),ROUND(PRODUCT(H693:K693),2),"")</f>
        <v/>
      </c>
      <c r="M693" s="5">
        <f>IF(L693&lt;&gt;"",ROUND(PRODUCT(F693,G693,L693),2),IF(K693&lt;&gt;"",ROUND(PRODUCT(F693,G693,K693),2),ROUND(PRODUCT(F693:J693),2)))</f>
        <v>18</v>
      </c>
      <c r="N693" s="5"/>
    </row>
    <row r="694" spans="1:14" ht="28.8" x14ac:dyDescent="0.3">
      <c r="A694" s="23" t="s">
        <v>419</v>
      </c>
      <c r="B694" s="23" t="s">
        <v>653</v>
      </c>
      <c r="C694" s="23" t="str">
        <f>VLOOKUP(B694,CPU!$B:$J,2,FALSE)</f>
        <v>ORSE</v>
      </c>
      <c r="D694" s="24" t="str">
        <f>VLOOKUP(B694,CPU!$B:$J,3,FALSE)</f>
        <v>CONCRETO ARMADO FCK=15MPA FABRICADO NA OBRA, ADENSADO E LANÇADO, PARA USO GERAL, COM FORMAS PLANAS EM COMPENSADO RESINADO 12MM (05 USOS)</v>
      </c>
      <c r="E694" s="23" t="str">
        <f>VLOOKUP(B694,CPU!$B:$J,4,FALSE)</f>
        <v>M3</v>
      </c>
      <c r="F694" s="23"/>
      <c r="G694" s="23"/>
      <c r="H694" s="23"/>
      <c r="I694" s="23"/>
      <c r="J694" s="23"/>
      <c r="K694" s="23"/>
      <c r="L694" s="23"/>
      <c r="M694" s="23"/>
      <c r="N694" s="5">
        <f>SUM($M$695:$M$695)</f>
        <v>0.26</v>
      </c>
    </row>
    <row r="695" spans="1:14" x14ac:dyDescent="0.3">
      <c r="A695" s="23" t="s">
        <v>916</v>
      </c>
      <c r="B695" s="65" t="s">
        <v>655</v>
      </c>
      <c r="C695" s="66"/>
      <c r="D695" s="66"/>
      <c r="E695" s="67"/>
      <c r="F695" s="5"/>
      <c r="G695" s="26">
        <v>2</v>
      </c>
      <c r="H695" s="5">
        <v>0.5</v>
      </c>
      <c r="I695" s="5">
        <v>0.5</v>
      </c>
      <c r="J695" s="5">
        <v>0.5</v>
      </c>
      <c r="K695" s="5" t="str">
        <f>IF(COUNTA(H695:J695)=2,ROUND(PRODUCT(H695:J695),2),"")</f>
        <v/>
      </c>
      <c r="L695" s="5">
        <f>IF(OR(AND(COUNTA(H695:J695)=3,K695=""),AND(COUNTA(H695:J695)=1,K695&lt;&gt;"")),ROUND(PRODUCT(H695:K695),2),"")</f>
        <v>0.13</v>
      </c>
      <c r="M695" s="5">
        <f>IF(L695&lt;&gt;"",ROUND(PRODUCT(F695,G695,L695),2),IF(K695&lt;&gt;"",ROUND(PRODUCT(F695,G695,K695),2),ROUND(PRODUCT(F695:J695),2)))</f>
        <v>0.26</v>
      </c>
      <c r="N695" s="5"/>
    </row>
    <row r="696" spans="1:14" ht="28.8" x14ac:dyDescent="0.3">
      <c r="A696" s="23" t="s">
        <v>420</v>
      </c>
      <c r="B696" s="23">
        <v>86906</v>
      </c>
      <c r="C696" s="23" t="str">
        <f>VLOOKUP(B696,CPU!$B:$J,2,FALSE)</f>
        <v>SINAPI</v>
      </c>
      <c r="D696" s="24" t="str">
        <f>VLOOKUP(B696,CPU!$B:$J,3,FALSE)</f>
        <v>TORNEIRA CROMADA DE MESA, 1/2" OU 3/4", PARA LAVATÓRIO, PADRÃO POPULAR - FORNECIMENTO E INSTALAÇÃO. AF_01/2020</v>
      </c>
      <c r="E696" s="23" t="str">
        <f>VLOOKUP(B696,CPU!$B:$J,4,FALSE)</f>
        <v>UN</v>
      </c>
      <c r="F696" s="23"/>
      <c r="G696" s="23"/>
      <c r="H696" s="23"/>
      <c r="I696" s="23"/>
      <c r="J696" s="23"/>
      <c r="K696" s="23"/>
      <c r="L696" s="23"/>
      <c r="M696" s="23"/>
      <c r="N696" s="5">
        <f>SUM($M$697:$M$697)</f>
        <v>4</v>
      </c>
    </row>
    <row r="697" spans="1:14" x14ac:dyDescent="0.3">
      <c r="A697" s="23" t="s">
        <v>917</v>
      </c>
      <c r="B697" s="65" t="s">
        <v>516</v>
      </c>
      <c r="C697" s="66"/>
      <c r="D697" s="66"/>
      <c r="E697" s="67"/>
      <c r="F697" s="5">
        <v>4</v>
      </c>
      <c r="G697" s="26"/>
      <c r="H697" s="5"/>
      <c r="I697" s="5"/>
      <c r="J697" s="5"/>
      <c r="K697" s="5" t="str">
        <f>IF(COUNTA(H697:J697)=2,ROUND(PRODUCT(H697:J697),2),"")</f>
        <v/>
      </c>
      <c r="L697" s="5" t="str">
        <f>IF(OR(AND(COUNTA(H697:J697)=3,K697=""),AND(COUNTA(H697:J697)=1,K697&lt;&gt;"")),ROUND(PRODUCT(H697:K697),2),"")</f>
        <v/>
      </c>
      <c r="M697" s="5">
        <f>IF(L697&lt;&gt;"",ROUND(PRODUCT(F697,G697,L697),2),IF(K697&lt;&gt;"",ROUND(PRODUCT(F697,G697,K697),2),ROUND(PRODUCT(F697:J697),2)))</f>
        <v>4</v>
      </c>
      <c r="N697" s="5"/>
    </row>
    <row r="698" spans="1:14" ht="43.2" x14ac:dyDescent="0.3">
      <c r="A698" s="23" t="s">
        <v>421</v>
      </c>
      <c r="B698" s="23">
        <v>92920</v>
      </c>
      <c r="C698" s="23" t="str">
        <f>VLOOKUP(B698,CPU!$B:$J,2,FALSE)</f>
        <v>SINAPI</v>
      </c>
      <c r="D698" s="24" t="str">
        <f>VLOOKUP(B698,CPU!$B:$J,3,FALSE)</f>
        <v>LUVA DE REDUÇÃO, EM FERRO GALVANIZADO, 1" X 3/4", CONEXÃO ROSQUEADA, INSTALADO EM REDE DE ALIMENTAÇÃO PARA HIDRANTE - FORNECIMENTO E INSTALAÇÃO. AF_10/2020</v>
      </c>
      <c r="E698" s="23" t="str">
        <f>VLOOKUP(B698,CPU!$B:$J,4,FALSE)</f>
        <v>UN</v>
      </c>
      <c r="F698" s="23"/>
      <c r="G698" s="23"/>
      <c r="H698" s="23"/>
      <c r="I698" s="23"/>
      <c r="J698" s="23"/>
      <c r="K698" s="23"/>
      <c r="L698" s="23"/>
      <c r="M698" s="23"/>
      <c r="N698" s="5">
        <f>SUM($M$699:$M$699)</f>
        <v>4</v>
      </c>
    </row>
    <row r="699" spans="1:14" x14ac:dyDescent="0.3">
      <c r="A699" s="23" t="s">
        <v>918</v>
      </c>
      <c r="B699" s="65" t="s">
        <v>516</v>
      </c>
      <c r="C699" s="66"/>
      <c r="D699" s="66"/>
      <c r="E699" s="67"/>
      <c r="F699" s="5">
        <v>4</v>
      </c>
      <c r="G699" s="26"/>
      <c r="H699" s="5"/>
      <c r="I699" s="5"/>
      <c r="J699" s="5"/>
      <c r="K699" s="5" t="str">
        <f>IF(COUNTA(H699:J699)=2,ROUND(PRODUCT(H699:J699),2),"")</f>
        <v/>
      </c>
      <c r="L699" s="5" t="str">
        <f>IF(OR(AND(COUNTA(H699:J699)=3,K699=""),AND(COUNTA(H699:J699)=1,K699&lt;&gt;"")),ROUND(PRODUCT(H699:K699),2),"")</f>
        <v/>
      </c>
      <c r="M699" s="5">
        <f>IF(L699&lt;&gt;"",ROUND(PRODUCT(F699,G699,L699),2),IF(K699&lt;&gt;"",ROUND(PRODUCT(F699,G699,K699),2),ROUND(PRODUCT(F699:J699),2)))</f>
        <v>4</v>
      </c>
      <c r="N699" s="5"/>
    </row>
    <row r="700" spans="1:14" x14ac:dyDescent="0.3">
      <c r="A700" s="23" t="s">
        <v>422</v>
      </c>
      <c r="B700" s="23" t="s">
        <v>658</v>
      </c>
      <c r="C700" s="23" t="str">
        <f>VLOOKUP(B700,CPU!$B:$J,2,FALSE)</f>
        <v>PRÓPRIA</v>
      </c>
      <c r="D700" s="24" t="str">
        <f>VLOOKUP(B700,CPU!$B:$J,3,FALSE)</f>
        <v>CRUZETA DE FERRO GALVANIZADO, COM ROSCA BSP, DE 1"</v>
      </c>
      <c r="E700" s="23" t="str">
        <f>VLOOKUP(B700,CPU!$B:$J,4,FALSE)</f>
        <v>UN</v>
      </c>
      <c r="F700" s="23"/>
      <c r="G700" s="23"/>
      <c r="H700" s="23"/>
      <c r="I700" s="23"/>
      <c r="J700" s="23"/>
      <c r="K700" s="23"/>
      <c r="L700" s="23"/>
      <c r="M700" s="23"/>
      <c r="N700" s="5">
        <f>SUM($M$701:$M$701)</f>
        <v>1</v>
      </c>
    </row>
    <row r="701" spans="1:14" x14ac:dyDescent="0.3">
      <c r="A701" s="23" t="s">
        <v>919</v>
      </c>
      <c r="B701" s="65" t="s">
        <v>516</v>
      </c>
      <c r="C701" s="66"/>
      <c r="D701" s="66"/>
      <c r="E701" s="67"/>
      <c r="F701" s="5">
        <v>1</v>
      </c>
      <c r="G701" s="26"/>
      <c r="H701" s="5"/>
      <c r="I701" s="5"/>
      <c r="J701" s="5"/>
      <c r="K701" s="5" t="str">
        <f>IF(COUNTA(H701:J701)=2,ROUND(PRODUCT(H701:J701),2),"")</f>
        <v/>
      </c>
      <c r="L701" s="5" t="str">
        <f>IF(OR(AND(COUNTA(H701:J701)=3,K701=""),AND(COUNTA(H701:J701)=1,K701&lt;&gt;"")),ROUND(PRODUCT(H701:K701),2),"")</f>
        <v/>
      </c>
      <c r="M701" s="5">
        <f>IF(L701&lt;&gt;"",ROUND(PRODUCT(F701,G701,L701),2),IF(K701&lt;&gt;"",ROUND(PRODUCT(F701,G701,K701),2),ROUND(PRODUCT(F701:J701),2)))</f>
        <v>1</v>
      </c>
      <c r="N701" s="5"/>
    </row>
    <row r="702" spans="1:14" ht="28.8" x14ac:dyDescent="0.3">
      <c r="A702" s="23" t="s">
        <v>423</v>
      </c>
      <c r="B702" s="23" t="s">
        <v>660</v>
      </c>
      <c r="C702" s="23" t="str">
        <f>VLOOKUP(B702,CPU!$B:$J,2,FALSE)</f>
        <v>PRÓPRIA</v>
      </c>
      <c r="D702" s="24" t="str">
        <f>VLOOKUP(B702,CPU!$B:$J,3,FALSE)</f>
        <v>TÊ, EM FERRO GALVANIZADO, 1", CONEXÃO ROSQUEADA, INSTALADO EM PRUMADAS - FORNECIMENTO E INSTALAÇÃO.</v>
      </c>
      <c r="E702" s="23" t="str">
        <f>VLOOKUP(B702,CPU!$B:$J,4,FALSE)</f>
        <v>UN</v>
      </c>
      <c r="F702" s="23"/>
      <c r="G702" s="23"/>
      <c r="H702" s="23"/>
      <c r="I702" s="23"/>
      <c r="J702" s="23"/>
      <c r="K702" s="23"/>
      <c r="L702" s="23"/>
      <c r="M702" s="23"/>
      <c r="N702" s="5">
        <f>SUM($M$703:$M$703)</f>
        <v>1</v>
      </c>
    </row>
    <row r="703" spans="1:14" x14ac:dyDescent="0.3">
      <c r="A703" s="23" t="s">
        <v>920</v>
      </c>
      <c r="B703" s="65" t="s">
        <v>516</v>
      </c>
      <c r="C703" s="66"/>
      <c r="D703" s="66"/>
      <c r="E703" s="67"/>
      <c r="F703" s="5">
        <v>1</v>
      </c>
      <c r="G703" s="26"/>
      <c r="H703" s="5"/>
      <c r="I703" s="5"/>
      <c r="J703" s="5"/>
      <c r="K703" s="5" t="str">
        <f>IF(COUNTA(H703:J703)=2,ROUND(PRODUCT(H703:J703),2),"")</f>
        <v/>
      </c>
      <c r="L703" s="5" t="str">
        <f>IF(OR(AND(COUNTA(H703:J703)=3,K703=""),AND(COUNTA(H703:J703)=1,K703&lt;&gt;"")),ROUND(PRODUCT(H703:K703),2),"")</f>
        <v/>
      </c>
      <c r="M703" s="5">
        <f>IF(L703&lt;&gt;"",ROUND(PRODUCT(F703,G703,L703),2),IF(K703&lt;&gt;"",ROUND(PRODUCT(F703,G703,K703),2),ROUND(PRODUCT(F703:J703),2)))</f>
        <v>1</v>
      </c>
      <c r="N703" s="5"/>
    </row>
    <row r="704" spans="1:14" x14ac:dyDescent="0.3">
      <c r="A704" s="23" t="s">
        <v>424</v>
      </c>
      <c r="B704" s="23" t="s">
        <v>662</v>
      </c>
      <c r="C704" s="23" t="str">
        <f>VLOOKUP(B704,CPU!$B:$J,2,FALSE)</f>
        <v>PRÓPRIA</v>
      </c>
      <c r="D704" s="24" t="str">
        <f>VLOOKUP(B704,CPU!$B:$J,3,FALSE)</f>
        <v>LUVA DE FERRO GALVANIZADO, COM ROSCA BSP, DE 1"- FORNECIMENTO E INSTALAÇÃO</v>
      </c>
      <c r="E704" s="23" t="str">
        <f>VLOOKUP(B704,CPU!$B:$J,4,FALSE)</f>
        <v>UN</v>
      </c>
      <c r="F704" s="23"/>
      <c r="G704" s="23"/>
      <c r="H704" s="23"/>
      <c r="I704" s="23"/>
      <c r="J704" s="23"/>
      <c r="K704" s="23"/>
      <c r="L704" s="23"/>
      <c r="M704" s="23"/>
      <c r="N704" s="5">
        <f>SUM($M$705:$M$705)</f>
        <v>1</v>
      </c>
    </row>
    <row r="705" spans="1:14" x14ac:dyDescent="0.3">
      <c r="A705" s="23" t="s">
        <v>921</v>
      </c>
      <c r="B705" s="65" t="s">
        <v>516</v>
      </c>
      <c r="C705" s="66"/>
      <c r="D705" s="66"/>
      <c r="E705" s="67"/>
      <c r="F705" s="5">
        <v>1</v>
      </c>
      <c r="G705" s="26"/>
      <c r="H705" s="5"/>
      <c r="I705" s="5"/>
      <c r="J705" s="5"/>
      <c r="K705" s="5" t="str">
        <f>IF(COUNTA(H705:J705)=2,ROUND(PRODUCT(H705:J705),2),"")</f>
        <v/>
      </c>
      <c r="L705" s="5" t="str">
        <f>IF(OR(AND(COUNTA(H705:J705)=3,K705=""),AND(COUNTA(H705:J705)=1,K705&lt;&gt;"")),ROUND(PRODUCT(H705:K705),2),"")</f>
        <v/>
      </c>
      <c r="M705" s="5">
        <f>IF(L705&lt;&gt;"",ROUND(PRODUCT(F705,G705,L705),2),IF(K705&lt;&gt;"",ROUND(PRODUCT(F705,G705,K705),2),ROUND(PRODUCT(F705:J705),2)))</f>
        <v>1</v>
      </c>
      <c r="N705" s="5"/>
    </row>
    <row r="706" spans="1:14" ht="28.8" x14ac:dyDescent="0.3">
      <c r="A706" s="23" t="s">
        <v>425</v>
      </c>
      <c r="B706" s="23" t="s">
        <v>664</v>
      </c>
      <c r="C706" s="23" t="str">
        <f>VLOOKUP(B706,CPU!$B:$J,2,FALSE)</f>
        <v>PRÓPRIA</v>
      </c>
      <c r="D706" s="24" t="str">
        <f>VLOOKUP(B706,CPU!$B:$J,3,FALSE)</f>
        <v>CURVA 90 GRAUS DE FERRO GALVANIZADO, COM ROSCA BSP FEMEA, DE 1"- FORNECIMENTO E INSTALAÇÃO</v>
      </c>
      <c r="E706" s="23" t="str">
        <f>VLOOKUP(B706,CPU!$B:$J,4,FALSE)</f>
        <v>UN</v>
      </c>
      <c r="F706" s="23"/>
      <c r="G706" s="23"/>
      <c r="H706" s="23"/>
      <c r="I706" s="23"/>
      <c r="J706" s="23"/>
      <c r="K706" s="23"/>
      <c r="L706" s="23"/>
      <c r="M706" s="23"/>
      <c r="N706" s="5">
        <f>SUM($M$707:$M$707)</f>
        <v>1</v>
      </c>
    </row>
    <row r="707" spans="1:14" x14ac:dyDescent="0.3">
      <c r="A707" s="23" t="s">
        <v>922</v>
      </c>
      <c r="B707" s="65" t="s">
        <v>516</v>
      </c>
      <c r="C707" s="66"/>
      <c r="D707" s="66"/>
      <c r="E707" s="67"/>
      <c r="F707" s="5">
        <v>1</v>
      </c>
      <c r="G707" s="26"/>
      <c r="H707" s="5"/>
      <c r="I707" s="5"/>
      <c r="J707" s="5"/>
      <c r="K707" s="5" t="str">
        <f>IF(COUNTA(H707:J707)=2,ROUND(PRODUCT(H707:J707),2),"")</f>
        <v/>
      </c>
      <c r="L707" s="5" t="str">
        <f>IF(OR(AND(COUNTA(H707:J707)=3,K707=""),AND(COUNTA(H707:J707)=1,K707&lt;&gt;"")),ROUND(PRODUCT(H707:K707),2),"")</f>
        <v/>
      </c>
      <c r="M707" s="5">
        <f>IF(L707&lt;&gt;"",ROUND(PRODUCT(F707,G707,L707),2),IF(K707&lt;&gt;"",ROUND(PRODUCT(F707,G707,K707),2),ROUND(PRODUCT(F707:J707),2)))</f>
        <v>1</v>
      </c>
      <c r="N707" s="5"/>
    </row>
    <row r="708" spans="1:14" ht="28.8" x14ac:dyDescent="0.3">
      <c r="A708" s="23" t="s">
        <v>426</v>
      </c>
      <c r="B708" s="23" t="s">
        <v>666</v>
      </c>
      <c r="C708" s="23" t="str">
        <f>VLOOKUP(B708,CPU!$B:$J,2,FALSE)</f>
        <v>PRÓPRIA</v>
      </c>
      <c r="D708" s="24" t="str">
        <f>VLOOKUP(B708,CPU!$B:$J,3,FALSE)</f>
        <v>TUBO DE AÇO GALVANIZADO COM COSTURA 1" (25MM), INCLUSIVE CONEXOES - FORNECIMENTO E INSTALAÇÃO</v>
      </c>
      <c r="E708" s="23" t="str">
        <f>VLOOKUP(B708,CPU!$B:$J,4,FALSE)</f>
        <v>M</v>
      </c>
      <c r="F708" s="23"/>
      <c r="G708" s="23"/>
      <c r="H708" s="23"/>
      <c r="I708" s="23"/>
      <c r="J708" s="23"/>
      <c r="K708" s="23"/>
      <c r="L708" s="23"/>
      <c r="M708" s="23"/>
      <c r="N708" s="5">
        <f>SUM($M$709:$M$709)</f>
        <v>3</v>
      </c>
    </row>
    <row r="709" spans="1:14" x14ac:dyDescent="0.3">
      <c r="A709" s="23" t="s">
        <v>923</v>
      </c>
      <c r="B709" s="65" t="s">
        <v>516</v>
      </c>
      <c r="C709" s="66"/>
      <c r="D709" s="66"/>
      <c r="E709" s="67"/>
      <c r="F709" s="5">
        <v>3</v>
      </c>
      <c r="G709" s="26"/>
      <c r="H709" s="5"/>
      <c r="I709" s="5"/>
      <c r="J709" s="5"/>
      <c r="K709" s="5" t="str">
        <f>IF(COUNTA(H709:J709)=2,ROUND(PRODUCT(H709:J709),2),"")</f>
        <v/>
      </c>
      <c r="L709" s="5" t="str">
        <f>IF(OR(AND(COUNTA(H709:J709)=3,K709=""),AND(COUNTA(H709:J709)=1,K709&lt;&gt;"")),ROUND(PRODUCT(H709:K709),2),"")</f>
        <v/>
      </c>
      <c r="M709" s="5">
        <f>IF(L709&lt;&gt;"",ROUND(PRODUCT(F709,G709,L709),2),IF(K709&lt;&gt;"",ROUND(PRODUCT(F709,G709,K709),2),ROUND(PRODUCT(F709:J709),2)))</f>
        <v>3</v>
      </c>
      <c r="N709" s="5"/>
    </row>
    <row r="710" spans="1:14" ht="28.8" x14ac:dyDescent="0.3">
      <c r="A710" s="23" t="s">
        <v>427</v>
      </c>
      <c r="B710" s="23" t="s">
        <v>668</v>
      </c>
      <c r="C710" s="23" t="str">
        <f>VLOOKUP(B710,CPU!$B:$J,2,FALSE)</f>
        <v>PRÓPRIA</v>
      </c>
      <c r="D710" s="24" t="str">
        <f>VLOOKUP(B710,CPU!$B:$J,3,FALSE)</f>
        <v>BUCHA DE REDUCAO DE FERRO GALVANIZADO, COM ROSCA BSP, DE 1 1/2" X 1"- FORNECIMENTO E INSTALAÇÃO</v>
      </c>
      <c r="E710" s="23" t="str">
        <f>VLOOKUP(B710,CPU!$B:$J,4,FALSE)</f>
        <v>UN</v>
      </c>
      <c r="F710" s="23"/>
      <c r="G710" s="23"/>
      <c r="H710" s="23"/>
      <c r="I710" s="23"/>
      <c r="J710" s="23"/>
      <c r="K710" s="23"/>
      <c r="L710" s="23"/>
      <c r="M710" s="23"/>
      <c r="N710" s="5">
        <f>SUM($M$711:$M$711)</f>
        <v>1</v>
      </c>
    </row>
    <row r="711" spans="1:14" x14ac:dyDescent="0.3">
      <c r="A711" s="23" t="s">
        <v>924</v>
      </c>
      <c r="B711" s="65" t="s">
        <v>516</v>
      </c>
      <c r="C711" s="66"/>
      <c r="D711" s="66"/>
      <c r="E711" s="67"/>
      <c r="F711" s="5">
        <v>1</v>
      </c>
      <c r="G711" s="26"/>
      <c r="H711" s="5"/>
      <c r="I711" s="5"/>
      <c r="J711" s="5"/>
      <c r="K711" s="5" t="str">
        <f>IF(COUNTA(H711:J711)=2,ROUND(PRODUCT(H711:J711),2),"")</f>
        <v/>
      </c>
      <c r="L711" s="5" t="str">
        <f>IF(OR(AND(COUNTA(H711:J711)=3,K711=""),AND(COUNTA(H711:J711)=1,K711&lt;&gt;"")),ROUND(PRODUCT(H711:K711),2),"")</f>
        <v/>
      </c>
      <c r="M711" s="5">
        <f>IF(L711&lt;&gt;"",ROUND(PRODUCT(F711,G711,L711),2),IF(K711&lt;&gt;"",ROUND(PRODUCT(F711,G711,K711),2),ROUND(PRODUCT(F711:J711),2)))</f>
        <v>1</v>
      </c>
      <c r="N711" s="5"/>
    </row>
    <row r="712" spans="1:14" ht="28.8" x14ac:dyDescent="0.3">
      <c r="A712" s="23" t="s">
        <v>428</v>
      </c>
      <c r="B712" s="23">
        <v>94497</v>
      </c>
      <c r="C712" s="23" t="str">
        <f>VLOOKUP(B712,CPU!$B:$J,2,FALSE)</f>
        <v>SINAPI</v>
      </c>
      <c r="D712" s="24" t="str">
        <f>VLOOKUP(B712,CPU!$B:$J,3,FALSE)</f>
        <v>REGISTRO DE GAVETA BRUTO, LATÃO, ROSCÁVEL, 1 1/2" - FORNECIMENTO E INSTALAÇÃO. AF_08/2021</v>
      </c>
      <c r="E712" s="23" t="str">
        <f>VLOOKUP(B712,CPU!$B:$J,4,FALSE)</f>
        <v>UN</v>
      </c>
      <c r="F712" s="23"/>
      <c r="G712" s="23"/>
      <c r="H712" s="23"/>
      <c r="I712" s="23"/>
      <c r="J712" s="23"/>
      <c r="K712" s="23"/>
      <c r="L712" s="23"/>
      <c r="M712" s="23"/>
      <c r="N712" s="5">
        <f>SUM($M$713:$M$713)</f>
        <v>2</v>
      </c>
    </row>
    <row r="713" spans="1:14" x14ac:dyDescent="0.3">
      <c r="A713" s="23" t="s">
        <v>925</v>
      </c>
      <c r="B713" s="65" t="s">
        <v>516</v>
      </c>
      <c r="C713" s="66"/>
      <c r="D713" s="66"/>
      <c r="E713" s="67"/>
      <c r="F713" s="5">
        <v>2</v>
      </c>
      <c r="G713" s="26"/>
      <c r="H713" s="5"/>
      <c r="I713" s="5"/>
      <c r="J713" s="5"/>
      <c r="K713" s="5" t="str">
        <f>IF(COUNTA(H713:J713)=2,ROUND(PRODUCT(H713:J713),2),"")</f>
        <v/>
      </c>
      <c r="L713" s="5" t="str">
        <f>IF(OR(AND(COUNTA(H713:J713)=3,K713=""),AND(COUNTA(H713:J713)=1,K713&lt;&gt;"")),ROUND(PRODUCT(H713:K713),2),"")</f>
        <v/>
      </c>
      <c r="M713" s="5">
        <f>IF(L713&lt;&gt;"",ROUND(PRODUCT(F713,G713,L713),2),IF(K713&lt;&gt;"",ROUND(PRODUCT(F713,G713,K713),2),ROUND(PRODUCT(F713:J713),2)))</f>
        <v>2</v>
      </c>
      <c r="N713" s="5"/>
    </row>
    <row r="714" spans="1:14" ht="28.8" x14ac:dyDescent="0.3">
      <c r="A714" s="23" t="s">
        <v>429</v>
      </c>
      <c r="B714" s="23" t="s">
        <v>671</v>
      </c>
      <c r="C714" s="23" t="str">
        <f>VLOOKUP(B714,CPU!$B:$J,2,FALSE)</f>
        <v>PRÓPRIA</v>
      </c>
      <c r="D714" s="24" t="str">
        <f>VLOOKUP(B714,CPU!$B:$J,3,FALSE)</f>
        <v>ADAPTADOR CURTO COM BOLSA E ROSCA PARA REGISTRO, PVC, SOLDÁVEL, DN 40MM X 1.1/2, INSTALADO EM PRUMADA DE ÁGUA - FORNECIMENTO E INSTALAÇÃO</v>
      </c>
      <c r="E714" s="23" t="str">
        <f>VLOOKUP(B714,CPU!$B:$J,4,FALSE)</f>
        <v>UN</v>
      </c>
      <c r="F714" s="23"/>
      <c r="G714" s="23"/>
      <c r="H714" s="23"/>
      <c r="I714" s="23"/>
      <c r="J714" s="23"/>
      <c r="K714" s="23"/>
      <c r="L714" s="23"/>
      <c r="M714" s="23"/>
      <c r="N714" s="5">
        <f>SUM($M$715:$M$715)</f>
        <v>1</v>
      </c>
    </row>
    <row r="715" spans="1:14" x14ac:dyDescent="0.3">
      <c r="A715" s="23" t="s">
        <v>926</v>
      </c>
      <c r="B715" s="65" t="s">
        <v>516</v>
      </c>
      <c r="C715" s="66"/>
      <c r="D715" s="66"/>
      <c r="E715" s="67"/>
      <c r="F715" s="5">
        <v>1</v>
      </c>
      <c r="G715" s="26"/>
      <c r="H715" s="5"/>
      <c r="I715" s="5"/>
      <c r="J715" s="5"/>
      <c r="K715" s="5" t="str">
        <f>IF(COUNTA(H715:J715)=2,ROUND(PRODUCT(H715:J715),2),"")</f>
        <v/>
      </c>
      <c r="L715" s="5" t="str">
        <f>IF(OR(AND(COUNTA(H715:J715)=3,K715=""),AND(COUNTA(H715:J715)=1,K715&lt;&gt;"")),ROUND(PRODUCT(H715:K715),2),"")</f>
        <v/>
      </c>
      <c r="M715" s="5">
        <f>IF(L715&lt;&gt;"",ROUND(PRODUCT(F715,G715,L715),2),IF(K715&lt;&gt;"",ROUND(PRODUCT(F715,G715,K715),2),ROUND(PRODUCT(F715:J715),2)))</f>
        <v>1</v>
      </c>
      <c r="N715" s="5"/>
    </row>
    <row r="716" spans="1:14" x14ac:dyDescent="0.3">
      <c r="A716" s="9">
        <v>6</v>
      </c>
      <c r="B716" s="52" t="s">
        <v>927</v>
      </c>
      <c r="C716" s="53"/>
      <c r="D716" s="53"/>
      <c r="E716" s="53"/>
      <c r="F716" s="53"/>
      <c r="G716" s="53"/>
      <c r="H716" s="53"/>
      <c r="I716" s="53"/>
      <c r="J716" s="53"/>
      <c r="K716" s="53"/>
      <c r="L716" s="53"/>
      <c r="M716" s="53"/>
      <c r="N716" s="54"/>
    </row>
    <row r="717" spans="1:14" x14ac:dyDescent="0.3">
      <c r="A717" s="12" t="s">
        <v>107</v>
      </c>
      <c r="B717" s="46" t="s">
        <v>520</v>
      </c>
      <c r="C717" s="47"/>
      <c r="D717" s="47"/>
      <c r="E717" s="47"/>
      <c r="F717" s="47"/>
      <c r="G717" s="47"/>
      <c r="H717" s="47"/>
      <c r="I717" s="47"/>
      <c r="J717" s="47"/>
      <c r="K717" s="47"/>
      <c r="L717" s="47"/>
      <c r="M717" s="47"/>
      <c r="N717" s="48"/>
    </row>
    <row r="718" spans="1:14" x14ac:dyDescent="0.3">
      <c r="A718" s="23" t="s">
        <v>430</v>
      </c>
      <c r="B718" s="23" t="s">
        <v>521</v>
      </c>
      <c r="C718" s="23" t="str">
        <f>VLOOKUP(B718,CPU!$B:$J,2,FALSE)</f>
        <v>PRÓPRIA</v>
      </c>
      <c r="D718" s="24" t="str">
        <f>VLOOKUP(B718,CPU!$B:$J,3,FALSE)</f>
        <v>LOCAÇÃO DO POÇO COM ESTUDO GEOLÓGICO/HIDROGEOLÓGICO/GEOFÍSICO</v>
      </c>
      <c r="E718" s="23" t="str">
        <f>VLOOKUP(B718,CPU!$B:$J,4,FALSE)</f>
        <v>UN</v>
      </c>
      <c r="F718" s="23"/>
      <c r="G718" s="23"/>
      <c r="H718" s="23"/>
      <c r="I718" s="23"/>
      <c r="J718" s="23"/>
      <c r="K718" s="23"/>
      <c r="L718" s="23"/>
      <c r="M718" s="23"/>
      <c r="N718" s="5">
        <f>SUM($M$719:$M$719)</f>
        <v>1</v>
      </c>
    </row>
    <row r="719" spans="1:14" x14ac:dyDescent="0.3">
      <c r="A719" s="23" t="s">
        <v>928</v>
      </c>
      <c r="B719" s="65" t="s">
        <v>516</v>
      </c>
      <c r="C719" s="66"/>
      <c r="D719" s="66"/>
      <c r="E719" s="67"/>
      <c r="F719" s="5">
        <v>1</v>
      </c>
      <c r="G719" s="26"/>
      <c r="H719" s="5"/>
      <c r="I719" s="5"/>
      <c r="J719" s="5"/>
      <c r="K719" s="5" t="str">
        <f>IF(COUNTA(H719:J719)=2,ROUND(PRODUCT(H719:J719),2),"")</f>
        <v/>
      </c>
      <c r="L719" s="5" t="str">
        <f>IF(OR(AND(COUNTA(H719:J719)=3,K719=""),AND(COUNTA(H719:J719)=1,K719&lt;&gt;"")),ROUND(PRODUCT(H719:K719),2),"")</f>
        <v/>
      </c>
      <c r="M719" s="5">
        <f>IF(L719&lt;&gt;"",ROUND(PRODUCT(F719,G719,L719),2),IF(K719&lt;&gt;"",ROUND(PRODUCT(F719,G719,K719),2),ROUND(PRODUCT(F719:J719),2)))</f>
        <v>1</v>
      </c>
      <c r="N719" s="5"/>
    </row>
    <row r="720" spans="1:14" x14ac:dyDescent="0.3">
      <c r="A720" s="23" t="s">
        <v>431</v>
      </c>
      <c r="B720" s="23" t="s">
        <v>523</v>
      </c>
      <c r="C720" s="23" t="str">
        <f>VLOOKUP(B720,CPU!$B:$J,2,FALSE)</f>
        <v>PRÓPRIA</v>
      </c>
      <c r="D720" s="24" t="str">
        <f>VLOOKUP(B720,CPU!$B:$J,3,FALSE)</f>
        <v>TRANSPORTE DE MÁQUINAS E EQUIPAMENTOS</v>
      </c>
      <c r="E720" s="23" t="str">
        <f>VLOOKUP(B720,CPU!$B:$J,4,FALSE)</f>
        <v>KM</v>
      </c>
      <c r="F720" s="23"/>
      <c r="G720" s="23"/>
      <c r="H720" s="23"/>
      <c r="I720" s="23"/>
      <c r="J720" s="23"/>
      <c r="K720" s="23"/>
      <c r="L720" s="23"/>
      <c r="M720" s="23"/>
      <c r="N720" s="5">
        <f>SUM($M$721:$M$721)</f>
        <v>66.7</v>
      </c>
    </row>
    <row r="721" spans="1:14" x14ac:dyDescent="0.3">
      <c r="A721" s="23" t="s">
        <v>929</v>
      </c>
      <c r="B721" s="65" t="s">
        <v>930</v>
      </c>
      <c r="C721" s="66"/>
      <c r="D721" s="66"/>
      <c r="E721" s="67"/>
      <c r="F721" s="5">
        <v>66.7</v>
      </c>
      <c r="G721" s="26"/>
      <c r="H721" s="5"/>
      <c r="I721" s="5"/>
      <c r="J721" s="5"/>
      <c r="K721" s="5" t="str">
        <f>IF(COUNTA(H721:J721)=2,ROUND(PRODUCT(H721:J721),2),"")</f>
        <v/>
      </c>
      <c r="L721" s="5" t="str">
        <f>IF(OR(AND(COUNTA(H721:J721)=3,K721=""),AND(COUNTA(H721:J721)=1,K721&lt;&gt;"")),ROUND(PRODUCT(H721:K721),2),"")</f>
        <v/>
      </c>
      <c r="M721" s="5">
        <f>IF(L721&lt;&gt;"",ROUND(PRODUCT(F721,G721,L721),2),IF(K721&lt;&gt;"",ROUND(PRODUCT(F721,G721,K721),2),ROUND(PRODUCT(F721:J721),2)))</f>
        <v>66.7</v>
      </c>
      <c r="N721" s="5"/>
    </row>
    <row r="722" spans="1:14" x14ac:dyDescent="0.3">
      <c r="A722" s="23" t="s">
        <v>432</v>
      </c>
      <c r="B722" s="23" t="s">
        <v>523</v>
      </c>
      <c r="C722" s="23" t="str">
        <f>VLOOKUP(B722,CPU!$B:$J,2,FALSE)</f>
        <v>PRÓPRIA</v>
      </c>
      <c r="D722" s="24" t="str">
        <f>VLOOKUP(B722,CPU!$B:$J,3,FALSE)</f>
        <v>TRANSPORTE DE MÁQUINAS E EQUIPAMENTOS</v>
      </c>
      <c r="E722" s="23" t="str">
        <f>VLOOKUP(B722,CPU!$B:$J,4,FALSE)</f>
        <v>KM</v>
      </c>
      <c r="F722" s="23"/>
      <c r="G722" s="23"/>
      <c r="H722" s="23"/>
      <c r="I722" s="23"/>
      <c r="J722" s="23"/>
      <c r="K722" s="23"/>
      <c r="L722" s="23"/>
      <c r="M722" s="23"/>
      <c r="N722" s="5">
        <f>SUM($M$723:$M$723)</f>
        <v>66.7</v>
      </c>
    </row>
    <row r="723" spans="1:14" x14ac:dyDescent="0.3">
      <c r="A723" s="23" t="s">
        <v>931</v>
      </c>
      <c r="B723" s="65" t="s">
        <v>932</v>
      </c>
      <c r="C723" s="66"/>
      <c r="D723" s="66"/>
      <c r="E723" s="67"/>
      <c r="F723" s="5">
        <v>66.7</v>
      </c>
      <c r="G723" s="26"/>
      <c r="H723" s="5"/>
      <c r="I723" s="5"/>
      <c r="J723" s="5"/>
      <c r="K723" s="5" t="str">
        <f>IF(COUNTA(H723:J723)=2,ROUND(PRODUCT(H723:J723),2),"")</f>
        <v/>
      </c>
      <c r="L723" s="5" t="str">
        <f>IF(OR(AND(COUNTA(H723:J723)=3,K723=""),AND(COUNTA(H723:J723)=1,K723&lt;&gt;"")),ROUND(PRODUCT(H723:K723),2),"")</f>
        <v/>
      </c>
      <c r="M723" s="5">
        <f>IF(L723&lt;&gt;"",ROUND(PRODUCT(F723,G723,L723),2),IF(K723&lt;&gt;"",ROUND(PRODUCT(F723,G723,K723),2),ROUND(PRODUCT(F723:J723),2)))</f>
        <v>66.7</v>
      </c>
      <c r="N723" s="5"/>
    </row>
    <row r="724" spans="1:14" x14ac:dyDescent="0.3">
      <c r="A724" s="23" t="s">
        <v>433</v>
      </c>
      <c r="B724" s="23" t="s">
        <v>528</v>
      </c>
      <c r="C724" s="23" t="str">
        <f>VLOOKUP(B724,CPU!$B:$J,2,FALSE)</f>
        <v>PRÓPRIA</v>
      </c>
      <c r="D724" s="24" t="str">
        <f>VLOOKUP(B724,CPU!$B:$J,3,FALSE)</f>
        <v>PERFILAGEM ÓTICA</v>
      </c>
      <c r="E724" s="23" t="str">
        <f>VLOOKUP(B724,CPU!$B:$J,4,FALSE)</f>
        <v>UN</v>
      </c>
      <c r="F724" s="23"/>
      <c r="G724" s="23"/>
      <c r="H724" s="23"/>
      <c r="I724" s="23"/>
      <c r="J724" s="23"/>
      <c r="K724" s="23"/>
      <c r="L724" s="23"/>
      <c r="M724" s="23"/>
      <c r="N724" s="5">
        <f>SUM($M$725:$M$725)</f>
        <v>1</v>
      </c>
    </row>
    <row r="725" spans="1:14" x14ac:dyDescent="0.3">
      <c r="A725" s="23" t="s">
        <v>933</v>
      </c>
      <c r="B725" s="65" t="s">
        <v>516</v>
      </c>
      <c r="C725" s="66"/>
      <c r="D725" s="66"/>
      <c r="E725" s="67"/>
      <c r="F725" s="5">
        <v>1</v>
      </c>
      <c r="G725" s="26"/>
      <c r="H725" s="5"/>
      <c r="I725" s="5"/>
      <c r="J725" s="5"/>
      <c r="K725" s="5" t="str">
        <f>IF(COUNTA(H725:J725)=2,ROUND(PRODUCT(H725:J725),2),"")</f>
        <v/>
      </c>
      <c r="L725" s="5" t="str">
        <f>IF(OR(AND(COUNTA(H725:J725)=3,K725=""),AND(COUNTA(H725:J725)=1,K725&lt;&gt;"")),ROUND(PRODUCT(H725:K725),2),"")</f>
        <v/>
      </c>
      <c r="M725" s="5">
        <f>IF(L725&lt;&gt;"",ROUND(PRODUCT(F725,G725,L725),2),IF(K725&lt;&gt;"",ROUND(PRODUCT(F725,G725,K725),2),ROUND(PRODUCT(F725:J725),2)))</f>
        <v>1</v>
      </c>
      <c r="N725" s="5"/>
    </row>
    <row r="726" spans="1:14" x14ac:dyDescent="0.3">
      <c r="A726" s="23" t="s">
        <v>434</v>
      </c>
      <c r="B726" s="23" t="s">
        <v>530</v>
      </c>
      <c r="C726" s="23" t="str">
        <f>VLOOKUP(B726,CPU!$B:$J,2,FALSE)</f>
        <v>PRÓPRIA</v>
      </c>
      <c r="D726" s="24" t="str">
        <f>VLOOKUP(B726,CPU!$B:$J,3,FALSE)</f>
        <v>PERFURAÇÃO EM 10'' (SEDIMENTO)</v>
      </c>
      <c r="E726" s="23" t="str">
        <f>VLOOKUP(B726,CPU!$B:$J,4,FALSE)</f>
        <v>M</v>
      </c>
      <c r="F726" s="23"/>
      <c r="G726" s="23"/>
      <c r="H726" s="23"/>
      <c r="I726" s="23"/>
      <c r="J726" s="23"/>
      <c r="K726" s="23"/>
      <c r="L726" s="23"/>
      <c r="M726" s="23"/>
      <c r="N726" s="5">
        <f>SUM($M$727:$M$727)</f>
        <v>35</v>
      </c>
    </row>
    <row r="727" spans="1:14" x14ac:dyDescent="0.3">
      <c r="A727" s="23" t="s">
        <v>934</v>
      </c>
      <c r="B727" s="65" t="s">
        <v>532</v>
      </c>
      <c r="C727" s="66"/>
      <c r="D727" s="66"/>
      <c r="E727" s="67"/>
      <c r="F727" s="5">
        <v>35</v>
      </c>
      <c r="G727" s="26"/>
      <c r="H727" s="5"/>
      <c r="I727" s="5"/>
      <c r="J727" s="5"/>
      <c r="K727" s="5" t="str">
        <f>IF(COUNTA(H727:J727)=2,ROUND(PRODUCT(H727:J727),2),"")</f>
        <v/>
      </c>
      <c r="L727" s="5" t="str">
        <f>IF(OR(AND(COUNTA(H727:J727)=3,K727=""),AND(COUNTA(H727:J727)=1,K727&lt;&gt;"")),ROUND(PRODUCT(H727:K727),2),"")</f>
        <v/>
      </c>
      <c r="M727" s="5">
        <f>IF(L727&lt;&gt;"",ROUND(PRODUCT(F727,G727,L727),2),IF(K727&lt;&gt;"",ROUND(PRODUCT(F727,G727,K727),2),ROUND(PRODUCT(F727:J727),2)))</f>
        <v>35</v>
      </c>
      <c r="N727" s="5"/>
    </row>
    <row r="728" spans="1:14" x14ac:dyDescent="0.3">
      <c r="A728" s="23" t="s">
        <v>435</v>
      </c>
      <c r="B728" s="23" t="s">
        <v>533</v>
      </c>
      <c r="C728" s="23" t="str">
        <f>VLOOKUP(B728,CPU!$B:$J,2,FALSE)</f>
        <v>PRÓPRIA</v>
      </c>
      <c r="D728" s="24" t="str">
        <f>VLOOKUP(B728,CPU!$B:$J,3,FALSE)</f>
        <v>PERFURAÇÃO EM 8'' (ROCHA CRISTALINA)</v>
      </c>
      <c r="E728" s="23" t="str">
        <f>VLOOKUP(B728,CPU!$B:$J,4,FALSE)</f>
        <v>M</v>
      </c>
      <c r="F728" s="23"/>
      <c r="G728" s="23"/>
      <c r="H728" s="23"/>
      <c r="I728" s="23"/>
      <c r="J728" s="23"/>
      <c r="K728" s="23"/>
      <c r="L728" s="23"/>
      <c r="M728" s="23"/>
      <c r="N728" s="5">
        <f>SUM($M$729:$M$729)</f>
        <v>0</v>
      </c>
    </row>
    <row r="729" spans="1:14" x14ac:dyDescent="0.3">
      <c r="A729" s="23" t="s">
        <v>935</v>
      </c>
      <c r="B729" s="65" t="s">
        <v>532</v>
      </c>
      <c r="C729" s="66"/>
      <c r="D729" s="66"/>
      <c r="E729" s="67"/>
      <c r="F729" s="5">
        <v>0</v>
      </c>
      <c r="G729" s="26"/>
      <c r="H729" s="5"/>
      <c r="I729" s="5"/>
      <c r="J729" s="5"/>
      <c r="K729" s="5" t="str">
        <f>IF(COUNTA(H729:J729)=2,ROUND(PRODUCT(H729:J729),2),"")</f>
        <v/>
      </c>
      <c r="L729" s="5" t="str">
        <f>IF(OR(AND(COUNTA(H729:J729)=3,K729=""),AND(COUNTA(H729:J729)=1,K729&lt;&gt;"")),ROUND(PRODUCT(H729:K729),2),"")</f>
        <v/>
      </c>
      <c r="M729" s="5">
        <f>IF(L729&lt;&gt;"",ROUND(PRODUCT(F729,G729,L729),2),IF(K729&lt;&gt;"",ROUND(PRODUCT(F729,G729,K729),2),ROUND(PRODUCT(F729:J729),2)))</f>
        <v>0</v>
      </c>
      <c r="N729" s="5"/>
    </row>
    <row r="730" spans="1:14" x14ac:dyDescent="0.3">
      <c r="A730" s="23" t="s">
        <v>436</v>
      </c>
      <c r="B730" s="23" t="s">
        <v>535</v>
      </c>
      <c r="C730" s="23" t="str">
        <f>VLOOKUP(B730,CPU!$B:$J,2,FALSE)</f>
        <v>PRÓPRIA</v>
      </c>
      <c r="D730" s="24" t="str">
        <f>VLOOKUP(B730,CPU!$B:$J,3,FALSE)</f>
        <v>PERFURAÇÃO EM 6'' (SEDIMENTO)</v>
      </c>
      <c r="E730" s="23" t="str">
        <f>VLOOKUP(B730,CPU!$B:$J,4,FALSE)</f>
        <v>M</v>
      </c>
      <c r="F730" s="23"/>
      <c r="G730" s="23"/>
      <c r="H730" s="23"/>
      <c r="I730" s="23"/>
      <c r="J730" s="23"/>
      <c r="K730" s="23"/>
      <c r="L730" s="23"/>
      <c r="M730" s="23"/>
      <c r="N730" s="5">
        <f>SUM($M$731:$M$731)</f>
        <v>95</v>
      </c>
    </row>
    <row r="731" spans="1:14" x14ac:dyDescent="0.3">
      <c r="A731" s="23" t="s">
        <v>936</v>
      </c>
      <c r="B731" s="65" t="s">
        <v>532</v>
      </c>
      <c r="C731" s="66"/>
      <c r="D731" s="66"/>
      <c r="E731" s="67"/>
      <c r="F731" s="5">
        <v>95</v>
      </c>
      <c r="G731" s="26"/>
      <c r="H731" s="5"/>
      <c r="I731" s="5"/>
      <c r="J731" s="5"/>
      <c r="K731" s="5" t="str">
        <f>IF(COUNTA(H731:J731)=2,ROUND(PRODUCT(H731:J731),2),"")</f>
        <v/>
      </c>
      <c r="L731" s="5" t="str">
        <f>IF(OR(AND(COUNTA(H731:J731)=3,K731=""),AND(COUNTA(H731:J731)=1,K731&lt;&gt;"")),ROUND(PRODUCT(H731:K731),2),"")</f>
        <v/>
      </c>
      <c r="M731" s="5">
        <f>IF(L731&lt;&gt;"",ROUND(PRODUCT(F731,G731,L731),2),IF(K731&lt;&gt;"",ROUND(PRODUCT(F731,G731,K731),2),ROUND(PRODUCT(F731:J731),2)))</f>
        <v>95</v>
      </c>
      <c r="N731" s="5"/>
    </row>
    <row r="732" spans="1:14" x14ac:dyDescent="0.3">
      <c r="A732" s="23" t="s">
        <v>437</v>
      </c>
      <c r="B732" s="23" t="s">
        <v>537</v>
      </c>
      <c r="C732" s="23" t="str">
        <f>VLOOKUP(B732,CPU!$B:$J,2,FALSE)</f>
        <v>PRÓPRIA</v>
      </c>
      <c r="D732" s="24" t="str">
        <f>VLOOKUP(B732,CPU!$B:$J,3,FALSE)</f>
        <v>PERFURAÇÃO EM 6'' (ROCHA CRISTALINA)</v>
      </c>
      <c r="E732" s="23" t="str">
        <f>VLOOKUP(B732,CPU!$B:$J,4,FALSE)</f>
        <v>M</v>
      </c>
      <c r="F732" s="23"/>
      <c r="G732" s="23"/>
      <c r="H732" s="23"/>
      <c r="I732" s="23"/>
      <c r="J732" s="23"/>
      <c r="K732" s="23"/>
      <c r="L732" s="23"/>
      <c r="M732" s="23"/>
      <c r="N732" s="5">
        <f>SUM($M$733:$M$733)</f>
        <v>0</v>
      </c>
    </row>
    <row r="733" spans="1:14" x14ac:dyDescent="0.3">
      <c r="A733" s="23" t="s">
        <v>937</v>
      </c>
      <c r="B733" s="65" t="s">
        <v>532</v>
      </c>
      <c r="C733" s="66"/>
      <c r="D733" s="66"/>
      <c r="E733" s="67"/>
      <c r="F733" s="5">
        <v>0</v>
      </c>
      <c r="G733" s="26"/>
      <c r="H733" s="5"/>
      <c r="I733" s="5"/>
      <c r="J733" s="5"/>
      <c r="K733" s="5" t="str">
        <f>IF(COUNTA(H733:J733)=2,ROUND(PRODUCT(H733:J733),2),"")</f>
        <v/>
      </c>
      <c r="L733" s="5" t="str">
        <f>IF(OR(AND(COUNTA(H733:J733)=3,K733=""),AND(COUNTA(H733:J733)=1,K733&lt;&gt;"")),ROUND(PRODUCT(H733:K733),2),"")</f>
        <v/>
      </c>
      <c r="M733" s="5">
        <f>IF(L733&lt;&gt;"",ROUND(PRODUCT(F733,G733,L733),2),IF(K733&lt;&gt;"",ROUND(PRODUCT(F733,G733,K733),2),ROUND(PRODUCT(F733:J733),2)))</f>
        <v>0</v>
      </c>
      <c r="N733" s="5"/>
    </row>
    <row r="734" spans="1:14" x14ac:dyDescent="0.3">
      <c r="A734" s="23" t="s">
        <v>438</v>
      </c>
      <c r="B734" s="23" t="s">
        <v>539</v>
      </c>
      <c r="C734" s="23" t="str">
        <f>VLOOKUP(B734,CPU!$B:$J,2,FALSE)</f>
        <v>PRÓPRIA</v>
      </c>
      <c r="D734" s="24" t="str">
        <f>VLOOKUP(B734,CPU!$B:$J,3,FALSE)</f>
        <v>CIMENTAÇÃO SANITÁRIA</v>
      </c>
      <c r="E734" s="23" t="str">
        <f>VLOOKUP(B734,CPU!$B:$J,4,FALSE)</f>
        <v>M³</v>
      </c>
      <c r="F734" s="23"/>
      <c r="G734" s="23"/>
      <c r="H734" s="23"/>
      <c r="I734" s="23"/>
      <c r="J734" s="23"/>
      <c r="K734" s="23"/>
      <c r="L734" s="23"/>
      <c r="M734" s="23"/>
      <c r="N734" s="5">
        <f>SUM($M$735:$M$735)</f>
        <v>4.55</v>
      </c>
    </row>
    <row r="735" spans="1:14" x14ac:dyDescent="0.3">
      <c r="A735" s="23" t="s">
        <v>938</v>
      </c>
      <c r="B735" s="65" t="s">
        <v>516</v>
      </c>
      <c r="C735" s="66"/>
      <c r="D735" s="66"/>
      <c r="E735" s="67"/>
      <c r="F735" s="5"/>
      <c r="G735" s="26"/>
      <c r="H735" s="5"/>
      <c r="I735" s="5"/>
      <c r="J735" s="5">
        <v>35</v>
      </c>
      <c r="K735" s="5">
        <v>0.13</v>
      </c>
      <c r="L735" s="5">
        <f>IF(OR(AND(COUNTA(H735:J735)=3,K735=""),AND(COUNTA(H735:J735)=1,K735&lt;&gt;"")),ROUND(PRODUCT(H735:K735),2),"")</f>
        <v>4.55</v>
      </c>
      <c r="M735" s="5">
        <f>IF(L735&lt;&gt;"",ROUND(PRODUCT(F735,G735,L735),2),IF(K735&lt;&gt;"",ROUND(PRODUCT(F735,G735,K735),2),ROUND(PRODUCT(F735:J735),2)))</f>
        <v>4.55</v>
      </c>
      <c r="N735" s="5"/>
    </row>
    <row r="736" spans="1:14" x14ac:dyDescent="0.3">
      <c r="A736" s="23" t="s">
        <v>439</v>
      </c>
      <c r="B736" s="23" t="s">
        <v>541</v>
      </c>
      <c r="C736" s="23" t="str">
        <f>VLOOKUP(B736,CPU!$B:$J,2,FALSE)</f>
        <v>PRÓPRIA</v>
      </c>
      <c r="D736" s="24" t="str">
        <f>VLOOKUP(B736,CPU!$B:$J,3,FALSE)</f>
        <v>LAJE DE PROTEÇÃO EM CONCRETO (1,0 M X 1,0 M X 0,15 M)</v>
      </c>
      <c r="E736" s="23" t="str">
        <f>VLOOKUP(B736,CPU!$B:$J,4,FALSE)</f>
        <v>M³</v>
      </c>
      <c r="F736" s="23"/>
      <c r="G736" s="23"/>
      <c r="H736" s="23"/>
      <c r="I736" s="23"/>
      <c r="J736" s="23"/>
      <c r="K736" s="23"/>
      <c r="L736" s="23"/>
      <c r="M736" s="23"/>
      <c r="N736" s="5">
        <f>SUM($M$737:$M$737)</f>
        <v>0.15</v>
      </c>
    </row>
    <row r="737" spans="1:14" x14ac:dyDescent="0.3">
      <c r="A737" s="23" t="s">
        <v>939</v>
      </c>
      <c r="B737" s="65" t="s">
        <v>516</v>
      </c>
      <c r="C737" s="66"/>
      <c r="D737" s="66"/>
      <c r="E737" s="67"/>
      <c r="F737" s="5"/>
      <c r="G737" s="26"/>
      <c r="H737" s="5">
        <v>1</v>
      </c>
      <c r="I737" s="5">
        <v>1</v>
      </c>
      <c r="J737" s="5">
        <v>0.15</v>
      </c>
      <c r="K737" s="5" t="str">
        <f>IF(COUNTA(H737:J737)=2,ROUND(PRODUCT(H737:J737),2),"")</f>
        <v/>
      </c>
      <c r="L737" s="5">
        <f>IF(OR(AND(COUNTA(H737:J737)=3,K737=""),AND(COUNTA(H737:J737)=1,K737&lt;&gt;"")),ROUND(PRODUCT(H737:K737),2),"")</f>
        <v>0.15</v>
      </c>
      <c r="M737" s="5">
        <f>IF(L737&lt;&gt;"",ROUND(PRODUCT(F737,G737,L737),2),IF(K737&lt;&gt;"",ROUND(PRODUCT(F737,G737,K737),2),ROUND(PRODUCT(F737:J737),2)))</f>
        <v>0.15</v>
      </c>
      <c r="N737" s="5"/>
    </row>
    <row r="738" spans="1:14" x14ac:dyDescent="0.3">
      <c r="A738" s="23" t="s">
        <v>440</v>
      </c>
      <c r="B738" s="23" t="s">
        <v>543</v>
      </c>
      <c r="C738" s="23" t="str">
        <f>VLOOKUP(B738,CPU!$B:$J,2,FALSE)</f>
        <v>PRÓPRIA</v>
      </c>
      <c r="D738" s="24" t="str">
        <f>VLOOKUP(B738,CPU!$B:$J,3,FALSE)</f>
        <v>DESENVOLVIMENTO COM BOMBA SUBMERSA</v>
      </c>
      <c r="E738" s="23" t="str">
        <f>VLOOKUP(B738,CPU!$B:$J,4,FALSE)</f>
        <v>H</v>
      </c>
      <c r="F738" s="23"/>
      <c r="G738" s="23"/>
      <c r="H738" s="23"/>
      <c r="I738" s="23"/>
      <c r="J738" s="23"/>
      <c r="K738" s="23"/>
      <c r="L738" s="23"/>
      <c r="M738" s="23"/>
      <c r="N738" s="5">
        <f>SUM($M$739:$M$739)</f>
        <v>6</v>
      </c>
    </row>
    <row r="739" spans="1:14" x14ac:dyDescent="0.3">
      <c r="A739" s="23" t="s">
        <v>940</v>
      </c>
      <c r="B739" s="65" t="s">
        <v>516</v>
      </c>
      <c r="C739" s="66"/>
      <c r="D739" s="66"/>
      <c r="E739" s="67"/>
      <c r="F739" s="5">
        <v>6</v>
      </c>
      <c r="G739" s="26"/>
      <c r="H739" s="5"/>
      <c r="I739" s="5"/>
      <c r="J739" s="5"/>
      <c r="K739" s="5" t="str">
        <f>IF(COUNTA(H739:J739)=2,ROUND(PRODUCT(H739:J739),2),"")</f>
        <v/>
      </c>
      <c r="L739" s="5" t="str">
        <f>IF(OR(AND(COUNTA(H739:J739)=3,K739=""),AND(COUNTA(H739:J739)=1,K739&lt;&gt;"")),ROUND(PRODUCT(H739:K739),2),"")</f>
        <v/>
      </c>
      <c r="M739" s="5">
        <f>IF(L739&lt;&gt;"",ROUND(PRODUCT(F739,G739,L739),2),IF(K739&lt;&gt;"",ROUND(PRODUCT(F739,G739,K739),2),ROUND(PRODUCT(F739:J739),2)))</f>
        <v>6</v>
      </c>
      <c r="N739" s="5"/>
    </row>
    <row r="740" spans="1:14" x14ac:dyDescent="0.3">
      <c r="A740" s="23" t="s">
        <v>441</v>
      </c>
      <c r="B740" s="23" t="s">
        <v>545</v>
      </c>
      <c r="C740" s="23" t="str">
        <f>VLOOKUP(B740,CPU!$B:$J,2,FALSE)</f>
        <v>PRÓPRIA</v>
      </c>
      <c r="D740" s="24" t="str">
        <f>VLOOKUP(B740,CPU!$B:$J,3,FALSE)</f>
        <v>TESTE VAZÃO COM BOMBA SUBMERSA</v>
      </c>
      <c r="E740" s="23" t="str">
        <f>VLOOKUP(B740,CPU!$B:$J,4,FALSE)</f>
        <v>H</v>
      </c>
      <c r="F740" s="23"/>
      <c r="G740" s="23"/>
      <c r="H740" s="23"/>
      <c r="I740" s="23"/>
      <c r="J740" s="23"/>
      <c r="K740" s="23"/>
      <c r="L740" s="23"/>
      <c r="M740" s="23"/>
      <c r="N740" s="5">
        <f>SUM($M$741:$M$741)</f>
        <v>24</v>
      </c>
    </row>
    <row r="741" spans="1:14" x14ac:dyDescent="0.3">
      <c r="A741" s="23" t="s">
        <v>941</v>
      </c>
      <c r="B741" s="65" t="s">
        <v>516</v>
      </c>
      <c r="C741" s="66"/>
      <c r="D741" s="66"/>
      <c r="E741" s="67"/>
      <c r="F741" s="5">
        <v>24</v>
      </c>
      <c r="G741" s="26"/>
      <c r="H741" s="5"/>
      <c r="I741" s="5"/>
      <c r="J741" s="5"/>
      <c r="K741" s="5" t="str">
        <f>IF(COUNTA(H741:J741)=2,ROUND(PRODUCT(H741:J741),2),"")</f>
        <v/>
      </c>
      <c r="L741" s="5" t="str">
        <f>IF(OR(AND(COUNTA(H741:J741)=3,K741=""),AND(COUNTA(H741:J741)=1,K741&lt;&gt;"")),ROUND(PRODUCT(H741:K741),2),"")</f>
        <v/>
      </c>
      <c r="M741" s="5">
        <f>IF(L741&lt;&gt;"",ROUND(PRODUCT(F741,G741,L741),2),IF(K741&lt;&gt;"",ROUND(PRODUCT(F741,G741,K741),2),ROUND(PRODUCT(F741:J741),2)))</f>
        <v>24</v>
      </c>
      <c r="N741" s="5"/>
    </row>
    <row r="742" spans="1:14" x14ac:dyDescent="0.3">
      <c r="A742" s="23" t="s">
        <v>442</v>
      </c>
      <c r="B742" s="23" t="s">
        <v>547</v>
      </c>
      <c r="C742" s="23" t="str">
        <f>VLOOKUP(B742,CPU!$B:$J,2,FALSE)</f>
        <v>PRÓPRIA</v>
      </c>
      <c r="D742" s="24" t="str">
        <f>VLOOKUP(B742,CPU!$B:$J,3,FALSE)</f>
        <v>DESINFECÇÃO</v>
      </c>
      <c r="E742" s="23" t="str">
        <f>VLOOKUP(B742,CPU!$B:$J,4,FALSE)</f>
        <v>H</v>
      </c>
      <c r="F742" s="23"/>
      <c r="G742" s="23"/>
      <c r="H742" s="23"/>
      <c r="I742" s="23"/>
      <c r="J742" s="23"/>
      <c r="K742" s="23"/>
      <c r="L742" s="23"/>
      <c r="M742" s="23"/>
      <c r="N742" s="5">
        <f>SUM($M$743:$M$743)</f>
        <v>6</v>
      </c>
    </row>
    <row r="743" spans="1:14" x14ac:dyDescent="0.3">
      <c r="A743" s="23" t="s">
        <v>942</v>
      </c>
      <c r="B743" s="65" t="s">
        <v>516</v>
      </c>
      <c r="C743" s="66"/>
      <c r="D743" s="66"/>
      <c r="E743" s="67"/>
      <c r="F743" s="5">
        <v>6</v>
      </c>
      <c r="G743" s="26"/>
      <c r="H743" s="5"/>
      <c r="I743" s="5"/>
      <c r="J743" s="5"/>
      <c r="K743" s="5" t="str">
        <f>IF(COUNTA(H743:J743)=2,ROUND(PRODUCT(H743:J743),2),"")</f>
        <v/>
      </c>
      <c r="L743" s="5" t="str">
        <f>IF(OR(AND(COUNTA(H743:J743)=3,K743=""),AND(COUNTA(H743:J743)=1,K743&lt;&gt;"")),ROUND(PRODUCT(H743:K743),2),"")</f>
        <v/>
      </c>
      <c r="M743" s="5">
        <f>IF(L743&lt;&gt;"",ROUND(PRODUCT(F743,G743,L743),2),IF(K743&lt;&gt;"",ROUND(PRODUCT(F743,G743,K743),2),ROUND(PRODUCT(F743:J743),2)))</f>
        <v>6</v>
      </c>
      <c r="N743" s="5"/>
    </row>
    <row r="744" spans="1:14" x14ac:dyDescent="0.3">
      <c r="A744" s="23" t="s">
        <v>443</v>
      </c>
      <c r="B744" s="23" t="s">
        <v>549</v>
      </c>
      <c r="C744" s="23" t="str">
        <f>VLOOKUP(B744,CPU!$B:$J,2,FALSE)</f>
        <v>PRÓPRIA</v>
      </c>
      <c r="D744" s="24" t="str">
        <f>VLOOKUP(B744,CPU!$B:$J,3,FALSE)</f>
        <v>RELATÓRIO TÉCNICO</v>
      </c>
      <c r="E744" s="23" t="str">
        <f>VLOOKUP(B744,CPU!$B:$J,4,FALSE)</f>
        <v>UN</v>
      </c>
      <c r="F744" s="23"/>
      <c r="G744" s="23"/>
      <c r="H744" s="23"/>
      <c r="I744" s="23"/>
      <c r="J744" s="23"/>
      <c r="K744" s="23"/>
      <c r="L744" s="23"/>
      <c r="M744" s="23"/>
      <c r="N744" s="5">
        <f>SUM($M$745:$M$745)</f>
        <v>1</v>
      </c>
    </row>
    <row r="745" spans="1:14" x14ac:dyDescent="0.3">
      <c r="A745" s="23" t="s">
        <v>943</v>
      </c>
      <c r="B745" s="65" t="s">
        <v>516</v>
      </c>
      <c r="C745" s="66"/>
      <c r="D745" s="66"/>
      <c r="E745" s="67"/>
      <c r="F745" s="5">
        <v>1</v>
      </c>
      <c r="G745" s="26"/>
      <c r="H745" s="5"/>
      <c r="I745" s="5"/>
      <c r="J745" s="5"/>
      <c r="K745" s="5" t="str">
        <f>IF(COUNTA(H745:J745)=2,ROUND(PRODUCT(H745:J745),2),"")</f>
        <v/>
      </c>
      <c r="L745" s="5" t="str">
        <f>IF(OR(AND(COUNTA(H745:J745)=3,K745=""),AND(COUNTA(H745:J745)=1,K745&lt;&gt;"")),ROUND(PRODUCT(H745:K745),2),"")</f>
        <v/>
      </c>
      <c r="M745" s="5">
        <f>IF(L745&lt;&gt;"",ROUND(PRODUCT(F745,G745,L745),2),IF(K745&lt;&gt;"",ROUND(PRODUCT(F745,G745,K745),2),ROUND(PRODUCT(F745:J745),2)))</f>
        <v>1</v>
      </c>
      <c r="N745" s="5"/>
    </row>
    <row r="746" spans="1:14" x14ac:dyDescent="0.3">
      <c r="A746" s="23" t="s">
        <v>444</v>
      </c>
      <c r="B746" s="23" t="s">
        <v>551</v>
      </c>
      <c r="C746" s="23" t="str">
        <f>VLOOKUP(B746,CPU!$B:$J,2,FALSE)</f>
        <v>PRÓPRIA</v>
      </c>
      <c r="D746" s="24" t="str">
        <f>VLOOKUP(B746,CPU!$B:$J,3,FALSE)</f>
        <v>ANÁLISE FÍSICO-QUÍMICA DA ÁGUA</v>
      </c>
      <c r="E746" s="23" t="str">
        <f>VLOOKUP(B746,CPU!$B:$J,4,FALSE)</f>
        <v>UN</v>
      </c>
      <c r="F746" s="23"/>
      <c r="G746" s="23"/>
      <c r="H746" s="23"/>
      <c r="I746" s="23"/>
      <c r="J746" s="23"/>
      <c r="K746" s="23"/>
      <c r="L746" s="23"/>
      <c r="M746" s="23"/>
      <c r="N746" s="5">
        <f>SUM($M$747:$M$747)</f>
        <v>1</v>
      </c>
    </row>
    <row r="747" spans="1:14" x14ac:dyDescent="0.3">
      <c r="A747" s="23" t="s">
        <v>944</v>
      </c>
      <c r="B747" s="65" t="s">
        <v>516</v>
      </c>
      <c r="C747" s="66"/>
      <c r="D747" s="66"/>
      <c r="E747" s="67"/>
      <c r="F747" s="5">
        <v>1</v>
      </c>
      <c r="G747" s="26"/>
      <c r="H747" s="5"/>
      <c r="I747" s="5"/>
      <c r="J747" s="5"/>
      <c r="K747" s="5" t="str">
        <f>IF(COUNTA(H747:J747)=2,ROUND(PRODUCT(H747:J747),2),"")</f>
        <v/>
      </c>
      <c r="L747" s="5" t="str">
        <f>IF(OR(AND(COUNTA(H747:J747)=3,K747=""),AND(COUNTA(H747:J747)=1,K747&lt;&gt;"")),ROUND(PRODUCT(H747:K747),2),"")</f>
        <v/>
      </c>
      <c r="M747" s="5">
        <f>IF(L747&lt;&gt;"",ROUND(PRODUCT(F747,G747,L747),2),IF(K747&lt;&gt;"",ROUND(PRODUCT(F747,G747,K747),2),ROUND(PRODUCT(F747:J747),2)))</f>
        <v>1</v>
      </c>
      <c r="N747" s="5"/>
    </row>
    <row r="748" spans="1:14" x14ac:dyDescent="0.3">
      <c r="A748" s="23" t="s">
        <v>445</v>
      </c>
      <c r="B748" s="23" t="s">
        <v>553</v>
      </c>
      <c r="C748" s="23" t="str">
        <f>VLOOKUP(B748,CPU!$B:$J,2,FALSE)</f>
        <v>PRÓPRIA</v>
      </c>
      <c r="D748" s="24" t="str">
        <f>VLOOKUP(B748,CPU!$B:$J,3,FALSE)</f>
        <v>FORNECIMENTO E INSTALAÇÃO DE REVESTIMENTO GEOMECÂNICO STANDART DN-154-S</v>
      </c>
      <c r="E748" s="23" t="str">
        <f>VLOOKUP(B748,CPU!$B:$J,4,FALSE)</f>
        <v>M</v>
      </c>
      <c r="F748" s="23"/>
      <c r="G748" s="23"/>
      <c r="H748" s="23"/>
      <c r="I748" s="23"/>
      <c r="J748" s="23"/>
      <c r="K748" s="23"/>
      <c r="L748" s="23"/>
      <c r="M748" s="23"/>
      <c r="N748" s="5">
        <f>SUM($M$749:$M$749)</f>
        <v>36</v>
      </c>
    </row>
    <row r="749" spans="1:14" x14ac:dyDescent="0.3">
      <c r="A749" s="23" t="s">
        <v>945</v>
      </c>
      <c r="B749" s="65" t="s">
        <v>532</v>
      </c>
      <c r="C749" s="66"/>
      <c r="D749" s="66"/>
      <c r="E749" s="67"/>
      <c r="F749" s="5">
        <v>36</v>
      </c>
      <c r="G749" s="26"/>
      <c r="H749" s="5"/>
      <c r="I749" s="5"/>
      <c r="J749" s="5"/>
      <c r="K749" s="5" t="str">
        <f>IF(COUNTA(H749:J749)=2,ROUND(PRODUCT(H749:J749),2),"")</f>
        <v/>
      </c>
      <c r="L749" s="5" t="str">
        <f>IF(OR(AND(COUNTA(H749:J749)=3,K749=""),AND(COUNTA(H749:J749)=1,K749&lt;&gt;"")),ROUND(PRODUCT(H749:K749),2),"")</f>
        <v/>
      </c>
      <c r="M749" s="5">
        <f>IF(L749&lt;&gt;"",ROUND(PRODUCT(F749,G749,L749),2),IF(K749&lt;&gt;"",ROUND(PRODUCT(F749,G749,K749),2),ROUND(PRODUCT(F749:J749),2)))</f>
        <v>36</v>
      </c>
      <c r="N749" s="5"/>
    </row>
    <row r="750" spans="1:14" x14ac:dyDescent="0.3">
      <c r="A750" s="23" t="s">
        <v>446</v>
      </c>
      <c r="B750" s="23" t="s">
        <v>555</v>
      </c>
      <c r="C750" s="23" t="str">
        <f>VLOOKUP(B750,CPU!$B:$J,2,FALSE)</f>
        <v>PRÓPRIA</v>
      </c>
      <c r="D750" s="24" t="str">
        <f>VLOOKUP(B750,CPU!$B:$J,3,FALSE)</f>
        <v>FORNECIMENTO E INSTALAÇÃO DE TAMPA PARA POÇO</v>
      </c>
      <c r="E750" s="23" t="str">
        <f>VLOOKUP(B750,CPU!$B:$J,4,FALSE)</f>
        <v>UN</v>
      </c>
      <c r="F750" s="23"/>
      <c r="G750" s="23"/>
      <c r="H750" s="23"/>
      <c r="I750" s="23"/>
      <c r="J750" s="23"/>
      <c r="K750" s="23"/>
      <c r="L750" s="23"/>
      <c r="M750" s="23"/>
      <c r="N750" s="5">
        <f>SUM($M$751:$M$751)</f>
        <v>1</v>
      </c>
    </row>
    <row r="751" spans="1:14" x14ac:dyDescent="0.3">
      <c r="A751" s="23" t="s">
        <v>946</v>
      </c>
      <c r="B751" s="65" t="s">
        <v>516</v>
      </c>
      <c r="C751" s="66"/>
      <c r="D751" s="66"/>
      <c r="E751" s="67"/>
      <c r="F751" s="5">
        <v>1</v>
      </c>
      <c r="G751" s="26"/>
      <c r="H751" s="5"/>
      <c r="I751" s="5"/>
      <c r="J751" s="5"/>
      <c r="K751" s="5" t="str">
        <f>IF(COUNTA(H751:J751)=2,ROUND(PRODUCT(H751:J751),2),"")</f>
        <v/>
      </c>
      <c r="L751" s="5" t="str">
        <f>IF(OR(AND(COUNTA(H751:J751)=3,K751=""),AND(COUNTA(H751:J751)=1,K751&lt;&gt;"")),ROUND(PRODUCT(H751:K751),2),"")</f>
        <v/>
      </c>
      <c r="M751" s="5">
        <f>IF(L751&lt;&gt;"",ROUND(PRODUCT(F751,G751,L751),2),IF(K751&lt;&gt;"",ROUND(PRODUCT(F751,G751,K751),2),ROUND(PRODUCT(F751:J751),2)))</f>
        <v>1</v>
      </c>
      <c r="N751" s="5"/>
    </row>
    <row r="752" spans="1:14" x14ac:dyDescent="0.3">
      <c r="A752" s="12" t="s">
        <v>108</v>
      </c>
      <c r="B752" s="46" t="s">
        <v>557</v>
      </c>
      <c r="C752" s="47"/>
      <c r="D752" s="47"/>
      <c r="E752" s="47"/>
      <c r="F752" s="47"/>
      <c r="G752" s="47"/>
      <c r="H752" s="47"/>
      <c r="I752" s="47"/>
      <c r="J752" s="47"/>
      <c r="K752" s="47"/>
      <c r="L752" s="47"/>
      <c r="M752" s="47"/>
      <c r="N752" s="48"/>
    </row>
    <row r="753" spans="1:14" ht="28.8" x14ac:dyDescent="0.3">
      <c r="A753" s="23" t="s">
        <v>447</v>
      </c>
      <c r="B753" s="23" t="s">
        <v>558</v>
      </c>
      <c r="C753" s="23" t="str">
        <f>VLOOKUP(B753,CPU!$B:$J,2,FALSE)</f>
        <v>PRÓPRIA</v>
      </c>
      <c r="D753" s="24" t="str">
        <f>VLOOKUP(B753,CPU!$B:$J,3,FALSE)</f>
        <v>FORNECIMENTO E INSTALAÇÃO DE BOMBA SUBMERSA DE 3CV, MONOFÁSICA, 220 V, LEÃO OU SIMILAR</v>
      </c>
      <c r="E753" s="23" t="str">
        <f>VLOOKUP(B753,CPU!$B:$J,4,FALSE)</f>
        <v>UN</v>
      </c>
      <c r="F753" s="23"/>
      <c r="G753" s="23"/>
      <c r="H753" s="23"/>
      <c r="I753" s="23"/>
      <c r="J753" s="23"/>
      <c r="K753" s="23"/>
      <c r="L753" s="23"/>
      <c r="M753" s="23"/>
      <c r="N753" s="5">
        <f>SUM($M$754:$M$754)</f>
        <v>1</v>
      </c>
    </row>
    <row r="754" spans="1:14" x14ac:dyDescent="0.3">
      <c r="A754" s="23" t="s">
        <v>947</v>
      </c>
      <c r="B754" s="65" t="s">
        <v>516</v>
      </c>
      <c r="C754" s="66"/>
      <c r="D754" s="66"/>
      <c r="E754" s="67"/>
      <c r="F754" s="5">
        <v>1</v>
      </c>
      <c r="G754" s="26"/>
      <c r="H754" s="5"/>
      <c r="I754" s="5"/>
      <c r="J754" s="5"/>
      <c r="K754" s="5" t="str">
        <f>IF(COUNTA(H754:J754)=2,ROUND(PRODUCT(H754:J754),2),"")</f>
        <v/>
      </c>
      <c r="L754" s="5" t="str">
        <f>IF(OR(AND(COUNTA(H754:J754)=3,K754=""),AND(COUNTA(H754:J754)=1,K754&lt;&gt;"")),ROUND(PRODUCT(H754:K754),2),"")</f>
        <v/>
      </c>
      <c r="M754" s="5">
        <f>IF(L754&lt;&gt;"",ROUND(PRODUCT(F754,G754,L754),2),IF(K754&lt;&gt;"",ROUND(PRODUCT(F754,G754,K754),2),ROUND(PRODUCT(F754:J754),2)))</f>
        <v>1</v>
      </c>
      <c r="N754" s="5"/>
    </row>
    <row r="755" spans="1:14" ht="28.8" x14ac:dyDescent="0.3">
      <c r="A755" s="23" t="s">
        <v>448</v>
      </c>
      <c r="B755" s="23" t="s">
        <v>560</v>
      </c>
      <c r="C755" s="23" t="str">
        <f>VLOOKUP(B755,CPU!$B:$J,2,FALSE)</f>
        <v>PRÓPRIA</v>
      </c>
      <c r="D755" s="24" t="str">
        <f>VLOOKUP(B755,CPU!$B:$J,3,FALSE)</f>
        <v>FORNECIMENTO E INSTALAÇÃO DE PAINEL DE COMANDO ELÉTRICO PARA BOMBA 3CV, MONOFÁSICO</v>
      </c>
      <c r="E755" s="23" t="str">
        <f>VLOOKUP(B755,CPU!$B:$J,4,FALSE)</f>
        <v>UN</v>
      </c>
      <c r="F755" s="23"/>
      <c r="G755" s="23"/>
      <c r="H755" s="23"/>
      <c r="I755" s="23"/>
      <c r="J755" s="23"/>
      <c r="K755" s="23"/>
      <c r="L755" s="23"/>
      <c r="M755" s="23"/>
      <c r="N755" s="5">
        <f>SUM($M$756:$M$756)</f>
        <v>1</v>
      </c>
    </row>
    <row r="756" spans="1:14" x14ac:dyDescent="0.3">
      <c r="A756" s="23" t="s">
        <v>948</v>
      </c>
      <c r="B756" s="65" t="s">
        <v>516</v>
      </c>
      <c r="C756" s="66"/>
      <c r="D756" s="66"/>
      <c r="E756" s="67"/>
      <c r="F756" s="5">
        <v>1</v>
      </c>
      <c r="G756" s="26"/>
      <c r="H756" s="5"/>
      <c r="I756" s="5"/>
      <c r="J756" s="5"/>
      <c r="K756" s="5" t="str">
        <f>IF(COUNTA(H756:J756)=2,ROUND(PRODUCT(H756:J756),2),"")</f>
        <v/>
      </c>
      <c r="L756" s="5" t="str">
        <f>IF(OR(AND(COUNTA(H756:J756)=3,K756=""),AND(COUNTA(H756:J756)=1,K756&lt;&gt;"")),ROUND(PRODUCT(H756:K756),2),"")</f>
        <v/>
      </c>
      <c r="M756" s="5">
        <f>IF(L756&lt;&gt;"",ROUND(PRODUCT(F756,G756,L756),2),IF(K756&lt;&gt;"",ROUND(PRODUCT(F756,G756,K756),2),ROUND(PRODUCT(F756:J756),2)))</f>
        <v>1</v>
      </c>
      <c r="N756" s="5"/>
    </row>
    <row r="757" spans="1:14" x14ac:dyDescent="0.3">
      <c r="A757" s="23" t="s">
        <v>449</v>
      </c>
      <c r="B757" s="23" t="s">
        <v>562</v>
      </c>
      <c r="C757" s="23" t="str">
        <f>VLOOKUP(B757,CPU!$B:$J,2,FALSE)</f>
        <v>PRÓPRIA</v>
      </c>
      <c r="D757" s="24" t="str">
        <f>VLOOKUP(B757,CPU!$B:$J,3,FALSE)</f>
        <v>FORNECIMENTO E INSTALAÇÃO DE TUBO EDUTOR DE PVC DE 1.1/2'' COM LUVA</v>
      </c>
      <c r="E757" s="23" t="str">
        <f>VLOOKUP(B757,CPU!$B:$J,4,FALSE)</f>
        <v>M</v>
      </c>
      <c r="F757" s="23"/>
      <c r="G757" s="23"/>
      <c r="H757" s="23"/>
      <c r="I757" s="23"/>
      <c r="J757" s="23"/>
      <c r="K757" s="23"/>
      <c r="L757" s="23"/>
      <c r="M757" s="23"/>
      <c r="N757" s="5">
        <f>SUM($M$758:$M$758)</f>
        <v>110</v>
      </c>
    </row>
    <row r="758" spans="1:14" x14ac:dyDescent="0.3">
      <c r="A758" s="23" t="s">
        <v>949</v>
      </c>
      <c r="B758" s="65" t="s">
        <v>516</v>
      </c>
      <c r="C758" s="66"/>
      <c r="D758" s="66"/>
      <c r="E758" s="67"/>
      <c r="F758" s="5">
        <v>110</v>
      </c>
      <c r="G758" s="26"/>
      <c r="H758" s="5"/>
      <c r="I758" s="5"/>
      <c r="J758" s="5"/>
      <c r="K758" s="5" t="str">
        <f>IF(COUNTA(H758:J758)=2,ROUND(PRODUCT(H758:J758),2),"")</f>
        <v/>
      </c>
      <c r="L758" s="5" t="str">
        <f>IF(OR(AND(COUNTA(H758:J758)=3,K758=""),AND(COUNTA(H758:J758)=1,K758&lt;&gt;"")),ROUND(PRODUCT(H758:K758),2),"")</f>
        <v/>
      </c>
      <c r="M758" s="5">
        <f>IF(L758&lt;&gt;"",ROUND(PRODUCT(F758,G758,L758),2),IF(K758&lt;&gt;"",ROUND(PRODUCT(F758,G758,K758),2),ROUND(PRODUCT(F758:J758),2)))</f>
        <v>110</v>
      </c>
      <c r="N758" s="5"/>
    </row>
    <row r="759" spans="1:14" x14ac:dyDescent="0.3">
      <c r="A759" s="23" t="s">
        <v>450</v>
      </c>
      <c r="B759" s="23" t="s">
        <v>564</v>
      </c>
      <c r="C759" s="23" t="str">
        <f>VLOOKUP(B759,CPU!$B:$J,2,FALSE)</f>
        <v>PRÓPRIA</v>
      </c>
      <c r="D759" s="24" t="str">
        <f>VLOOKUP(B759,CPU!$B:$J,3,FALSE)</f>
        <v>FORNECIMENTO E INSTALAÇÃO DE CABO CHATO SUBMERSO DE 3 X 6 MM²</v>
      </c>
      <c r="E759" s="23" t="str">
        <f>VLOOKUP(B759,CPU!$B:$J,4,FALSE)</f>
        <v>M</v>
      </c>
      <c r="F759" s="23"/>
      <c r="G759" s="23"/>
      <c r="H759" s="23"/>
      <c r="I759" s="23"/>
      <c r="J759" s="23"/>
      <c r="K759" s="23"/>
      <c r="L759" s="23"/>
      <c r="M759" s="23"/>
      <c r="N759" s="5">
        <f>SUM($M$760:$M$760)</f>
        <v>120</v>
      </c>
    </row>
    <row r="760" spans="1:14" x14ac:dyDescent="0.3">
      <c r="A760" s="23" t="s">
        <v>950</v>
      </c>
      <c r="B760" s="65" t="s">
        <v>516</v>
      </c>
      <c r="C760" s="66"/>
      <c r="D760" s="66"/>
      <c r="E760" s="67"/>
      <c r="F760" s="5">
        <v>120</v>
      </c>
      <c r="G760" s="26"/>
      <c r="H760" s="5"/>
      <c r="I760" s="5"/>
      <c r="J760" s="5"/>
      <c r="K760" s="5" t="str">
        <f>IF(COUNTA(H760:J760)=2,ROUND(PRODUCT(H760:J760),2),"")</f>
        <v/>
      </c>
      <c r="L760" s="5" t="str">
        <f>IF(OR(AND(COUNTA(H760:J760)=3,K760=""),AND(COUNTA(H760:J760)=1,K760&lt;&gt;"")),ROUND(PRODUCT(H760:K760),2),"")</f>
        <v/>
      </c>
      <c r="M760" s="5">
        <f>IF(L760&lt;&gt;"",ROUND(PRODUCT(F760,G760,L760),2),IF(K760&lt;&gt;"",ROUND(PRODUCT(F760,G760,K760),2),ROUND(PRODUCT(F760:J760),2)))</f>
        <v>120</v>
      </c>
      <c r="N760" s="5"/>
    </row>
    <row r="761" spans="1:14" x14ac:dyDescent="0.3">
      <c r="A761" s="23" t="s">
        <v>451</v>
      </c>
      <c r="B761" s="23" t="s">
        <v>566</v>
      </c>
      <c r="C761" s="23" t="str">
        <f>VLOOKUP(B761,CPU!$B:$J,2,FALSE)</f>
        <v>PRÓPRIA</v>
      </c>
      <c r="D761" s="24" t="str">
        <f>VLOOKUP(B761,CPU!$B:$J,3,FALSE)</f>
        <v>BARRILETE (CURVAS E CONEXÕES)</v>
      </c>
      <c r="E761" s="23" t="str">
        <f>VLOOKUP(B761,CPU!$B:$J,4,FALSE)</f>
        <v>UN</v>
      </c>
      <c r="F761" s="23"/>
      <c r="G761" s="23"/>
      <c r="H761" s="23"/>
      <c r="I761" s="23"/>
      <c r="J761" s="23"/>
      <c r="K761" s="23"/>
      <c r="L761" s="23"/>
      <c r="M761" s="23"/>
      <c r="N761" s="5">
        <f>SUM($M$762:$M$762)</f>
        <v>1</v>
      </c>
    </row>
    <row r="762" spans="1:14" x14ac:dyDescent="0.3">
      <c r="A762" s="23" t="s">
        <v>951</v>
      </c>
      <c r="B762" s="65" t="s">
        <v>516</v>
      </c>
      <c r="C762" s="66"/>
      <c r="D762" s="66"/>
      <c r="E762" s="67"/>
      <c r="F762" s="5">
        <v>1</v>
      </c>
      <c r="G762" s="26"/>
      <c r="H762" s="5"/>
      <c r="I762" s="5"/>
      <c r="J762" s="5"/>
      <c r="K762" s="5" t="str">
        <f>IF(COUNTA(H762:J762)=2,ROUND(PRODUCT(H762:J762),2),"")</f>
        <v/>
      </c>
      <c r="L762" s="5" t="str">
        <f>IF(OR(AND(COUNTA(H762:J762)=3,K762=""),AND(COUNTA(H762:J762)=1,K762&lt;&gt;"")),ROUND(PRODUCT(H762:K762),2),"")</f>
        <v/>
      </c>
      <c r="M762" s="5">
        <f>IF(L762&lt;&gt;"",ROUND(PRODUCT(F762,G762,L762),2),IF(K762&lt;&gt;"",ROUND(PRODUCT(F762,G762,K762),2),ROUND(PRODUCT(F762:J762),2)))</f>
        <v>1</v>
      </c>
      <c r="N762" s="5"/>
    </row>
    <row r="763" spans="1:14" x14ac:dyDescent="0.3">
      <c r="A763" s="23" t="s">
        <v>452</v>
      </c>
      <c r="B763" s="23" t="s">
        <v>568</v>
      </c>
      <c r="C763" s="23" t="str">
        <f>VLOOKUP(B763,CPU!$B:$J,2,FALSE)</f>
        <v>PRÓPRIA</v>
      </c>
      <c r="D763" s="24" t="str">
        <f>VLOOKUP(B763,CPU!$B:$J,3,FALSE)</f>
        <v>AQUISIÇÃO E INSTALAÇÃO DE DOSADOR DE CLORO</v>
      </c>
      <c r="E763" s="23" t="str">
        <f>VLOOKUP(B763,CPU!$B:$J,4,FALSE)</f>
        <v>UND</v>
      </c>
      <c r="F763" s="23"/>
      <c r="G763" s="23"/>
      <c r="H763" s="23"/>
      <c r="I763" s="23"/>
      <c r="J763" s="23"/>
      <c r="K763" s="23"/>
      <c r="L763" s="23"/>
      <c r="M763" s="23"/>
      <c r="N763" s="5">
        <f>SUM($M$764:$M$764)</f>
        <v>1</v>
      </c>
    </row>
    <row r="764" spans="1:14" x14ac:dyDescent="0.3">
      <c r="A764" s="23" t="s">
        <v>952</v>
      </c>
      <c r="B764" s="65" t="s">
        <v>516</v>
      </c>
      <c r="C764" s="66"/>
      <c r="D764" s="66"/>
      <c r="E764" s="67"/>
      <c r="F764" s="5">
        <v>1</v>
      </c>
      <c r="G764" s="26"/>
      <c r="H764" s="5"/>
      <c r="I764" s="5"/>
      <c r="J764" s="5"/>
      <c r="K764" s="5" t="str">
        <f>IF(COUNTA(H764:J764)=2,ROUND(PRODUCT(H764:J764),2),"")</f>
        <v/>
      </c>
      <c r="L764" s="5" t="str">
        <f>IF(OR(AND(COUNTA(H764:J764)=3,K764=""),AND(COUNTA(H764:J764)=1,K764&lt;&gt;"")),ROUND(PRODUCT(H764:K764),2),"")</f>
        <v/>
      </c>
      <c r="M764" s="5">
        <f>IF(L764&lt;&gt;"",ROUND(PRODUCT(F764,G764,L764),2),IF(K764&lt;&gt;"",ROUND(PRODUCT(F764,G764,K764),2),ROUND(PRODUCT(F764:J764),2)))</f>
        <v>1</v>
      </c>
      <c r="N764" s="5"/>
    </row>
    <row r="765" spans="1:14" x14ac:dyDescent="0.3">
      <c r="A765" s="12" t="s">
        <v>109</v>
      </c>
      <c r="B765" s="46" t="s">
        <v>570</v>
      </c>
      <c r="C765" s="47"/>
      <c r="D765" s="47"/>
      <c r="E765" s="47"/>
      <c r="F765" s="47"/>
      <c r="G765" s="47"/>
      <c r="H765" s="47"/>
      <c r="I765" s="47"/>
      <c r="J765" s="47"/>
      <c r="K765" s="47"/>
      <c r="L765" s="47"/>
      <c r="M765" s="47"/>
      <c r="N765" s="48"/>
    </row>
    <row r="766" spans="1:14" x14ac:dyDescent="0.3">
      <c r="A766" s="15" t="s">
        <v>110</v>
      </c>
      <c r="B766" s="49" t="s">
        <v>513</v>
      </c>
      <c r="C766" s="50"/>
      <c r="D766" s="50"/>
      <c r="E766" s="50"/>
      <c r="F766" s="50"/>
      <c r="G766" s="50"/>
      <c r="H766" s="50"/>
      <c r="I766" s="50"/>
      <c r="J766" s="50"/>
      <c r="K766" s="50"/>
      <c r="L766" s="50"/>
      <c r="M766" s="50"/>
      <c r="N766" s="51"/>
    </row>
    <row r="767" spans="1:14" x14ac:dyDescent="0.3">
      <c r="A767" s="23" t="s">
        <v>453</v>
      </c>
      <c r="B767" s="23">
        <v>98524</v>
      </c>
      <c r="C767" s="23" t="str">
        <f>VLOOKUP(B767,CPU!$B:$J,2,FALSE)</f>
        <v>SINAPI</v>
      </c>
      <c r="D767" s="24" t="str">
        <f>VLOOKUP(B767,CPU!$B:$J,3,FALSE)</f>
        <v>LIMPEZA MANUAL DE VEGETAÇÃO EM TERRENO COM ENXADA. AF_03/2024</v>
      </c>
      <c r="E767" s="23" t="str">
        <f>VLOOKUP(B767,CPU!$B:$J,4,FALSE)</f>
        <v>M2</v>
      </c>
      <c r="F767" s="23"/>
      <c r="G767" s="23"/>
      <c r="H767" s="23"/>
      <c r="I767" s="23"/>
      <c r="J767" s="23"/>
      <c r="K767" s="23"/>
      <c r="L767" s="23"/>
      <c r="M767" s="23"/>
      <c r="N767" s="5">
        <f>SUM($M$768:$M$768)</f>
        <v>100</v>
      </c>
    </row>
    <row r="768" spans="1:14" x14ac:dyDescent="0.3">
      <c r="A768" s="23" t="s">
        <v>953</v>
      </c>
      <c r="B768" s="65" t="s">
        <v>516</v>
      </c>
      <c r="C768" s="66"/>
      <c r="D768" s="66"/>
      <c r="E768" s="67"/>
      <c r="F768" s="5"/>
      <c r="G768" s="26"/>
      <c r="H768" s="5"/>
      <c r="I768" s="5">
        <v>10</v>
      </c>
      <c r="J768" s="5">
        <v>10</v>
      </c>
      <c r="K768" s="5">
        <f>IF(COUNTA(H768:J768)=2,ROUND(PRODUCT(H768:J768),2),"")</f>
        <v>100</v>
      </c>
      <c r="L768" s="5" t="str">
        <f>IF(OR(AND(COUNTA(H768:J768)=3,K768=""),AND(COUNTA(H768:J768)=1,K768&lt;&gt;"")),ROUND(PRODUCT(H768:K768),2),"")</f>
        <v/>
      </c>
      <c r="M768" s="5">
        <f>IF(L768&lt;&gt;"",ROUND(PRODUCT(F768,G768,L768),2),IF(K768&lt;&gt;"",ROUND(PRODUCT(F768,G768,K768),2),ROUND(PRODUCT(F768:J768),2)))</f>
        <v>100</v>
      </c>
      <c r="N768" s="5"/>
    </row>
    <row r="769" spans="1:14" ht="28.8" x14ac:dyDescent="0.3">
      <c r="A769" s="23" t="s">
        <v>454</v>
      </c>
      <c r="B769" s="23">
        <v>99059</v>
      </c>
      <c r="C769" s="23" t="str">
        <f>VLOOKUP(B769,CPU!$B:$J,2,FALSE)</f>
        <v>SINAPI</v>
      </c>
      <c r="D769" s="24" t="str">
        <f>VLOOKUP(B769,CPU!$B:$J,3,FALSE)</f>
        <v>LOCAÇÃO CONVENCIONAL DE OBRA, UTILIZANDO GABARITO DE TÁBUAS CORRIDAS PONTALETADAS A CADA 2,00M - 2 UTILIZAÇÕES. AF_03/2024</v>
      </c>
      <c r="E769" s="23" t="str">
        <f>VLOOKUP(B769,CPU!$B:$J,4,FALSE)</f>
        <v>M</v>
      </c>
      <c r="F769" s="23"/>
      <c r="G769" s="23"/>
      <c r="H769" s="23"/>
      <c r="I769" s="23"/>
      <c r="J769" s="23"/>
      <c r="K769" s="23"/>
      <c r="L769" s="23"/>
      <c r="M769" s="23"/>
      <c r="N769" s="5">
        <f>SUM($M$770:$M$770)</f>
        <v>44</v>
      </c>
    </row>
    <row r="770" spans="1:14" x14ac:dyDescent="0.3">
      <c r="A770" s="23" t="s">
        <v>954</v>
      </c>
      <c r="B770" s="65" t="s">
        <v>516</v>
      </c>
      <c r="C770" s="66"/>
      <c r="D770" s="66"/>
      <c r="E770" s="67"/>
      <c r="F770" s="5"/>
      <c r="G770" s="26">
        <v>4</v>
      </c>
      <c r="H770" s="5">
        <v>11</v>
      </c>
      <c r="I770" s="5"/>
      <c r="J770" s="5"/>
      <c r="K770" s="5" t="str">
        <f>IF(COUNTA(H770:J770)=2,ROUND(PRODUCT(H770:J770),2),"")</f>
        <v/>
      </c>
      <c r="L770" s="5" t="str">
        <f>IF(OR(AND(COUNTA(H770:J770)=3,K770=""),AND(COUNTA(H770:J770)=1,K770&lt;&gt;"")),ROUND(PRODUCT(H770:K770),2),"")</f>
        <v/>
      </c>
      <c r="M770" s="5">
        <f>IF(L770&lt;&gt;"",ROUND(PRODUCT(F770,G770,L770),2),IF(K770&lt;&gt;"",ROUND(PRODUCT(F770,G770,K770),2),ROUND(PRODUCT(F770:J770),2)))</f>
        <v>44</v>
      </c>
      <c r="N770" s="5"/>
    </row>
    <row r="771" spans="1:14" x14ac:dyDescent="0.3">
      <c r="A771" s="15" t="s">
        <v>111</v>
      </c>
      <c r="B771" s="49" t="s">
        <v>573</v>
      </c>
      <c r="C771" s="50"/>
      <c r="D771" s="50"/>
      <c r="E771" s="50"/>
      <c r="F771" s="50"/>
      <c r="G771" s="50"/>
      <c r="H771" s="50"/>
      <c r="I771" s="50"/>
      <c r="J771" s="50"/>
      <c r="K771" s="50"/>
      <c r="L771" s="50"/>
      <c r="M771" s="50"/>
      <c r="N771" s="51"/>
    </row>
    <row r="772" spans="1:14" x14ac:dyDescent="0.3">
      <c r="A772" s="23" t="s">
        <v>455</v>
      </c>
      <c r="B772" s="23">
        <v>93358</v>
      </c>
      <c r="C772" s="23" t="str">
        <f>VLOOKUP(B772,CPU!$B:$J,2,FALSE)</f>
        <v>SINAPI</v>
      </c>
      <c r="D772" s="24" t="str">
        <f>VLOOKUP(B772,CPU!$B:$J,3,FALSE)</f>
        <v>ESCAVAÇÃO MANUAL DE VALA. AF_09/2024</v>
      </c>
      <c r="E772" s="23" t="str">
        <f>VLOOKUP(B772,CPU!$B:$J,4,FALSE)</f>
        <v>M3</v>
      </c>
      <c r="F772" s="23"/>
      <c r="G772" s="23"/>
      <c r="H772" s="23"/>
      <c r="I772" s="23"/>
      <c r="J772" s="23"/>
      <c r="K772" s="23"/>
      <c r="L772" s="23"/>
      <c r="M772" s="23"/>
      <c r="N772" s="5">
        <f>SUM($M$773:$M$774)</f>
        <v>1.54</v>
      </c>
    </row>
    <row r="773" spans="1:14" x14ac:dyDescent="0.3">
      <c r="A773" s="23" t="s">
        <v>955</v>
      </c>
      <c r="B773" s="65" t="s">
        <v>516</v>
      </c>
      <c r="C773" s="66"/>
      <c r="D773" s="66"/>
      <c r="E773" s="67"/>
      <c r="F773" s="5"/>
      <c r="G773" s="26">
        <v>2</v>
      </c>
      <c r="H773" s="5">
        <v>2.2999999999999998</v>
      </c>
      <c r="I773" s="5">
        <v>0.3</v>
      </c>
      <c r="J773" s="5">
        <v>0.6</v>
      </c>
      <c r="K773" s="5" t="str">
        <f>IF(COUNTA(H773:J773)=2,ROUND(PRODUCT(H773:J773),2),"")</f>
        <v/>
      </c>
      <c r="L773" s="5">
        <f>IF(OR(AND(COUNTA(H773:J773)=3,K773=""),AND(COUNTA(H773:J773)=1,K773&lt;&gt;"")),ROUND(PRODUCT(H773:K773),2),"")</f>
        <v>0.41</v>
      </c>
      <c r="M773" s="5">
        <f>IF(L773&lt;&gt;"",ROUND(PRODUCT(F773,G773,L773),2),IF(K773&lt;&gt;"",ROUND(PRODUCT(F773,G773,K773),2),ROUND(PRODUCT(F773:J773),2)))</f>
        <v>0.82</v>
      </c>
      <c r="N773" s="5"/>
    </row>
    <row r="774" spans="1:14" x14ac:dyDescent="0.3">
      <c r="A774" s="23" t="s">
        <v>956</v>
      </c>
      <c r="B774" s="65" t="s">
        <v>516</v>
      </c>
      <c r="C774" s="66"/>
      <c r="D774" s="66"/>
      <c r="E774" s="67"/>
      <c r="F774" s="5"/>
      <c r="G774" s="26">
        <v>2</v>
      </c>
      <c r="H774" s="5">
        <v>2</v>
      </c>
      <c r="I774" s="5">
        <v>0.3</v>
      </c>
      <c r="J774" s="5">
        <v>0.6</v>
      </c>
      <c r="K774" s="5" t="str">
        <f>IF(COUNTA(H774:J774)=2,ROUND(PRODUCT(H774:J774),2),"")</f>
        <v/>
      </c>
      <c r="L774" s="5">
        <f>IF(OR(AND(COUNTA(H774:J774)=3,K774=""),AND(COUNTA(H774:J774)=1,K774&lt;&gt;"")),ROUND(PRODUCT(H774:K774),2),"")</f>
        <v>0.36</v>
      </c>
      <c r="M774" s="5">
        <f>IF(L774&lt;&gt;"",ROUND(PRODUCT(F774,G774,L774),2),IF(K774&lt;&gt;"",ROUND(PRODUCT(F774,G774,K774),2),ROUND(PRODUCT(F774:J774),2)))</f>
        <v>0.72</v>
      </c>
      <c r="N774" s="5"/>
    </row>
    <row r="775" spans="1:14" x14ac:dyDescent="0.3">
      <c r="A775" s="15" t="s">
        <v>112</v>
      </c>
      <c r="B775" s="49" t="s">
        <v>576</v>
      </c>
      <c r="C775" s="50"/>
      <c r="D775" s="50"/>
      <c r="E775" s="50"/>
      <c r="F775" s="50"/>
      <c r="G775" s="50"/>
      <c r="H775" s="50"/>
      <c r="I775" s="50"/>
      <c r="J775" s="50"/>
      <c r="K775" s="50"/>
      <c r="L775" s="50"/>
      <c r="M775" s="50"/>
      <c r="N775" s="51"/>
    </row>
    <row r="776" spans="1:14" ht="28.8" x14ac:dyDescent="0.3">
      <c r="A776" s="23" t="s">
        <v>456</v>
      </c>
      <c r="B776" s="23">
        <v>96617</v>
      </c>
      <c r="C776" s="23" t="str">
        <f>VLOOKUP(B776,CPU!$B:$J,2,FALSE)</f>
        <v>SINAPI</v>
      </c>
      <c r="D776" s="24" t="str">
        <f>VLOOKUP(B776,CPU!$B:$J,3,FALSE)</f>
        <v>LASTRO DE CONCRETO MAGRO, APLICADO EM BLOCOS DE COROAMENTO OU SAPATAS, ESPESSURA DE 3 CM. AF_01/2024</v>
      </c>
      <c r="E776" s="23" t="str">
        <f>VLOOKUP(B776,CPU!$B:$J,4,FALSE)</f>
        <v>M2</v>
      </c>
      <c r="F776" s="23"/>
      <c r="G776" s="23"/>
      <c r="H776" s="23"/>
      <c r="I776" s="23"/>
      <c r="J776" s="23"/>
      <c r="K776" s="23"/>
      <c r="L776" s="23"/>
      <c r="M776" s="23"/>
      <c r="N776" s="5">
        <f>SUM($M$777:$M$778)</f>
        <v>2.58</v>
      </c>
    </row>
    <row r="777" spans="1:14" x14ac:dyDescent="0.3">
      <c r="A777" s="23" t="s">
        <v>957</v>
      </c>
      <c r="B777" s="65" t="s">
        <v>516</v>
      </c>
      <c r="C777" s="66"/>
      <c r="D777" s="66"/>
      <c r="E777" s="67"/>
      <c r="F777" s="5"/>
      <c r="G777" s="26">
        <v>2</v>
      </c>
      <c r="H777" s="5">
        <v>2.2999999999999998</v>
      </c>
      <c r="I777" s="5">
        <v>0.3</v>
      </c>
      <c r="J777" s="5"/>
      <c r="K777" s="5">
        <f>IF(COUNTA(H777:J777)=2,ROUND(PRODUCT(H777:J777),2),"")</f>
        <v>0.69</v>
      </c>
      <c r="L777" s="5" t="str">
        <f>IF(OR(AND(COUNTA(H777:J777)=3,K777=""),AND(COUNTA(H777:J777)=1,K777&lt;&gt;"")),ROUND(PRODUCT(H777:K777),2),"")</f>
        <v/>
      </c>
      <c r="M777" s="5">
        <f>IF(L777&lt;&gt;"",ROUND(PRODUCT(F777,G777,L777),2),IF(K777&lt;&gt;"",ROUND(PRODUCT(F777,G777,K777),2),ROUND(PRODUCT(F777:J777),2)))</f>
        <v>1.38</v>
      </c>
      <c r="N777" s="5"/>
    </row>
    <row r="778" spans="1:14" x14ac:dyDescent="0.3">
      <c r="A778" s="23" t="s">
        <v>958</v>
      </c>
      <c r="B778" s="65" t="s">
        <v>516</v>
      </c>
      <c r="C778" s="66"/>
      <c r="D778" s="66"/>
      <c r="E778" s="67"/>
      <c r="F778" s="5"/>
      <c r="G778" s="26">
        <v>2</v>
      </c>
      <c r="H778" s="5">
        <v>2</v>
      </c>
      <c r="I778" s="5">
        <v>0.3</v>
      </c>
      <c r="J778" s="5"/>
      <c r="K778" s="5">
        <f>IF(COUNTA(H778:J778)=2,ROUND(PRODUCT(H778:J778),2),"")</f>
        <v>0.6</v>
      </c>
      <c r="L778" s="5" t="str">
        <f>IF(OR(AND(COUNTA(H778:J778)=3,K778=""),AND(COUNTA(H778:J778)=1,K778&lt;&gt;"")),ROUND(PRODUCT(H778:K778),2),"")</f>
        <v/>
      </c>
      <c r="M778" s="5">
        <f>IF(L778&lt;&gt;"",ROUND(PRODUCT(F778,G778,L778),2),IF(K778&lt;&gt;"",ROUND(PRODUCT(F778,G778,K778),2),ROUND(PRODUCT(F778:J778),2)))</f>
        <v>1.2</v>
      </c>
      <c r="N778" s="5"/>
    </row>
    <row r="779" spans="1:14" ht="28.8" x14ac:dyDescent="0.3">
      <c r="A779" s="23" t="s">
        <v>457</v>
      </c>
      <c r="B779" s="23">
        <v>103800</v>
      </c>
      <c r="C779" s="23" t="str">
        <f>VLOOKUP(B779,CPU!$B:$J,2,FALSE)</f>
        <v>SINAPI</v>
      </c>
      <c r="D779" s="24" t="str">
        <f>VLOOKUP(B779,CPU!$B:$J,3,FALSE)</f>
        <v>PEDRA ARGAMASSADA COM CIMENTO E AREIA 1:3, 40% DE ARGAMASSA EM VOLUME - AREIA E PEDRA DE MÃO COMERCIAIS - FORNECIMENTO E ASSENTAMENTO. AF_08/2022</v>
      </c>
      <c r="E779" s="23" t="str">
        <f>VLOOKUP(B779,CPU!$B:$J,4,FALSE)</f>
        <v>M3</v>
      </c>
      <c r="F779" s="23"/>
      <c r="G779" s="23"/>
      <c r="H779" s="23"/>
      <c r="I779" s="23"/>
      <c r="J779" s="23"/>
      <c r="K779" s="23"/>
      <c r="L779" s="23"/>
      <c r="M779" s="23"/>
      <c r="N779" s="5">
        <f>SUM($M$780:$M$781)</f>
        <v>1.04</v>
      </c>
    </row>
    <row r="780" spans="1:14" x14ac:dyDescent="0.3">
      <c r="A780" s="23" t="s">
        <v>959</v>
      </c>
      <c r="B780" s="65" t="s">
        <v>516</v>
      </c>
      <c r="C780" s="66"/>
      <c r="D780" s="66"/>
      <c r="E780" s="67"/>
      <c r="F780" s="5"/>
      <c r="G780" s="26">
        <v>2</v>
      </c>
      <c r="H780" s="5">
        <v>2.2999999999999998</v>
      </c>
      <c r="I780" s="5">
        <v>0.3</v>
      </c>
      <c r="J780" s="5">
        <v>0.4</v>
      </c>
      <c r="K780" s="5" t="str">
        <f>IF(COUNTA(H780:J780)=2,ROUND(PRODUCT(H780:J780),2),"")</f>
        <v/>
      </c>
      <c r="L780" s="5">
        <f>IF(OR(AND(COUNTA(H780:J780)=3,K780=""),AND(COUNTA(H780:J780)=1,K780&lt;&gt;"")),ROUND(PRODUCT(H780:K780),2),"")</f>
        <v>0.28000000000000003</v>
      </c>
      <c r="M780" s="5">
        <f>IF(L780&lt;&gt;"",ROUND(PRODUCT(F780,G780,L780),2),IF(K780&lt;&gt;"",ROUND(PRODUCT(F780,G780,K780),2),ROUND(PRODUCT(F780:J780),2)))</f>
        <v>0.56000000000000005</v>
      </c>
      <c r="N780" s="5"/>
    </row>
    <row r="781" spans="1:14" x14ac:dyDescent="0.3">
      <c r="A781" s="23" t="s">
        <v>960</v>
      </c>
      <c r="B781" s="65" t="s">
        <v>516</v>
      </c>
      <c r="C781" s="66"/>
      <c r="D781" s="66"/>
      <c r="E781" s="67"/>
      <c r="F781" s="5"/>
      <c r="G781" s="26">
        <v>2</v>
      </c>
      <c r="H781" s="5">
        <v>2</v>
      </c>
      <c r="I781" s="5">
        <v>0.3</v>
      </c>
      <c r="J781" s="5">
        <v>0.4</v>
      </c>
      <c r="K781" s="5" t="str">
        <f>IF(COUNTA(H781:J781)=2,ROUND(PRODUCT(H781:J781),2),"")</f>
        <v/>
      </c>
      <c r="L781" s="5">
        <f>IF(OR(AND(COUNTA(H781:J781)=3,K781=""),AND(COUNTA(H781:J781)=1,K781&lt;&gt;"")),ROUND(PRODUCT(H781:K781),2),"")</f>
        <v>0.24</v>
      </c>
      <c r="M781" s="5">
        <f>IF(L781&lt;&gt;"",ROUND(PRODUCT(F781,G781,L781),2),IF(K781&lt;&gt;"",ROUND(PRODUCT(F781,G781,K781),2),ROUND(PRODUCT(F781:J781),2)))</f>
        <v>0.48</v>
      </c>
      <c r="N781" s="5"/>
    </row>
    <row r="782" spans="1:14" ht="43.2" x14ac:dyDescent="0.3">
      <c r="A782" s="23" t="s">
        <v>458</v>
      </c>
      <c r="B782" s="23">
        <v>103335</v>
      </c>
      <c r="C782" s="23" t="str">
        <f>VLOOKUP(B782,CPU!$B:$J,2,FALSE)</f>
        <v>SINAPI</v>
      </c>
      <c r="D782" s="24" t="str">
        <f>VLOOKUP(B782,CPU!$B:$J,3,FALSE)</f>
        <v>ALVENARIA DE VEDAÇÃO DE BLOCOS CERÂMICOS FURADOS NA HORIZONTAL DE 14X9X19 CM (ESPESSURA 14 CM, BLOCO DEITADO) E ARGAMASSA DE ASSENTAMENTO COM PREPARO MANUAL. AF_12/2021</v>
      </c>
      <c r="E782" s="23" t="str">
        <f>VLOOKUP(B782,CPU!$B:$J,4,FALSE)</f>
        <v>M2</v>
      </c>
      <c r="F782" s="23"/>
      <c r="G782" s="23"/>
      <c r="H782" s="23"/>
      <c r="I782" s="23"/>
      <c r="J782" s="23"/>
      <c r="K782" s="23"/>
      <c r="L782" s="23"/>
      <c r="M782" s="23"/>
      <c r="N782" s="5">
        <f>SUM($M$783:$M$784)</f>
        <v>1.7200000000000002</v>
      </c>
    </row>
    <row r="783" spans="1:14" x14ac:dyDescent="0.3">
      <c r="A783" s="23" t="s">
        <v>961</v>
      </c>
      <c r="B783" s="65" t="s">
        <v>516</v>
      </c>
      <c r="C783" s="66"/>
      <c r="D783" s="66"/>
      <c r="E783" s="67"/>
      <c r="F783" s="5"/>
      <c r="G783" s="26">
        <v>2</v>
      </c>
      <c r="H783" s="5">
        <v>2.2999999999999998</v>
      </c>
      <c r="I783" s="5"/>
      <c r="J783" s="5">
        <v>0.2</v>
      </c>
      <c r="K783" s="5">
        <f>IF(COUNTA(H783:J783)=2,ROUND(PRODUCT(H783:J783),2),"")</f>
        <v>0.46</v>
      </c>
      <c r="L783" s="5" t="str">
        <f>IF(OR(AND(COUNTA(H783:J783)=3,K783=""),AND(COUNTA(H783:J783)=1,K783&lt;&gt;"")),ROUND(PRODUCT(H783:K783),2),"")</f>
        <v/>
      </c>
      <c r="M783" s="5">
        <f>IF(L783&lt;&gt;"",ROUND(PRODUCT(F783,G783,L783),2),IF(K783&lt;&gt;"",ROUND(PRODUCT(F783,G783,K783),2),ROUND(PRODUCT(F783:J783),2)))</f>
        <v>0.92</v>
      </c>
      <c r="N783" s="5"/>
    </row>
    <row r="784" spans="1:14" x14ac:dyDescent="0.3">
      <c r="A784" s="23" t="s">
        <v>962</v>
      </c>
      <c r="B784" s="65" t="s">
        <v>516</v>
      </c>
      <c r="C784" s="66"/>
      <c r="D784" s="66"/>
      <c r="E784" s="67"/>
      <c r="F784" s="5"/>
      <c r="G784" s="26">
        <v>2</v>
      </c>
      <c r="H784" s="5">
        <v>2</v>
      </c>
      <c r="I784" s="5"/>
      <c r="J784" s="5">
        <v>0.2</v>
      </c>
      <c r="K784" s="5">
        <f>IF(COUNTA(H784:J784)=2,ROUND(PRODUCT(H784:J784),2),"")</f>
        <v>0.4</v>
      </c>
      <c r="L784" s="5" t="str">
        <f>IF(OR(AND(COUNTA(H784:J784)=3,K784=""),AND(COUNTA(H784:J784)=1,K784&lt;&gt;"")),ROUND(PRODUCT(H784:K784),2),"")</f>
        <v/>
      </c>
      <c r="M784" s="5">
        <f>IF(L784&lt;&gt;"",ROUND(PRODUCT(F784,G784,L784),2),IF(K784&lt;&gt;"",ROUND(PRODUCT(F784,G784,K784),2),ROUND(PRODUCT(F784:J784),2)))</f>
        <v>0.8</v>
      </c>
      <c r="N784" s="5"/>
    </row>
    <row r="785" spans="1:14" x14ac:dyDescent="0.3">
      <c r="A785" s="15" t="s">
        <v>113</v>
      </c>
      <c r="B785" s="49" t="s">
        <v>583</v>
      </c>
      <c r="C785" s="50"/>
      <c r="D785" s="50"/>
      <c r="E785" s="50"/>
      <c r="F785" s="50"/>
      <c r="G785" s="50"/>
      <c r="H785" s="50"/>
      <c r="I785" s="50"/>
      <c r="J785" s="50"/>
      <c r="K785" s="50"/>
      <c r="L785" s="50"/>
      <c r="M785" s="50"/>
      <c r="N785" s="51"/>
    </row>
    <row r="786" spans="1:14" x14ac:dyDescent="0.3">
      <c r="A786" s="23" t="s">
        <v>459</v>
      </c>
      <c r="B786" s="23" t="s">
        <v>584</v>
      </c>
      <c r="C786" s="23" t="str">
        <f>VLOOKUP(B786,CPU!$B:$J,2,FALSE)</f>
        <v>PRÓPRIA</v>
      </c>
      <c r="D786" s="24" t="str">
        <f>VLOOKUP(B786,CPU!$B:$J,3,FALSE)</f>
        <v>CINTA DE AMARRAÇÃO DE ALVENARIA MOLDADA IN LOCO EM CONCRETO</v>
      </c>
      <c r="E786" s="23" t="str">
        <f>VLOOKUP(B786,CPU!$B:$J,4,FALSE)</f>
        <v>M</v>
      </c>
      <c r="F786" s="23"/>
      <c r="G786" s="23"/>
      <c r="H786" s="23"/>
      <c r="I786" s="23"/>
      <c r="J786" s="23"/>
      <c r="K786" s="23"/>
      <c r="L786" s="23"/>
      <c r="M786" s="23"/>
      <c r="N786" s="5">
        <f>SUM($M$787:$M$788)</f>
        <v>8.6</v>
      </c>
    </row>
    <row r="787" spans="1:14" x14ac:dyDescent="0.3">
      <c r="A787" s="23" t="s">
        <v>963</v>
      </c>
      <c r="B787" s="65" t="s">
        <v>516</v>
      </c>
      <c r="C787" s="66"/>
      <c r="D787" s="66"/>
      <c r="E787" s="67"/>
      <c r="F787" s="5"/>
      <c r="G787" s="26">
        <v>2</v>
      </c>
      <c r="H787" s="5">
        <v>2.2999999999999998</v>
      </c>
      <c r="I787" s="5"/>
      <c r="J787" s="5"/>
      <c r="K787" s="5" t="str">
        <f>IF(COUNTA(H787:J787)=2,ROUND(PRODUCT(H787:J787),2),"")</f>
        <v/>
      </c>
      <c r="L787" s="5" t="str">
        <f>IF(OR(AND(COUNTA(H787:J787)=3,K787=""),AND(COUNTA(H787:J787)=1,K787&lt;&gt;"")),ROUND(PRODUCT(H787:K787),2),"")</f>
        <v/>
      </c>
      <c r="M787" s="5">
        <f>IF(L787&lt;&gt;"",ROUND(PRODUCT(F787,G787,L787),2),IF(K787&lt;&gt;"",ROUND(PRODUCT(F787,G787,K787),2),ROUND(PRODUCT(F787:J787),2)))</f>
        <v>4.5999999999999996</v>
      </c>
      <c r="N787" s="5"/>
    </row>
    <row r="788" spans="1:14" x14ac:dyDescent="0.3">
      <c r="A788" s="23" t="s">
        <v>964</v>
      </c>
      <c r="B788" s="65" t="s">
        <v>516</v>
      </c>
      <c r="C788" s="66"/>
      <c r="D788" s="66"/>
      <c r="E788" s="67"/>
      <c r="F788" s="5"/>
      <c r="G788" s="26">
        <v>2</v>
      </c>
      <c r="H788" s="5">
        <v>2</v>
      </c>
      <c r="I788" s="5"/>
      <c r="J788" s="5"/>
      <c r="K788" s="5" t="str">
        <f>IF(COUNTA(H788:J788)=2,ROUND(PRODUCT(H788:J788),2),"")</f>
        <v/>
      </c>
      <c r="L788" s="5" t="str">
        <f>IF(OR(AND(COUNTA(H788:J788)=3,K788=""),AND(COUNTA(H788:J788)=1,K788&lt;&gt;"")),ROUND(PRODUCT(H788:K788),2),"")</f>
        <v/>
      </c>
      <c r="M788" s="5">
        <f>IF(L788&lt;&gt;"",ROUND(PRODUCT(F788,G788,L788),2),IF(K788&lt;&gt;"",ROUND(PRODUCT(F788,G788,K788),2),ROUND(PRODUCT(F788:J788),2)))</f>
        <v>4</v>
      </c>
      <c r="N788" s="5"/>
    </row>
    <row r="789" spans="1:14" ht="28.8" x14ac:dyDescent="0.3">
      <c r="A789" s="23" t="s">
        <v>460</v>
      </c>
      <c r="B789" s="23" t="s">
        <v>587</v>
      </c>
      <c r="C789" s="23" t="str">
        <f>VLOOKUP(B789,CPU!$B:$J,2,FALSE)</f>
        <v>PRÓPRIA</v>
      </c>
      <c r="D789" s="24" t="str">
        <f>VLOOKUP(B789,CPU!$B:$J,3,FALSE)</f>
        <v>(COMPOSIÇÃO REPRESENTATIVA) EXECUÇÃO DE ESTRUTURAS DE CONCRETO ARMADO, PARA EDIFICAÇÃO INSTITUCIONAL TÉRREA, FCK = 25 MPA</v>
      </c>
      <c r="E789" s="23" t="str">
        <f>VLOOKUP(B789,CPU!$B:$J,4,FALSE)</f>
        <v>M³</v>
      </c>
      <c r="F789" s="23"/>
      <c r="G789" s="23"/>
      <c r="H789" s="23"/>
      <c r="I789" s="23"/>
      <c r="J789" s="23"/>
      <c r="K789" s="23"/>
      <c r="L789" s="23"/>
      <c r="M789" s="23"/>
      <c r="N789" s="5">
        <f>SUM($M$790:$M$791)</f>
        <v>0.30000000000000004</v>
      </c>
    </row>
    <row r="790" spans="1:14" x14ac:dyDescent="0.3">
      <c r="A790" s="23" t="s">
        <v>965</v>
      </c>
      <c r="B790" s="65" t="s">
        <v>589</v>
      </c>
      <c r="C790" s="66"/>
      <c r="D790" s="66"/>
      <c r="E790" s="67"/>
      <c r="F790" s="5"/>
      <c r="G790" s="26">
        <v>2</v>
      </c>
      <c r="H790" s="5">
        <v>3.53</v>
      </c>
      <c r="I790" s="5">
        <v>0.15</v>
      </c>
      <c r="J790" s="5">
        <v>0.15</v>
      </c>
      <c r="K790" s="5" t="str">
        <f>IF(COUNTA(H790:J790)=2,ROUND(PRODUCT(H790:J790),2),"")</f>
        <v/>
      </c>
      <c r="L790" s="5">
        <f>IF(OR(AND(COUNTA(H790:J790)=3,K790=""),AND(COUNTA(H790:J790)=1,K790&lt;&gt;"")),ROUND(PRODUCT(H790:K790),2),"")</f>
        <v>0.08</v>
      </c>
      <c r="M790" s="5">
        <f>IF(L790&lt;&gt;"",ROUND(PRODUCT(F790,G790,L790),2),IF(K790&lt;&gt;"",ROUND(PRODUCT(F790,G790,K790),2),ROUND(PRODUCT(F790:J790),2)))</f>
        <v>0.16</v>
      </c>
      <c r="N790" s="5"/>
    </row>
    <row r="791" spans="1:14" x14ac:dyDescent="0.3">
      <c r="A791" s="23" t="s">
        <v>966</v>
      </c>
      <c r="B791" s="65" t="s">
        <v>589</v>
      </c>
      <c r="C791" s="66"/>
      <c r="D791" s="66"/>
      <c r="E791" s="67"/>
      <c r="F791" s="5"/>
      <c r="G791" s="26">
        <v>2</v>
      </c>
      <c r="H791" s="5">
        <v>2.95</v>
      </c>
      <c r="I791" s="5">
        <v>0.15</v>
      </c>
      <c r="J791" s="5">
        <v>0.15</v>
      </c>
      <c r="K791" s="5" t="str">
        <f>IF(COUNTA(H791:J791)=2,ROUND(PRODUCT(H791:J791),2),"")</f>
        <v/>
      </c>
      <c r="L791" s="5">
        <f>IF(OR(AND(COUNTA(H791:J791)=3,K791=""),AND(COUNTA(H791:J791)=1,K791&lt;&gt;"")),ROUND(PRODUCT(H791:K791),2),"")</f>
        <v>7.0000000000000007E-2</v>
      </c>
      <c r="M791" s="5">
        <f>IF(L791&lt;&gt;"",ROUND(PRODUCT(F791,G791,L791),2),IF(K791&lt;&gt;"",ROUND(PRODUCT(F791,G791,K791),2),ROUND(PRODUCT(F791:J791),2)))</f>
        <v>0.14000000000000001</v>
      </c>
      <c r="N791" s="5"/>
    </row>
    <row r="792" spans="1:14" x14ac:dyDescent="0.3">
      <c r="A792" s="15" t="s">
        <v>114</v>
      </c>
      <c r="B792" s="49" t="s">
        <v>591</v>
      </c>
      <c r="C792" s="50"/>
      <c r="D792" s="50"/>
      <c r="E792" s="50"/>
      <c r="F792" s="50"/>
      <c r="G792" s="50"/>
      <c r="H792" s="50"/>
      <c r="I792" s="50"/>
      <c r="J792" s="50"/>
      <c r="K792" s="50"/>
      <c r="L792" s="50"/>
      <c r="M792" s="50"/>
      <c r="N792" s="51"/>
    </row>
    <row r="793" spans="1:14" ht="43.2" x14ac:dyDescent="0.3">
      <c r="A793" s="23" t="s">
        <v>461</v>
      </c>
      <c r="B793" s="23">
        <v>103329</v>
      </c>
      <c r="C793" s="23" t="str">
        <f>VLOOKUP(B793,CPU!$B:$J,2,FALSE)</f>
        <v>SINAPI</v>
      </c>
      <c r="D793" s="24" t="str">
        <f>VLOOKUP(B793,CPU!$B:$J,3,FALSE)</f>
        <v>ALVENARIA DE VEDAÇÃO DE BLOCOS CERÂMICOS FURADOS NA HORIZONTAL DE 9X19X19 CM (ESPESSURA 9 CM) E ARGAMASSA DE ASSENTAMENTO COM PREPARO MANUAL. AF_12/2021</v>
      </c>
      <c r="E793" s="23" t="str">
        <f>VLOOKUP(B793,CPU!$B:$J,4,FALSE)</f>
        <v>M2</v>
      </c>
      <c r="F793" s="23"/>
      <c r="G793" s="23"/>
      <c r="H793" s="23"/>
      <c r="I793" s="23"/>
      <c r="J793" s="23"/>
      <c r="K793" s="23"/>
      <c r="L793" s="23"/>
      <c r="M793" s="23"/>
      <c r="N793" s="5">
        <f>SUM($M$794:$M$798)</f>
        <v>19.310000000000002</v>
      </c>
    </row>
    <row r="794" spans="1:14" x14ac:dyDescent="0.3">
      <c r="A794" s="23" t="s">
        <v>967</v>
      </c>
      <c r="B794" s="65" t="s">
        <v>516</v>
      </c>
      <c r="C794" s="66"/>
      <c r="D794" s="66"/>
      <c r="E794" s="67"/>
      <c r="F794" s="5"/>
      <c r="G794" s="26">
        <v>1</v>
      </c>
      <c r="H794" s="5">
        <v>2.2999999999999998</v>
      </c>
      <c r="I794" s="5">
        <v>2.2999999999999998</v>
      </c>
      <c r="J794" s="5"/>
      <c r="K794" s="5">
        <f>IF(COUNTA(H794:J794)=2,ROUND(PRODUCT(H794:J794),2),"")</f>
        <v>5.29</v>
      </c>
      <c r="L794" s="5" t="str">
        <f>IF(OR(AND(COUNTA(H794:J794)=3,K794=""),AND(COUNTA(H794:J794)=1,K794&lt;&gt;"")),ROUND(PRODUCT(H794:K794),2),"")</f>
        <v/>
      </c>
      <c r="M794" s="5">
        <f>IF(L794&lt;&gt;"",ROUND(PRODUCT(F794,G794,L794),2),IF(K794&lt;&gt;"",ROUND(PRODUCT(F794,G794,K794),2),ROUND(PRODUCT(F794:J794),2)))</f>
        <v>5.29</v>
      </c>
      <c r="N794" s="5"/>
    </row>
    <row r="795" spans="1:14" x14ac:dyDescent="0.3">
      <c r="A795" s="23" t="s">
        <v>968</v>
      </c>
      <c r="B795" s="65" t="s">
        <v>516</v>
      </c>
      <c r="C795" s="66"/>
      <c r="D795" s="66"/>
      <c r="E795" s="67"/>
      <c r="F795" s="5"/>
      <c r="G795" s="26">
        <v>1</v>
      </c>
      <c r="H795" s="5">
        <v>2.2999999999999998</v>
      </c>
      <c r="I795" s="5">
        <v>2.88</v>
      </c>
      <c r="J795" s="5"/>
      <c r="K795" s="5">
        <f>IF(COUNTA(H795:J795)=2,ROUND(PRODUCT(H795:J795),2),"")</f>
        <v>6.62</v>
      </c>
      <c r="L795" s="5" t="str">
        <f>IF(OR(AND(COUNTA(H795:J795)=3,K795=""),AND(COUNTA(H795:J795)=1,K795&lt;&gt;"")),ROUND(PRODUCT(H795:K795),2),"")</f>
        <v/>
      </c>
      <c r="M795" s="5">
        <f>IF(L795&lt;&gt;"",ROUND(PRODUCT(F795,G795,L795),2),IF(K795&lt;&gt;"",ROUND(PRODUCT(F795,G795,K795),2),ROUND(PRODUCT(F795:J795),2)))</f>
        <v>6.62</v>
      </c>
      <c r="N795" s="5"/>
    </row>
    <row r="796" spans="1:14" x14ac:dyDescent="0.3">
      <c r="A796" s="23" t="s">
        <v>969</v>
      </c>
      <c r="B796" s="65" t="s">
        <v>516</v>
      </c>
      <c r="C796" s="66"/>
      <c r="D796" s="66"/>
      <c r="E796" s="67"/>
      <c r="F796" s="5"/>
      <c r="G796" s="26">
        <v>2</v>
      </c>
      <c r="H796" s="5">
        <v>2.2999999999999998</v>
      </c>
      <c r="I796" s="5">
        <v>2.2999999999999998</v>
      </c>
      <c r="J796" s="5"/>
      <c r="K796" s="5">
        <f>IF(COUNTA(H796:J796)=2,ROUND(PRODUCT(H796:J796),2),"")</f>
        <v>5.29</v>
      </c>
      <c r="L796" s="5" t="str">
        <f>IF(OR(AND(COUNTA(H796:J796)=3,K796=""),AND(COUNTA(H796:J796)=1,K796&lt;&gt;"")),ROUND(PRODUCT(H796:K796),2),"")</f>
        <v/>
      </c>
      <c r="M796" s="5">
        <f>IF(L796&lt;&gt;"",ROUND(PRODUCT(F796,G796,L796),2),IF(K796&lt;&gt;"",ROUND(PRODUCT(F796,G796,K796),2),ROUND(PRODUCT(F796:J796),2)))</f>
        <v>10.58</v>
      </c>
      <c r="N796" s="5"/>
    </row>
    <row r="797" spans="1:14" x14ac:dyDescent="0.3">
      <c r="A797" s="23" t="s">
        <v>970</v>
      </c>
      <c r="B797" s="65" t="s">
        <v>516</v>
      </c>
      <c r="C797" s="66"/>
      <c r="D797" s="66"/>
      <c r="E797" s="67"/>
      <c r="F797" s="5"/>
      <c r="G797" s="26">
        <v>-3</v>
      </c>
      <c r="H797" s="5">
        <v>1</v>
      </c>
      <c r="I797" s="5">
        <v>0.5</v>
      </c>
      <c r="J797" s="5"/>
      <c r="K797" s="5">
        <f>IF(COUNTA(H797:J797)=2,ROUND(PRODUCT(H797:J797),2),"")</f>
        <v>0.5</v>
      </c>
      <c r="L797" s="5" t="str">
        <f>IF(OR(AND(COUNTA(H797:J797)=3,K797=""),AND(COUNTA(H797:J797)=1,K797&lt;&gt;"")),ROUND(PRODUCT(H797:K797),2),"")</f>
        <v/>
      </c>
      <c r="M797" s="5">
        <f>IF(L797&lt;&gt;"",ROUND(PRODUCT(F797,G797,L797),2),IF(K797&lt;&gt;"",ROUND(PRODUCT(F797,G797,K797),2),ROUND(PRODUCT(F797:J797),2)))</f>
        <v>-1.5</v>
      </c>
      <c r="N797" s="5"/>
    </row>
    <row r="798" spans="1:14" x14ac:dyDescent="0.3">
      <c r="A798" s="23" t="s">
        <v>971</v>
      </c>
      <c r="B798" s="65" t="s">
        <v>516</v>
      </c>
      <c r="C798" s="66"/>
      <c r="D798" s="66"/>
      <c r="E798" s="67"/>
      <c r="F798" s="5"/>
      <c r="G798" s="26">
        <v>-1</v>
      </c>
      <c r="H798" s="5">
        <v>0.8</v>
      </c>
      <c r="I798" s="5">
        <v>2.1</v>
      </c>
      <c r="J798" s="5"/>
      <c r="K798" s="5">
        <f>IF(COUNTA(H798:J798)=2,ROUND(PRODUCT(H798:J798),2),"")</f>
        <v>1.68</v>
      </c>
      <c r="L798" s="5" t="str">
        <f>IF(OR(AND(COUNTA(H798:J798)=3,K798=""),AND(COUNTA(H798:J798)=1,K798&lt;&gt;"")),ROUND(PRODUCT(H798:K798),2),"")</f>
        <v/>
      </c>
      <c r="M798" s="5">
        <f>IF(L798&lt;&gt;"",ROUND(PRODUCT(F798,G798,L798),2),IF(K798&lt;&gt;"",ROUND(PRODUCT(F798,G798,K798),2),ROUND(PRODUCT(F798:J798),2)))</f>
        <v>-1.68</v>
      </c>
      <c r="N798" s="5"/>
    </row>
    <row r="799" spans="1:14" ht="43.2" x14ac:dyDescent="0.3">
      <c r="A799" s="23" t="s">
        <v>462</v>
      </c>
      <c r="B799" s="23">
        <v>101161</v>
      </c>
      <c r="C799" s="23" t="str">
        <f>VLOOKUP(B799,CPU!$B:$J,2,FALSE)</f>
        <v>SINAPI</v>
      </c>
      <c r="D799" s="24" t="str">
        <f>VLOOKUP(B799,CPU!$B:$J,3,FALSE)</f>
        <v>ALVENARIA DE VEDAÇÃO COM ELEMENTO VAZADO DE CONCRETO (COBOGÓ) DE 7X50X50CM E ARGAMASSA DE ASSENTAMENTO COM PREPARO EM BETONEIRA. AF_05/2020</v>
      </c>
      <c r="E799" s="23" t="str">
        <f>VLOOKUP(B799,CPU!$B:$J,4,FALSE)</f>
        <v>M2</v>
      </c>
      <c r="F799" s="23"/>
      <c r="G799" s="23"/>
      <c r="H799" s="23"/>
      <c r="I799" s="23"/>
      <c r="J799" s="23"/>
      <c r="K799" s="23"/>
      <c r="L799" s="23"/>
      <c r="M799" s="23"/>
      <c r="N799" s="5">
        <f>SUM($M$800:$M$800)</f>
        <v>1.5</v>
      </c>
    </row>
    <row r="800" spans="1:14" x14ac:dyDescent="0.3">
      <c r="A800" s="23" t="s">
        <v>972</v>
      </c>
      <c r="B800" s="65" t="s">
        <v>516</v>
      </c>
      <c r="C800" s="66"/>
      <c r="D800" s="66"/>
      <c r="E800" s="67"/>
      <c r="F800" s="5"/>
      <c r="G800" s="26">
        <v>3</v>
      </c>
      <c r="H800" s="5">
        <v>1</v>
      </c>
      <c r="I800" s="5">
        <v>0.5</v>
      </c>
      <c r="J800" s="5"/>
      <c r="K800" s="5">
        <f>IF(COUNTA(H800:J800)=2,ROUND(PRODUCT(H800:J800),2),"")</f>
        <v>0.5</v>
      </c>
      <c r="L800" s="5" t="str">
        <f>IF(OR(AND(COUNTA(H800:J800)=3,K800=""),AND(COUNTA(H800:J800)=1,K800&lt;&gt;"")),ROUND(PRODUCT(H800:K800),2),"")</f>
        <v/>
      </c>
      <c r="M800" s="5">
        <f>IF(L800&lt;&gt;"",ROUND(PRODUCT(F800,G800,L800),2),IF(K800&lt;&gt;"",ROUND(PRODUCT(F800,G800,K800),2),ROUND(PRODUCT(F800:J800),2)))</f>
        <v>1.5</v>
      </c>
      <c r="N800" s="5"/>
    </row>
    <row r="801" spans="1:14" x14ac:dyDescent="0.3">
      <c r="A801" s="15" t="s">
        <v>115</v>
      </c>
      <c r="B801" s="49" t="s">
        <v>598</v>
      </c>
      <c r="C801" s="50"/>
      <c r="D801" s="50"/>
      <c r="E801" s="50"/>
      <c r="F801" s="50"/>
      <c r="G801" s="50"/>
      <c r="H801" s="50"/>
      <c r="I801" s="50"/>
      <c r="J801" s="50"/>
      <c r="K801" s="50"/>
      <c r="L801" s="50"/>
      <c r="M801" s="50"/>
      <c r="N801" s="51"/>
    </row>
    <row r="802" spans="1:14" ht="28.8" x14ac:dyDescent="0.3">
      <c r="A802" s="23" t="s">
        <v>463</v>
      </c>
      <c r="B802" s="23" t="s">
        <v>599</v>
      </c>
      <c r="C802" s="23" t="str">
        <f>VLOOKUP(B802,CPU!$B:$J,2,FALSE)</f>
        <v>PRÓPRIA</v>
      </c>
      <c r="D802" s="24" t="str">
        <f>VLOOKUP(B802,CPU!$B:$J,3,FALSE)</f>
        <v>TELHAMENTO COM TELHA CERÂMICA CAPA-CANAL, TIPO COLONIAL, COM ATÉ 2 ÁGUAS, INCLUSO TRANSPORTE VERTICAL</v>
      </c>
      <c r="E802" s="23" t="str">
        <f>VLOOKUP(B802,CPU!$B:$J,4,FALSE)</f>
        <v>M²</v>
      </c>
      <c r="F802" s="23"/>
      <c r="G802" s="23"/>
      <c r="H802" s="23"/>
      <c r="I802" s="23"/>
      <c r="J802" s="23"/>
      <c r="K802" s="23"/>
      <c r="L802" s="23"/>
      <c r="M802" s="23"/>
      <c r="N802" s="5">
        <f>SUM($M$803:$M$803)</f>
        <v>10.23</v>
      </c>
    </row>
    <row r="803" spans="1:14" x14ac:dyDescent="0.3">
      <c r="A803" s="23" t="s">
        <v>973</v>
      </c>
      <c r="B803" s="65" t="s">
        <v>516</v>
      </c>
      <c r="C803" s="66"/>
      <c r="D803" s="66"/>
      <c r="E803" s="67"/>
      <c r="F803" s="5"/>
      <c r="G803" s="26"/>
      <c r="H803" s="5">
        <v>3.1</v>
      </c>
      <c r="I803" s="5">
        <v>3.3</v>
      </c>
      <c r="J803" s="5"/>
      <c r="K803" s="5">
        <f>IF(COUNTA(H803:J803)=2,ROUND(PRODUCT(H803:J803),2),"")</f>
        <v>10.23</v>
      </c>
      <c r="L803" s="5" t="str">
        <f>IF(OR(AND(COUNTA(H803:J803)=3,K803=""),AND(COUNTA(H803:J803)=1,K803&lt;&gt;"")),ROUND(PRODUCT(H803:K803),2),"")</f>
        <v/>
      </c>
      <c r="M803" s="5">
        <f>IF(L803&lt;&gt;"",ROUND(PRODUCT(F803,G803,L803),2),IF(K803&lt;&gt;"",ROUND(PRODUCT(F803,G803,K803),2),ROUND(PRODUCT(F803:J803),2)))</f>
        <v>10.23</v>
      </c>
      <c r="N803" s="5"/>
    </row>
    <row r="804" spans="1:14" ht="28.8" x14ac:dyDescent="0.3">
      <c r="A804" s="23" t="s">
        <v>464</v>
      </c>
      <c r="B804" s="23" t="s">
        <v>601</v>
      </c>
      <c r="C804" s="23" t="str">
        <f>VLOOKUP(B804,CPU!$B:$J,2,FALSE)</f>
        <v>PRÓPRIA</v>
      </c>
      <c r="D804" s="24" t="str">
        <f>VLOOKUP(B804,CPU!$B:$J,3,FALSE)</f>
        <v>TRAMA DE MADEIRA COMPOSTA POR RIPAS, CAIBROS E TERÇAS PARA TELHADOS DE ATÉ 2 ÁGUAS PARA TELHA CERÂMICA CAPA-CANAL, INCLUSO TRANSPORTE VERTICAL</v>
      </c>
      <c r="E804" s="23" t="str">
        <f>VLOOKUP(B804,CPU!$B:$J,4,FALSE)</f>
        <v>M²</v>
      </c>
      <c r="F804" s="23"/>
      <c r="G804" s="23"/>
      <c r="H804" s="23"/>
      <c r="I804" s="23"/>
      <c r="J804" s="23"/>
      <c r="K804" s="23"/>
      <c r="L804" s="23"/>
      <c r="M804" s="23"/>
      <c r="N804" s="5">
        <f>SUM($M$805:$M$805)</f>
        <v>10.23</v>
      </c>
    </row>
    <row r="805" spans="1:14" x14ac:dyDescent="0.3">
      <c r="A805" s="23" t="s">
        <v>974</v>
      </c>
      <c r="B805" s="65" t="s">
        <v>516</v>
      </c>
      <c r="C805" s="66"/>
      <c r="D805" s="66"/>
      <c r="E805" s="67"/>
      <c r="F805" s="5"/>
      <c r="G805" s="26"/>
      <c r="H805" s="5">
        <v>3.1</v>
      </c>
      <c r="I805" s="5">
        <v>3.3</v>
      </c>
      <c r="J805" s="5"/>
      <c r="K805" s="5">
        <f>IF(COUNTA(H805:J805)=2,ROUND(PRODUCT(H805:J805),2),"")</f>
        <v>10.23</v>
      </c>
      <c r="L805" s="5" t="str">
        <f>IF(OR(AND(COUNTA(H805:J805)=3,K805=""),AND(COUNTA(H805:J805)=1,K805&lt;&gt;"")),ROUND(PRODUCT(H805:K805),2),"")</f>
        <v/>
      </c>
      <c r="M805" s="5">
        <f>IF(L805&lt;&gt;"",ROUND(PRODUCT(F805,G805,L805),2),IF(K805&lt;&gt;"",ROUND(PRODUCT(F805,G805,K805),2),ROUND(PRODUCT(F805:J805),2)))</f>
        <v>10.23</v>
      </c>
      <c r="N805" s="5"/>
    </row>
    <row r="806" spans="1:14" x14ac:dyDescent="0.3">
      <c r="A806" s="15" t="s">
        <v>116</v>
      </c>
      <c r="B806" s="49" t="s">
        <v>603</v>
      </c>
      <c r="C806" s="50"/>
      <c r="D806" s="50"/>
      <c r="E806" s="50"/>
      <c r="F806" s="50"/>
      <c r="G806" s="50"/>
      <c r="H806" s="50"/>
      <c r="I806" s="50"/>
      <c r="J806" s="50"/>
      <c r="K806" s="50"/>
      <c r="L806" s="50"/>
      <c r="M806" s="50"/>
      <c r="N806" s="51"/>
    </row>
    <row r="807" spans="1:14" ht="28.8" x14ac:dyDescent="0.3">
      <c r="A807" s="23" t="s">
        <v>465</v>
      </c>
      <c r="B807" s="23">
        <v>96617</v>
      </c>
      <c r="C807" s="23" t="str">
        <f>VLOOKUP(B807,CPU!$B:$J,2,FALSE)</f>
        <v>SINAPI</v>
      </c>
      <c r="D807" s="24" t="str">
        <f>VLOOKUP(B807,CPU!$B:$J,3,FALSE)</f>
        <v>LASTRO DE CONCRETO MAGRO, APLICADO EM BLOCOS DE COROAMENTO OU SAPATAS, ESPESSURA DE 3 CM. AF_01/2024</v>
      </c>
      <c r="E807" s="23" t="str">
        <f>VLOOKUP(B807,CPU!$B:$J,4,FALSE)</f>
        <v>M2</v>
      </c>
      <c r="F807" s="23"/>
      <c r="G807" s="23"/>
      <c r="H807" s="23"/>
      <c r="I807" s="23"/>
      <c r="J807" s="23"/>
      <c r="K807" s="23"/>
      <c r="L807" s="23"/>
      <c r="M807" s="23"/>
      <c r="N807" s="5">
        <f>SUM($M$808:$M$808)</f>
        <v>4</v>
      </c>
    </row>
    <row r="808" spans="1:14" x14ac:dyDescent="0.3">
      <c r="A808" s="23" t="s">
        <v>975</v>
      </c>
      <c r="B808" s="65" t="s">
        <v>516</v>
      </c>
      <c r="C808" s="66"/>
      <c r="D808" s="66"/>
      <c r="E808" s="67"/>
      <c r="F808" s="5"/>
      <c r="G808" s="26"/>
      <c r="H808" s="5">
        <v>2</v>
      </c>
      <c r="I808" s="5">
        <v>2</v>
      </c>
      <c r="J808" s="5"/>
      <c r="K808" s="5">
        <f>IF(COUNTA(H808:J808)=2,ROUND(PRODUCT(H808:J808),2),"")</f>
        <v>4</v>
      </c>
      <c r="L808" s="5" t="str">
        <f>IF(OR(AND(COUNTA(H808:J808)=3,K808=""),AND(COUNTA(H808:J808)=1,K808&lt;&gt;"")),ROUND(PRODUCT(H808:K808),2),"")</f>
        <v/>
      </c>
      <c r="M808" s="5">
        <f>IF(L808&lt;&gt;"",ROUND(PRODUCT(F808,G808,L808),2),IF(K808&lt;&gt;"",ROUND(PRODUCT(F808,G808,K808),2),ROUND(PRODUCT(F808:J808),2)))</f>
        <v>4</v>
      </c>
      <c r="N808" s="5"/>
    </row>
    <row r="809" spans="1:14" ht="28.8" x14ac:dyDescent="0.3">
      <c r="A809" s="23" t="s">
        <v>466</v>
      </c>
      <c r="B809" s="23">
        <v>101749</v>
      </c>
      <c r="C809" s="23" t="str">
        <f>VLOOKUP(B809,CPU!$B:$J,2,FALSE)</f>
        <v>SINAPI</v>
      </c>
      <c r="D809" s="24" t="str">
        <f>VLOOKUP(B809,CPU!$B:$J,3,FALSE)</f>
        <v>PISO CIMENTADO, TRAÇO 1:3 (CIMENTO E AREIA), ACABAMENTO LISO, ESPESSURA 4,0 CM, PREPARO MECÂNICO DA ARGAMASSA. AF_09/2020</v>
      </c>
      <c r="E809" s="23" t="str">
        <f>VLOOKUP(B809,CPU!$B:$J,4,FALSE)</f>
        <v>M2</v>
      </c>
      <c r="F809" s="23"/>
      <c r="G809" s="23"/>
      <c r="H809" s="23"/>
      <c r="I809" s="23"/>
      <c r="J809" s="23"/>
      <c r="K809" s="23"/>
      <c r="L809" s="23"/>
      <c r="M809" s="23"/>
      <c r="N809" s="5">
        <f>SUM($M$810:$M$810)</f>
        <v>4</v>
      </c>
    </row>
    <row r="810" spans="1:14" x14ac:dyDescent="0.3">
      <c r="A810" s="23" t="s">
        <v>976</v>
      </c>
      <c r="B810" s="65" t="s">
        <v>516</v>
      </c>
      <c r="C810" s="66"/>
      <c r="D810" s="66"/>
      <c r="E810" s="67"/>
      <c r="F810" s="5"/>
      <c r="G810" s="26"/>
      <c r="H810" s="5">
        <v>2</v>
      </c>
      <c r="I810" s="5">
        <v>2</v>
      </c>
      <c r="J810" s="5"/>
      <c r="K810" s="5">
        <f>IF(COUNTA(H810:J810)=2,ROUND(PRODUCT(H810:J810),2),"")</f>
        <v>4</v>
      </c>
      <c r="L810" s="5" t="str">
        <f>IF(OR(AND(COUNTA(H810:J810)=3,K810=""),AND(COUNTA(H810:J810)=1,K810&lt;&gt;"")),ROUND(PRODUCT(H810:K810),2),"")</f>
        <v/>
      </c>
      <c r="M810" s="5">
        <f>IF(L810&lt;&gt;"",ROUND(PRODUCT(F810,G810,L810),2),IF(K810&lt;&gt;"",ROUND(PRODUCT(F810,G810,K810),2),ROUND(PRODUCT(F810:J810),2)))</f>
        <v>4</v>
      </c>
      <c r="N810" s="5"/>
    </row>
    <row r="811" spans="1:14" ht="43.2" x14ac:dyDescent="0.3">
      <c r="A811" s="23" t="s">
        <v>467</v>
      </c>
      <c r="B811" s="23">
        <v>94994</v>
      </c>
      <c r="C811" s="23" t="str">
        <f>VLOOKUP(B811,CPU!$B:$J,2,FALSE)</f>
        <v>SINAPI</v>
      </c>
      <c r="D811" s="24" t="str">
        <f>VLOOKUP(B811,CPU!$B:$J,3,FALSE)</f>
        <v>EXECUÇÃO DE PASSEIO (CALÇADA) OU PISO DE CONCRETO COM CONCRETO MOLDADO IN LOCO, FEITO EM OBRA, ACABAMENTO CONVENCIONAL, ESPESSURA 8 CM, ARMADO. AF_08/2022</v>
      </c>
      <c r="E811" s="23" t="str">
        <f>VLOOKUP(B811,CPU!$B:$J,4,FALSE)</f>
        <v>M2</v>
      </c>
      <c r="F811" s="23"/>
      <c r="G811" s="23"/>
      <c r="H811" s="23"/>
      <c r="I811" s="23"/>
      <c r="J811" s="23"/>
      <c r="K811" s="23"/>
      <c r="L811" s="23"/>
      <c r="M811" s="23"/>
      <c r="N811" s="5">
        <f>SUM($M$812:$M$813)</f>
        <v>5.6</v>
      </c>
    </row>
    <row r="812" spans="1:14" x14ac:dyDescent="0.3">
      <c r="A812" s="23" t="s">
        <v>977</v>
      </c>
      <c r="B812" s="65" t="s">
        <v>516</v>
      </c>
      <c r="C812" s="66"/>
      <c r="D812" s="66"/>
      <c r="E812" s="67"/>
      <c r="F812" s="5"/>
      <c r="G812" s="26">
        <v>2</v>
      </c>
      <c r="H812" s="5">
        <v>3.3</v>
      </c>
      <c r="I812" s="5">
        <v>0.5</v>
      </c>
      <c r="J812" s="5"/>
      <c r="K812" s="5">
        <f>IF(COUNTA(H812:J812)=2,ROUND(PRODUCT(H812:J812),2),"")</f>
        <v>1.65</v>
      </c>
      <c r="L812" s="5" t="str">
        <f>IF(OR(AND(COUNTA(H812:J812)=3,K812=""),AND(COUNTA(H812:J812)=1,K812&lt;&gt;"")),ROUND(PRODUCT(H812:K812),2),"")</f>
        <v/>
      </c>
      <c r="M812" s="5">
        <f>IF(L812&lt;&gt;"",ROUND(PRODUCT(F812,G812,L812),2),IF(K812&lt;&gt;"",ROUND(PRODUCT(F812,G812,K812),2),ROUND(PRODUCT(F812:J812),2)))</f>
        <v>3.3</v>
      </c>
      <c r="N812" s="5"/>
    </row>
    <row r="813" spans="1:14" x14ac:dyDescent="0.3">
      <c r="A813" s="23" t="s">
        <v>978</v>
      </c>
      <c r="B813" s="65" t="s">
        <v>516</v>
      </c>
      <c r="C813" s="66"/>
      <c r="D813" s="66"/>
      <c r="E813" s="67"/>
      <c r="F813" s="5"/>
      <c r="G813" s="26">
        <v>2</v>
      </c>
      <c r="H813" s="5">
        <v>2.2999999999999998</v>
      </c>
      <c r="I813" s="5">
        <v>0.5</v>
      </c>
      <c r="J813" s="5"/>
      <c r="K813" s="5">
        <f>IF(COUNTA(H813:J813)=2,ROUND(PRODUCT(H813:J813),2),"")</f>
        <v>1.1499999999999999</v>
      </c>
      <c r="L813" s="5" t="str">
        <f>IF(OR(AND(COUNTA(H813:J813)=3,K813=""),AND(COUNTA(H813:J813)=1,K813&lt;&gt;"")),ROUND(PRODUCT(H813:K813),2),"")</f>
        <v/>
      </c>
      <c r="M813" s="5">
        <f>IF(L813&lt;&gt;"",ROUND(PRODUCT(F813,G813,L813),2),IF(K813&lt;&gt;"",ROUND(PRODUCT(F813,G813,K813),2),ROUND(PRODUCT(F813:J813),2)))</f>
        <v>2.2999999999999998</v>
      </c>
      <c r="N813" s="5"/>
    </row>
    <row r="814" spans="1:14" x14ac:dyDescent="0.3">
      <c r="A814" s="15" t="s">
        <v>117</v>
      </c>
      <c r="B814" s="49" t="s">
        <v>608</v>
      </c>
      <c r="C814" s="50"/>
      <c r="D814" s="50"/>
      <c r="E814" s="50"/>
      <c r="F814" s="50"/>
      <c r="G814" s="50"/>
      <c r="H814" s="50"/>
      <c r="I814" s="50"/>
      <c r="J814" s="50"/>
      <c r="K814" s="50"/>
      <c r="L814" s="50"/>
      <c r="M814" s="50"/>
      <c r="N814" s="51"/>
    </row>
    <row r="815" spans="1:14" ht="43.2" x14ac:dyDescent="0.3">
      <c r="A815" s="23" t="s">
        <v>468</v>
      </c>
      <c r="B815" s="23">
        <v>87904</v>
      </c>
      <c r="C815" s="23" t="str">
        <f>VLOOKUP(B815,CPU!$B:$J,2,FALSE)</f>
        <v>SINAPI</v>
      </c>
      <c r="D815" s="24" t="str">
        <f>VLOOKUP(B815,CPU!$B:$J,3,FALSE)</f>
        <v>CHAPISCO APLICADO EM ALVENARIA (COM PRESENÇA DE VÃOS) E ESTRUTURAS DE CONCRETO DE FACHADA, COM COLHER DE PEDREIRO. ARGAMASSA TRAÇO 1:3 COM PREPARO MANUAL. AF_10/2022</v>
      </c>
      <c r="E815" s="23" t="str">
        <f>VLOOKUP(B815,CPU!$B:$J,4,FALSE)</f>
        <v>M2</v>
      </c>
      <c r="F815" s="23"/>
      <c r="G815" s="23"/>
      <c r="H815" s="23"/>
      <c r="I815" s="23"/>
      <c r="J815" s="23"/>
      <c r="K815" s="23"/>
      <c r="L815" s="23"/>
      <c r="M815" s="23"/>
      <c r="N815" s="5">
        <f>SUM($M$816:$M$816)</f>
        <v>38.619999999999997</v>
      </c>
    </row>
    <row r="816" spans="1:14" x14ac:dyDescent="0.3">
      <c r="A816" s="23" t="s">
        <v>979</v>
      </c>
      <c r="B816" s="65" t="s">
        <v>610</v>
      </c>
      <c r="C816" s="66"/>
      <c r="D816" s="66"/>
      <c r="E816" s="67"/>
      <c r="F816" s="5"/>
      <c r="G816" s="26">
        <v>2</v>
      </c>
      <c r="H816" s="5"/>
      <c r="I816" s="5"/>
      <c r="J816" s="5"/>
      <c r="K816" s="5">
        <v>19.309999999999999</v>
      </c>
      <c r="L816" s="5" t="str">
        <f>IF(OR(AND(COUNTA(H816:J816)=3,K816=""),AND(COUNTA(H816:J816)=1,K816&lt;&gt;"")),ROUND(PRODUCT(H816:K816),2),"")</f>
        <v/>
      </c>
      <c r="M816" s="5">
        <f>IF(L816&lt;&gt;"",ROUND(PRODUCT(F816,G816,L816),2),IF(K816&lt;&gt;"",ROUND(PRODUCT(F816,G816,K816),2),ROUND(PRODUCT(F816:J816),2)))</f>
        <v>38.619999999999997</v>
      </c>
      <c r="N816" s="5"/>
    </row>
    <row r="817" spans="1:14" ht="43.2" x14ac:dyDescent="0.3">
      <c r="A817" s="23" t="s">
        <v>469</v>
      </c>
      <c r="B817" s="23">
        <v>87530</v>
      </c>
      <c r="C817" s="23" t="str">
        <f>VLOOKUP(B817,CPU!$B:$J,2,FALSE)</f>
        <v>SINAPI</v>
      </c>
      <c r="D817" s="24" t="str">
        <f>VLOOKUP(B817,CPU!$B:$J,3,FALSE)</f>
        <v>MASSA ÚNICA, EM ARGAMASSA TRAÇO 1:2:8, PREPARO MANUAL, APLICADA MANUALMENTE EM PAREDES INTERNAS DE AMBIENTES COM ÁREA ENTRE 5M² E 10M², E = 17,5MM, COM TALISCAS. AF_03/2024</v>
      </c>
      <c r="E817" s="23" t="str">
        <f>VLOOKUP(B817,CPU!$B:$J,4,FALSE)</f>
        <v>M2</v>
      </c>
      <c r="F817" s="23"/>
      <c r="G817" s="23"/>
      <c r="H817" s="23"/>
      <c r="I817" s="23"/>
      <c r="J817" s="23"/>
      <c r="K817" s="23"/>
      <c r="L817" s="23"/>
      <c r="M817" s="23"/>
      <c r="N817" s="5">
        <f>SUM($M$818:$M$818)</f>
        <v>38.619999999999997</v>
      </c>
    </row>
    <row r="818" spans="1:14" x14ac:dyDescent="0.3">
      <c r="A818" s="23" t="s">
        <v>980</v>
      </c>
      <c r="B818" s="65" t="s">
        <v>610</v>
      </c>
      <c r="C818" s="66"/>
      <c r="D818" s="66"/>
      <c r="E818" s="67"/>
      <c r="F818" s="5"/>
      <c r="G818" s="26">
        <v>2</v>
      </c>
      <c r="H818" s="5"/>
      <c r="I818" s="5"/>
      <c r="J818" s="5"/>
      <c r="K818" s="5">
        <v>19.309999999999999</v>
      </c>
      <c r="L818" s="5" t="str">
        <f>IF(OR(AND(COUNTA(H818:J818)=3,K818=""),AND(COUNTA(H818:J818)=1,K818&lt;&gt;"")),ROUND(PRODUCT(H818:K818),2),"")</f>
        <v/>
      </c>
      <c r="M818" s="5">
        <f>IF(L818&lt;&gt;"",ROUND(PRODUCT(F818,G818,L818),2),IF(K818&lt;&gt;"",ROUND(PRODUCT(F818,G818,K818),2),ROUND(PRODUCT(F818:J818),2)))</f>
        <v>38.619999999999997</v>
      </c>
      <c r="N818" s="5"/>
    </row>
    <row r="819" spans="1:14" x14ac:dyDescent="0.3">
      <c r="A819" s="15" t="s">
        <v>118</v>
      </c>
      <c r="B819" s="49" t="s">
        <v>612</v>
      </c>
      <c r="C819" s="50"/>
      <c r="D819" s="50"/>
      <c r="E819" s="50"/>
      <c r="F819" s="50"/>
      <c r="G819" s="50"/>
      <c r="H819" s="50"/>
      <c r="I819" s="50"/>
      <c r="J819" s="50"/>
      <c r="K819" s="50"/>
      <c r="L819" s="50"/>
      <c r="M819" s="50"/>
      <c r="N819" s="51"/>
    </row>
    <row r="820" spans="1:14" x14ac:dyDescent="0.3">
      <c r="A820" s="23" t="s">
        <v>470</v>
      </c>
      <c r="B820" s="23">
        <v>100701</v>
      </c>
      <c r="C820" s="23" t="str">
        <f>VLOOKUP(B820,CPU!$B:$J,2,FALSE)</f>
        <v>SINAPI</v>
      </c>
      <c r="D820" s="24" t="str">
        <f>VLOOKUP(B820,CPU!$B:$J,3,FALSE)</f>
        <v>PORTA DE FERRO, DE ABRIR, TIPO GRADE COM CHAPA, COM GUARNIÇÕES. AF_12/2019</v>
      </c>
      <c r="E820" s="23" t="str">
        <f>VLOOKUP(B820,CPU!$B:$J,4,FALSE)</f>
        <v>M2</v>
      </c>
      <c r="F820" s="23"/>
      <c r="G820" s="23"/>
      <c r="H820" s="23"/>
      <c r="I820" s="23"/>
      <c r="J820" s="23"/>
      <c r="K820" s="23"/>
      <c r="L820" s="23"/>
      <c r="M820" s="23"/>
      <c r="N820" s="5">
        <f>SUM($M$821:$M$821)</f>
        <v>1.68</v>
      </c>
    </row>
    <row r="821" spans="1:14" x14ac:dyDescent="0.3">
      <c r="A821" s="23" t="s">
        <v>981</v>
      </c>
      <c r="B821" s="65" t="s">
        <v>516</v>
      </c>
      <c r="C821" s="66"/>
      <c r="D821" s="66"/>
      <c r="E821" s="67"/>
      <c r="F821" s="5"/>
      <c r="G821" s="26">
        <v>1</v>
      </c>
      <c r="H821" s="5"/>
      <c r="I821" s="5">
        <v>0.8</v>
      </c>
      <c r="J821" s="5">
        <v>2.1</v>
      </c>
      <c r="K821" s="5">
        <f>IF(COUNTA(H821:J821)=2,ROUND(PRODUCT(H821:J821),2),"")</f>
        <v>1.68</v>
      </c>
      <c r="L821" s="5" t="str">
        <f>IF(OR(AND(COUNTA(H821:J821)=3,K821=""),AND(COUNTA(H821:J821)=1,K821&lt;&gt;"")),ROUND(PRODUCT(H821:K821),2),"")</f>
        <v/>
      </c>
      <c r="M821" s="5">
        <f>IF(L821&lt;&gt;"",ROUND(PRODUCT(F821,G821,L821),2),IF(K821&lt;&gt;"",ROUND(PRODUCT(F821,G821,K821),2),ROUND(PRODUCT(F821:J821),2)))</f>
        <v>1.68</v>
      </c>
      <c r="N821" s="5"/>
    </row>
    <row r="822" spans="1:14" ht="28.8" x14ac:dyDescent="0.3">
      <c r="A822" s="23" t="s">
        <v>471</v>
      </c>
      <c r="B822" s="23" t="s">
        <v>614</v>
      </c>
      <c r="C822" s="23" t="str">
        <f>VLOOKUP(B822,CPU!$B:$J,2,FALSE)</f>
        <v>SEINFRA</v>
      </c>
      <c r="D822" s="24" t="str">
        <f>VLOOKUP(B822,CPU!$B:$J,3,FALSE)</f>
        <v>PORTÃO DE METALON E BARRA CHATA DE FERRO C/FECHADURA E DOBRADIÇA, INCLUS. PINTURA ESMALTE SINTÉTICO</v>
      </c>
      <c r="E822" s="23" t="str">
        <f>VLOOKUP(B822,CPU!$B:$J,4,FALSE)</f>
        <v>M2</v>
      </c>
      <c r="F822" s="23"/>
      <c r="G822" s="23"/>
      <c r="H822" s="23"/>
      <c r="I822" s="23"/>
      <c r="J822" s="23"/>
      <c r="K822" s="23"/>
      <c r="L822" s="23"/>
      <c r="M822" s="23"/>
      <c r="N822" s="5">
        <f>SUM($M$823:$M$823)</f>
        <v>6</v>
      </c>
    </row>
    <row r="823" spans="1:14" x14ac:dyDescent="0.3">
      <c r="A823" s="23" t="s">
        <v>982</v>
      </c>
      <c r="B823" s="65" t="s">
        <v>516</v>
      </c>
      <c r="C823" s="66"/>
      <c r="D823" s="66"/>
      <c r="E823" s="67"/>
      <c r="F823" s="5"/>
      <c r="G823" s="26"/>
      <c r="H823" s="5"/>
      <c r="I823" s="5">
        <v>3</v>
      </c>
      <c r="J823" s="5">
        <v>2</v>
      </c>
      <c r="K823" s="5">
        <f>IF(COUNTA(H823:J823)=2,ROUND(PRODUCT(H823:J823),2),"")</f>
        <v>6</v>
      </c>
      <c r="L823" s="5" t="str">
        <f>IF(OR(AND(COUNTA(H823:J823)=3,K823=""),AND(COUNTA(H823:J823)=1,K823&lt;&gt;"")),ROUND(PRODUCT(H823:K823),2),"")</f>
        <v/>
      </c>
      <c r="M823" s="5">
        <f>IF(L823&lt;&gt;"",ROUND(PRODUCT(F823,G823,L823),2),IF(K823&lt;&gt;"",ROUND(PRODUCT(F823,G823,K823),2),ROUND(PRODUCT(F823:J823),2)))</f>
        <v>6</v>
      </c>
      <c r="N823" s="5"/>
    </row>
    <row r="824" spans="1:14" x14ac:dyDescent="0.3">
      <c r="A824" s="15" t="s">
        <v>119</v>
      </c>
      <c r="B824" s="49" t="s">
        <v>616</v>
      </c>
      <c r="C824" s="50"/>
      <c r="D824" s="50"/>
      <c r="E824" s="50"/>
      <c r="F824" s="50"/>
      <c r="G824" s="50"/>
      <c r="H824" s="50"/>
      <c r="I824" s="50"/>
      <c r="J824" s="50"/>
      <c r="K824" s="50"/>
      <c r="L824" s="50"/>
      <c r="M824" s="50"/>
      <c r="N824" s="51"/>
    </row>
    <row r="825" spans="1:14" x14ac:dyDescent="0.3">
      <c r="A825" s="23" t="s">
        <v>472</v>
      </c>
      <c r="B825" s="23" t="s">
        <v>617</v>
      </c>
      <c r="C825" s="23" t="str">
        <f>VLOOKUP(B825,CPU!$B:$J,2,FALSE)</f>
        <v>PRÓPRIA</v>
      </c>
      <c r="D825" s="24" t="str">
        <f>VLOOKUP(B825,CPU!$B:$J,3,FALSE)</f>
        <v>CAIAÇÃO EM TRES DEMÃOS EM PAREDES (REF: C0589-SEINFRA 28)</v>
      </c>
      <c r="E825" s="23" t="str">
        <f>VLOOKUP(B825,CPU!$B:$J,4,FALSE)</f>
        <v>M2</v>
      </c>
      <c r="F825" s="23"/>
      <c r="G825" s="23"/>
      <c r="H825" s="23"/>
      <c r="I825" s="23"/>
      <c r="J825" s="23"/>
      <c r="K825" s="23"/>
      <c r="L825" s="23"/>
      <c r="M825" s="23"/>
      <c r="N825" s="5">
        <f>SUM($M$826:$M$826)</f>
        <v>38.619999999999997</v>
      </c>
    </row>
    <row r="826" spans="1:14" x14ac:dyDescent="0.3">
      <c r="A826" s="23" t="s">
        <v>983</v>
      </c>
      <c r="B826" s="65" t="s">
        <v>610</v>
      </c>
      <c r="C826" s="66"/>
      <c r="D826" s="66"/>
      <c r="E826" s="67"/>
      <c r="F826" s="5"/>
      <c r="G826" s="26">
        <v>2</v>
      </c>
      <c r="H826" s="5"/>
      <c r="I826" s="5"/>
      <c r="J826" s="5"/>
      <c r="K826" s="5">
        <v>19.309999999999999</v>
      </c>
      <c r="L826" s="5" t="str">
        <f>IF(OR(AND(COUNTA(H826:J826)=3,K826=""),AND(COUNTA(H826:J826)=1,K826&lt;&gt;"")),ROUND(PRODUCT(H826:K826),2),"")</f>
        <v/>
      </c>
      <c r="M826" s="5">
        <f>IF(L826&lt;&gt;"",ROUND(PRODUCT(F826,G826,L826),2),IF(K826&lt;&gt;"",ROUND(PRODUCT(F826,G826,K826),2),ROUND(PRODUCT(F826:J826),2)))</f>
        <v>38.619999999999997</v>
      </c>
      <c r="N826" s="5"/>
    </row>
    <row r="827" spans="1:14" ht="43.2" x14ac:dyDescent="0.3">
      <c r="A827" s="23" t="s">
        <v>473</v>
      </c>
      <c r="B827" s="23">
        <v>100758</v>
      </c>
      <c r="C827" s="23" t="str">
        <f>VLOOKUP(B827,CPU!$B:$J,2,FALSE)</f>
        <v>SINAPI</v>
      </c>
      <c r="D827" s="24" t="str">
        <f>VLOOKUP(B827,CPU!$B:$J,3,FALSE)</f>
        <v>PINTURA COM TINTA ALQUÍDICA DE ACABAMENTO (ESMALTE SINTÉTICO ACETINADO) APLICADA A ROLO OU PINCEL SOBRE SUPERFÍCIES METÁLICAS (EXCETO PERFIL) EXECUTADO EM OBRA (02 DEMÃOS). AF_01/2020</v>
      </c>
      <c r="E827" s="23" t="str">
        <f>VLOOKUP(B827,CPU!$B:$J,4,FALSE)</f>
        <v>M2</v>
      </c>
      <c r="F827" s="23"/>
      <c r="G827" s="23"/>
      <c r="H827" s="23"/>
      <c r="I827" s="23"/>
      <c r="J827" s="23"/>
      <c r="K827" s="23"/>
      <c r="L827" s="23"/>
      <c r="M827" s="23"/>
      <c r="N827" s="5">
        <f>SUM($M$828:$M$828)</f>
        <v>3.36</v>
      </c>
    </row>
    <row r="828" spans="1:14" x14ac:dyDescent="0.3">
      <c r="A828" s="23" t="s">
        <v>984</v>
      </c>
      <c r="B828" s="65" t="s">
        <v>620</v>
      </c>
      <c r="C828" s="66"/>
      <c r="D828" s="66"/>
      <c r="E828" s="67"/>
      <c r="F828" s="5"/>
      <c r="G828" s="26">
        <v>2</v>
      </c>
      <c r="H828" s="5"/>
      <c r="I828" s="5">
        <v>0.8</v>
      </c>
      <c r="J828" s="5">
        <v>2.1</v>
      </c>
      <c r="K828" s="5">
        <f>IF(COUNTA(H828:J828)=2,ROUND(PRODUCT(H828:J828),2),"")</f>
        <v>1.68</v>
      </c>
      <c r="L828" s="5" t="str">
        <f>IF(OR(AND(COUNTA(H828:J828)=3,K828=""),AND(COUNTA(H828:J828)=1,K828&lt;&gt;"")),ROUND(PRODUCT(H828:K828),2),"")</f>
        <v/>
      </c>
      <c r="M828" s="5">
        <f>IF(L828&lt;&gt;"",ROUND(PRODUCT(F828,G828,L828),2),IF(K828&lt;&gt;"",ROUND(PRODUCT(F828,G828,K828),2),ROUND(PRODUCT(F828:J828),2)))</f>
        <v>3.36</v>
      </c>
      <c r="N828" s="5"/>
    </row>
    <row r="829" spans="1:14" x14ac:dyDescent="0.3">
      <c r="A829" s="15" t="s">
        <v>120</v>
      </c>
      <c r="B829" s="49" t="s">
        <v>621</v>
      </c>
      <c r="C829" s="50"/>
      <c r="D829" s="50"/>
      <c r="E829" s="50"/>
      <c r="F829" s="50"/>
      <c r="G829" s="50"/>
      <c r="H829" s="50"/>
      <c r="I829" s="50"/>
      <c r="J829" s="50"/>
      <c r="K829" s="50"/>
      <c r="L829" s="50"/>
      <c r="M829" s="50"/>
      <c r="N829" s="51"/>
    </row>
    <row r="830" spans="1:14" ht="43.2" x14ac:dyDescent="0.3">
      <c r="A830" s="23" t="s">
        <v>474</v>
      </c>
      <c r="B830" s="23">
        <v>101197</v>
      </c>
      <c r="C830" s="23" t="str">
        <f>VLOOKUP(B830,CPU!$B:$J,2,FALSE)</f>
        <v>SINAPI</v>
      </c>
      <c r="D830" s="24" t="str">
        <f>VLOOKUP(B830,CPU!$B:$J,3,FALSE)</f>
        <v>CERCA COM MOURÕES DE CONCRETO, SEÇÃO "T" PONTA INCLINADA, 10X10 CM, ESPAÇAMENTO DE 2,5 M, CRAVADOS 0,5 M, COM 11 FIOS DE ARAME FARPADO Nº 14 - FORNECIMENTO E INSTALAÇÃO. AF_05/2020</v>
      </c>
      <c r="E830" s="23" t="str">
        <f>VLOOKUP(B830,CPU!$B:$J,4,FALSE)</f>
        <v>M</v>
      </c>
      <c r="F830" s="23"/>
      <c r="G830" s="23"/>
      <c r="H830" s="23"/>
      <c r="I830" s="23"/>
      <c r="J830" s="23"/>
      <c r="K830" s="23"/>
      <c r="L830" s="23"/>
      <c r="M830" s="23"/>
      <c r="N830" s="5">
        <f>SUM($M$831:$M$832)</f>
        <v>37</v>
      </c>
    </row>
    <row r="831" spans="1:14" x14ac:dyDescent="0.3">
      <c r="A831" s="23" t="s">
        <v>985</v>
      </c>
      <c r="B831" s="65" t="s">
        <v>516</v>
      </c>
      <c r="C831" s="66"/>
      <c r="D831" s="66"/>
      <c r="E831" s="67"/>
      <c r="F831" s="5"/>
      <c r="G831" s="26">
        <v>4</v>
      </c>
      <c r="H831" s="5">
        <v>10</v>
      </c>
      <c r="I831" s="5"/>
      <c r="J831" s="5"/>
      <c r="K831" s="5" t="str">
        <f>IF(COUNTA(H831:J831)=2,ROUND(PRODUCT(H831:J831),2),"")</f>
        <v/>
      </c>
      <c r="L831" s="5" t="str">
        <f>IF(OR(AND(COUNTA(H831:J831)=3,K831=""),AND(COUNTA(H831:J831)=1,K831&lt;&gt;"")),ROUND(PRODUCT(H831:K831),2),"")</f>
        <v/>
      </c>
      <c r="M831" s="5">
        <f>IF(L831&lt;&gt;"",ROUND(PRODUCT(F831,G831,L831),2),IF(K831&lt;&gt;"",ROUND(PRODUCT(F831,G831,K831),2),ROUND(PRODUCT(F831:J831),2)))</f>
        <v>40</v>
      </c>
      <c r="N831" s="5"/>
    </row>
    <row r="832" spans="1:14" x14ac:dyDescent="0.3">
      <c r="A832" s="23" t="s">
        <v>986</v>
      </c>
      <c r="B832" s="65" t="s">
        <v>624</v>
      </c>
      <c r="C832" s="66"/>
      <c r="D832" s="66"/>
      <c r="E832" s="67"/>
      <c r="F832" s="5"/>
      <c r="G832" s="26">
        <v>-1</v>
      </c>
      <c r="H832" s="5">
        <v>3</v>
      </c>
      <c r="I832" s="5"/>
      <c r="J832" s="5"/>
      <c r="K832" s="5" t="str">
        <f>IF(COUNTA(H832:J832)=2,ROUND(PRODUCT(H832:J832),2),"")</f>
        <v/>
      </c>
      <c r="L832" s="5" t="str">
        <f>IF(OR(AND(COUNTA(H832:J832)=3,K832=""),AND(COUNTA(H832:J832)=1,K832&lt;&gt;"")),ROUND(PRODUCT(H832:K832),2),"")</f>
        <v/>
      </c>
      <c r="M832" s="5">
        <f>IF(L832&lt;&gt;"",ROUND(PRODUCT(F832,G832,L832),2),IF(K832&lt;&gt;"",ROUND(PRODUCT(F832,G832,K832),2),ROUND(PRODUCT(F832:J832),2)))</f>
        <v>-3</v>
      </c>
      <c r="N832" s="5"/>
    </row>
    <row r="833" spans="1:14" x14ac:dyDescent="0.3">
      <c r="A833" s="12" t="s">
        <v>121</v>
      </c>
      <c r="B833" s="46" t="s">
        <v>625</v>
      </c>
      <c r="C833" s="47"/>
      <c r="D833" s="47"/>
      <c r="E833" s="47"/>
      <c r="F833" s="47"/>
      <c r="G833" s="47"/>
      <c r="H833" s="47"/>
      <c r="I833" s="47"/>
      <c r="J833" s="47"/>
      <c r="K833" s="47"/>
      <c r="L833" s="47"/>
      <c r="M833" s="47"/>
      <c r="N833" s="48"/>
    </row>
    <row r="834" spans="1:14" ht="43.2" x14ac:dyDescent="0.3">
      <c r="A834" s="23" t="s">
        <v>475</v>
      </c>
      <c r="B834" s="23" t="s">
        <v>626</v>
      </c>
      <c r="C834" s="23" t="str">
        <f>VLOOKUP(B834,CPU!$B:$J,2,FALSE)</f>
        <v>PRÓPRIA</v>
      </c>
      <c r="D834" s="24" t="str">
        <f>VLOOKUP(B834,CPU!$B:$J,3,FALSE)</f>
        <v>ENTRADA DE ENERGIA ELÉTRICA, AÉREA, MONOFÁSICA, COM CAIXA DE EMBUTIR, CABO DE 10 MM2 E DISJUNTOR DIN 50A (NÃO INCLUSO O POSTE DE CONCRETO). AF_07/2020_PS (REF: 101493-SINAPI-06/2025)</v>
      </c>
      <c r="E834" s="23" t="str">
        <f>VLOOKUP(B834,CPU!$B:$J,4,FALSE)</f>
        <v>UN</v>
      </c>
      <c r="F834" s="23"/>
      <c r="G834" s="23"/>
      <c r="H834" s="23"/>
      <c r="I834" s="23"/>
      <c r="J834" s="23"/>
      <c r="K834" s="23"/>
      <c r="L834" s="23"/>
      <c r="M834" s="23"/>
      <c r="N834" s="5">
        <f>SUM($M$835:$M$835)</f>
        <v>1</v>
      </c>
    </row>
    <row r="835" spans="1:14" x14ac:dyDescent="0.3">
      <c r="A835" s="23" t="s">
        <v>987</v>
      </c>
      <c r="B835" s="65" t="s">
        <v>516</v>
      </c>
      <c r="C835" s="66"/>
      <c r="D835" s="66"/>
      <c r="E835" s="67"/>
      <c r="F835" s="5">
        <v>1</v>
      </c>
      <c r="G835" s="26"/>
      <c r="H835" s="5"/>
      <c r="I835" s="5"/>
      <c r="J835" s="5"/>
      <c r="K835" s="5" t="str">
        <f>IF(COUNTA(H835:J835)=2,ROUND(PRODUCT(H835:J835),2),"")</f>
        <v/>
      </c>
      <c r="L835" s="5" t="str">
        <f>IF(OR(AND(COUNTA(H835:J835)=3,K835=""),AND(COUNTA(H835:J835)=1,K835&lt;&gt;"")),ROUND(PRODUCT(H835:K835),2),"")</f>
        <v/>
      </c>
      <c r="M835" s="5">
        <f>IF(L835&lt;&gt;"",ROUND(PRODUCT(F835,G835,L835),2),IF(K835&lt;&gt;"",ROUND(PRODUCT(F835,G835,K835),2),ROUND(PRODUCT(F835:J835),2)))</f>
        <v>1</v>
      </c>
      <c r="N835" s="5"/>
    </row>
    <row r="836" spans="1:14" ht="28.8" x14ac:dyDescent="0.3">
      <c r="A836" s="23" t="s">
        <v>476</v>
      </c>
      <c r="B836" s="23">
        <v>93656</v>
      </c>
      <c r="C836" s="23" t="str">
        <f>VLOOKUP(B836,CPU!$B:$J,2,FALSE)</f>
        <v>SINAPI</v>
      </c>
      <c r="D836" s="24" t="str">
        <f>VLOOKUP(B836,CPU!$B:$J,3,FALSE)</f>
        <v>DISJUNTOR MONOPOLAR TIPO DIN, CORRENTE NOMINAL DE 25A - FORNECIMENTO E INSTALAÇÃO. AF_10/2020</v>
      </c>
      <c r="E836" s="23" t="str">
        <f>VLOOKUP(B836,CPU!$B:$J,4,FALSE)</f>
        <v>UN</v>
      </c>
      <c r="F836" s="23"/>
      <c r="G836" s="23"/>
      <c r="H836" s="23"/>
      <c r="I836" s="23"/>
      <c r="J836" s="23"/>
      <c r="K836" s="23"/>
      <c r="L836" s="23"/>
      <c r="M836" s="23"/>
      <c r="N836" s="5">
        <f>SUM($M$837:$M$837)</f>
        <v>1</v>
      </c>
    </row>
    <row r="837" spans="1:14" x14ac:dyDescent="0.3">
      <c r="A837" s="23" t="s">
        <v>988</v>
      </c>
      <c r="B837" s="65" t="s">
        <v>516</v>
      </c>
      <c r="C837" s="66"/>
      <c r="D837" s="66"/>
      <c r="E837" s="67"/>
      <c r="F837" s="5">
        <v>1</v>
      </c>
      <c r="G837" s="26"/>
      <c r="H837" s="5"/>
      <c r="I837" s="5"/>
      <c r="J837" s="5"/>
      <c r="K837" s="5" t="str">
        <f>IF(COUNTA(H837:J837)=2,ROUND(PRODUCT(H837:J837),2),"")</f>
        <v/>
      </c>
      <c r="L837" s="5" t="str">
        <f>IF(OR(AND(COUNTA(H837:J837)=3,K837=""),AND(COUNTA(H837:J837)=1,K837&lt;&gt;"")),ROUND(PRODUCT(H837:K837),2),"")</f>
        <v/>
      </c>
      <c r="M837" s="5">
        <f>IF(L837&lt;&gt;"",ROUND(PRODUCT(F837,G837,L837),2),IF(K837&lt;&gt;"",ROUND(PRODUCT(F837,G837,K837),2),ROUND(PRODUCT(F837:J837),2)))</f>
        <v>1</v>
      </c>
      <c r="N837" s="5"/>
    </row>
    <row r="838" spans="1:14" ht="28.8" x14ac:dyDescent="0.3">
      <c r="A838" s="23" t="s">
        <v>477</v>
      </c>
      <c r="B838" s="23">
        <v>93653</v>
      </c>
      <c r="C838" s="23" t="str">
        <f>VLOOKUP(B838,CPU!$B:$J,2,FALSE)</f>
        <v>SINAPI</v>
      </c>
      <c r="D838" s="24" t="str">
        <f>VLOOKUP(B838,CPU!$B:$J,3,FALSE)</f>
        <v>DISJUNTOR MONOPOLAR TIPO DIN, CORRENTE NOMINAL DE 10A - FORNECIMENTO E INSTALAÇÃO. AF_10/2020</v>
      </c>
      <c r="E838" s="23" t="str">
        <f>VLOOKUP(B838,CPU!$B:$J,4,FALSE)</f>
        <v>UN</v>
      </c>
      <c r="F838" s="23"/>
      <c r="G838" s="23"/>
      <c r="H838" s="23"/>
      <c r="I838" s="23"/>
      <c r="J838" s="23"/>
      <c r="K838" s="23"/>
      <c r="L838" s="23"/>
      <c r="M838" s="23"/>
      <c r="N838" s="5">
        <f>SUM($M$839:$M$839)</f>
        <v>1</v>
      </c>
    </row>
    <row r="839" spans="1:14" x14ac:dyDescent="0.3">
      <c r="A839" s="23" t="s">
        <v>989</v>
      </c>
      <c r="B839" s="65" t="s">
        <v>516</v>
      </c>
      <c r="C839" s="66"/>
      <c r="D839" s="66"/>
      <c r="E839" s="67"/>
      <c r="F839" s="5">
        <v>1</v>
      </c>
      <c r="G839" s="26"/>
      <c r="H839" s="5"/>
      <c r="I839" s="5"/>
      <c r="J839" s="5"/>
      <c r="K839" s="5" t="str">
        <f>IF(COUNTA(H839:J839)=2,ROUND(PRODUCT(H839:J839),2),"")</f>
        <v/>
      </c>
      <c r="L839" s="5" t="str">
        <f>IF(OR(AND(COUNTA(H839:J839)=3,K839=""),AND(COUNTA(H839:J839)=1,K839&lt;&gt;"")),ROUND(PRODUCT(H839:K839),2),"")</f>
        <v/>
      </c>
      <c r="M839" s="5">
        <f>IF(L839&lt;&gt;"",ROUND(PRODUCT(F839,G839,L839),2),IF(K839&lt;&gt;"",ROUND(PRODUCT(F839,G839,K839),2),ROUND(PRODUCT(F839:J839),2)))</f>
        <v>1</v>
      </c>
      <c r="N839" s="5"/>
    </row>
    <row r="840" spans="1:14" x14ac:dyDescent="0.3">
      <c r="A840" s="23" t="s">
        <v>478</v>
      </c>
      <c r="B840" s="23" t="s">
        <v>630</v>
      </c>
      <c r="C840" s="23" t="str">
        <f>VLOOKUP(B840,CPU!$B:$J,2,FALSE)</f>
        <v>ORSE</v>
      </c>
      <c r="D840" s="24" t="str">
        <f>VLOOKUP(B840,CPU!$B:$J,3,FALSE)</f>
        <v>DISPOSITIVO DE PROTEÇÃO CONTRA SURTO DE TENSÃO DPS 60KA - 275V</v>
      </c>
      <c r="E840" s="23" t="str">
        <f>VLOOKUP(B840,CPU!$B:$J,4,FALSE)</f>
        <v>UN</v>
      </c>
      <c r="F840" s="23"/>
      <c r="G840" s="23"/>
      <c r="H840" s="23"/>
      <c r="I840" s="23"/>
      <c r="J840" s="23"/>
      <c r="K840" s="23"/>
      <c r="L840" s="23"/>
      <c r="M840" s="23"/>
      <c r="N840" s="5">
        <f>SUM($M$841:$M$841)</f>
        <v>1</v>
      </c>
    </row>
    <row r="841" spans="1:14" x14ac:dyDescent="0.3">
      <c r="A841" s="23" t="s">
        <v>990</v>
      </c>
      <c r="B841" s="65" t="s">
        <v>516</v>
      </c>
      <c r="C841" s="66"/>
      <c r="D841" s="66"/>
      <c r="E841" s="67"/>
      <c r="F841" s="5">
        <v>1</v>
      </c>
      <c r="G841" s="26"/>
      <c r="H841" s="5"/>
      <c r="I841" s="5"/>
      <c r="J841" s="5"/>
      <c r="K841" s="5" t="str">
        <f>IF(COUNTA(H841:J841)=2,ROUND(PRODUCT(H841:J841),2),"")</f>
        <v/>
      </c>
      <c r="L841" s="5" t="str">
        <f>IF(OR(AND(COUNTA(H841:J841)=3,K841=""),AND(COUNTA(H841:J841)=1,K841&lt;&gt;"")),ROUND(PRODUCT(H841:K841),2),"")</f>
        <v/>
      </c>
      <c r="M841" s="5">
        <f>IF(L841&lt;&gt;"",ROUND(PRODUCT(F841,G841,L841),2),IF(K841&lt;&gt;"",ROUND(PRODUCT(F841,G841,K841),2),ROUND(PRODUCT(F841:J841),2)))</f>
        <v>1</v>
      </c>
      <c r="N841" s="5"/>
    </row>
    <row r="842" spans="1:14" ht="28.8" x14ac:dyDescent="0.3">
      <c r="A842" s="23" t="s">
        <v>479</v>
      </c>
      <c r="B842" s="23">
        <v>101877</v>
      </c>
      <c r="C842" s="23" t="str">
        <f>VLOOKUP(B842,CPU!$B:$J,2,FALSE)</f>
        <v>SINAPI</v>
      </c>
      <c r="D842" s="24" t="str">
        <f>VLOOKUP(B842,CPU!$B:$J,3,FALSE)</f>
        <v>QUADRO DE DISTRIBUIÇÃO DE ENERGIA EM PVC, DE EMBUTIR, SEM BARRAMENTO, PARA 3 DISJUNTORES - FORNECIMENTO E INSTALAÇÃO. AF_10/2020</v>
      </c>
      <c r="E842" s="23" t="str">
        <f>VLOOKUP(B842,CPU!$B:$J,4,FALSE)</f>
        <v>UN</v>
      </c>
      <c r="F842" s="23"/>
      <c r="G842" s="23"/>
      <c r="H842" s="23"/>
      <c r="I842" s="23"/>
      <c r="J842" s="23"/>
      <c r="K842" s="23"/>
      <c r="L842" s="23"/>
      <c r="M842" s="23"/>
      <c r="N842" s="5">
        <f>SUM($M$843:$M$843)</f>
        <v>1</v>
      </c>
    </row>
    <row r="843" spans="1:14" x14ac:dyDescent="0.3">
      <c r="A843" s="23" t="s">
        <v>991</v>
      </c>
      <c r="B843" s="65" t="s">
        <v>516</v>
      </c>
      <c r="C843" s="66"/>
      <c r="D843" s="66"/>
      <c r="E843" s="67"/>
      <c r="F843" s="5">
        <v>1</v>
      </c>
      <c r="G843" s="26"/>
      <c r="H843" s="5"/>
      <c r="I843" s="5"/>
      <c r="J843" s="5"/>
      <c r="K843" s="5" t="str">
        <f>IF(COUNTA(H843:J843)=2,ROUND(PRODUCT(H843:J843),2),"")</f>
        <v/>
      </c>
      <c r="L843" s="5" t="str">
        <f>IF(OR(AND(COUNTA(H843:J843)=3,K843=""),AND(COUNTA(H843:J843)=1,K843&lt;&gt;"")),ROUND(PRODUCT(H843:K843),2),"")</f>
        <v/>
      </c>
      <c r="M843" s="5">
        <f>IF(L843&lt;&gt;"",ROUND(PRODUCT(F843,G843,L843),2),IF(K843&lt;&gt;"",ROUND(PRODUCT(F843,G843,K843),2),ROUND(PRODUCT(F843:J843),2)))</f>
        <v>1</v>
      </c>
      <c r="N843" s="5"/>
    </row>
    <row r="844" spans="1:14" ht="43.2" x14ac:dyDescent="0.3">
      <c r="A844" s="23" t="s">
        <v>480</v>
      </c>
      <c r="B844" s="23" t="s">
        <v>633</v>
      </c>
      <c r="C844" s="23" t="str">
        <f>VLOOKUP(B844,CPU!$B:$J,2,FALSE)</f>
        <v>PRÓPRIA</v>
      </c>
      <c r="D844" s="24" t="str">
        <f>VLOOKUP(B844,CPU!$B:$J,3,FALSE)</f>
        <v>PONTO DE ILUMINAÇÃO E TOMADA, RESIDENCIAL, INCLUINDO INTERRUPTOR SIMPLES E TOMADA 10A/250V, CAIXA ELÉTRICA, ELETRODUTO, CABO, RASGO, QUEBRA E CHUMBAMENTO (EXCLUINDO LUMINÁRIA E LÂMPADA)</v>
      </c>
      <c r="E844" s="23" t="str">
        <f>VLOOKUP(B844,CPU!$B:$J,4,FALSE)</f>
        <v>UN</v>
      </c>
      <c r="F844" s="23"/>
      <c r="G844" s="23"/>
      <c r="H844" s="23"/>
      <c r="I844" s="23"/>
      <c r="J844" s="23"/>
      <c r="K844" s="23"/>
      <c r="L844" s="23"/>
      <c r="M844" s="23"/>
      <c r="N844" s="5">
        <f>SUM($M$845:$M$845)</f>
        <v>1</v>
      </c>
    </row>
    <row r="845" spans="1:14" x14ac:dyDescent="0.3">
      <c r="A845" s="23" t="s">
        <v>992</v>
      </c>
      <c r="B845" s="65" t="s">
        <v>516</v>
      </c>
      <c r="C845" s="66"/>
      <c r="D845" s="66"/>
      <c r="E845" s="67"/>
      <c r="F845" s="5">
        <v>1</v>
      </c>
      <c r="G845" s="26"/>
      <c r="H845" s="5"/>
      <c r="I845" s="5"/>
      <c r="J845" s="5"/>
      <c r="K845" s="5" t="str">
        <f>IF(COUNTA(H845:J845)=2,ROUND(PRODUCT(H845:J845),2),"")</f>
        <v/>
      </c>
      <c r="L845" s="5" t="str">
        <f>IF(OR(AND(COUNTA(H845:J845)=3,K845=""),AND(COUNTA(H845:J845)=1,K845&lt;&gt;"")),ROUND(PRODUCT(H845:K845),2),"")</f>
        <v/>
      </c>
      <c r="M845" s="5">
        <f>IF(L845&lt;&gt;"",ROUND(PRODUCT(F845,G845,L845),2),IF(K845&lt;&gt;"",ROUND(PRODUCT(F845,G845,K845),2),ROUND(PRODUCT(F845:J845),2)))</f>
        <v>1</v>
      </c>
      <c r="N845" s="5"/>
    </row>
    <row r="846" spans="1:14" ht="28.8" x14ac:dyDescent="0.3">
      <c r="A846" s="23" t="s">
        <v>481</v>
      </c>
      <c r="B846" s="23">
        <v>97610</v>
      </c>
      <c r="C846" s="23" t="str">
        <f>VLOOKUP(B846,CPU!$B:$J,2,FALSE)</f>
        <v>SINAPI</v>
      </c>
      <c r="D846" s="24" t="str">
        <f>VLOOKUP(B846,CPU!$B:$J,3,FALSE)</f>
        <v>LÂMPADA COMPACTA DE LED 10 W, BASE E27 - FORNECIMENTO E INSTALAÇÃO. AF_09/2024</v>
      </c>
      <c r="E846" s="23" t="str">
        <f>VLOOKUP(B846,CPU!$B:$J,4,FALSE)</f>
        <v>UN</v>
      </c>
      <c r="F846" s="23"/>
      <c r="G846" s="23"/>
      <c r="H846" s="23"/>
      <c r="I846" s="23"/>
      <c r="J846" s="23"/>
      <c r="K846" s="23"/>
      <c r="L846" s="23"/>
      <c r="M846" s="23"/>
      <c r="N846" s="5">
        <f>SUM($M$847:$M$847)</f>
        <v>1</v>
      </c>
    </row>
    <row r="847" spans="1:14" x14ac:dyDescent="0.3">
      <c r="A847" s="23" t="s">
        <v>993</v>
      </c>
      <c r="B847" s="65" t="s">
        <v>516</v>
      </c>
      <c r="C847" s="66"/>
      <c r="D847" s="66"/>
      <c r="E847" s="67"/>
      <c r="F847" s="5">
        <v>1</v>
      </c>
      <c r="G847" s="26"/>
      <c r="H847" s="5"/>
      <c r="I847" s="5"/>
      <c r="J847" s="5"/>
      <c r="K847" s="5" t="str">
        <f>IF(COUNTA(H847:J847)=2,ROUND(PRODUCT(H847:J847),2),"")</f>
        <v/>
      </c>
      <c r="L847" s="5" t="str">
        <f>IF(OR(AND(COUNTA(H847:J847)=3,K847=""),AND(COUNTA(H847:J847)=1,K847&lt;&gt;"")),ROUND(PRODUCT(H847:K847),2),"")</f>
        <v/>
      </c>
      <c r="M847" s="5">
        <f>IF(L847&lt;&gt;"",ROUND(PRODUCT(F847,G847,L847),2),IF(K847&lt;&gt;"",ROUND(PRODUCT(F847,G847,K847),2),ROUND(PRODUCT(F847:J847),2)))</f>
        <v>1</v>
      </c>
      <c r="N847" s="5"/>
    </row>
    <row r="848" spans="1:14" ht="28.8" x14ac:dyDescent="0.3">
      <c r="A848" s="23" t="s">
        <v>482</v>
      </c>
      <c r="B848" s="23" t="s">
        <v>636</v>
      </c>
      <c r="C848" s="23" t="str">
        <f>VLOOKUP(B848,CPU!$B:$J,2,FALSE)</f>
        <v>PRÓPRIA</v>
      </c>
      <c r="D848" s="24" t="str">
        <f>VLOOKUP(B848,CPU!$B:$J,3,FALSE)</f>
        <v>LUMINÁRIA ARANDELA TIPO MEIA-LUA COM VIDRO FOSCO *30 X 15* CM, PARA 1 LÂMPADA (SINAPI ADAPTADO 97605)</v>
      </c>
      <c r="E848" s="23" t="str">
        <f>VLOOKUP(B848,CPU!$B:$J,4,FALSE)</f>
        <v>UN</v>
      </c>
      <c r="F848" s="23"/>
      <c r="G848" s="23"/>
      <c r="H848" s="23"/>
      <c r="I848" s="23"/>
      <c r="J848" s="23"/>
      <c r="K848" s="23"/>
      <c r="L848" s="23"/>
      <c r="M848" s="23"/>
      <c r="N848" s="5">
        <f>SUM($M$849:$M$849)</f>
        <v>1</v>
      </c>
    </row>
    <row r="849" spans="1:14" x14ac:dyDescent="0.3">
      <c r="A849" s="23" t="s">
        <v>994</v>
      </c>
      <c r="B849" s="65" t="s">
        <v>516</v>
      </c>
      <c r="C849" s="66"/>
      <c r="D849" s="66"/>
      <c r="E849" s="67"/>
      <c r="F849" s="5">
        <v>1</v>
      </c>
      <c r="G849" s="26"/>
      <c r="H849" s="5"/>
      <c r="I849" s="5"/>
      <c r="J849" s="5"/>
      <c r="K849" s="5" t="str">
        <f>IF(COUNTA(H849:J849)=2,ROUND(PRODUCT(H849:J849),2),"")</f>
        <v/>
      </c>
      <c r="L849" s="5" t="str">
        <f>IF(OR(AND(COUNTA(H849:J849)=3,K849=""),AND(COUNTA(H849:J849)=1,K849&lt;&gt;"")),ROUND(PRODUCT(H849:K849),2),"")</f>
        <v/>
      </c>
      <c r="M849" s="5">
        <f>IF(L849&lt;&gt;"",ROUND(PRODUCT(F849,G849,L849),2),IF(K849&lt;&gt;"",ROUND(PRODUCT(F849,G849,K849),2),ROUND(PRODUCT(F849:J849),2)))</f>
        <v>1</v>
      </c>
      <c r="N849" s="5"/>
    </row>
    <row r="850" spans="1:14" x14ac:dyDescent="0.3">
      <c r="A850" s="12" t="s">
        <v>122</v>
      </c>
      <c r="B850" s="46" t="s">
        <v>638</v>
      </c>
      <c r="C850" s="47"/>
      <c r="D850" s="47"/>
      <c r="E850" s="47"/>
      <c r="F850" s="47"/>
      <c r="G850" s="47"/>
      <c r="H850" s="47"/>
      <c r="I850" s="47"/>
      <c r="J850" s="47"/>
      <c r="K850" s="47"/>
      <c r="L850" s="47"/>
      <c r="M850" s="47"/>
      <c r="N850" s="48"/>
    </row>
    <row r="851" spans="1:14" x14ac:dyDescent="0.3">
      <c r="A851" s="15" t="s">
        <v>123</v>
      </c>
      <c r="B851" s="49" t="s">
        <v>573</v>
      </c>
      <c r="C851" s="50"/>
      <c r="D851" s="50"/>
      <c r="E851" s="50"/>
      <c r="F851" s="50"/>
      <c r="G851" s="50"/>
      <c r="H851" s="50"/>
      <c r="I851" s="50"/>
      <c r="J851" s="50"/>
      <c r="K851" s="50"/>
      <c r="L851" s="50"/>
      <c r="M851" s="50"/>
      <c r="N851" s="51"/>
    </row>
    <row r="852" spans="1:14" x14ac:dyDescent="0.3">
      <c r="A852" s="23" t="s">
        <v>483</v>
      </c>
      <c r="B852" s="23">
        <v>93358</v>
      </c>
      <c r="C852" s="23" t="str">
        <f>VLOOKUP(B852,CPU!$B:$J,2,FALSE)</f>
        <v>SINAPI</v>
      </c>
      <c r="D852" s="24" t="str">
        <f>VLOOKUP(B852,CPU!$B:$J,3,FALSE)</f>
        <v>ESCAVAÇÃO MANUAL DE VALA. AF_09/2024</v>
      </c>
      <c r="E852" s="23" t="str">
        <f>VLOOKUP(B852,CPU!$B:$J,4,FALSE)</f>
        <v>M3</v>
      </c>
      <c r="F852" s="23"/>
      <c r="G852" s="23"/>
      <c r="H852" s="23"/>
      <c r="I852" s="23"/>
      <c r="J852" s="23"/>
      <c r="K852" s="23"/>
      <c r="L852" s="23"/>
      <c r="M852" s="23"/>
      <c r="N852" s="5">
        <f>SUM($M$853:$M$853)</f>
        <v>2.76</v>
      </c>
    </row>
    <row r="853" spans="1:14" x14ac:dyDescent="0.3">
      <c r="A853" s="23" t="s">
        <v>995</v>
      </c>
      <c r="B853" s="65" t="s">
        <v>516</v>
      </c>
      <c r="C853" s="66"/>
      <c r="D853" s="66"/>
      <c r="E853" s="67"/>
      <c r="F853" s="5"/>
      <c r="G853" s="26"/>
      <c r="H853" s="5">
        <v>3.6</v>
      </c>
      <c r="I853" s="5">
        <v>0.6</v>
      </c>
      <c r="J853" s="5">
        <v>1.28</v>
      </c>
      <c r="K853" s="5" t="str">
        <f>IF(COUNTA(H853:J853)=2,ROUND(PRODUCT(H853:J853),2),"")</f>
        <v/>
      </c>
      <c r="L853" s="5">
        <f>IF(OR(AND(COUNTA(H853:J853)=3,K853=""),AND(COUNTA(H853:J853)=1,K853&lt;&gt;"")),ROUND(PRODUCT(H853:K853),2),"")</f>
        <v>2.76</v>
      </c>
      <c r="M853" s="5">
        <f>IF(L853&lt;&gt;"",ROUND(PRODUCT(F853,G853,L853),2),IF(K853&lt;&gt;"",ROUND(PRODUCT(F853,G853,K853),2),ROUND(PRODUCT(F853:J853),2)))</f>
        <v>2.76</v>
      </c>
      <c r="N853" s="5"/>
    </row>
    <row r="854" spans="1:14" x14ac:dyDescent="0.3">
      <c r="A854" s="23" t="s">
        <v>484</v>
      </c>
      <c r="B854" s="23" t="s">
        <v>640</v>
      </c>
      <c r="C854" s="23" t="str">
        <f>VLOOKUP(B854,CPU!$B:$J,2,FALSE)</f>
        <v>PRÓPRIA</v>
      </c>
      <c r="D854" s="24" t="str">
        <f>VLOOKUP(B854,CPU!$B:$J,3,FALSE)</f>
        <v>REATERRO DE VALA COM COMPACTAÇÃO MANUAL</v>
      </c>
      <c r="E854" s="23" t="str">
        <f>VLOOKUP(B854,CPU!$B:$J,4,FALSE)</f>
        <v>M³</v>
      </c>
      <c r="F854" s="23"/>
      <c r="G854" s="23"/>
      <c r="H854" s="23"/>
      <c r="I854" s="23"/>
      <c r="J854" s="23"/>
      <c r="K854" s="23"/>
      <c r="L854" s="23"/>
      <c r="M854" s="23"/>
      <c r="N854" s="5">
        <f>SUM($M$855:$M$855)</f>
        <v>2.76</v>
      </c>
    </row>
    <row r="855" spans="1:14" x14ac:dyDescent="0.3">
      <c r="A855" s="23" t="s">
        <v>996</v>
      </c>
      <c r="B855" s="65" t="s">
        <v>516</v>
      </c>
      <c r="C855" s="66"/>
      <c r="D855" s="66"/>
      <c r="E855" s="67"/>
      <c r="F855" s="5"/>
      <c r="G855" s="26"/>
      <c r="H855" s="5">
        <v>3.6</v>
      </c>
      <c r="I855" s="5">
        <v>0.6</v>
      </c>
      <c r="J855" s="5">
        <v>1.28</v>
      </c>
      <c r="K855" s="5" t="str">
        <f>IF(COUNTA(H855:J855)=2,ROUND(PRODUCT(H855:J855),2),"")</f>
        <v/>
      </c>
      <c r="L855" s="5">
        <f>IF(OR(AND(COUNTA(H855:J855)=3,K855=""),AND(COUNTA(H855:J855)=1,K855&lt;&gt;"")),ROUND(PRODUCT(H855:K855),2),"")</f>
        <v>2.76</v>
      </c>
      <c r="M855" s="5">
        <f>IF(L855&lt;&gt;"",ROUND(PRODUCT(F855,G855,L855),2),IF(K855&lt;&gt;"",ROUND(PRODUCT(F855,G855,K855),2),ROUND(PRODUCT(F855:J855),2)))</f>
        <v>2.76</v>
      </c>
      <c r="N855" s="5"/>
    </row>
    <row r="856" spans="1:14" x14ac:dyDescent="0.3">
      <c r="A856" s="15" t="s">
        <v>124</v>
      </c>
      <c r="B856" s="49" t="s">
        <v>576</v>
      </c>
      <c r="C856" s="50"/>
      <c r="D856" s="50"/>
      <c r="E856" s="50"/>
      <c r="F856" s="50"/>
      <c r="G856" s="50"/>
      <c r="H856" s="50"/>
      <c r="I856" s="50"/>
      <c r="J856" s="50"/>
      <c r="K856" s="50"/>
      <c r="L856" s="50"/>
      <c r="M856" s="50"/>
      <c r="N856" s="51"/>
    </row>
    <row r="857" spans="1:14" x14ac:dyDescent="0.3">
      <c r="A857" s="23" t="s">
        <v>485</v>
      </c>
      <c r="B857" s="23" t="s">
        <v>642</v>
      </c>
      <c r="C857" s="23" t="str">
        <f>VLOOKUP(B857,CPU!$B:$J,2,FALSE)</f>
        <v>SEINFRA</v>
      </c>
      <c r="D857" s="24" t="str">
        <f>VLOOKUP(B857,CPU!$B:$J,3,FALSE)</f>
        <v>BLOCO DE ANCORAGEM EM CONCRETO SIMPLES FCK=10MPa</v>
      </c>
      <c r="E857" s="23" t="str">
        <f>VLOOKUP(B857,CPU!$B:$J,4,FALSE)</f>
        <v>M3</v>
      </c>
      <c r="F857" s="23"/>
      <c r="G857" s="23"/>
      <c r="H857" s="23"/>
      <c r="I857" s="23"/>
      <c r="J857" s="23"/>
      <c r="K857" s="23"/>
      <c r="L857" s="23"/>
      <c r="M857" s="23"/>
      <c r="N857" s="5">
        <f>SUM($M$858:$M$858)</f>
        <v>0.26</v>
      </c>
    </row>
    <row r="858" spans="1:14" x14ac:dyDescent="0.3">
      <c r="A858" s="23" t="s">
        <v>997</v>
      </c>
      <c r="B858" s="65" t="s">
        <v>516</v>
      </c>
      <c r="C858" s="66"/>
      <c r="D858" s="66"/>
      <c r="E858" s="67"/>
      <c r="F858" s="5"/>
      <c r="G858" s="26">
        <v>2</v>
      </c>
      <c r="H858" s="5">
        <v>0.5</v>
      </c>
      <c r="I858" s="5">
        <v>0.5</v>
      </c>
      <c r="J858" s="5">
        <v>0.5</v>
      </c>
      <c r="K858" s="5" t="str">
        <f>IF(COUNTA(H858:J858)=2,ROUND(PRODUCT(H858:J858),2),"")</f>
        <v/>
      </c>
      <c r="L858" s="5">
        <f>IF(OR(AND(COUNTA(H858:J858)=3,K858=""),AND(COUNTA(H858:J858)=1,K858&lt;&gt;"")),ROUND(PRODUCT(H858:K858),2),"")</f>
        <v>0.13</v>
      </c>
      <c r="M858" s="5">
        <f>IF(L858&lt;&gt;"",ROUND(PRODUCT(F858,G858,L858),2),IF(K858&lt;&gt;"",ROUND(PRODUCT(F858,G858,K858),2),ROUND(PRODUCT(F858:J858),2)))</f>
        <v>0.26</v>
      </c>
      <c r="N858" s="5"/>
    </row>
    <row r="859" spans="1:14" x14ac:dyDescent="0.3">
      <c r="A859" s="15" t="s">
        <v>125</v>
      </c>
      <c r="B859" s="49" t="s">
        <v>644</v>
      </c>
      <c r="C859" s="50"/>
      <c r="D859" s="50"/>
      <c r="E859" s="50"/>
      <c r="F859" s="50"/>
      <c r="G859" s="50"/>
      <c r="H859" s="50"/>
      <c r="I859" s="50"/>
      <c r="J859" s="50"/>
      <c r="K859" s="50"/>
      <c r="L859" s="50"/>
      <c r="M859" s="50"/>
      <c r="N859" s="51"/>
    </row>
    <row r="860" spans="1:14" ht="28.8" x14ac:dyDescent="0.3">
      <c r="A860" s="23" t="s">
        <v>486</v>
      </c>
      <c r="B860" s="23" t="s">
        <v>645</v>
      </c>
      <c r="C860" s="23" t="str">
        <f>VLOOKUP(B860,CPU!$B:$J,2,FALSE)</f>
        <v>PRÓPRIA</v>
      </c>
      <c r="D860" s="24" t="str">
        <f>VLOOKUP(B860,CPU!$B:$J,3,FALSE)</f>
        <v>AQUISIÇÃO E ASSENTAMENTO DE TUBO RÍGIDO PVC, CLASSE 12, DN 50 MM, INCLUSO CONEXÕES</v>
      </c>
      <c r="E860" s="23" t="str">
        <f>VLOOKUP(B860,CPU!$B:$J,4,FALSE)</f>
        <v>M</v>
      </c>
      <c r="F860" s="23"/>
      <c r="G860" s="23"/>
      <c r="H860" s="23"/>
      <c r="I860" s="23"/>
      <c r="J860" s="23"/>
      <c r="K860" s="23"/>
      <c r="L860" s="23"/>
      <c r="M860" s="23"/>
      <c r="N860" s="5">
        <f>SUM($M$861:$M$861)</f>
        <v>16</v>
      </c>
    </row>
    <row r="861" spans="1:14" x14ac:dyDescent="0.3">
      <c r="A861" s="23" t="s">
        <v>998</v>
      </c>
      <c r="B861" s="65" t="s">
        <v>516</v>
      </c>
      <c r="C861" s="66"/>
      <c r="D861" s="66"/>
      <c r="E861" s="67"/>
      <c r="F861" s="5">
        <v>16</v>
      </c>
      <c r="G861" s="26"/>
      <c r="H861" s="5"/>
      <c r="I861" s="5"/>
      <c r="J861" s="5"/>
      <c r="K861" s="5" t="str">
        <f>IF(COUNTA(H861:J861)=2,ROUND(PRODUCT(H861:J861),2),"")</f>
        <v/>
      </c>
      <c r="L861" s="5" t="str">
        <f>IF(OR(AND(COUNTA(H861:J861)=3,K861=""),AND(COUNTA(H861:J861)=1,K861&lt;&gt;"")),ROUND(PRODUCT(H861:K861),2),"")</f>
        <v/>
      </c>
      <c r="M861" s="5">
        <f>IF(L861&lt;&gt;"",ROUND(PRODUCT(F861,G861,L861),2),IF(K861&lt;&gt;"",ROUND(PRODUCT(F861,G861,K861),2),ROUND(PRODUCT(F861:J861),2)))</f>
        <v>16</v>
      </c>
      <c r="N861" s="5"/>
    </row>
    <row r="862" spans="1:14" ht="28.8" x14ac:dyDescent="0.3">
      <c r="A862" s="23" t="s">
        <v>487</v>
      </c>
      <c r="B862" s="23">
        <v>94497</v>
      </c>
      <c r="C862" s="23" t="str">
        <f>VLOOKUP(B862,CPU!$B:$J,2,FALSE)</f>
        <v>SINAPI</v>
      </c>
      <c r="D862" s="24" t="str">
        <f>VLOOKUP(B862,CPU!$B:$J,3,FALSE)</f>
        <v>REGISTRO DE GAVETA BRUTO, LATÃO, ROSCÁVEL, 1 1/2" - FORNECIMENTO E INSTALAÇÃO. AF_08/2021</v>
      </c>
      <c r="E862" s="23" t="str">
        <f>VLOOKUP(B862,CPU!$B:$J,4,FALSE)</f>
        <v>UN</v>
      </c>
      <c r="F862" s="23"/>
      <c r="G862" s="23"/>
      <c r="H862" s="23"/>
      <c r="I862" s="23"/>
      <c r="J862" s="23"/>
      <c r="K862" s="23"/>
      <c r="L862" s="23"/>
      <c r="M862" s="23"/>
      <c r="N862" s="5">
        <f>SUM($M$863:$M$863)</f>
        <v>1</v>
      </c>
    </row>
    <row r="863" spans="1:14" x14ac:dyDescent="0.3">
      <c r="A863" s="23" t="s">
        <v>999</v>
      </c>
      <c r="B863" s="65" t="s">
        <v>516</v>
      </c>
      <c r="C863" s="66"/>
      <c r="D863" s="66"/>
      <c r="E863" s="67"/>
      <c r="F863" s="5">
        <v>1</v>
      </c>
      <c r="G863" s="26"/>
      <c r="H863" s="5"/>
      <c r="I863" s="5"/>
      <c r="J863" s="5"/>
      <c r="K863" s="5" t="str">
        <f>IF(COUNTA(H863:J863)=2,ROUND(PRODUCT(H863:J863),2),"")</f>
        <v/>
      </c>
      <c r="L863" s="5" t="str">
        <f>IF(OR(AND(COUNTA(H863:J863)=3,K863=""),AND(COUNTA(H863:J863)=1,K863&lt;&gt;"")),ROUND(PRODUCT(H863:K863),2),"")</f>
        <v/>
      </c>
      <c r="M863" s="5">
        <f>IF(L863&lt;&gt;"",ROUND(PRODUCT(F863,G863,L863),2),IF(K863&lt;&gt;"",ROUND(PRODUCT(F863,G863,K863),2),ROUND(PRODUCT(F863:J863),2)))</f>
        <v>1</v>
      </c>
      <c r="N863" s="5"/>
    </row>
    <row r="864" spans="1:14" x14ac:dyDescent="0.3">
      <c r="A864" s="12" t="s">
        <v>126</v>
      </c>
      <c r="B864" s="46" t="s">
        <v>648</v>
      </c>
      <c r="C864" s="47"/>
      <c r="D864" s="47"/>
      <c r="E864" s="47"/>
      <c r="F864" s="47"/>
      <c r="G864" s="47"/>
      <c r="H864" s="47"/>
      <c r="I864" s="47"/>
      <c r="J864" s="47"/>
      <c r="K864" s="47"/>
      <c r="L864" s="47"/>
      <c r="M864" s="47"/>
      <c r="N864" s="48"/>
    </row>
    <row r="865" spans="1:14" ht="57.6" x14ac:dyDescent="0.3">
      <c r="A865" s="23" t="s">
        <v>488</v>
      </c>
      <c r="B865" s="23" t="s">
        <v>649</v>
      </c>
      <c r="C865" s="23" t="str">
        <f>VLOOKUP(B865,CPU!$B:$J,2,FALSE)</f>
        <v>PRÓPRIA</v>
      </c>
      <c r="D865" s="24" t="str">
        <f>VLOOKUP(B865,CPU!$B:$J,3,FALSE)</f>
        <v>RESERVATÓRIO ELEVADO C/ CAIXA D'AGUA EM FIBRA DE VIDRO DE 10.000 LITROS APOIADO EM ESTRUTURA PRÉ-MOLDADA EM CONCRETO, COMPOSTA DE CAPITEL P/APOIO DA CAIXA E PILAR C/ALTURA ÚTIL = 7,00M, INCLUSO FRETE E MONTAGEM NO LOCAL, EXCETO INST. HIDRÁULICA</v>
      </c>
      <c r="E865" s="23" t="str">
        <f>VLOOKUP(B865,CPU!$B:$J,4,FALSE)</f>
        <v>UND</v>
      </c>
      <c r="F865" s="23"/>
      <c r="G865" s="23"/>
      <c r="H865" s="23"/>
      <c r="I865" s="23"/>
      <c r="J865" s="23"/>
      <c r="K865" s="23"/>
      <c r="L865" s="23"/>
      <c r="M865" s="23"/>
      <c r="N865" s="5">
        <f>SUM($M$866:$M$866)</f>
        <v>1</v>
      </c>
    </row>
    <row r="866" spans="1:14" x14ac:dyDescent="0.3">
      <c r="A866" s="23" t="s">
        <v>1000</v>
      </c>
      <c r="B866" s="65" t="s">
        <v>516</v>
      </c>
      <c r="C866" s="66"/>
      <c r="D866" s="66"/>
      <c r="E866" s="67"/>
      <c r="F866" s="5">
        <v>1</v>
      </c>
      <c r="G866" s="26"/>
      <c r="H866" s="5"/>
      <c r="I866" s="5"/>
      <c r="J866" s="5"/>
      <c r="K866" s="5" t="str">
        <f>IF(COUNTA(H866:J866)=2,ROUND(PRODUCT(H866:J866),2),"")</f>
        <v/>
      </c>
      <c r="L866" s="5" t="str">
        <f>IF(OR(AND(COUNTA(H866:J866)=3,K866=""),AND(COUNTA(H866:J866)=1,K866&lt;&gt;"")),ROUND(PRODUCT(H866:K866),2),"")</f>
        <v/>
      </c>
      <c r="M866" s="5">
        <f>IF(L866&lt;&gt;"",ROUND(PRODUCT(F866,G866,L866),2),IF(K866&lt;&gt;"",ROUND(PRODUCT(F866,G866,K866),2),ROUND(PRODUCT(F866:J866),2)))</f>
        <v>1</v>
      </c>
      <c r="N866" s="5"/>
    </row>
    <row r="867" spans="1:14" x14ac:dyDescent="0.3">
      <c r="A867" s="12" t="s">
        <v>127</v>
      </c>
      <c r="B867" s="46" t="s">
        <v>651</v>
      </c>
      <c r="C867" s="47"/>
      <c r="D867" s="47"/>
      <c r="E867" s="47"/>
      <c r="F867" s="47"/>
      <c r="G867" s="47"/>
      <c r="H867" s="47"/>
      <c r="I867" s="47"/>
      <c r="J867" s="47"/>
      <c r="K867" s="47"/>
      <c r="L867" s="47"/>
      <c r="M867" s="47"/>
      <c r="N867" s="48"/>
    </row>
    <row r="868" spans="1:14" ht="28.8" x14ac:dyDescent="0.3">
      <c r="A868" s="23" t="s">
        <v>489</v>
      </c>
      <c r="B868" s="23" t="s">
        <v>645</v>
      </c>
      <c r="C868" s="23" t="str">
        <f>VLOOKUP(B868,CPU!$B:$J,2,FALSE)</f>
        <v>PRÓPRIA</v>
      </c>
      <c r="D868" s="24" t="str">
        <f>VLOOKUP(B868,CPU!$B:$J,3,FALSE)</f>
        <v>AQUISIÇÃO E ASSENTAMENTO DE TUBO RÍGIDO PVC, CLASSE 12, DN 50 MM, INCLUSO CONEXÕES</v>
      </c>
      <c r="E868" s="23" t="str">
        <f>VLOOKUP(B868,CPU!$B:$J,4,FALSE)</f>
        <v>M</v>
      </c>
      <c r="F868" s="23"/>
      <c r="G868" s="23"/>
      <c r="H868" s="23"/>
      <c r="I868" s="23"/>
      <c r="J868" s="23"/>
      <c r="K868" s="23"/>
      <c r="L868" s="23"/>
      <c r="M868" s="23"/>
      <c r="N868" s="5">
        <f>SUM($M$869:$M$869)</f>
        <v>18</v>
      </c>
    </row>
    <row r="869" spans="1:14" x14ac:dyDescent="0.3">
      <c r="A869" s="23" t="s">
        <v>1001</v>
      </c>
      <c r="B869" s="65" t="s">
        <v>516</v>
      </c>
      <c r="C869" s="66"/>
      <c r="D869" s="66"/>
      <c r="E869" s="67"/>
      <c r="F869" s="5">
        <v>18</v>
      </c>
      <c r="G869" s="26"/>
      <c r="H869" s="5"/>
      <c r="I869" s="5"/>
      <c r="J869" s="5"/>
      <c r="K869" s="5" t="str">
        <f>IF(COUNTA(H869:J869)=2,ROUND(PRODUCT(H869:J869),2),"")</f>
        <v/>
      </c>
      <c r="L869" s="5" t="str">
        <f>IF(OR(AND(COUNTA(H869:J869)=3,K869=""),AND(COUNTA(H869:J869)=1,K869&lt;&gt;"")),ROUND(PRODUCT(H869:K869),2),"")</f>
        <v/>
      </c>
      <c r="M869" s="5">
        <f>IF(L869&lt;&gt;"",ROUND(PRODUCT(F869,G869,L869),2),IF(K869&lt;&gt;"",ROUND(PRODUCT(F869,G869,K869),2),ROUND(PRODUCT(F869:J869),2)))</f>
        <v>18</v>
      </c>
      <c r="N869" s="5"/>
    </row>
    <row r="870" spans="1:14" ht="28.8" x14ac:dyDescent="0.3">
      <c r="A870" s="23" t="s">
        <v>490</v>
      </c>
      <c r="B870" s="23" t="s">
        <v>653</v>
      </c>
      <c r="C870" s="23" t="str">
        <f>VLOOKUP(B870,CPU!$B:$J,2,FALSE)</f>
        <v>ORSE</v>
      </c>
      <c r="D870" s="24" t="str">
        <f>VLOOKUP(B870,CPU!$B:$J,3,FALSE)</f>
        <v>CONCRETO ARMADO FCK=15MPA FABRICADO NA OBRA, ADENSADO E LANÇADO, PARA USO GERAL, COM FORMAS PLANAS EM COMPENSADO RESINADO 12MM (05 USOS)</v>
      </c>
      <c r="E870" s="23" t="str">
        <f>VLOOKUP(B870,CPU!$B:$J,4,FALSE)</f>
        <v>M3</v>
      </c>
      <c r="F870" s="23"/>
      <c r="G870" s="23"/>
      <c r="H870" s="23"/>
      <c r="I870" s="23"/>
      <c r="J870" s="23"/>
      <c r="K870" s="23"/>
      <c r="L870" s="23"/>
      <c r="M870" s="23"/>
      <c r="N870" s="5">
        <f>SUM($M$871:$M$871)</f>
        <v>0.26</v>
      </c>
    </row>
    <row r="871" spans="1:14" x14ac:dyDescent="0.3">
      <c r="A871" s="23" t="s">
        <v>1002</v>
      </c>
      <c r="B871" s="65" t="s">
        <v>655</v>
      </c>
      <c r="C871" s="66"/>
      <c r="D871" s="66"/>
      <c r="E871" s="67"/>
      <c r="F871" s="5"/>
      <c r="G871" s="26">
        <v>2</v>
      </c>
      <c r="H871" s="5">
        <v>0.5</v>
      </c>
      <c r="I871" s="5">
        <v>0.5</v>
      </c>
      <c r="J871" s="5">
        <v>0.5</v>
      </c>
      <c r="K871" s="5" t="str">
        <f>IF(COUNTA(H871:J871)=2,ROUND(PRODUCT(H871:J871),2),"")</f>
        <v/>
      </c>
      <c r="L871" s="5">
        <f>IF(OR(AND(COUNTA(H871:J871)=3,K871=""),AND(COUNTA(H871:J871)=1,K871&lt;&gt;"")),ROUND(PRODUCT(H871:K871),2),"")</f>
        <v>0.13</v>
      </c>
      <c r="M871" s="5">
        <f>IF(L871&lt;&gt;"",ROUND(PRODUCT(F871,G871,L871),2),IF(K871&lt;&gt;"",ROUND(PRODUCT(F871,G871,K871),2),ROUND(PRODUCT(F871:J871),2)))</f>
        <v>0.26</v>
      </c>
      <c r="N871" s="5"/>
    </row>
    <row r="872" spans="1:14" ht="28.8" x14ac:dyDescent="0.3">
      <c r="A872" s="23" t="s">
        <v>491</v>
      </c>
      <c r="B872" s="23">
        <v>86906</v>
      </c>
      <c r="C872" s="23" t="str">
        <f>VLOOKUP(B872,CPU!$B:$J,2,FALSE)</f>
        <v>SINAPI</v>
      </c>
      <c r="D872" s="24" t="str">
        <f>VLOOKUP(B872,CPU!$B:$J,3,FALSE)</f>
        <v>TORNEIRA CROMADA DE MESA, 1/2" OU 3/4", PARA LAVATÓRIO, PADRÃO POPULAR - FORNECIMENTO E INSTALAÇÃO. AF_01/2020</v>
      </c>
      <c r="E872" s="23" t="str">
        <f>VLOOKUP(B872,CPU!$B:$J,4,FALSE)</f>
        <v>UN</v>
      </c>
      <c r="F872" s="23"/>
      <c r="G872" s="23"/>
      <c r="H872" s="23"/>
      <c r="I872" s="23"/>
      <c r="J872" s="23"/>
      <c r="K872" s="23"/>
      <c r="L872" s="23"/>
      <c r="M872" s="23"/>
      <c r="N872" s="5">
        <f>SUM($M$873:$M$873)</f>
        <v>4</v>
      </c>
    </row>
    <row r="873" spans="1:14" x14ac:dyDescent="0.3">
      <c r="A873" s="23" t="s">
        <v>1003</v>
      </c>
      <c r="B873" s="65" t="s">
        <v>516</v>
      </c>
      <c r="C873" s="66"/>
      <c r="D873" s="66"/>
      <c r="E873" s="67"/>
      <c r="F873" s="5">
        <v>4</v>
      </c>
      <c r="G873" s="26"/>
      <c r="H873" s="5"/>
      <c r="I873" s="5"/>
      <c r="J873" s="5"/>
      <c r="K873" s="5" t="str">
        <f>IF(COUNTA(H873:J873)=2,ROUND(PRODUCT(H873:J873),2),"")</f>
        <v/>
      </c>
      <c r="L873" s="5" t="str">
        <f>IF(OR(AND(COUNTA(H873:J873)=3,K873=""),AND(COUNTA(H873:J873)=1,K873&lt;&gt;"")),ROUND(PRODUCT(H873:K873),2),"")</f>
        <v/>
      </c>
      <c r="M873" s="5">
        <f>IF(L873&lt;&gt;"",ROUND(PRODUCT(F873,G873,L873),2),IF(K873&lt;&gt;"",ROUND(PRODUCT(F873,G873,K873),2),ROUND(PRODUCT(F873:J873),2)))</f>
        <v>4</v>
      </c>
      <c r="N873" s="5"/>
    </row>
    <row r="874" spans="1:14" ht="43.2" x14ac:dyDescent="0.3">
      <c r="A874" s="23" t="s">
        <v>492</v>
      </c>
      <c r="B874" s="23">
        <v>92920</v>
      </c>
      <c r="C874" s="23" t="str">
        <f>VLOOKUP(B874,CPU!$B:$J,2,FALSE)</f>
        <v>SINAPI</v>
      </c>
      <c r="D874" s="24" t="str">
        <f>VLOOKUP(B874,CPU!$B:$J,3,FALSE)</f>
        <v>LUVA DE REDUÇÃO, EM FERRO GALVANIZADO, 1" X 3/4", CONEXÃO ROSQUEADA, INSTALADO EM REDE DE ALIMENTAÇÃO PARA HIDRANTE - FORNECIMENTO E INSTALAÇÃO. AF_10/2020</v>
      </c>
      <c r="E874" s="23" t="str">
        <f>VLOOKUP(B874,CPU!$B:$J,4,FALSE)</f>
        <v>UN</v>
      </c>
      <c r="F874" s="23"/>
      <c r="G874" s="23"/>
      <c r="H874" s="23"/>
      <c r="I874" s="23"/>
      <c r="J874" s="23"/>
      <c r="K874" s="23"/>
      <c r="L874" s="23"/>
      <c r="M874" s="23"/>
      <c r="N874" s="5">
        <f>SUM($M$875:$M$875)</f>
        <v>4</v>
      </c>
    </row>
    <row r="875" spans="1:14" x14ac:dyDescent="0.3">
      <c r="A875" s="23" t="s">
        <v>1004</v>
      </c>
      <c r="B875" s="65" t="s">
        <v>516</v>
      </c>
      <c r="C875" s="66"/>
      <c r="D875" s="66"/>
      <c r="E875" s="67"/>
      <c r="F875" s="5">
        <v>4</v>
      </c>
      <c r="G875" s="26"/>
      <c r="H875" s="5"/>
      <c r="I875" s="5"/>
      <c r="J875" s="5"/>
      <c r="K875" s="5" t="str">
        <f>IF(COUNTA(H875:J875)=2,ROUND(PRODUCT(H875:J875),2),"")</f>
        <v/>
      </c>
      <c r="L875" s="5" t="str">
        <f>IF(OR(AND(COUNTA(H875:J875)=3,K875=""),AND(COUNTA(H875:J875)=1,K875&lt;&gt;"")),ROUND(PRODUCT(H875:K875),2),"")</f>
        <v/>
      </c>
      <c r="M875" s="5">
        <f>IF(L875&lt;&gt;"",ROUND(PRODUCT(F875,G875,L875),2),IF(K875&lt;&gt;"",ROUND(PRODUCT(F875,G875,K875),2),ROUND(PRODUCT(F875:J875),2)))</f>
        <v>4</v>
      </c>
      <c r="N875" s="5"/>
    </row>
    <row r="876" spans="1:14" x14ac:dyDescent="0.3">
      <c r="A876" s="23" t="s">
        <v>493</v>
      </c>
      <c r="B876" s="23" t="s">
        <v>658</v>
      </c>
      <c r="C876" s="23" t="str">
        <f>VLOOKUP(B876,CPU!$B:$J,2,FALSE)</f>
        <v>PRÓPRIA</v>
      </c>
      <c r="D876" s="24" t="str">
        <f>VLOOKUP(B876,CPU!$B:$J,3,FALSE)</f>
        <v>CRUZETA DE FERRO GALVANIZADO, COM ROSCA BSP, DE 1"</v>
      </c>
      <c r="E876" s="23" t="str">
        <f>VLOOKUP(B876,CPU!$B:$J,4,FALSE)</f>
        <v>UN</v>
      </c>
      <c r="F876" s="23"/>
      <c r="G876" s="23"/>
      <c r="H876" s="23"/>
      <c r="I876" s="23"/>
      <c r="J876" s="23"/>
      <c r="K876" s="23"/>
      <c r="L876" s="23"/>
      <c r="M876" s="23"/>
      <c r="N876" s="5">
        <f>SUM($M$877:$M$877)</f>
        <v>1</v>
      </c>
    </row>
    <row r="877" spans="1:14" x14ac:dyDescent="0.3">
      <c r="A877" s="23" t="s">
        <v>1005</v>
      </c>
      <c r="B877" s="65" t="s">
        <v>516</v>
      </c>
      <c r="C877" s="66"/>
      <c r="D877" s="66"/>
      <c r="E877" s="67"/>
      <c r="F877" s="5">
        <v>1</v>
      </c>
      <c r="G877" s="26"/>
      <c r="H877" s="5"/>
      <c r="I877" s="5"/>
      <c r="J877" s="5"/>
      <c r="K877" s="5" t="str">
        <f>IF(COUNTA(H877:J877)=2,ROUND(PRODUCT(H877:J877),2),"")</f>
        <v/>
      </c>
      <c r="L877" s="5" t="str">
        <f>IF(OR(AND(COUNTA(H877:J877)=3,K877=""),AND(COUNTA(H877:J877)=1,K877&lt;&gt;"")),ROUND(PRODUCT(H877:K877),2),"")</f>
        <v/>
      </c>
      <c r="M877" s="5">
        <f>IF(L877&lt;&gt;"",ROUND(PRODUCT(F877,G877,L877),2),IF(K877&lt;&gt;"",ROUND(PRODUCT(F877,G877,K877),2),ROUND(PRODUCT(F877:J877),2)))</f>
        <v>1</v>
      </c>
      <c r="N877" s="5"/>
    </row>
    <row r="878" spans="1:14" ht="28.8" x14ac:dyDescent="0.3">
      <c r="A878" s="23" t="s">
        <v>494</v>
      </c>
      <c r="B878" s="23" t="s">
        <v>660</v>
      </c>
      <c r="C878" s="23" t="str">
        <f>VLOOKUP(B878,CPU!$B:$J,2,FALSE)</f>
        <v>PRÓPRIA</v>
      </c>
      <c r="D878" s="24" t="str">
        <f>VLOOKUP(B878,CPU!$B:$J,3,FALSE)</f>
        <v>TÊ, EM FERRO GALVANIZADO, 1", CONEXÃO ROSQUEADA, INSTALADO EM PRUMADAS - FORNECIMENTO E INSTALAÇÃO.</v>
      </c>
      <c r="E878" s="23" t="str">
        <f>VLOOKUP(B878,CPU!$B:$J,4,FALSE)</f>
        <v>UN</v>
      </c>
      <c r="F878" s="23"/>
      <c r="G878" s="23"/>
      <c r="H878" s="23"/>
      <c r="I878" s="23"/>
      <c r="J878" s="23"/>
      <c r="K878" s="23"/>
      <c r="L878" s="23"/>
      <c r="M878" s="23"/>
      <c r="N878" s="5">
        <f>SUM($M$879:$M$879)</f>
        <v>1</v>
      </c>
    </row>
    <row r="879" spans="1:14" x14ac:dyDescent="0.3">
      <c r="A879" s="23" t="s">
        <v>1006</v>
      </c>
      <c r="B879" s="65" t="s">
        <v>516</v>
      </c>
      <c r="C879" s="66"/>
      <c r="D879" s="66"/>
      <c r="E879" s="67"/>
      <c r="F879" s="5">
        <v>1</v>
      </c>
      <c r="G879" s="26"/>
      <c r="H879" s="5"/>
      <c r="I879" s="5"/>
      <c r="J879" s="5"/>
      <c r="K879" s="5" t="str">
        <f>IF(COUNTA(H879:J879)=2,ROUND(PRODUCT(H879:J879),2),"")</f>
        <v/>
      </c>
      <c r="L879" s="5" t="str">
        <f>IF(OR(AND(COUNTA(H879:J879)=3,K879=""),AND(COUNTA(H879:J879)=1,K879&lt;&gt;"")),ROUND(PRODUCT(H879:K879),2),"")</f>
        <v/>
      </c>
      <c r="M879" s="5">
        <f>IF(L879&lt;&gt;"",ROUND(PRODUCT(F879,G879,L879),2),IF(K879&lt;&gt;"",ROUND(PRODUCT(F879,G879,K879),2),ROUND(PRODUCT(F879:J879),2)))</f>
        <v>1</v>
      </c>
      <c r="N879" s="5"/>
    </row>
    <row r="880" spans="1:14" x14ac:dyDescent="0.3">
      <c r="A880" s="23" t="s">
        <v>495</v>
      </c>
      <c r="B880" s="23" t="s">
        <v>662</v>
      </c>
      <c r="C880" s="23" t="str">
        <f>VLOOKUP(B880,CPU!$B:$J,2,FALSE)</f>
        <v>PRÓPRIA</v>
      </c>
      <c r="D880" s="24" t="str">
        <f>VLOOKUP(B880,CPU!$B:$J,3,FALSE)</f>
        <v>LUVA DE FERRO GALVANIZADO, COM ROSCA BSP, DE 1"- FORNECIMENTO E INSTALAÇÃO</v>
      </c>
      <c r="E880" s="23" t="str">
        <f>VLOOKUP(B880,CPU!$B:$J,4,FALSE)</f>
        <v>UN</v>
      </c>
      <c r="F880" s="23"/>
      <c r="G880" s="23"/>
      <c r="H880" s="23"/>
      <c r="I880" s="23"/>
      <c r="J880" s="23"/>
      <c r="K880" s="23"/>
      <c r="L880" s="23"/>
      <c r="M880" s="23"/>
      <c r="N880" s="5">
        <f>SUM($M$881:$M$881)</f>
        <v>1</v>
      </c>
    </row>
    <row r="881" spans="1:14" x14ac:dyDescent="0.3">
      <c r="A881" s="23" t="s">
        <v>1007</v>
      </c>
      <c r="B881" s="65" t="s">
        <v>516</v>
      </c>
      <c r="C881" s="66"/>
      <c r="D881" s="66"/>
      <c r="E881" s="67"/>
      <c r="F881" s="5">
        <v>1</v>
      </c>
      <c r="G881" s="26"/>
      <c r="H881" s="5"/>
      <c r="I881" s="5"/>
      <c r="J881" s="5"/>
      <c r="K881" s="5" t="str">
        <f>IF(COUNTA(H881:J881)=2,ROUND(PRODUCT(H881:J881),2),"")</f>
        <v/>
      </c>
      <c r="L881" s="5" t="str">
        <f>IF(OR(AND(COUNTA(H881:J881)=3,K881=""),AND(COUNTA(H881:J881)=1,K881&lt;&gt;"")),ROUND(PRODUCT(H881:K881),2),"")</f>
        <v/>
      </c>
      <c r="M881" s="5">
        <f>IF(L881&lt;&gt;"",ROUND(PRODUCT(F881,G881,L881),2),IF(K881&lt;&gt;"",ROUND(PRODUCT(F881,G881,K881),2),ROUND(PRODUCT(F881:J881),2)))</f>
        <v>1</v>
      </c>
      <c r="N881" s="5"/>
    </row>
    <row r="882" spans="1:14" ht="28.8" x14ac:dyDescent="0.3">
      <c r="A882" s="23" t="s">
        <v>496</v>
      </c>
      <c r="B882" s="23" t="s">
        <v>664</v>
      </c>
      <c r="C882" s="23" t="str">
        <f>VLOOKUP(B882,CPU!$B:$J,2,FALSE)</f>
        <v>PRÓPRIA</v>
      </c>
      <c r="D882" s="24" t="str">
        <f>VLOOKUP(B882,CPU!$B:$J,3,FALSE)</f>
        <v>CURVA 90 GRAUS DE FERRO GALVANIZADO, COM ROSCA BSP FEMEA, DE 1"- FORNECIMENTO E INSTALAÇÃO</v>
      </c>
      <c r="E882" s="23" t="str">
        <f>VLOOKUP(B882,CPU!$B:$J,4,FALSE)</f>
        <v>UN</v>
      </c>
      <c r="F882" s="23"/>
      <c r="G882" s="23"/>
      <c r="H882" s="23"/>
      <c r="I882" s="23"/>
      <c r="J882" s="23"/>
      <c r="K882" s="23"/>
      <c r="L882" s="23"/>
      <c r="M882" s="23"/>
      <c r="N882" s="5">
        <f>SUM($M$883:$M$883)</f>
        <v>1</v>
      </c>
    </row>
    <row r="883" spans="1:14" x14ac:dyDescent="0.3">
      <c r="A883" s="23" t="s">
        <v>1008</v>
      </c>
      <c r="B883" s="65" t="s">
        <v>516</v>
      </c>
      <c r="C883" s="66"/>
      <c r="D883" s="66"/>
      <c r="E883" s="67"/>
      <c r="F883" s="5">
        <v>1</v>
      </c>
      <c r="G883" s="26"/>
      <c r="H883" s="5"/>
      <c r="I883" s="5"/>
      <c r="J883" s="5"/>
      <c r="K883" s="5" t="str">
        <f>IF(COUNTA(H883:J883)=2,ROUND(PRODUCT(H883:J883),2),"")</f>
        <v/>
      </c>
      <c r="L883" s="5" t="str">
        <f>IF(OR(AND(COUNTA(H883:J883)=3,K883=""),AND(COUNTA(H883:J883)=1,K883&lt;&gt;"")),ROUND(PRODUCT(H883:K883),2),"")</f>
        <v/>
      </c>
      <c r="M883" s="5">
        <f>IF(L883&lt;&gt;"",ROUND(PRODUCT(F883,G883,L883),2),IF(K883&lt;&gt;"",ROUND(PRODUCT(F883,G883,K883),2),ROUND(PRODUCT(F883:J883),2)))</f>
        <v>1</v>
      </c>
      <c r="N883" s="5"/>
    </row>
    <row r="884" spans="1:14" ht="28.8" x14ac:dyDescent="0.3">
      <c r="A884" s="23" t="s">
        <v>497</v>
      </c>
      <c r="B884" s="23" t="s">
        <v>666</v>
      </c>
      <c r="C884" s="23" t="str">
        <f>VLOOKUP(B884,CPU!$B:$J,2,FALSE)</f>
        <v>PRÓPRIA</v>
      </c>
      <c r="D884" s="24" t="str">
        <f>VLOOKUP(B884,CPU!$B:$J,3,FALSE)</f>
        <v>TUBO DE AÇO GALVANIZADO COM COSTURA 1" (25MM), INCLUSIVE CONEXOES - FORNECIMENTO E INSTALAÇÃO</v>
      </c>
      <c r="E884" s="23" t="str">
        <f>VLOOKUP(B884,CPU!$B:$J,4,FALSE)</f>
        <v>M</v>
      </c>
      <c r="F884" s="23"/>
      <c r="G884" s="23"/>
      <c r="H884" s="23"/>
      <c r="I884" s="23"/>
      <c r="J884" s="23"/>
      <c r="K884" s="23"/>
      <c r="L884" s="23"/>
      <c r="M884" s="23"/>
      <c r="N884" s="5">
        <f>SUM($M$885:$M$885)</f>
        <v>3</v>
      </c>
    </row>
    <row r="885" spans="1:14" x14ac:dyDescent="0.3">
      <c r="A885" s="23" t="s">
        <v>1009</v>
      </c>
      <c r="B885" s="65" t="s">
        <v>516</v>
      </c>
      <c r="C885" s="66"/>
      <c r="D885" s="66"/>
      <c r="E885" s="67"/>
      <c r="F885" s="5">
        <v>3</v>
      </c>
      <c r="G885" s="26"/>
      <c r="H885" s="5"/>
      <c r="I885" s="5"/>
      <c r="J885" s="5"/>
      <c r="K885" s="5" t="str">
        <f>IF(COUNTA(H885:J885)=2,ROUND(PRODUCT(H885:J885),2),"")</f>
        <v/>
      </c>
      <c r="L885" s="5" t="str">
        <f>IF(OR(AND(COUNTA(H885:J885)=3,K885=""),AND(COUNTA(H885:J885)=1,K885&lt;&gt;"")),ROUND(PRODUCT(H885:K885),2),"")</f>
        <v/>
      </c>
      <c r="M885" s="5">
        <f>IF(L885&lt;&gt;"",ROUND(PRODUCT(F885,G885,L885),2),IF(K885&lt;&gt;"",ROUND(PRODUCT(F885,G885,K885),2),ROUND(PRODUCT(F885:J885),2)))</f>
        <v>3</v>
      </c>
      <c r="N885" s="5"/>
    </row>
    <row r="886" spans="1:14" ht="28.8" x14ac:dyDescent="0.3">
      <c r="A886" s="23" t="s">
        <v>498</v>
      </c>
      <c r="B886" s="23" t="s">
        <v>668</v>
      </c>
      <c r="C886" s="23" t="str">
        <f>VLOOKUP(B886,CPU!$B:$J,2,FALSE)</f>
        <v>PRÓPRIA</v>
      </c>
      <c r="D886" s="24" t="str">
        <f>VLOOKUP(B886,CPU!$B:$J,3,FALSE)</f>
        <v>BUCHA DE REDUCAO DE FERRO GALVANIZADO, COM ROSCA BSP, DE 1 1/2" X 1"- FORNECIMENTO E INSTALAÇÃO</v>
      </c>
      <c r="E886" s="23" t="str">
        <f>VLOOKUP(B886,CPU!$B:$J,4,FALSE)</f>
        <v>UN</v>
      </c>
      <c r="F886" s="23"/>
      <c r="G886" s="23"/>
      <c r="H886" s="23"/>
      <c r="I886" s="23"/>
      <c r="J886" s="23"/>
      <c r="K886" s="23"/>
      <c r="L886" s="23"/>
      <c r="M886" s="23"/>
      <c r="N886" s="5">
        <f>SUM($M$887:$M$887)</f>
        <v>1</v>
      </c>
    </row>
    <row r="887" spans="1:14" x14ac:dyDescent="0.3">
      <c r="A887" s="23" t="s">
        <v>1010</v>
      </c>
      <c r="B887" s="65" t="s">
        <v>516</v>
      </c>
      <c r="C887" s="66"/>
      <c r="D887" s="66"/>
      <c r="E887" s="67"/>
      <c r="F887" s="5">
        <v>1</v>
      </c>
      <c r="G887" s="26"/>
      <c r="H887" s="5"/>
      <c r="I887" s="5"/>
      <c r="J887" s="5"/>
      <c r="K887" s="5" t="str">
        <f>IF(COUNTA(H887:J887)=2,ROUND(PRODUCT(H887:J887),2),"")</f>
        <v/>
      </c>
      <c r="L887" s="5" t="str">
        <f>IF(OR(AND(COUNTA(H887:J887)=3,K887=""),AND(COUNTA(H887:J887)=1,K887&lt;&gt;"")),ROUND(PRODUCT(H887:K887),2),"")</f>
        <v/>
      </c>
      <c r="M887" s="5">
        <f>IF(L887&lt;&gt;"",ROUND(PRODUCT(F887,G887,L887),2),IF(K887&lt;&gt;"",ROUND(PRODUCT(F887,G887,K887),2),ROUND(PRODUCT(F887:J887),2)))</f>
        <v>1</v>
      </c>
      <c r="N887" s="5"/>
    </row>
    <row r="888" spans="1:14" ht="28.8" x14ac:dyDescent="0.3">
      <c r="A888" s="23" t="s">
        <v>499</v>
      </c>
      <c r="B888" s="23">
        <v>94497</v>
      </c>
      <c r="C888" s="23" t="str">
        <f>VLOOKUP(B888,CPU!$B:$J,2,FALSE)</f>
        <v>SINAPI</v>
      </c>
      <c r="D888" s="24" t="str">
        <f>VLOOKUP(B888,CPU!$B:$J,3,FALSE)</f>
        <v>REGISTRO DE GAVETA BRUTO, LATÃO, ROSCÁVEL, 1 1/2" - FORNECIMENTO E INSTALAÇÃO. AF_08/2021</v>
      </c>
      <c r="E888" s="23" t="str">
        <f>VLOOKUP(B888,CPU!$B:$J,4,FALSE)</f>
        <v>UN</v>
      </c>
      <c r="F888" s="23"/>
      <c r="G888" s="23"/>
      <c r="H888" s="23"/>
      <c r="I888" s="23"/>
      <c r="J888" s="23"/>
      <c r="K888" s="23"/>
      <c r="L888" s="23"/>
      <c r="M888" s="23"/>
      <c r="N888" s="5">
        <f>SUM($M$889:$M$889)</f>
        <v>2</v>
      </c>
    </row>
    <row r="889" spans="1:14" x14ac:dyDescent="0.3">
      <c r="A889" s="23" t="s">
        <v>1011</v>
      </c>
      <c r="B889" s="65" t="s">
        <v>516</v>
      </c>
      <c r="C889" s="66"/>
      <c r="D889" s="66"/>
      <c r="E889" s="67"/>
      <c r="F889" s="5">
        <v>2</v>
      </c>
      <c r="G889" s="26"/>
      <c r="H889" s="5"/>
      <c r="I889" s="5"/>
      <c r="J889" s="5"/>
      <c r="K889" s="5" t="str">
        <f>IF(COUNTA(H889:J889)=2,ROUND(PRODUCT(H889:J889),2),"")</f>
        <v/>
      </c>
      <c r="L889" s="5" t="str">
        <f>IF(OR(AND(COUNTA(H889:J889)=3,K889=""),AND(COUNTA(H889:J889)=1,K889&lt;&gt;"")),ROUND(PRODUCT(H889:K889),2),"")</f>
        <v/>
      </c>
      <c r="M889" s="5">
        <f>IF(L889&lt;&gt;"",ROUND(PRODUCT(F889,G889,L889),2),IF(K889&lt;&gt;"",ROUND(PRODUCT(F889,G889,K889),2),ROUND(PRODUCT(F889:J889),2)))</f>
        <v>2</v>
      </c>
      <c r="N889" s="5"/>
    </row>
    <row r="890" spans="1:14" ht="28.8" x14ac:dyDescent="0.3">
      <c r="A890" s="23" t="s">
        <v>500</v>
      </c>
      <c r="B890" s="23" t="s">
        <v>671</v>
      </c>
      <c r="C890" s="23" t="str">
        <f>VLOOKUP(B890,CPU!$B:$J,2,FALSE)</f>
        <v>PRÓPRIA</v>
      </c>
      <c r="D890" s="24" t="str">
        <f>VLOOKUP(B890,CPU!$B:$J,3,FALSE)</f>
        <v>ADAPTADOR CURTO COM BOLSA E ROSCA PARA REGISTRO, PVC, SOLDÁVEL, DN 40MM X 1.1/2, INSTALADO EM PRUMADA DE ÁGUA - FORNECIMENTO E INSTALAÇÃO</v>
      </c>
      <c r="E890" s="23" t="str">
        <f>VLOOKUP(B890,CPU!$B:$J,4,FALSE)</f>
        <v>UN</v>
      </c>
      <c r="F890" s="23"/>
      <c r="G890" s="23"/>
      <c r="H890" s="23"/>
      <c r="I890" s="23"/>
      <c r="J890" s="23"/>
      <c r="K890" s="23"/>
      <c r="L890" s="23"/>
      <c r="M890" s="23"/>
      <c r="N890" s="5">
        <f>SUM($M$891:$M$891)</f>
        <v>1</v>
      </c>
    </row>
    <row r="891" spans="1:14" x14ac:dyDescent="0.3">
      <c r="A891" s="23" t="s">
        <v>1012</v>
      </c>
      <c r="B891" s="65" t="s">
        <v>516</v>
      </c>
      <c r="C891" s="66"/>
      <c r="D891" s="66"/>
      <c r="E891" s="67"/>
      <c r="F891" s="5">
        <v>1</v>
      </c>
      <c r="G891" s="26"/>
      <c r="H891" s="5"/>
      <c r="I891" s="5"/>
      <c r="J891" s="5"/>
      <c r="K891" s="5" t="str">
        <f>IF(COUNTA(H891:J891)=2,ROUND(PRODUCT(H891:J891),2),"")</f>
        <v/>
      </c>
      <c r="L891" s="5" t="str">
        <f>IF(OR(AND(COUNTA(H891:J891)=3,K891=""),AND(COUNTA(H891:J891)=1,K891&lt;&gt;"")),ROUND(PRODUCT(H891:K891),2),"")</f>
        <v/>
      </c>
      <c r="M891" s="5">
        <f>IF(L891&lt;&gt;"",ROUND(PRODUCT(F891,G891,L891),2),IF(K891&lt;&gt;"",ROUND(PRODUCT(F891,G891,K891),2),ROUND(PRODUCT(F891:J891),2)))</f>
        <v>1</v>
      </c>
      <c r="N891" s="5"/>
    </row>
  </sheetData>
  <mergeCells count="531">
    <mergeCell ref="A1:N1"/>
    <mergeCell ref="A2:N2"/>
    <mergeCell ref="A3:N3"/>
    <mergeCell ref="B7:N7"/>
    <mergeCell ref="B9:E9"/>
    <mergeCell ref="B11:E11"/>
    <mergeCell ref="B23:E23"/>
    <mergeCell ref="B25:E25"/>
    <mergeCell ref="B27:E27"/>
    <mergeCell ref="B29:E29"/>
    <mergeCell ref="B31:E31"/>
    <mergeCell ref="B33:E33"/>
    <mergeCell ref="B12:N12"/>
    <mergeCell ref="B13:N13"/>
    <mergeCell ref="B15:E15"/>
    <mergeCell ref="B17:E17"/>
    <mergeCell ref="B19:E19"/>
    <mergeCell ref="B21:E21"/>
    <mergeCell ref="B47:E47"/>
    <mergeCell ref="B48:N48"/>
    <mergeCell ref="B50:E50"/>
    <mergeCell ref="B52:E52"/>
    <mergeCell ref="B54:E54"/>
    <mergeCell ref="B56:E56"/>
    <mergeCell ref="B35:E35"/>
    <mergeCell ref="B37:E37"/>
    <mergeCell ref="B39:E39"/>
    <mergeCell ref="B41:E41"/>
    <mergeCell ref="B43:E43"/>
    <mergeCell ref="B45:E45"/>
    <mergeCell ref="B67:N67"/>
    <mergeCell ref="B69:E69"/>
    <mergeCell ref="B70:E70"/>
    <mergeCell ref="B71:N71"/>
    <mergeCell ref="B73:E73"/>
    <mergeCell ref="B74:E74"/>
    <mergeCell ref="B58:E58"/>
    <mergeCell ref="B60:E60"/>
    <mergeCell ref="B61:N61"/>
    <mergeCell ref="B62:N62"/>
    <mergeCell ref="B64:E64"/>
    <mergeCell ref="B66:E66"/>
    <mergeCell ref="B84:E84"/>
    <mergeCell ref="B86:E86"/>
    <mergeCell ref="B87:E87"/>
    <mergeCell ref="B88:N88"/>
    <mergeCell ref="B90:E90"/>
    <mergeCell ref="B91:E91"/>
    <mergeCell ref="B76:E76"/>
    <mergeCell ref="B77:E77"/>
    <mergeCell ref="B79:E79"/>
    <mergeCell ref="B80:E80"/>
    <mergeCell ref="B81:N81"/>
    <mergeCell ref="B83:E83"/>
    <mergeCell ref="B101:E101"/>
    <mergeCell ref="B102:N102"/>
    <mergeCell ref="B104:E104"/>
    <mergeCell ref="B106:E106"/>
    <mergeCell ref="B108:E108"/>
    <mergeCell ref="B109:E109"/>
    <mergeCell ref="B92:E92"/>
    <mergeCell ref="B93:E93"/>
    <mergeCell ref="B94:E94"/>
    <mergeCell ref="B96:E96"/>
    <mergeCell ref="B97:N97"/>
    <mergeCell ref="B99:E99"/>
    <mergeCell ref="B120:N120"/>
    <mergeCell ref="B122:E122"/>
    <mergeCell ref="B124:E124"/>
    <mergeCell ref="B125:N125"/>
    <mergeCell ref="B127:E127"/>
    <mergeCell ref="B128:E128"/>
    <mergeCell ref="B110:N110"/>
    <mergeCell ref="B112:E112"/>
    <mergeCell ref="B114:E114"/>
    <mergeCell ref="B115:N115"/>
    <mergeCell ref="B117:E117"/>
    <mergeCell ref="B119:E119"/>
    <mergeCell ref="B141:E141"/>
    <mergeCell ref="B143:E143"/>
    <mergeCell ref="B145:E145"/>
    <mergeCell ref="B146:N146"/>
    <mergeCell ref="B147:N147"/>
    <mergeCell ref="B149:E149"/>
    <mergeCell ref="B129:N129"/>
    <mergeCell ref="B131:E131"/>
    <mergeCell ref="B133:E133"/>
    <mergeCell ref="B135:E135"/>
    <mergeCell ref="B137:E137"/>
    <mergeCell ref="B139:E139"/>
    <mergeCell ref="B160:N160"/>
    <mergeCell ref="B162:E162"/>
    <mergeCell ref="B163:N163"/>
    <mergeCell ref="B165:E165"/>
    <mergeCell ref="B167:E167"/>
    <mergeCell ref="B169:E169"/>
    <mergeCell ref="B151:E151"/>
    <mergeCell ref="B152:N152"/>
    <mergeCell ref="B154:E154"/>
    <mergeCell ref="B155:N155"/>
    <mergeCell ref="B157:E157"/>
    <mergeCell ref="B159:E159"/>
    <mergeCell ref="B183:E183"/>
    <mergeCell ref="B185:E185"/>
    <mergeCell ref="B187:E187"/>
    <mergeCell ref="B188:N188"/>
    <mergeCell ref="B189:N189"/>
    <mergeCell ref="B191:E191"/>
    <mergeCell ref="B171:E171"/>
    <mergeCell ref="B173:E173"/>
    <mergeCell ref="B175:E175"/>
    <mergeCell ref="B177:E177"/>
    <mergeCell ref="B179:E179"/>
    <mergeCell ref="B181:E181"/>
    <mergeCell ref="B205:E205"/>
    <mergeCell ref="B207:E207"/>
    <mergeCell ref="B209:E209"/>
    <mergeCell ref="B211:E211"/>
    <mergeCell ref="B213:E213"/>
    <mergeCell ref="B215:E215"/>
    <mergeCell ref="B193:E193"/>
    <mergeCell ref="B195:E195"/>
    <mergeCell ref="B197:E197"/>
    <mergeCell ref="B199:E199"/>
    <mergeCell ref="B201:E201"/>
    <mergeCell ref="B203:E203"/>
    <mergeCell ref="B228:E228"/>
    <mergeCell ref="B230:E230"/>
    <mergeCell ref="B232:E232"/>
    <mergeCell ref="B234:E234"/>
    <mergeCell ref="B236:E236"/>
    <mergeCell ref="B237:N237"/>
    <mergeCell ref="B217:E217"/>
    <mergeCell ref="B219:E219"/>
    <mergeCell ref="B221:E221"/>
    <mergeCell ref="B223:E223"/>
    <mergeCell ref="B224:N224"/>
    <mergeCell ref="B226:E226"/>
    <mergeCell ref="B247:N247"/>
    <mergeCell ref="B249:E249"/>
    <mergeCell ref="B250:E250"/>
    <mergeCell ref="B252:E252"/>
    <mergeCell ref="B253:E253"/>
    <mergeCell ref="B255:E255"/>
    <mergeCell ref="B238:N238"/>
    <mergeCell ref="B240:E240"/>
    <mergeCell ref="B242:E242"/>
    <mergeCell ref="B243:N243"/>
    <mergeCell ref="B245:E245"/>
    <mergeCell ref="B246:E246"/>
    <mergeCell ref="B264:N264"/>
    <mergeCell ref="B266:E266"/>
    <mergeCell ref="B267:E267"/>
    <mergeCell ref="B268:E268"/>
    <mergeCell ref="B269:E269"/>
    <mergeCell ref="B270:E270"/>
    <mergeCell ref="B256:E256"/>
    <mergeCell ref="B257:N257"/>
    <mergeCell ref="B259:E259"/>
    <mergeCell ref="B260:E260"/>
    <mergeCell ref="B262:E262"/>
    <mergeCell ref="B263:E263"/>
    <mergeCell ref="B282:E282"/>
    <mergeCell ref="B284:E284"/>
    <mergeCell ref="B285:E285"/>
    <mergeCell ref="B286:N286"/>
    <mergeCell ref="B288:E288"/>
    <mergeCell ref="B290:E290"/>
    <mergeCell ref="B272:E272"/>
    <mergeCell ref="B273:N273"/>
    <mergeCell ref="B275:E275"/>
    <mergeCell ref="B277:E277"/>
    <mergeCell ref="B278:N278"/>
    <mergeCell ref="B280:E280"/>
    <mergeCell ref="B301:N301"/>
    <mergeCell ref="B303:E303"/>
    <mergeCell ref="B304:E304"/>
    <mergeCell ref="B305:N305"/>
    <mergeCell ref="B307:E307"/>
    <mergeCell ref="B309:E309"/>
    <mergeCell ref="B291:N291"/>
    <mergeCell ref="B293:E293"/>
    <mergeCell ref="B295:E295"/>
    <mergeCell ref="B296:N296"/>
    <mergeCell ref="B298:E298"/>
    <mergeCell ref="B300:E300"/>
    <mergeCell ref="B322:N322"/>
    <mergeCell ref="B323:N323"/>
    <mergeCell ref="B325:E325"/>
    <mergeCell ref="B327:E327"/>
    <mergeCell ref="B328:N328"/>
    <mergeCell ref="B330:E330"/>
    <mergeCell ref="B311:E311"/>
    <mergeCell ref="B313:E313"/>
    <mergeCell ref="B315:E315"/>
    <mergeCell ref="B317:E317"/>
    <mergeCell ref="B319:E319"/>
    <mergeCell ref="B321:E321"/>
    <mergeCell ref="B341:E341"/>
    <mergeCell ref="B343:E343"/>
    <mergeCell ref="B345:E345"/>
    <mergeCell ref="B347:E347"/>
    <mergeCell ref="B349:E349"/>
    <mergeCell ref="B351:E351"/>
    <mergeCell ref="B331:N331"/>
    <mergeCell ref="B333:E333"/>
    <mergeCell ref="B335:E335"/>
    <mergeCell ref="B336:N336"/>
    <mergeCell ref="B338:E338"/>
    <mergeCell ref="B339:N339"/>
    <mergeCell ref="B364:N364"/>
    <mergeCell ref="B365:N365"/>
    <mergeCell ref="B367:E367"/>
    <mergeCell ref="B369:E369"/>
    <mergeCell ref="B371:E371"/>
    <mergeCell ref="B373:E373"/>
    <mergeCell ref="B353:E353"/>
    <mergeCell ref="B355:E355"/>
    <mergeCell ref="B357:E357"/>
    <mergeCell ref="B359:E359"/>
    <mergeCell ref="B361:E361"/>
    <mergeCell ref="B363:E363"/>
    <mergeCell ref="B387:E387"/>
    <mergeCell ref="B389:E389"/>
    <mergeCell ref="B391:E391"/>
    <mergeCell ref="B393:E393"/>
    <mergeCell ref="B395:E395"/>
    <mergeCell ref="B397:E397"/>
    <mergeCell ref="B375:E375"/>
    <mergeCell ref="B377:E377"/>
    <mergeCell ref="B379:E379"/>
    <mergeCell ref="B381:E381"/>
    <mergeCell ref="B383:E383"/>
    <mergeCell ref="B385:E385"/>
    <mergeCell ref="B410:E410"/>
    <mergeCell ref="B412:E412"/>
    <mergeCell ref="B413:N413"/>
    <mergeCell ref="B414:N414"/>
    <mergeCell ref="B416:E416"/>
    <mergeCell ref="B418:E418"/>
    <mergeCell ref="B399:E399"/>
    <mergeCell ref="B400:N400"/>
    <mergeCell ref="B402:E402"/>
    <mergeCell ref="B404:E404"/>
    <mergeCell ref="B406:E406"/>
    <mergeCell ref="B408:E408"/>
    <mergeCell ref="B428:E428"/>
    <mergeCell ref="B429:E429"/>
    <mergeCell ref="B431:E431"/>
    <mergeCell ref="B432:E432"/>
    <mergeCell ref="B433:N433"/>
    <mergeCell ref="B435:E435"/>
    <mergeCell ref="B419:N419"/>
    <mergeCell ref="B421:E421"/>
    <mergeCell ref="B422:E422"/>
    <mergeCell ref="B423:N423"/>
    <mergeCell ref="B425:E425"/>
    <mergeCell ref="B426:E426"/>
    <mergeCell ref="B444:E444"/>
    <mergeCell ref="B445:E445"/>
    <mergeCell ref="B446:E446"/>
    <mergeCell ref="B448:E448"/>
    <mergeCell ref="B449:N449"/>
    <mergeCell ref="B451:E451"/>
    <mergeCell ref="B436:E436"/>
    <mergeCell ref="B438:E438"/>
    <mergeCell ref="B439:E439"/>
    <mergeCell ref="B440:N440"/>
    <mergeCell ref="B442:E442"/>
    <mergeCell ref="B443:E443"/>
    <mergeCell ref="B462:N462"/>
    <mergeCell ref="B464:E464"/>
    <mergeCell ref="B466:E466"/>
    <mergeCell ref="B467:N467"/>
    <mergeCell ref="B469:E469"/>
    <mergeCell ref="B471:E471"/>
    <mergeCell ref="B453:E453"/>
    <mergeCell ref="B454:N454"/>
    <mergeCell ref="B456:E456"/>
    <mergeCell ref="B458:E458"/>
    <mergeCell ref="B460:E460"/>
    <mergeCell ref="B461:E461"/>
    <mergeCell ref="B481:N481"/>
    <mergeCell ref="B483:E483"/>
    <mergeCell ref="B485:E485"/>
    <mergeCell ref="B487:E487"/>
    <mergeCell ref="B489:E489"/>
    <mergeCell ref="B491:E491"/>
    <mergeCell ref="B472:N472"/>
    <mergeCell ref="B474:E474"/>
    <mergeCell ref="B476:E476"/>
    <mergeCell ref="B477:N477"/>
    <mergeCell ref="B479:E479"/>
    <mergeCell ref="B480:E480"/>
    <mergeCell ref="B503:E503"/>
    <mergeCell ref="B504:N504"/>
    <mergeCell ref="B506:E506"/>
    <mergeCell ref="B507:N507"/>
    <mergeCell ref="B509:E509"/>
    <mergeCell ref="B511:E511"/>
    <mergeCell ref="B493:E493"/>
    <mergeCell ref="B495:E495"/>
    <mergeCell ref="B497:E497"/>
    <mergeCell ref="B498:N498"/>
    <mergeCell ref="B499:N499"/>
    <mergeCell ref="B501:E501"/>
    <mergeCell ref="B523:E523"/>
    <mergeCell ref="B525:E525"/>
    <mergeCell ref="B527:E527"/>
    <mergeCell ref="B529:E529"/>
    <mergeCell ref="B531:E531"/>
    <mergeCell ref="B533:E533"/>
    <mergeCell ref="B512:N512"/>
    <mergeCell ref="B514:E514"/>
    <mergeCell ref="B515:N515"/>
    <mergeCell ref="B517:E517"/>
    <mergeCell ref="B519:E519"/>
    <mergeCell ref="B521:E521"/>
    <mergeCell ref="B545:E545"/>
    <mergeCell ref="B547:E547"/>
    <mergeCell ref="B549:E549"/>
    <mergeCell ref="B551:E551"/>
    <mergeCell ref="B553:E553"/>
    <mergeCell ref="B555:E555"/>
    <mergeCell ref="B535:E535"/>
    <mergeCell ref="B537:E537"/>
    <mergeCell ref="B539:E539"/>
    <mergeCell ref="B540:N540"/>
    <mergeCell ref="B541:N541"/>
    <mergeCell ref="B543:E543"/>
    <mergeCell ref="B569:E569"/>
    <mergeCell ref="B571:E571"/>
    <mergeCell ref="B573:E573"/>
    <mergeCell ref="B575:E575"/>
    <mergeCell ref="B576:N576"/>
    <mergeCell ref="B578:E578"/>
    <mergeCell ref="B557:E557"/>
    <mergeCell ref="B559:E559"/>
    <mergeCell ref="B561:E561"/>
    <mergeCell ref="B563:E563"/>
    <mergeCell ref="B565:E565"/>
    <mergeCell ref="B567:E567"/>
    <mergeCell ref="B590:N590"/>
    <mergeCell ref="B592:E592"/>
    <mergeCell ref="B594:E594"/>
    <mergeCell ref="B595:N595"/>
    <mergeCell ref="B597:E597"/>
    <mergeCell ref="B598:E598"/>
    <mergeCell ref="B580:E580"/>
    <mergeCell ref="B582:E582"/>
    <mergeCell ref="B584:E584"/>
    <mergeCell ref="B586:E586"/>
    <mergeCell ref="B588:E588"/>
    <mergeCell ref="B589:N589"/>
    <mergeCell ref="B608:E608"/>
    <mergeCell ref="B609:N609"/>
    <mergeCell ref="B611:E611"/>
    <mergeCell ref="B612:E612"/>
    <mergeCell ref="B614:E614"/>
    <mergeCell ref="B615:E615"/>
    <mergeCell ref="B599:N599"/>
    <mergeCell ref="B601:E601"/>
    <mergeCell ref="B602:E602"/>
    <mergeCell ref="B604:E604"/>
    <mergeCell ref="B605:E605"/>
    <mergeCell ref="B607:E607"/>
    <mergeCell ref="B624:E624"/>
    <mergeCell ref="B625:N625"/>
    <mergeCell ref="B627:E627"/>
    <mergeCell ref="B629:E629"/>
    <mergeCell ref="B630:N630"/>
    <mergeCell ref="B632:E632"/>
    <mergeCell ref="B616:N616"/>
    <mergeCell ref="B618:E618"/>
    <mergeCell ref="B619:E619"/>
    <mergeCell ref="B620:E620"/>
    <mergeCell ref="B621:E621"/>
    <mergeCell ref="B622:E622"/>
    <mergeCell ref="B643:N643"/>
    <mergeCell ref="B645:E645"/>
    <mergeCell ref="B647:E647"/>
    <mergeCell ref="B648:N648"/>
    <mergeCell ref="B650:E650"/>
    <mergeCell ref="B652:E652"/>
    <mergeCell ref="B634:E634"/>
    <mergeCell ref="B636:E636"/>
    <mergeCell ref="B637:E637"/>
    <mergeCell ref="B638:N638"/>
    <mergeCell ref="B640:E640"/>
    <mergeCell ref="B642:E642"/>
    <mergeCell ref="B663:E663"/>
    <mergeCell ref="B665:E665"/>
    <mergeCell ref="B667:E667"/>
    <mergeCell ref="B669:E669"/>
    <mergeCell ref="B671:E671"/>
    <mergeCell ref="B673:E673"/>
    <mergeCell ref="B653:N653"/>
    <mergeCell ref="B655:E655"/>
    <mergeCell ref="B656:E656"/>
    <mergeCell ref="B657:N657"/>
    <mergeCell ref="B659:E659"/>
    <mergeCell ref="B661:E661"/>
    <mergeCell ref="B683:N683"/>
    <mergeCell ref="B685:E685"/>
    <mergeCell ref="B687:E687"/>
    <mergeCell ref="B688:N688"/>
    <mergeCell ref="B690:E690"/>
    <mergeCell ref="B691:N691"/>
    <mergeCell ref="B674:N674"/>
    <mergeCell ref="B675:N675"/>
    <mergeCell ref="B677:E677"/>
    <mergeCell ref="B679:E679"/>
    <mergeCell ref="B680:N680"/>
    <mergeCell ref="B682:E682"/>
    <mergeCell ref="B705:E705"/>
    <mergeCell ref="B707:E707"/>
    <mergeCell ref="B709:E709"/>
    <mergeCell ref="B711:E711"/>
    <mergeCell ref="B713:E713"/>
    <mergeCell ref="B715:E715"/>
    <mergeCell ref="B693:E693"/>
    <mergeCell ref="B695:E695"/>
    <mergeCell ref="B697:E697"/>
    <mergeCell ref="B699:E699"/>
    <mergeCell ref="B701:E701"/>
    <mergeCell ref="B703:E703"/>
    <mergeCell ref="B727:E727"/>
    <mergeCell ref="B729:E729"/>
    <mergeCell ref="B731:E731"/>
    <mergeCell ref="B733:E733"/>
    <mergeCell ref="B735:E735"/>
    <mergeCell ref="B737:E737"/>
    <mergeCell ref="B716:N716"/>
    <mergeCell ref="B717:N717"/>
    <mergeCell ref="B719:E719"/>
    <mergeCell ref="B721:E721"/>
    <mergeCell ref="B723:E723"/>
    <mergeCell ref="B725:E725"/>
    <mergeCell ref="B751:E751"/>
    <mergeCell ref="B752:N752"/>
    <mergeCell ref="B754:E754"/>
    <mergeCell ref="B756:E756"/>
    <mergeCell ref="B758:E758"/>
    <mergeCell ref="B760:E760"/>
    <mergeCell ref="B739:E739"/>
    <mergeCell ref="B741:E741"/>
    <mergeCell ref="B743:E743"/>
    <mergeCell ref="B745:E745"/>
    <mergeCell ref="B747:E747"/>
    <mergeCell ref="B749:E749"/>
    <mergeCell ref="B771:N771"/>
    <mergeCell ref="B773:E773"/>
    <mergeCell ref="B774:E774"/>
    <mergeCell ref="B775:N775"/>
    <mergeCell ref="B777:E777"/>
    <mergeCell ref="B778:E778"/>
    <mergeCell ref="B762:E762"/>
    <mergeCell ref="B764:E764"/>
    <mergeCell ref="B765:N765"/>
    <mergeCell ref="B766:N766"/>
    <mergeCell ref="B768:E768"/>
    <mergeCell ref="B770:E770"/>
    <mergeCell ref="B788:E788"/>
    <mergeCell ref="B790:E790"/>
    <mergeCell ref="B791:E791"/>
    <mergeCell ref="B792:N792"/>
    <mergeCell ref="B794:E794"/>
    <mergeCell ref="B795:E795"/>
    <mergeCell ref="B780:E780"/>
    <mergeCell ref="B781:E781"/>
    <mergeCell ref="B783:E783"/>
    <mergeCell ref="B784:E784"/>
    <mergeCell ref="B785:N785"/>
    <mergeCell ref="B787:E787"/>
    <mergeCell ref="B805:E805"/>
    <mergeCell ref="B806:N806"/>
    <mergeCell ref="B808:E808"/>
    <mergeCell ref="B810:E810"/>
    <mergeCell ref="B812:E812"/>
    <mergeCell ref="B813:E813"/>
    <mergeCell ref="B796:E796"/>
    <mergeCell ref="B797:E797"/>
    <mergeCell ref="B798:E798"/>
    <mergeCell ref="B800:E800"/>
    <mergeCell ref="B801:N801"/>
    <mergeCell ref="B803:E803"/>
    <mergeCell ref="B824:N824"/>
    <mergeCell ref="B826:E826"/>
    <mergeCell ref="B828:E828"/>
    <mergeCell ref="B829:N829"/>
    <mergeCell ref="B831:E831"/>
    <mergeCell ref="B832:E832"/>
    <mergeCell ref="B814:N814"/>
    <mergeCell ref="B816:E816"/>
    <mergeCell ref="B818:E818"/>
    <mergeCell ref="B819:N819"/>
    <mergeCell ref="B821:E821"/>
    <mergeCell ref="B823:E823"/>
    <mergeCell ref="B845:E845"/>
    <mergeCell ref="B847:E847"/>
    <mergeCell ref="B849:E849"/>
    <mergeCell ref="B850:N850"/>
    <mergeCell ref="B851:N851"/>
    <mergeCell ref="B853:E853"/>
    <mergeCell ref="B833:N833"/>
    <mergeCell ref="B835:E835"/>
    <mergeCell ref="B837:E837"/>
    <mergeCell ref="B839:E839"/>
    <mergeCell ref="B841:E841"/>
    <mergeCell ref="B843:E843"/>
    <mergeCell ref="B864:N864"/>
    <mergeCell ref="B866:E866"/>
    <mergeCell ref="B867:N867"/>
    <mergeCell ref="B869:E869"/>
    <mergeCell ref="B871:E871"/>
    <mergeCell ref="B873:E873"/>
    <mergeCell ref="B855:E855"/>
    <mergeCell ref="B856:N856"/>
    <mergeCell ref="B858:E858"/>
    <mergeCell ref="B859:N859"/>
    <mergeCell ref="B861:E861"/>
    <mergeCell ref="B863:E863"/>
    <mergeCell ref="B887:E887"/>
    <mergeCell ref="B889:E889"/>
    <mergeCell ref="B891:E891"/>
    <mergeCell ref="B875:E875"/>
    <mergeCell ref="B877:E877"/>
    <mergeCell ref="B879:E879"/>
    <mergeCell ref="B881:E881"/>
    <mergeCell ref="B883:E883"/>
    <mergeCell ref="B885:E885"/>
  </mergeCells>
  <pageMargins left="0.78740157480314965" right="0.39370078740157483" top="1.1811023622047245" bottom="0.78740157480314965" header="0.31496062992125984" footer="0.31496062992125984"/>
  <pageSetup paperSize="9" scale="53" fitToHeight="0" orientation="landscape" r:id="rId1"/>
  <headerFooter>
    <oddHeader>&amp;C&amp;G</oddHead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8CEC9A-3ABE-4701-BA41-AFFE60AD1159}">
  <sheetPr>
    <pageSetUpPr fitToPage="1"/>
  </sheetPr>
  <dimension ref="A1:S733"/>
  <sheetViews>
    <sheetView showGridLines="0" topLeftCell="A621" workbookViewId="0">
      <selection activeCell="D627" sqref="D627"/>
    </sheetView>
  </sheetViews>
  <sheetFormatPr defaultRowHeight="14.4" x14ac:dyDescent="0.3"/>
  <cols>
    <col min="1" max="3" width="13.88671875" bestFit="1" customWidth="1"/>
    <col min="4" max="4" width="55.5546875" bestFit="1" customWidth="1"/>
    <col min="5" max="10" width="17.5546875" bestFit="1" customWidth="1"/>
    <col min="11" max="11" width="12" bestFit="1" customWidth="1"/>
    <col min="12" max="12" width="33.33203125" bestFit="1" customWidth="1"/>
    <col min="13" max="19" width="14.77734375" bestFit="1" customWidth="1"/>
  </cols>
  <sheetData>
    <row r="1" spans="1:19" x14ac:dyDescent="0.3">
      <c r="A1" s="33" t="str">
        <f>CIDADE</f>
        <v>MUNICÍPIO DE LAGOA DO PIAUI - PI</v>
      </c>
      <c r="B1" s="33"/>
      <c r="C1" s="33"/>
      <c r="D1" s="33"/>
      <c r="E1" s="33"/>
      <c r="F1" s="33"/>
      <c r="G1" s="33"/>
      <c r="H1" s="33"/>
      <c r="I1" s="33"/>
      <c r="J1" s="33"/>
    </row>
    <row r="2" spans="1:19" x14ac:dyDescent="0.3">
      <c r="A2" s="33" t="str">
        <f>OBRA</f>
        <v>IMPLANTAÇÃO DE 5 (CINCO) SISTEMAS SIMPLIFICADOS DE ABASTECIMENTO DE ÁGUA ZONA RURAL DO MUNICÍPIO DE LAGOA DO PIAUÍ-PI</v>
      </c>
      <c r="B2" s="33"/>
      <c r="C2" s="33"/>
      <c r="D2" s="33"/>
      <c r="E2" s="33"/>
      <c r="F2" s="33"/>
      <c r="G2" s="33"/>
      <c r="H2" s="33"/>
      <c r="I2" s="33"/>
      <c r="J2" s="33"/>
    </row>
    <row r="3" spans="1:19" x14ac:dyDescent="0.3">
      <c r="A3" s="33" t="s">
        <v>1013</v>
      </c>
      <c r="B3" s="33"/>
      <c r="C3" s="33"/>
      <c r="D3" s="33"/>
      <c r="E3" s="33"/>
      <c r="F3" s="33"/>
      <c r="G3" s="33"/>
      <c r="H3" s="33"/>
      <c r="I3" s="33"/>
      <c r="J3" s="33"/>
    </row>
    <row r="4" spans="1:19" x14ac:dyDescent="0.3">
      <c r="N4" s="34" t="s">
        <v>1014</v>
      </c>
      <c r="O4" s="36"/>
      <c r="P4" s="35"/>
      <c r="Q4" s="34" t="s">
        <v>1015</v>
      </c>
      <c r="R4" s="36"/>
      <c r="S4" s="35"/>
    </row>
    <row r="5" spans="1:19" x14ac:dyDescent="0.3">
      <c r="A5" s="1" t="s">
        <v>3</v>
      </c>
      <c r="B5" s="7" t="str">
        <f>FONTE&amp;FOLHA</f>
        <v>SINAPI PI 06/2025, SEINFRA CE 28, ORSE SE 05/2025, SEM DESONERAÇÃO</v>
      </c>
      <c r="C5" s="3"/>
      <c r="D5" s="3"/>
      <c r="E5" s="3"/>
      <c r="F5" s="3"/>
      <c r="G5" s="27" t="s">
        <v>10</v>
      </c>
      <c r="H5" s="8">
        <f>LEI</f>
        <v>113.33</v>
      </c>
      <c r="I5" s="1" t="s">
        <v>19</v>
      </c>
      <c r="J5" s="8">
        <f>BDI</f>
        <v>24.84</v>
      </c>
      <c r="M5" s="4" t="s">
        <v>138</v>
      </c>
      <c r="N5" s="4" t="s">
        <v>1016</v>
      </c>
      <c r="O5" s="4" t="s">
        <v>128</v>
      </c>
      <c r="P5" s="4" t="s">
        <v>1017</v>
      </c>
      <c r="Q5" s="4" t="s">
        <v>1016</v>
      </c>
      <c r="R5" s="4" t="s">
        <v>128</v>
      </c>
      <c r="S5" s="4" t="s">
        <v>1017</v>
      </c>
    </row>
    <row r="6" spans="1:19" x14ac:dyDescent="0.3">
      <c r="A6" s="4" t="s">
        <v>1018</v>
      </c>
      <c r="B6" s="4" t="s">
        <v>138</v>
      </c>
      <c r="C6" s="4" t="s">
        <v>139</v>
      </c>
      <c r="D6" s="4" t="s">
        <v>21</v>
      </c>
      <c r="E6" s="4" t="s">
        <v>140</v>
      </c>
      <c r="F6" s="4" t="s">
        <v>506</v>
      </c>
      <c r="G6" s="34" t="s">
        <v>1019</v>
      </c>
      <c r="H6" s="35"/>
      <c r="I6" s="34" t="s">
        <v>15</v>
      </c>
      <c r="J6" s="35"/>
    </row>
    <row r="7" spans="1:19" x14ac:dyDescent="0.3">
      <c r="A7" s="15" t="s">
        <v>1020</v>
      </c>
      <c r="B7" s="15" t="s">
        <v>514</v>
      </c>
      <c r="C7" s="15" t="str">
        <f>VLOOKUP(B7,S!$A:$G,2,FALSE)</f>
        <v>PRÓPRIA</v>
      </c>
      <c r="D7" s="22" t="str">
        <f>VLOOKUP(B7,S!$A:$G,3,FALSE)</f>
        <v>ADMINISTRAÇÃO LOCAL DA OBRA</v>
      </c>
      <c r="E7" s="15" t="str">
        <f>VLOOKUP(B7,S!$A:$G,4,FALSE)</f>
        <v>MÊS</v>
      </c>
      <c r="F7" s="15"/>
      <c r="G7" s="73">
        <f>I13</f>
        <v>11839.68</v>
      </c>
      <c r="H7" s="74"/>
      <c r="I7" s="73"/>
      <c r="J7" s="74"/>
      <c r="K7" s="16">
        <f>VLOOKUP(B7,S!A:G,5,FALSE)</f>
        <v>0</v>
      </c>
      <c r="L7" s="15" t="s">
        <v>1021</v>
      </c>
    </row>
    <row r="8" spans="1:19" ht="30" customHeight="1" x14ac:dyDescent="0.3">
      <c r="A8" s="23" t="s">
        <v>1022</v>
      </c>
      <c r="B8" s="23">
        <v>90777</v>
      </c>
      <c r="C8" s="23" t="str">
        <f>VLOOKUP(B8,IF(A8="COMPOSICAO",S!$A:$E,I!$A:$E),2,FALSE)</f>
        <v>SINAPI</v>
      </c>
      <c r="D8" s="24" t="str">
        <f>VLOOKUP(B8,IF(A8="COMPOSICAO",S!$A:$E,I!$A:$E),3,FALSE)</f>
        <v>ENGENHEIRO CIVIL DE OBRA JUNIOR COM ENCARGOS COMPLEMENTARES</v>
      </c>
      <c r="E8" s="23" t="str">
        <f>VLOOKUP(B8,IF(A8="COMPOSICAO",S!$A:$E,I!$A:$E),4,FALSE)</f>
        <v>H</v>
      </c>
      <c r="F8" s="23">
        <v>24</v>
      </c>
      <c r="G8" s="71">
        <f>IF(A8="COMPOSICAO",VLOOKUP("TOTAL SEM BDI - "&amp;B8,CPUAUX1!$A:$J,9,FALSE),VLOOKUP(B8,I!$A:$E,5,FALSE))</f>
        <v>129.24</v>
      </c>
      <c r="H8" s="72"/>
      <c r="I8" s="71">
        <f>TRUNC(F8*G8,2)</f>
        <v>3101.76</v>
      </c>
      <c r="J8" s="72"/>
      <c r="M8" s="23">
        <f>B8</f>
        <v>90777</v>
      </c>
      <c r="N8" s="5">
        <f>SUMIF(ORCAMENTO!B:B,B7,ORCAMENTO!F:F)</f>
        <v>3</v>
      </c>
      <c r="O8" s="23">
        <f>F8*N8</f>
        <v>72</v>
      </c>
      <c r="Q8" s="23">
        <f ca="1">IFERROR(SUMIF(CO!B:B,B7,OFFSET(CO!F:F,0,(4+MATCH(ETAPA,CO!$J$6:$P$6,0)))),0)</f>
        <v>1.2</v>
      </c>
      <c r="R8" s="23">
        <f ca="1">F8*Q8</f>
        <v>28.799999999999997</v>
      </c>
    </row>
    <row r="9" spans="1:19" ht="15" customHeight="1" x14ac:dyDescent="0.3">
      <c r="A9" s="23" t="s">
        <v>1022</v>
      </c>
      <c r="B9" s="23">
        <v>90776</v>
      </c>
      <c r="C9" s="23" t="str">
        <f>VLOOKUP(B9,IF(A9="COMPOSICAO",S!$A:$E,I!$A:$E),2,FALSE)</f>
        <v>SINAPI</v>
      </c>
      <c r="D9" s="24" t="str">
        <f>VLOOKUP(B9,IF(A9="COMPOSICAO",S!$A:$E,I!$A:$E),3,FALSE)</f>
        <v>ENCARREGADO GERAL COM ENCARGOS COMPLEMENTARES</v>
      </c>
      <c r="E9" s="23" t="str">
        <f>VLOOKUP(B9,IF(A9="COMPOSICAO",S!$A:$E,I!$A:$E),4,FALSE)</f>
        <v>H</v>
      </c>
      <c r="F9" s="23">
        <v>100</v>
      </c>
      <c r="G9" s="71">
        <f>IF(A9="COMPOSICAO",VLOOKUP("TOTAL SEM BDI - "&amp;B9,CPUAUX1!$A:$J,9,FALSE),VLOOKUP(B9,I!$A:$E,5,FALSE))</f>
        <v>35.39</v>
      </c>
      <c r="H9" s="72"/>
      <c r="I9" s="71">
        <f>TRUNC(F9*G9,2)</f>
        <v>3539</v>
      </c>
      <c r="J9" s="72"/>
      <c r="M9" s="23">
        <f>B9</f>
        <v>90776</v>
      </c>
      <c r="N9" s="5">
        <f>SUMIF(ORCAMENTO!B:B,B7,ORCAMENTO!F:F)</f>
        <v>3</v>
      </c>
      <c r="O9" s="23">
        <f>F9*N9</f>
        <v>300</v>
      </c>
      <c r="Q9" s="23">
        <f ca="1">IFERROR(SUMIF(CO!B:B,B7,OFFSET(CO!F:F,0,(4+MATCH(ETAPA,CO!$J$6:$P$6,0)))),0)</f>
        <v>1.2</v>
      </c>
      <c r="R9" s="23">
        <f ca="1">F9*Q9</f>
        <v>120</v>
      </c>
    </row>
    <row r="10" spans="1:19" x14ac:dyDescent="0.3">
      <c r="A10" s="23" t="s">
        <v>1022</v>
      </c>
      <c r="B10" s="23">
        <v>90766</v>
      </c>
      <c r="C10" s="23" t="str">
        <f>VLOOKUP(B10,IF(A10="COMPOSICAO",S!$A:$E,I!$A:$E),2,FALSE)</f>
        <v>SINAPI</v>
      </c>
      <c r="D10" s="24" t="str">
        <f>VLOOKUP(B10,IF(A10="COMPOSICAO",S!$A:$E,I!$A:$E),3,FALSE)</f>
        <v>ALMOXARIFE COM ENCARGOS COMPLEMENTARES</v>
      </c>
      <c r="E10" s="23" t="str">
        <f>VLOOKUP(B10,IF(A10="COMPOSICAO",S!$A:$E,I!$A:$E),4,FALSE)</f>
        <v>H</v>
      </c>
      <c r="F10" s="23">
        <v>100</v>
      </c>
      <c r="G10" s="71">
        <f>IF(A10="COMPOSICAO",VLOOKUP("TOTAL SEM BDI - "&amp;B10,CPUAUX1!$A:$J,9,FALSE),VLOOKUP(B10,I!$A:$E,5,FALSE))</f>
        <v>22.81</v>
      </c>
      <c r="H10" s="72"/>
      <c r="I10" s="71">
        <f>TRUNC(F10*G10,2)</f>
        <v>2281</v>
      </c>
      <c r="J10" s="72"/>
      <c r="M10" s="23">
        <f>B10</f>
        <v>90766</v>
      </c>
      <c r="N10" s="5">
        <f>SUMIF(ORCAMENTO!B:B,B7,ORCAMENTO!F:F)</f>
        <v>3</v>
      </c>
      <c r="O10" s="23">
        <f>F10*N10</f>
        <v>300</v>
      </c>
      <c r="Q10" s="23">
        <f ca="1">IFERROR(SUMIF(CO!B:B,B7,OFFSET(CO!F:F,0,(4+MATCH(ETAPA,CO!$J$6:$P$6,0)))),0)</f>
        <v>1.2</v>
      </c>
      <c r="R10" s="23">
        <f ca="1">F10*Q10</f>
        <v>120</v>
      </c>
    </row>
    <row r="11" spans="1:19" x14ac:dyDescent="0.3">
      <c r="A11" s="23" t="s">
        <v>1023</v>
      </c>
      <c r="B11" s="23" t="s">
        <v>1024</v>
      </c>
      <c r="C11" s="23" t="str">
        <f>VLOOKUP(B11,IF(A11="COMPOSICAO",S!$A:$E,I!$A:$E),2,FALSE)</f>
        <v>PRÓPRIA</v>
      </c>
      <c r="D11" s="24" t="str">
        <f>VLOOKUP(B11,IF(A11="COMPOSICAO",S!$A:$E,I!$A:$E),3,FALSE)</f>
        <v>GEÓLOGO SÊNIOR COM ENCARGOS COMPLEMENTARES</v>
      </c>
      <c r="E11" s="23" t="str">
        <f>VLOOKUP(B11,IF(A11="COMPOSICAO",S!$A:$E,I!$A:$E),4,FALSE)</f>
        <v>H</v>
      </c>
      <c r="F11" s="23">
        <v>24</v>
      </c>
      <c r="G11" s="71">
        <f>IF(A11="COMPOSICAO",VLOOKUP("TOTAL SEM BDI - "&amp;B11,CPUAUX1!$A:$J,9,FALSE),VLOOKUP(B11,I!$A:$E,5,FALSE))</f>
        <v>111.02</v>
      </c>
      <c r="H11" s="72"/>
      <c r="I11" s="71">
        <f>TRUNC(F11*G11,2)</f>
        <v>2664.48</v>
      </c>
      <c r="J11" s="72"/>
      <c r="M11" s="23" t="str">
        <f>B11</f>
        <v>CAESB</v>
      </c>
      <c r="N11" s="5">
        <f>SUMIF(ORCAMENTO!B:B,B7,ORCAMENTO!F:F)</f>
        <v>3</v>
      </c>
      <c r="O11" s="23">
        <f>F11*N11</f>
        <v>72</v>
      </c>
      <c r="Q11" s="23">
        <f ca="1">IFERROR(SUMIF(CO!B:B,B7,OFFSET(CO!F:F,0,(4+MATCH(ETAPA,CO!$J$6:$P$6,0)))),0)</f>
        <v>1.2</v>
      </c>
      <c r="R11" s="23">
        <f ca="1">F11*Q11</f>
        <v>28.799999999999997</v>
      </c>
    </row>
    <row r="12" spans="1:19" x14ac:dyDescent="0.3">
      <c r="A12" s="23" t="s">
        <v>1025</v>
      </c>
      <c r="B12" s="23" t="s">
        <v>1026</v>
      </c>
      <c r="C12" s="23" t="str">
        <f>VLOOKUP(B12,IF(A12="COMPOSICAO",S!$A:$E,I!$A:$E),2,FALSE)</f>
        <v>ORSE</v>
      </c>
      <c r="D12" s="24" t="str">
        <f>VLOOKUP(B12,IF(A12="COMPOSICAO",S!$A:$E,I!$A:$E),3,FALSE)</f>
        <v>VEÍCULO LEVE - PICK UP (97KW)</v>
      </c>
      <c r="E12" s="23" t="str">
        <f>VLOOKUP(B12,IF(A12="COMPOSICAO",S!$A:$E,I!$A:$E),4,FALSE)</f>
        <v>H</v>
      </c>
      <c r="F12" s="23">
        <v>24</v>
      </c>
      <c r="G12" s="71">
        <f>IF(A12="COMPOSICAO",VLOOKUP("TOTAL SEM BDI - "&amp;B12,CPUAUX1!$A:$J,9,FALSE),VLOOKUP(B12,I!$A:$E,5,FALSE))</f>
        <v>10.56</v>
      </c>
      <c r="H12" s="72"/>
      <c r="I12" s="71">
        <f>TRUNC(F12*G12,2)</f>
        <v>253.44</v>
      </c>
      <c r="J12" s="72"/>
      <c r="M12" s="23" t="str">
        <f>B12</f>
        <v>02789/ORSE</v>
      </c>
      <c r="N12" s="5">
        <f>SUMIF(ORCAMENTO!B:B,B7,ORCAMENTO!F:F)</f>
        <v>3</v>
      </c>
      <c r="O12" s="23">
        <f>F12*N12</f>
        <v>72</v>
      </c>
      <c r="Q12" s="23">
        <f ca="1">IFERROR(SUMIF(CO!B:B,B7,OFFSET(CO!F:F,0,(4+MATCH(ETAPA,CO!$J$6:$P$6,0)))),0)</f>
        <v>1.2</v>
      </c>
      <c r="R12" s="23">
        <f ca="1">F12*Q12</f>
        <v>28.799999999999997</v>
      </c>
    </row>
    <row r="13" spans="1:19" x14ac:dyDescent="0.3">
      <c r="A13" s="68" t="str">
        <f>"TOTAL SEM BDI - "&amp;B7</f>
        <v>TOTAL SEM BDI - COMPOS25</v>
      </c>
      <c r="B13" s="69"/>
      <c r="C13" s="69"/>
      <c r="D13" s="69"/>
      <c r="E13" s="69"/>
      <c r="F13" s="69"/>
      <c r="G13" s="69"/>
      <c r="H13" s="70"/>
      <c r="I13" s="71">
        <f>SUM(I7:I12)</f>
        <v>11839.68</v>
      </c>
      <c r="J13" s="72"/>
    </row>
    <row r="14" spans="1:19" x14ac:dyDescent="0.3">
      <c r="A14" s="68" t="str">
        <f>"TAXA DE BDI ("&amp;TEXT(BDI,"00,00")&amp;" %)"</f>
        <v>TAXA DE BDI (24,84 %)</v>
      </c>
      <c r="B14" s="69"/>
      <c r="C14" s="69"/>
      <c r="D14" s="69"/>
      <c r="E14" s="69"/>
      <c r="F14" s="69"/>
      <c r="G14" s="69"/>
      <c r="H14" s="70"/>
      <c r="I14" s="71">
        <f>ROUND(I13*(BDI/100),2)</f>
        <v>2940.98</v>
      </c>
      <c r="J14" s="72"/>
    </row>
    <row r="15" spans="1:19" x14ac:dyDescent="0.3">
      <c r="A15" s="68" t="str">
        <f>"TOTAL COM BDI - "&amp;B7</f>
        <v>TOTAL COM BDI - COMPOS25</v>
      </c>
      <c r="B15" s="69"/>
      <c r="C15" s="69"/>
      <c r="D15" s="69"/>
      <c r="E15" s="69"/>
      <c r="F15" s="69"/>
      <c r="G15" s="69"/>
      <c r="H15" s="70"/>
      <c r="I15" s="71">
        <f>SUM(I13:I14)</f>
        <v>14780.66</v>
      </c>
      <c r="J15" s="72"/>
    </row>
    <row r="17" spans="1:18" x14ac:dyDescent="0.3">
      <c r="A17" s="4" t="s">
        <v>1018</v>
      </c>
      <c r="B17" s="4" t="s">
        <v>138</v>
      </c>
      <c r="C17" s="4" t="s">
        <v>139</v>
      </c>
      <c r="D17" s="4" t="s">
        <v>21</v>
      </c>
      <c r="E17" s="4" t="s">
        <v>140</v>
      </c>
      <c r="F17" s="4" t="s">
        <v>506</v>
      </c>
      <c r="G17" s="34" t="s">
        <v>1019</v>
      </c>
      <c r="H17" s="35"/>
      <c r="I17" s="34" t="s">
        <v>15</v>
      </c>
      <c r="J17" s="35"/>
    </row>
    <row r="18" spans="1:18" x14ac:dyDescent="0.3">
      <c r="A18" s="15" t="s">
        <v>516</v>
      </c>
      <c r="B18" s="15" t="s">
        <v>517</v>
      </c>
      <c r="C18" s="15" t="str">
        <f>VLOOKUP(B18,S!$A:$G,2,FALSE)</f>
        <v>PRÓPRIA</v>
      </c>
      <c r="D18" s="22" t="str">
        <f>VLOOKUP(B18,S!$A:$G,3,FALSE)</f>
        <v>PLACAS PADRÃO DE OBRA</v>
      </c>
      <c r="E18" s="15" t="str">
        <f>VLOOKUP(B18,S!$A:$G,4,FALSE)</f>
        <v>M2</v>
      </c>
      <c r="F18" s="15"/>
      <c r="G18" s="73">
        <f>I24</f>
        <v>189.89999999999998</v>
      </c>
      <c r="H18" s="74"/>
      <c r="I18" s="73"/>
      <c r="J18" s="74"/>
      <c r="K18" s="16">
        <f>VLOOKUP(B18,S!A:G,5,FALSE)</f>
        <v>0</v>
      </c>
      <c r="L18" s="15" t="s">
        <v>1021</v>
      </c>
    </row>
    <row r="19" spans="1:18" x14ac:dyDescent="0.3">
      <c r="A19" s="23" t="s">
        <v>1025</v>
      </c>
      <c r="B19" s="23" t="s">
        <v>1027</v>
      </c>
      <c r="C19" s="23" t="str">
        <f>VLOOKUP(B19,IF(A19="COMPOSICAO",S!$A:$E,I!$A:$E),2,FALSE)</f>
        <v>SEINFRA</v>
      </c>
      <c r="D19" s="24" t="str">
        <f>VLOOKUP(B19,IF(A19="COMPOSICAO",S!$A:$E,I!$A:$E),3,FALSE)</f>
        <v>CHAPA DE AÇO GALVANIZADA ESP. 0.3MM</v>
      </c>
      <c r="E19" s="23" t="str">
        <f>VLOOKUP(B19,IF(A19="COMPOSICAO",S!$A:$E,I!$A:$E),4,FALSE)</f>
        <v>M2</v>
      </c>
      <c r="F19" s="23">
        <v>1.02</v>
      </c>
      <c r="G19" s="71">
        <f>IF(A19="COMPOSICAO",VLOOKUP("TOTAL SEM BDI - "&amp;B19,CPUAUX1!$A:$J,9,FALSE),VLOOKUP(B19,I!$A:$E,5,FALSE))</f>
        <v>39.03</v>
      </c>
      <c r="H19" s="72"/>
      <c r="I19" s="71">
        <f>TRUNC(F19*G19,2)</f>
        <v>39.81</v>
      </c>
      <c r="J19" s="72"/>
      <c r="M19" s="23" t="str">
        <f>B19</f>
        <v>I0537</v>
      </c>
      <c r="N19" s="5">
        <f>SUMIF(ORCAMENTO!B:B,B18,ORCAMENTO!F:F)</f>
        <v>6.48</v>
      </c>
      <c r="O19" s="23">
        <f>F19*N19</f>
        <v>6.6096000000000004</v>
      </c>
      <c r="Q19" s="23">
        <f ca="1">IFERROR(SUMIF(CO!B:B,B18,OFFSET(CO!F:F,0,(4+MATCH(ETAPA,CO!$J$6:$P$6,0)))),0)</f>
        <v>6.48</v>
      </c>
      <c r="R19" s="23">
        <f ca="1">F19*Q19</f>
        <v>6.6096000000000004</v>
      </c>
    </row>
    <row r="20" spans="1:18" x14ac:dyDescent="0.3">
      <c r="A20" s="23" t="s">
        <v>1022</v>
      </c>
      <c r="B20" s="23">
        <v>88316</v>
      </c>
      <c r="C20" s="23" t="str">
        <f>VLOOKUP(B20,IF(A20="COMPOSICAO",S!$A:$E,I!$A:$E),2,FALSE)</f>
        <v>SINAPI</v>
      </c>
      <c r="D20" s="24" t="str">
        <f>VLOOKUP(B20,IF(A20="COMPOSICAO",S!$A:$E,I!$A:$E),3,FALSE)</f>
        <v>SERVENTE COM ENCARGOS COMPLEMENTARES</v>
      </c>
      <c r="E20" s="23" t="str">
        <f>VLOOKUP(B20,IF(A20="COMPOSICAO",S!$A:$E,I!$A:$E),4,FALSE)</f>
        <v>H</v>
      </c>
      <c r="F20" s="23">
        <f>2/pcf</f>
        <v>2</v>
      </c>
      <c r="G20" s="71">
        <f>IF(A20="COMPOSICAO",VLOOKUP("TOTAL SEM BDI - "&amp;B20,CPUAUX1!$A:$J,9,FALSE),VLOOKUP(B20,I!$A:$E,5,FALSE))</f>
        <v>21.71</v>
      </c>
      <c r="H20" s="72"/>
      <c r="I20" s="71">
        <f>TRUNC(F20*G20,2)</f>
        <v>43.42</v>
      </c>
      <c r="J20" s="72"/>
      <c r="M20" s="23">
        <f>B20</f>
        <v>88316</v>
      </c>
      <c r="N20" s="5">
        <f>SUMIF(ORCAMENTO!B:B,B18,ORCAMENTO!F:F)</f>
        <v>6.48</v>
      </c>
      <c r="O20" s="23">
        <f>F20*N20</f>
        <v>12.96</v>
      </c>
      <c r="Q20" s="23">
        <f ca="1">IFERROR(SUMIF(CO!B:B,B18,OFFSET(CO!F:F,0,(4+MATCH(ETAPA,CO!$J$6:$P$6,0)))),0)</f>
        <v>6.48</v>
      </c>
      <c r="R20" s="23">
        <f ca="1">F20*Q20</f>
        <v>12.96</v>
      </c>
    </row>
    <row r="21" spans="1:18" x14ac:dyDescent="0.3">
      <c r="A21" s="23" t="s">
        <v>1025</v>
      </c>
      <c r="B21" s="23" t="s">
        <v>1028</v>
      </c>
      <c r="C21" s="23" t="str">
        <f>VLOOKUP(B21,IF(A21="COMPOSICAO",S!$A:$E,I!$A:$E),2,FALSE)</f>
        <v>SEINFRA</v>
      </c>
      <c r="D21" s="24" t="str">
        <f>VLOOKUP(B21,IF(A21="COMPOSICAO",S!$A:$E,I!$A:$E),3,FALSE)</f>
        <v>PONTALETE / BARROTE DE 3"X3"</v>
      </c>
      <c r="E21" s="23" t="str">
        <f>VLOOKUP(B21,IF(A21="COMPOSICAO",S!$A:$E,I!$A:$E),4,FALSE)</f>
        <v>M</v>
      </c>
      <c r="F21" s="23">
        <v>4.5</v>
      </c>
      <c r="G21" s="71">
        <f>IF(A21="COMPOSICAO",VLOOKUP("TOTAL SEM BDI - "&amp;B21,CPUAUX1!$A:$J,9,FALSE),VLOOKUP(B21,I!$A:$E,5,FALSE))</f>
        <v>16.09</v>
      </c>
      <c r="H21" s="72"/>
      <c r="I21" s="71">
        <f>TRUNC(F21*G21,2)</f>
        <v>72.400000000000006</v>
      </c>
      <c r="J21" s="72"/>
      <c r="M21" s="23" t="str">
        <f>B21</f>
        <v>I1691</v>
      </c>
      <c r="N21" s="5">
        <f>SUMIF(ORCAMENTO!B:B,B18,ORCAMENTO!F:F)</f>
        <v>6.48</v>
      </c>
      <c r="O21" s="23">
        <f>F21*N21</f>
        <v>29.160000000000004</v>
      </c>
      <c r="Q21" s="23">
        <f ca="1">IFERROR(SUMIF(CO!B:B,B18,OFFSET(CO!F:F,0,(4+MATCH(ETAPA,CO!$J$6:$P$6,0)))),0)</f>
        <v>6.48</v>
      </c>
      <c r="R21" s="23">
        <f ca="1">F21*Q21</f>
        <v>29.160000000000004</v>
      </c>
    </row>
    <row r="22" spans="1:18" ht="30" customHeight="1" x14ac:dyDescent="0.3">
      <c r="A22" s="23" t="s">
        <v>1025</v>
      </c>
      <c r="B22" s="23" t="s">
        <v>1029</v>
      </c>
      <c r="C22" s="23" t="str">
        <f>VLOOKUP(B22,IF(A22="COMPOSICAO",S!$A:$E,I!$A:$E),2,FALSE)</f>
        <v>SEINFRA</v>
      </c>
      <c r="D22" s="24" t="str">
        <f>VLOOKUP(B22,IF(A22="COMPOSICAO",S!$A:$E,I!$A:$E),3,FALSE)</f>
        <v>PREGO 15X15 (1.1/4" X 13) (APROXIMADAMENTE 672UN/KG)</v>
      </c>
      <c r="E22" s="23" t="str">
        <f>VLOOKUP(B22,IF(A22="COMPOSICAO",S!$A:$E,I!$A:$E),4,FALSE)</f>
        <v>KG</v>
      </c>
      <c r="F22" s="23">
        <v>0.15</v>
      </c>
      <c r="G22" s="71">
        <f>IF(A22="COMPOSICAO",VLOOKUP("TOTAL SEM BDI - "&amp;B22,CPUAUX1!$A:$J,9,FALSE),VLOOKUP(B22,I!$A:$E,5,FALSE))</f>
        <v>15.99</v>
      </c>
      <c r="H22" s="72"/>
      <c r="I22" s="71">
        <f>TRUNC(F22*G22,2)</f>
        <v>2.39</v>
      </c>
      <c r="J22" s="72"/>
      <c r="M22" s="23" t="str">
        <f>B22</f>
        <v>I1725</v>
      </c>
      <c r="N22" s="5">
        <f>SUMIF(ORCAMENTO!B:B,B18,ORCAMENTO!F:F)</f>
        <v>6.48</v>
      </c>
      <c r="O22" s="23">
        <f>F22*N22</f>
        <v>0.97199999999999998</v>
      </c>
      <c r="Q22" s="23">
        <f ca="1">IFERROR(SUMIF(CO!B:B,B18,OFFSET(CO!F:F,0,(4+MATCH(ETAPA,CO!$J$6:$P$6,0)))),0)</f>
        <v>6.48</v>
      </c>
      <c r="R22" s="23">
        <f ca="1">F22*Q22</f>
        <v>0.97199999999999998</v>
      </c>
    </row>
    <row r="23" spans="1:18" x14ac:dyDescent="0.3">
      <c r="A23" s="23" t="s">
        <v>1025</v>
      </c>
      <c r="B23" s="23" t="s">
        <v>1030</v>
      </c>
      <c r="C23" s="23" t="str">
        <f>VLOOKUP(B23,IF(A23="COMPOSICAO",S!$A:$E,I!$A:$E),2,FALSE)</f>
        <v>SEINFRA</v>
      </c>
      <c r="D23" s="24" t="str">
        <f>VLOOKUP(B23,IF(A23="COMPOSICAO",S!$A:$E,I!$A:$E),3,FALSE)</f>
        <v>ESMALTE SINTETICO</v>
      </c>
      <c r="E23" s="23" t="str">
        <f>VLOOKUP(B23,IF(A23="COMPOSICAO",S!$A:$E,I!$A:$E),4,FALSE)</f>
        <v>L</v>
      </c>
      <c r="F23" s="23">
        <v>1</v>
      </c>
      <c r="G23" s="71">
        <f>IF(A23="COMPOSICAO",VLOOKUP("TOTAL SEM BDI - "&amp;B23,CPUAUX1!$A:$J,9,FALSE),VLOOKUP(B23,I!$A:$E,5,FALSE))</f>
        <v>31.88</v>
      </c>
      <c r="H23" s="72"/>
      <c r="I23" s="71">
        <f>TRUNC(F23*G23,2)</f>
        <v>31.88</v>
      </c>
      <c r="J23" s="72"/>
      <c r="M23" s="23" t="str">
        <f>B23</f>
        <v>I1100</v>
      </c>
      <c r="N23" s="5">
        <f>SUMIF(ORCAMENTO!B:B,B18,ORCAMENTO!F:F)</f>
        <v>6.48</v>
      </c>
      <c r="O23" s="23">
        <f>F23*N23</f>
        <v>6.48</v>
      </c>
      <c r="Q23" s="23">
        <f ca="1">IFERROR(SUMIF(CO!B:B,B18,OFFSET(CO!F:F,0,(4+MATCH(ETAPA,CO!$J$6:$P$6,0)))),0)</f>
        <v>6.48</v>
      </c>
      <c r="R23" s="23">
        <f ca="1">F23*Q23</f>
        <v>6.48</v>
      </c>
    </row>
    <row r="24" spans="1:18" x14ac:dyDescent="0.3">
      <c r="A24" s="68" t="str">
        <f>"TOTAL SEM BDI - "&amp;B18</f>
        <v>TOTAL SEM BDI - COMP14</v>
      </c>
      <c r="B24" s="69"/>
      <c r="C24" s="69"/>
      <c r="D24" s="69"/>
      <c r="E24" s="69"/>
      <c r="F24" s="69"/>
      <c r="G24" s="69"/>
      <c r="H24" s="70"/>
      <c r="I24" s="71">
        <f>SUM(I18:I23)</f>
        <v>189.89999999999998</v>
      </c>
      <c r="J24" s="72"/>
    </row>
    <row r="25" spans="1:18" x14ac:dyDescent="0.3">
      <c r="A25" s="68" t="str">
        <f>"TAXA DE BDI ("&amp;TEXT(BDI,"00,00")&amp;" %)"</f>
        <v>TAXA DE BDI (24,84 %)</v>
      </c>
      <c r="B25" s="69"/>
      <c r="C25" s="69"/>
      <c r="D25" s="69"/>
      <c r="E25" s="69"/>
      <c r="F25" s="69"/>
      <c r="G25" s="69"/>
      <c r="H25" s="70"/>
      <c r="I25" s="71">
        <f>ROUND(I24*(BDI/100),2)</f>
        <v>47.17</v>
      </c>
      <c r="J25" s="72"/>
    </row>
    <row r="26" spans="1:18" x14ac:dyDescent="0.3">
      <c r="A26" s="68" t="str">
        <f>"TOTAL COM BDI - "&amp;B18</f>
        <v>TOTAL COM BDI - COMP14</v>
      </c>
      <c r="B26" s="69"/>
      <c r="C26" s="69"/>
      <c r="D26" s="69"/>
      <c r="E26" s="69"/>
      <c r="F26" s="69"/>
      <c r="G26" s="69"/>
      <c r="H26" s="70"/>
      <c r="I26" s="71">
        <f>SUM(I24:I25)</f>
        <v>237.07</v>
      </c>
      <c r="J26" s="72"/>
    </row>
    <row r="28" spans="1:18" x14ac:dyDescent="0.3">
      <c r="A28" s="4" t="s">
        <v>1018</v>
      </c>
      <c r="B28" s="4" t="s">
        <v>138</v>
      </c>
      <c r="C28" s="4" t="s">
        <v>139</v>
      </c>
      <c r="D28" s="4" t="s">
        <v>21</v>
      </c>
      <c r="E28" s="4" t="s">
        <v>140</v>
      </c>
      <c r="F28" s="4" t="s">
        <v>506</v>
      </c>
      <c r="G28" s="34" t="s">
        <v>1019</v>
      </c>
      <c r="H28" s="35"/>
      <c r="I28" s="34" t="s">
        <v>15</v>
      </c>
      <c r="J28" s="35"/>
    </row>
    <row r="29" spans="1:18" ht="30" customHeight="1" x14ac:dyDescent="0.3">
      <c r="A29" s="15" t="s">
        <v>1031</v>
      </c>
      <c r="B29" s="15" t="s">
        <v>521</v>
      </c>
      <c r="C29" s="15" t="str">
        <f>VLOOKUP(B29,S!$A:$G,2,FALSE)</f>
        <v>PRÓPRIA</v>
      </c>
      <c r="D29" s="22" t="str">
        <f>VLOOKUP(B29,S!$A:$G,3,FALSE)</f>
        <v>LOCAÇÃO DO POÇO COM ESTUDO GEOLÓGICO/HIDROGEOLÓGICO/GEOFÍSICO</v>
      </c>
      <c r="E29" s="15" t="str">
        <f>VLOOKUP(B29,S!$A:$G,4,FALSE)</f>
        <v>UN</v>
      </c>
      <c r="F29" s="15"/>
      <c r="G29" s="73">
        <f>I33</f>
        <v>1692.3999999999999</v>
      </c>
      <c r="H29" s="74"/>
      <c r="I29" s="73"/>
      <c r="J29" s="74"/>
      <c r="K29" s="16">
        <f>VLOOKUP(B29,S!A:G,5,FALSE)</f>
        <v>0</v>
      </c>
      <c r="L29" s="15" t="s">
        <v>1021</v>
      </c>
    </row>
    <row r="30" spans="1:18" x14ac:dyDescent="0.3">
      <c r="A30" s="23" t="s">
        <v>1023</v>
      </c>
      <c r="B30" s="23" t="s">
        <v>1032</v>
      </c>
      <c r="C30" s="23" t="str">
        <f>VLOOKUP(B30,IF(A30="COMPOSICAO",S!$A:$E,I!$A:$E),2,FALSE)</f>
        <v>PRÓPRIA</v>
      </c>
      <c r="D30" s="24" t="str">
        <f>VLOOKUP(B30,IF(A30="COMPOSICAO",S!$A:$E,I!$A:$E),3,FALSE)</f>
        <v>GEÓLOGO SÊNIOR COM ENCARGOS COMPLEMENTARES</v>
      </c>
      <c r="E30" s="23" t="str">
        <f>VLOOKUP(B30,IF(A30="COMPOSICAO",S!$A:$E,I!$A:$E),4,FALSE)</f>
        <v>H</v>
      </c>
      <c r="F30" s="23">
        <f>10/pcf</f>
        <v>10</v>
      </c>
      <c r="G30" s="71">
        <f>IF(A30="COMPOSICAO",VLOOKUP("TOTAL SEM BDI - "&amp;B30,CPUAUX1!$A:$J,9,FALSE),VLOOKUP(B30,I!$A:$E,5,FALSE))</f>
        <v>111.02</v>
      </c>
      <c r="H30" s="72"/>
      <c r="I30" s="71">
        <f>TRUNC(F30*G30,2)</f>
        <v>1110.2</v>
      </c>
      <c r="J30" s="72"/>
      <c r="M30" s="23" t="str">
        <f>B30</f>
        <v>CAESB2</v>
      </c>
      <c r="N30" s="5">
        <f>SUMIF(ORCAMENTO!B:B,B29,ORCAMENTO!F:F)</f>
        <v>5</v>
      </c>
      <c r="O30" s="23">
        <f>F30*N30</f>
        <v>50</v>
      </c>
      <c r="Q30" s="23">
        <f ca="1">IFERROR(SUMIF(CO!B:B,B29,OFFSET(CO!F:F,0,(4+MATCH(ETAPA,CO!$J$6:$P$6,0)))),0)</f>
        <v>2</v>
      </c>
      <c r="R30" s="23">
        <f ca="1">F30*Q30</f>
        <v>20</v>
      </c>
    </row>
    <row r="31" spans="1:18" ht="30" customHeight="1" x14ac:dyDescent="0.3">
      <c r="A31" s="23" t="s">
        <v>1022</v>
      </c>
      <c r="B31" s="23">
        <v>88255</v>
      </c>
      <c r="C31" s="23" t="str">
        <f>VLOOKUP(B31,IF(A31="COMPOSICAO",S!$A:$E,I!$A:$E),2,FALSE)</f>
        <v>SINAPI</v>
      </c>
      <c r="D31" s="24" t="str">
        <f>VLOOKUP(B31,IF(A31="COMPOSICAO",S!$A:$E,I!$A:$E),3,FALSE)</f>
        <v>AUXILIAR TÉCNICO DE ENGENHARIA COM ENCARGOS COMPLEMENTARES</v>
      </c>
      <c r="E31" s="23" t="str">
        <f>VLOOKUP(B31,IF(A31="COMPOSICAO",S!$A:$E,I!$A:$E),4,FALSE)</f>
        <v>H</v>
      </c>
      <c r="F31" s="23">
        <f>10/pcf</f>
        <v>10</v>
      </c>
      <c r="G31" s="71">
        <f>IF(A31="COMPOSICAO",VLOOKUP("TOTAL SEM BDI - "&amp;B31,CPUAUX1!$A:$J,9,FALSE),VLOOKUP(B31,I!$A:$E,5,FALSE))</f>
        <v>26.54</v>
      </c>
      <c r="H31" s="72"/>
      <c r="I31" s="71">
        <f>TRUNC(F31*G31,2)</f>
        <v>265.39999999999998</v>
      </c>
      <c r="J31" s="72"/>
      <c r="M31" s="23">
        <f>B31</f>
        <v>88255</v>
      </c>
      <c r="N31" s="5">
        <f>SUMIF(ORCAMENTO!B:B,B29,ORCAMENTO!F:F)</f>
        <v>5</v>
      </c>
      <c r="O31" s="23">
        <f>F31*N31</f>
        <v>50</v>
      </c>
      <c r="Q31" s="23">
        <f ca="1">IFERROR(SUMIF(CO!B:B,B29,OFFSET(CO!F:F,0,(4+MATCH(ETAPA,CO!$J$6:$P$6,0)))),0)</f>
        <v>2</v>
      </c>
      <c r="R31" s="23">
        <f ca="1">F31*Q31</f>
        <v>20</v>
      </c>
    </row>
    <row r="32" spans="1:18" x14ac:dyDescent="0.3">
      <c r="A32" s="23" t="s">
        <v>1025</v>
      </c>
      <c r="B32" s="23" t="s">
        <v>1026</v>
      </c>
      <c r="C32" s="23" t="str">
        <f>VLOOKUP(B32,IF(A32="COMPOSICAO",S!$A:$E,I!$A:$E),2,FALSE)</f>
        <v>ORSE</v>
      </c>
      <c r="D32" s="24" t="str">
        <f>VLOOKUP(B32,IF(A32="COMPOSICAO",S!$A:$E,I!$A:$E),3,FALSE)</f>
        <v>VEÍCULO LEVE - PICK UP (97KW)</v>
      </c>
      <c r="E32" s="23" t="str">
        <f>VLOOKUP(B32,IF(A32="COMPOSICAO",S!$A:$E,I!$A:$E),4,FALSE)</f>
        <v>H</v>
      </c>
      <c r="F32" s="23">
        <f>30/pcf</f>
        <v>30</v>
      </c>
      <c r="G32" s="71">
        <f>IF(A32="COMPOSICAO",VLOOKUP("TOTAL SEM BDI - "&amp;B32,CPUAUX1!$A:$J,9,FALSE),VLOOKUP(B32,I!$A:$E,5,FALSE))</f>
        <v>10.56</v>
      </c>
      <c r="H32" s="72"/>
      <c r="I32" s="71">
        <f>TRUNC(F32*G32,2)</f>
        <v>316.8</v>
      </c>
      <c r="J32" s="72"/>
      <c r="M32" s="23" t="str">
        <f>B32</f>
        <v>02789/ORSE</v>
      </c>
      <c r="N32" s="5">
        <f>SUMIF(ORCAMENTO!B:B,B29,ORCAMENTO!F:F)</f>
        <v>5</v>
      </c>
      <c r="O32" s="23">
        <f>F32*N32</f>
        <v>150</v>
      </c>
      <c r="Q32" s="23">
        <f ca="1">IFERROR(SUMIF(CO!B:B,B29,OFFSET(CO!F:F,0,(4+MATCH(ETAPA,CO!$J$6:$P$6,0)))),0)</f>
        <v>2</v>
      </c>
      <c r="R32" s="23">
        <f ca="1">F32*Q32</f>
        <v>60</v>
      </c>
    </row>
    <row r="33" spans="1:18" x14ac:dyDescent="0.3">
      <c r="A33" s="68" t="str">
        <f>"TOTAL SEM BDI - "&amp;B29</f>
        <v>TOTAL SEM BDI - COMPOS3</v>
      </c>
      <c r="B33" s="69"/>
      <c r="C33" s="69"/>
      <c r="D33" s="69"/>
      <c r="E33" s="69"/>
      <c r="F33" s="69"/>
      <c r="G33" s="69"/>
      <c r="H33" s="70"/>
      <c r="I33" s="71">
        <f>SUM(I29:I32)</f>
        <v>1692.3999999999999</v>
      </c>
      <c r="J33" s="72"/>
    </row>
    <row r="34" spans="1:18" x14ac:dyDescent="0.3">
      <c r="A34" s="68" t="str">
        <f>"TAXA DE BDI ("&amp;TEXT(BDI,"00,00")&amp;" %)"</f>
        <v>TAXA DE BDI (24,84 %)</v>
      </c>
      <c r="B34" s="69"/>
      <c r="C34" s="69"/>
      <c r="D34" s="69"/>
      <c r="E34" s="69"/>
      <c r="F34" s="69"/>
      <c r="G34" s="69"/>
      <c r="H34" s="70"/>
      <c r="I34" s="71">
        <f>ROUND(I33*(BDI/100),2)</f>
        <v>420.39</v>
      </c>
      <c r="J34" s="72"/>
    </row>
    <row r="35" spans="1:18" x14ac:dyDescent="0.3">
      <c r="A35" s="68" t="str">
        <f>"TOTAL COM BDI - "&amp;B29</f>
        <v>TOTAL COM BDI - COMPOS3</v>
      </c>
      <c r="B35" s="69"/>
      <c r="C35" s="69"/>
      <c r="D35" s="69"/>
      <c r="E35" s="69"/>
      <c r="F35" s="69"/>
      <c r="G35" s="69"/>
      <c r="H35" s="70"/>
      <c r="I35" s="71">
        <f>SUM(I33:I34)</f>
        <v>2112.79</v>
      </c>
      <c r="J35" s="72"/>
    </row>
    <row r="37" spans="1:18" x14ac:dyDescent="0.3">
      <c r="A37" s="4" t="s">
        <v>1018</v>
      </c>
      <c r="B37" s="4" t="s">
        <v>138</v>
      </c>
      <c r="C37" s="4" t="s">
        <v>139</v>
      </c>
      <c r="D37" s="4" t="s">
        <v>21</v>
      </c>
      <c r="E37" s="4" t="s">
        <v>140</v>
      </c>
      <c r="F37" s="4" t="s">
        <v>506</v>
      </c>
      <c r="G37" s="34" t="s">
        <v>1019</v>
      </c>
      <c r="H37" s="35"/>
      <c r="I37" s="34" t="s">
        <v>15</v>
      </c>
      <c r="J37" s="35"/>
    </row>
    <row r="38" spans="1:18" x14ac:dyDescent="0.3">
      <c r="A38" s="15" t="s">
        <v>1031</v>
      </c>
      <c r="B38" s="15" t="s">
        <v>523</v>
      </c>
      <c r="C38" s="15" t="str">
        <f>VLOOKUP(B38,S!$A:$G,2,FALSE)</f>
        <v>PRÓPRIA</v>
      </c>
      <c r="D38" s="22" t="str">
        <f>VLOOKUP(B38,S!$A:$G,3,FALSE)</f>
        <v>TRANSPORTE DE MÁQUINAS E EQUIPAMENTOS</v>
      </c>
      <c r="E38" s="15" t="str">
        <f>VLOOKUP(B38,S!$A:$G,4,FALSE)</f>
        <v>KM</v>
      </c>
      <c r="F38" s="15"/>
      <c r="G38" s="73">
        <f>I40</f>
        <v>5.5</v>
      </c>
      <c r="H38" s="74"/>
      <c r="I38" s="73"/>
      <c r="J38" s="74"/>
      <c r="K38" s="16">
        <f>VLOOKUP(B38,S!A:G,5,FALSE)</f>
        <v>0</v>
      </c>
      <c r="L38" s="15" t="s">
        <v>1021</v>
      </c>
    </row>
    <row r="39" spans="1:18" ht="30" customHeight="1" x14ac:dyDescent="0.3">
      <c r="A39" s="23" t="s">
        <v>1025</v>
      </c>
      <c r="B39" s="23" t="s">
        <v>1033</v>
      </c>
      <c r="C39" s="23" t="str">
        <f>VLOOKUP(B39,IF(A39="COMPOSICAO",S!$A:$E,I!$A:$E),2,FALSE)</f>
        <v>ORSE</v>
      </c>
      <c r="D39" s="24" t="str">
        <f>VLOOKUP(B39,IF(A39="COMPOSICAO",S!$A:$E,I!$A:$E),3,FALSE)</f>
        <v>TRANSPORTES DE MÁQUINAS E EQUIPAMENTOS POR CAMINHÃO MUNCK</v>
      </c>
      <c r="E39" s="23" t="str">
        <f>VLOOKUP(B39,IF(A39="COMPOSICAO",S!$A:$E,I!$A:$E),4,FALSE)</f>
        <v>KM</v>
      </c>
      <c r="F39" s="23">
        <v>1</v>
      </c>
      <c r="G39" s="71">
        <f>IF(A39="COMPOSICAO",VLOOKUP("TOTAL SEM BDI - "&amp;B39,CPUAUX1!$A:$J,9,FALSE),VLOOKUP(B39,I!$A:$E,5,FALSE))</f>
        <v>5.5</v>
      </c>
      <c r="H39" s="72"/>
      <c r="I39" s="71">
        <f>TRUNC(F39*G39,2)</f>
        <v>5.5</v>
      </c>
      <c r="J39" s="72"/>
      <c r="M39" s="23" t="str">
        <f>B39</f>
        <v>13957/ORSE</v>
      </c>
      <c r="N39" s="5">
        <f>SUMIF(ORCAMENTO!B:B,B38,ORCAMENTO!F:F)</f>
        <v>360.99999999999994</v>
      </c>
      <c r="O39" s="23">
        <f>F39*N39</f>
        <v>360.99999999999994</v>
      </c>
      <c r="Q39" s="23">
        <f ca="1">IFERROR(SUMIF(CO!B:B,B38,OFFSET(CO!F:F,0,(4+MATCH(ETAPA,CO!$J$6:$P$6,0)))),0)</f>
        <v>109.19999999999999</v>
      </c>
      <c r="R39" s="23">
        <f ca="1">F39*Q39</f>
        <v>109.19999999999999</v>
      </c>
    </row>
    <row r="40" spans="1:18" x14ac:dyDescent="0.3">
      <c r="A40" s="68" t="str">
        <f>"TOTAL SEM BDI - "&amp;B38</f>
        <v>TOTAL SEM BDI - COMPOS4</v>
      </c>
      <c r="B40" s="69"/>
      <c r="C40" s="69"/>
      <c r="D40" s="69"/>
      <c r="E40" s="69"/>
      <c r="F40" s="69"/>
      <c r="G40" s="69"/>
      <c r="H40" s="70"/>
      <c r="I40" s="71">
        <f>SUM(I38:I39)</f>
        <v>5.5</v>
      </c>
      <c r="J40" s="72"/>
    </row>
    <row r="41" spans="1:18" x14ac:dyDescent="0.3">
      <c r="A41" s="68" t="str">
        <f>"TAXA DE BDI ("&amp;TEXT(BDI,"00,00")&amp;" %)"</f>
        <v>TAXA DE BDI (24,84 %)</v>
      </c>
      <c r="B41" s="69"/>
      <c r="C41" s="69"/>
      <c r="D41" s="69"/>
      <c r="E41" s="69"/>
      <c r="F41" s="69"/>
      <c r="G41" s="69"/>
      <c r="H41" s="70"/>
      <c r="I41" s="71">
        <f>ROUND(I40*(BDI/100),2)</f>
        <v>1.37</v>
      </c>
      <c r="J41" s="72"/>
    </row>
    <row r="42" spans="1:18" x14ac:dyDescent="0.3">
      <c r="A42" s="68" t="str">
        <f>"TOTAL COM BDI - "&amp;B38</f>
        <v>TOTAL COM BDI - COMPOS4</v>
      </c>
      <c r="B42" s="69"/>
      <c r="C42" s="69"/>
      <c r="D42" s="69"/>
      <c r="E42" s="69"/>
      <c r="F42" s="69"/>
      <c r="G42" s="69"/>
      <c r="H42" s="70"/>
      <c r="I42" s="71">
        <f>SUM(I40:I41)</f>
        <v>6.87</v>
      </c>
      <c r="J42" s="72"/>
    </row>
    <row r="44" spans="1:18" x14ac:dyDescent="0.3">
      <c r="A44" s="4" t="s">
        <v>1018</v>
      </c>
      <c r="B44" s="4" t="s">
        <v>138</v>
      </c>
      <c r="C44" s="4" t="s">
        <v>139</v>
      </c>
      <c r="D44" s="4" t="s">
        <v>21</v>
      </c>
      <c r="E44" s="4" t="s">
        <v>140</v>
      </c>
      <c r="F44" s="4" t="s">
        <v>506</v>
      </c>
      <c r="G44" s="34" t="s">
        <v>1019</v>
      </c>
      <c r="H44" s="35"/>
      <c r="I44" s="34" t="s">
        <v>15</v>
      </c>
      <c r="J44" s="35"/>
    </row>
    <row r="45" spans="1:18" x14ac:dyDescent="0.3">
      <c r="A45" s="15" t="s">
        <v>1031</v>
      </c>
      <c r="B45" s="15" t="s">
        <v>528</v>
      </c>
      <c r="C45" s="15" t="str">
        <f>VLOOKUP(B45,S!$A:$G,2,FALSE)</f>
        <v>PRÓPRIA</v>
      </c>
      <c r="D45" s="22" t="str">
        <f>VLOOKUP(B45,S!$A:$G,3,FALSE)</f>
        <v>PERFILAGEM ÓTICA</v>
      </c>
      <c r="E45" s="15" t="str">
        <f>VLOOKUP(B45,S!$A:$G,4,FALSE)</f>
        <v>UN</v>
      </c>
      <c r="F45" s="15"/>
      <c r="G45" s="73">
        <f>I50</f>
        <v>2908.88</v>
      </c>
      <c r="H45" s="74"/>
      <c r="I45" s="73"/>
      <c r="J45" s="74"/>
      <c r="K45" s="16">
        <f>VLOOKUP(B45,S!A:G,5,FALSE)</f>
        <v>0</v>
      </c>
      <c r="L45" s="15" t="s">
        <v>1021</v>
      </c>
    </row>
    <row r="46" spans="1:18" x14ac:dyDescent="0.3">
      <c r="A46" s="23" t="s">
        <v>1023</v>
      </c>
      <c r="B46" s="23" t="s">
        <v>1034</v>
      </c>
      <c r="C46" s="23" t="str">
        <f>VLOOKUP(B46,IF(A46="COMPOSICAO",S!$A:$E,I!$A:$E),2,FALSE)</f>
        <v>PRÓPRIA</v>
      </c>
      <c r="D46" s="24" t="str">
        <f>VLOOKUP(B46,IF(A46="COMPOSICAO",S!$A:$E,I!$A:$E),3,FALSE)</f>
        <v>GEÓLOGO SÊNIOR ENCARGOS COMPLEMENTARES</v>
      </c>
      <c r="E46" s="23" t="str">
        <f>VLOOKUP(B46,IF(A46="COMPOSICAO",S!$A:$E,I!$A:$E),4,FALSE)</f>
        <v>H</v>
      </c>
      <c r="F46" s="23">
        <f>10/pcf</f>
        <v>10</v>
      </c>
      <c r="G46" s="71">
        <f>IF(A46="COMPOSICAO",VLOOKUP("TOTAL SEM BDI - "&amp;B46,CPUAUX1!$A:$J,9,FALSE),VLOOKUP(B46,I!$A:$E,5,FALSE))</f>
        <v>111.02</v>
      </c>
      <c r="H46" s="72"/>
      <c r="I46" s="71">
        <f>TRUNC(F46*G46,2)</f>
        <v>1110.2</v>
      </c>
      <c r="J46" s="72"/>
      <c r="M46" s="23" t="str">
        <f>B46</f>
        <v>CAESB3</v>
      </c>
      <c r="N46" s="5">
        <f>SUMIF(ORCAMENTO!B:B,B45,ORCAMENTO!F:F)</f>
        <v>5</v>
      </c>
      <c r="O46" s="23">
        <f>F46*N46</f>
        <v>50</v>
      </c>
      <c r="Q46" s="23">
        <f ca="1">IFERROR(SUMIF(CO!B:B,B45,OFFSET(CO!F:F,0,(4+MATCH(ETAPA,CO!$J$6:$P$6,0)))),0)</f>
        <v>2</v>
      </c>
      <c r="R46" s="23">
        <f ca="1">F46*Q46</f>
        <v>20</v>
      </c>
    </row>
    <row r="47" spans="1:18" ht="30" customHeight="1" x14ac:dyDescent="0.3">
      <c r="A47" s="23" t="s">
        <v>1022</v>
      </c>
      <c r="B47" s="23">
        <v>88255</v>
      </c>
      <c r="C47" s="23" t="str">
        <f>VLOOKUP(B47,IF(A47="COMPOSICAO",S!$A:$E,I!$A:$E),2,FALSE)</f>
        <v>SINAPI</v>
      </c>
      <c r="D47" s="24" t="str">
        <f>VLOOKUP(B47,IF(A47="COMPOSICAO",S!$A:$E,I!$A:$E),3,FALSE)</f>
        <v>AUXILIAR TÉCNICO DE ENGENHARIA COM ENCARGOS COMPLEMENTARES</v>
      </c>
      <c r="E47" s="23" t="str">
        <f>VLOOKUP(B47,IF(A47="COMPOSICAO",S!$A:$E,I!$A:$E),4,FALSE)</f>
        <v>H</v>
      </c>
      <c r="F47" s="23">
        <f>10/pcf</f>
        <v>10</v>
      </c>
      <c r="G47" s="71">
        <f>IF(A47="COMPOSICAO",VLOOKUP("TOTAL SEM BDI - "&amp;B47,CPUAUX1!$A:$J,9,FALSE),VLOOKUP(B47,I!$A:$E,5,FALSE))</f>
        <v>26.54</v>
      </c>
      <c r="H47" s="72"/>
      <c r="I47" s="71">
        <f>TRUNC(F47*G47,2)</f>
        <v>265.39999999999998</v>
      </c>
      <c r="J47" s="72"/>
      <c r="M47" s="23">
        <f>B47</f>
        <v>88255</v>
      </c>
      <c r="N47" s="5">
        <f>SUMIF(ORCAMENTO!B:B,B45,ORCAMENTO!F:F)</f>
        <v>5</v>
      </c>
      <c r="O47" s="23">
        <f>F47*N47</f>
        <v>50</v>
      </c>
      <c r="Q47" s="23">
        <f ca="1">IFERROR(SUMIF(CO!B:B,B45,OFFSET(CO!F:F,0,(4+MATCH(ETAPA,CO!$J$6:$P$6,0)))),0)</f>
        <v>2</v>
      </c>
      <c r="R47" s="23">
        <f ca="1">F47*Q47</f>
        <v>20</v>
      </c>
    </row>
    <row r="48" spans="1:18" ht="30" customHeight="1" x14ac:dyDescent="0.3">
      <c r="A48" s="23" t="s">
        <v>1022</v>
      </c>
      <c r="B48" s="23">
        <v>90779</v>
      </c>
      <c r="C48" s="23" t="str">
        <f>VLOOKUP(B48,IF(A48="COMPOSICAO",S!$A:$E,I!$A:$E),2,FALSE)</f>
        <v>SINAPI</v>
      </c>
      <c r="D48" s="24" t="str">
        <f>VLOOKUP(B48,IF(A48="COMPOSICAO",S!$A:$E,I!$A:$E),3,FALSE)</f>
        <v>ENGENHEIRO CIVIL DE OBRA SENIOR COM ENCARGOS COMPLEMENTARES</v>
      </c>
      <c r="E48" s="23" t="str">
        <f>VLOOKUP(B48,IF(A48="COMPOSICAO",S!$A:$E,I!$A:$E),4,FALSE)</f>
        <v>H</v>
      </c>
      <c r="F48" s="23">
        <f>8/pcf</f>
        <v>8</v>
      </c>
      <c r="G48" s="71">
        <f>IF(A48="COMPOSICAO",VLOOKUP("TOTAL SEM BDI - "&amp;B48,CPUAUX1!$A:$J,9,FALSE),VLOOKUP(B48,I!$A:$E,5,FALSE))</f>
        <v>152.06</v>
      </c>
      <c r="H48" s="72"/>
      <c r="I48" s="71">
        <f>TRUNC(F48*G48,2)</f>
        <v>1216.48</v>
      </c>
      <c r="J48" s="72"/>
      <c r="M48" s="23">
        <f>B48</f>
        <v>90779</v>
      </c>
      <c r="N48" s="5">
        <f>SUMIF(ORCAMENTO!B:B,B45,ORCAMENTO!F:F)</f>
        <v>5</v>
      </c>
      <c r="O48" s="23">
        <f>F48*N48</f>
        <v>40</v>
      </c>
      <c r="Q48" s="23">
        <f ca="1">IFERROR(SUMIF(CO!B:B,B45,OFFSET(CO!F:F,0,(4+MATCH(ETAPA,CO!$J$6:$P$6,0)))),0)</f>
        <v>2</v>
      </c>
      <c r="R48" s="23">
        <f ca="1">F48*Q48</f>
        <v>16</v>
      </c>
    </row>
    <row r="49" spans="1:18" x14ac:dyDescent="0.3">
      <c r="A49" s="23" t="s">
        <v>1025</v>
      </c>
      <c r="B49" s="23" t="s">
        <v>1026</v>
      </c>
      <c r="C49" s="23" t="str">
        <f>VLOOKUP(B49,IF(A49="COMPOSICAO",S!$A:$E,I!$A:$E),2,FALSE)</f>
        <v>ORSE</v>
      </c>
      <c r="D49" s="24" t="str">
        <f>VLOOKUP(B49,IF(A49="COMPOSICAO",S!$A:$E,I!$A:$E),3,FALSE)</f>
        <v>VEÍCULO LEVE - PICK UP (97KW)</v>
      </c>
      <c r="E49" s="23" t="str">
        <f>VLOOKUP(B49,IF(A49="COMPOSICAO",S!$A:$E,I!$A:$E),4,FALSE)</f>
        <v>H</v>
      </c>
      <c r="F49" s="23">
        <f>30/pcf</f>
        <v>30</v>
      </c>
      <c r="G49" s="71">
        <f>IF(A49="COMPOSICAO",VLOOKUP("TOTAL SEM BDI - "&amp;B49,CPUAUX1!$A:$J,9,FALSE),VLOOKUP(B49,I!$A:$E,5,FALSE))</f>
        <v>10.56</v>
      </c>
      <c r="H49" s="72"/>
      <c r="I49" s="71">
        <f>TRUNC(F49*G49,2)</f>
        <v>316.8</v>
      </c>
      <c r="J49" s="72"/>
      <c r="M49" s="23" t="str">
        <f>B49</f>
        <v>02789/ORSE</v>
      </c>
      <c r="N49" s="5">
        <f>SUMIF(ORCAMENTO!B:B,B45,ORCAMENTO!F:F)</f>
        <v>5</v>
      </c>
      <c r="O49" s="23">
        <f>F49*N49</f>
        <v>150</v>
      </c>
      <c r="Q49" s="23">
        <f ca="1">IFERROR(SUMIF(CO!B:B,B45,OFFSET(CO!F:F,0,(4+MATCH(ETAPA,CO!$J$6:$P$6,0)))),0)</f>
        <v>2</v>
      </c>
      <c r="R49" s="23">
        <f ca="1">F49*Q49</f>
        <v>60</v>
      </c>
    </row>
    <row r="50" spans="1:18" x14ac:dyDescent="0.3">
      <c r="A50" s="68" t="str">
        <f>"TOTAL SEM BDI - "&amp;B45</f>
        <v>TOTAL SEM BDI - COMPOS5</v>
      </c>
      <c r="B50" s="69"/>
      <c r="C50" s="69"/>
      <c r="D50" s="69"/>
      <c r="E50" s="69"/>
      <c r="F50" s="69"/>
      <c r="G50" s="69"/>
      <c r="H50" s="70"/>
      <c r="I50" s="71">
        <f>SUM(I45:I49)</f>
        <v>2908.88</v>
      </c>
      <c r="J50" s="72"/>
    </row>
    <row r="51" spans="1:18" x14ac:dyDescent="0.3">
      <c r="A51" s="68" t="str">
        <f>"TAXA DE BDI ("&amp;TEXT(BDI,"00,00")&amp;" %)"</f>
        <v>TAXA DE BDI (24,84 %)</v>
      </c>
      <c r="B51" s="69"/>
      <c r="C51" s="69"/>
      <c r="D51" s="69"/>
      <c r="E51" s="69"/>
      <c r="F51" s="69"/>
      <c r="G51" s="69"/>
      <c r="H51" s="70"/>
      <c r="I51" s="71">
        <f>ROUND(I50*(BDI/100),2)</f>
        <v>722.57</v>
      </c>
      <c r="J51" s="72"/>
    </row>
    <row r="52" spans="1:18" x14ac:dyDescent="0.3">
      <c r="A52" s="68" t="str">
        <f>"TOTAL COM BDI - "&amp;B45</f>
        <v>TOTAL COM BDI - COMPOS5</v>
      </c>
      <c r="B52" s="69"/>
      <c r="C52" s="69"/>
      <c r="D52" s="69"/>
      <c r="E52" s="69"/>
      <c r="F52" s="69"/>
      <c r="G52" s="69"/>
      <c r="H52" s="70"/>
      <c r="I52" s="71">
        <f>SUM(I50:I51)</f>
        <v>3631.4500000000003</v>
      </c>
      <c r="J52" s="72"/>
    </row>
    <row r="54" spans="1:18" x14ac:dyDescent="0.3">
      <c r="A54" s="4" t="s">
        <v>1018</v>
      </c>
      <c r="B54" s="4" t="s">
        <v>138</v>
      </c>
      <c r="C54" s="4" t="s">
        <v>139</v>
      </c>
      <c r="D54" s="4" t="s">
        <v>21</v>
      </c>
      <c r="E54" s="4" t="s">
        <v>140</v>
      </c>
      <c r="F54" s="4" t="s">
        <v>506</v>
      </c>
      <c r="G54" s="34" t="s">
        <v>1019</v>
      </c>
      <c r="H54" s="35"/>
      <c r="I54" s="34" t="s">
        <v>15</v>
      </c>
      <c r="J54" s="35"/>
    </row>
    <row r="55" spans="1:18" x14ac:dyDescent="0.3">
      <c r="A55" s="15" t="s">
        <v>1031</v>
      </c>
      <c r="B55" s="15" t="s">
        <v>530</v>
      </c>
      <c r="C55" s="15" t="str">
        <f>VLOOKUP(B55,S!$A:$G,2,FALSE)</f>
        <v>PRÓPRIA</v>
      </c>
      <c r="D55" s="22" t="str">
        <f>VLOOKUP(B55,S!$A:$G,3,FALSE)</f>
        <v>PERFURAÇÃO EM 10'' (SEDIMENTO)</v>
      </c>
      <c r="E55" s="15" t="str">
        <f>VLOOKUP(B55,S!$A:$G,4,FALSE)</f>
        <v>M</v>
      </c>
      <c r="F55" s="15"/>
      <c r="G55" s="73">
        <f>I60</f>
        <v>288.94</v>
      </c>
      <c r="H55" s="74"/>
      <c r="I55" s="73"/>
      <c r="J55" s="74"/>
      <c r="K55" s="16">
        <f>VLOOKUP(B55,S!A:G,5,FALSE)</f>
        <v>0</v>
      </c>
      <c r="L55" s="15" t="s">
        <v>1021</v>
      </c>
    </row>
    <row r="56" spans="1:18" ht="30" customHeight="1" x14ac:dyDescent="0.3">
      <c r="A56" s="23" t="s">
        <v>1022</v>
      </c>
      <c r="B56" s="23">
        <v>88297</v>
      </c>
      <c r="C56" s="23" t="str">
        <f>VLOOKUP(B56,IF(A56="COMPOSICAO",S!$A:$E,I!$A:$E),2,FALSE)</f>
        <v>SINAPI</v>
      </c>
      <c r="D56" s="24" t="str">
        <f>VLOOKUP(B56,IF(A56="COMPOSICAO",S!$A:$E,I!$A:$E),3,FALSE)</f>
        <v>OPERADOR DE MÁQUINAS E EQUIPAMENTOS COM ENCARGOS COMPLEMENTARES</v>
      </c>
      <c r="E56" s="23" t="str">
        <f>VLOOKUP(B56,IF(A56="COMPOSICAO",S!$A:$E,I!$A:$E),4,FALSE)</f>
        <v>H</v>
      </c>
      <c r="F56" s="23">
        <f>0.4/pcf</f>
        <v>0.4</v>
      </c>
      <c r="G56" s="71">
        <f>IF(A56="COMPOSICAO",VLOOKUP("TOTAL SEM BDI - "&amp;B56,CPUAUX1!$A:$J,9,FALSE),VLOOKUP(B56,I!$A:$E,5,FALSE))</f>
        <v>27.16</v>
      </c>
      <c r="H56" s="72"/>
      <c r="I56" s="71">
        <f>TRUNC(F56*G56,2)</f>
        <v>10.86</v>
      </c>
      <c r="J56" s="72"/>
      <c r="M56" s="23">
        <f>B56</f>
        <v>88297</v>
      </c>
      <c r="N56" s="5">
        <f>SUMIF(ORCAMENTO!B:B,B55,ORCAMENTO!F:F)</f>
        <v>175</v>
      </c>
      <c r="O56" s="23">
        <f>F56*N56</f>
        <v>70</v>
      </c>
      <c r="Q56" s="23">
        <f ca="1">IFERROR(SUMIF(CO!B:B,B55,OFFSET(CO!F:F,0,(4+MATCH(ETAPA,CO!$J$6:$P$6,0)))),0)</f>
        <v>70</v>
      </c>
      <c r="R56" s="23">
        <f ca="1">F56*Q56</f>
        <v>28</v>
      </c>
    </row>
    <row r="57" spans="1:18" ht="30" customHeight="1" x14ac:dyDescent="0.3">
      <c r="A57" s="23" t="s">
        <v>1022</v>
      </c>
      <c r="B57" s="23">
        <v>88277</v>
      </c>
      <c r="C57" s="23" t="str">
        <f>VLOOKUP(B57,IF(A57="COMPOSICAO",S!$A:$E,I!$A:$E),2,FALSE)</f>
        <v>SINAPI</v>
      </c>
      <c r="D57" s="24" t="str">
        <f>VLOOKUP(B57,IF(A57="COMPOSICAO",S!$A:$E,I!$A:$E),3,FALSE)</f>
        <v>MONTADOR (TUBO AÇO/EQUIPAMENTOS) COM ENCARGOS COMPLEMENTARES</v>
      </c>
      <c r="E57" s="23" t="str">
        <f>VLOOKUP(B57,IF(A57="COMPOSICAO",S!$A:$E,I!$A:$E),4,FALSE)</f>
        <v>H</v>
      </c>
      <c r="F57" s="23">
        <f>0.2/pcf</f>
        <v>0.2</v>
      </c>
      <c r="G57" s="71">
        <f>IF(A57="COMPOSICAO",VLOOKUP("TOTAL SEM BDI - "&amp;B57,CPUAUX1!$A:$J,9,FALSE),VLOOKUP(B57,I!$A:$E,5,FALSE))</f>
        <v>28.44</v>
      </c>
      <c r="H57" s="72"/>
      <c r="I57" s="71">
        <f>TRUNC(F57*G57,2)</f>
        <v>5.68</v>
      </c>
      <c r="J57" s="72"/>
      <c r="M57" s="23">
        <f>B57</f>
        <v>88277</v>
      </c>
      <c r="N57" s="5">
        <f>SUMIF(ORCAMENTO!B:B,B55,ORCAMENTO!F:F)</f>
        <v>175</v>
      </c>
      <c r="O57" s="23">
        <f>F57*N57</f>
        <v>35</v>
      </c>
      <c r="Q57" s="23">
        <f ca="1">IFERROR(SUMIF(CO!B:B,B55,OFFSET(CO!F:F,0,(4+MATCH(ETAPA,CO!$J$6:$P$6,0)))),0)</f>
        <v>70</v>
      </c>
      <c r="R57" s="23">
        <f ca="1">F57*Q57</f>
        <v>14</v>
      </c>
    </row>
    <row r="58" spans="1:18" x14ac:dyDescent="0.3">
      <c r="A58" s="23" t="s">
        <v>1022</v>
      </c>
      <c r="B58" s="23">
        <v>88316</v>
      </c>
      <c r="C58" s="23" t="str">
        <f>VLOOKUP(B58,IF(A58="COMPOSICAO",S!$A:$E,I!$A:$E),2,FALSE)</f>
        <v>SINAPI</v>
      </c>
      <c r="D58" s="24" t="str">
        <f>VLOOKUP(B58,IF(A58="COMPOSICAO",S!$A:$E,I!$A:$E),3,FALSE)</f>
        <v>SERVENTE COM ENCARGOS COMPLEMENTARES</v>
      </c>
      <c r="E58" s="23" t="str">
        <f>VLOOKUP(B58,IF(A58="COMPOSICAO",S!$A:$E,I!$A:$E),4,FALSE)</f>
        <v>H</v>
      </c>
      <c r="F58" s="23">
        <f>4.8/pcf</f>
        <v>4.8</v>
      </c>
      <c r="G58" s="71">
        <f>IF(A58="COMPOSICAO",VLOOKUP("TOTAL SEM BDI - "&amp;B58,CPUAUX1!$A:$J,9,FALSE),VLOOKUP(B58,I!$A:$E,5,FALSE))</f>
        <v>21.71</v>
      </c>
      <c r="H58" s="72"/>
      <c r="I58" s="71">
        <f>TRUNC(F58*G58,2)</f>
        <v>104.2</v>
      </c>
      <c r="J58" s="72"/>
      <c r="M58" s="23">
        <f>B58</f>
        <v>88316</v>
      </c>
      <c r="N58" s="5">
        <f>SUMIF(ORCAMENTO!B:B,B55,ORCAMENTO!F:F)</f>
        <v>175</v>
      </c>
      <c r="O58" s="23">
        <f>F58*N58</f>
        <v>840</v>
      </c>
      <c r="Q58" s="23">
        <f ca="1">IFERROR(SUMIF(CO!B:B,B55,OFFSET(CO!F:F,0,(4+MATCH(ETAPA,CO!$J$6:$P$6,0)))),0)</f>
        <v>70</v>
      </c>
      <c r="R58" s="23">
        <f ca="1">F58*Q58</f>
        <v>336</v>
      </c>
    </row>
    <row r="59" spans="1:18" ht="45" customHeight="1" x14ac:dyDescent="0.3">
      <c r="A59" s="23" t="s">
        <v>1023</v>
      </c>
      <c r="B59" s="23" t="s">
        <v>1035</v>
      </c>
      <c r="C59" s="23" t="str">
        <f>VLOOKUP(B59,IF(A59="COMPOSICAO",S!$A:$E,I!$A:$E),2,FALSE)</f>
        <v>PRÓPRIA</v>
      </c>
      <c r="D59" s="24" t="str">
        <f>VLOOKUP(B59,IF(A59="COMPOSICAO",S!$A:$E,I!$A:$E),3,FALSE)</f>
        <v>EQUIPAMENTOS PARA PERFURAÇÃO PELO ''SISTEMA ROTOPNEUMÁTICO'', COMPOSTO POR MÁQUINA ROTOPNEUMÁTICO, DIESEL.</v>
      </c>
      <c r="E59" s="23" t="str">
        <f>VLOOKUP(B59,IF(A59="COMPOSICAO",S!$A:$E,I!$A:$E),4,FALSE)</f>
        <v>HPROD</v>
      </c>
      <c r="F59" s="23">
        <v>0.4</v>
      </c>
      <c r="G59" s="71">
        <f>IF(A59="COMPOSICAO",VLOOKUP("TOTAL SEM BDI - "&amp;B59,CPUAUX1!$A:$J,9,FALSE),VLOOKUP(B59,I!$A:$E,5,FALSE))</f>
        <v>420.5</v>
      </c>
      <c r="H59" s="72"/>
      <c r="I59" s="71">
        <f>TRUNC(F59*G59,2)</f>
        <v>168.2</v>
      </c>
      <c r="J59" s="72"/>
      <c r="M59" s="23" t="str">
        <f>B59</f>
        <v>CAES4</v>
      </c>
      <c r="N59" s="5">
        <f>SUMIF(ORCAMENTO!B:B,B55,ORCAMENTO!F:F)</f>
        <v>175</v>
      </c>
      <c r="O59" s="23">
        <f>F59*N59</f>
        <v>70</v>
      </c>
      <c r="Q59" s="23">
        <f ca="1">IFERROR(SUMIF(CO!B:B,B55,OFFSET(CO!F:F,0,(4+MATCH(ETAPA,CO!$J$6:$P$6,0)))),0)</f>
        <v>70</v>
      </c>
      <c r="R59" s="23">
        <f ca="1">F59*Q59</f>
        <v>28</v>
      </c>
    </row>
    <row r="60" spans="1:18" x14ac:dyDescent="0.3">
      <c r="A60" s="68" t="str">
        <f>"TOTAL SEM BDI - "&amp;B55</f>
        <v>TOTAL SEM BDI - COMPOS6</v>
      </c>
      <c r="B60" s="69"/>
      <c r="C60" s="69"/>
      <c r="D60" s="69"/>
      <c r="E60" s="69"/>
      <c r="F60" s="69"/>
      <c r="G60" s="69"/>
      <c r="H60" s="70"/>
      <c r="I60" s="71">
        <f>SUM(I55:I59)</f>
        <v>288.94</v>
      </c>
      <c r="J60" s="72"/>
    </row>
    <row r="61" spans="1:18" x14ac:dyDescent="0.3">
      <c r="A61" s="68" t="str">
        <f>"TAXA DE BDI ("&amp;TEXT(BDI,"00,00")&amp;" %)"</f>
        <v>TAXA DE BDI (24,84 %)</v>
      </c>
      <c r="B61" s="69"/>
      <c r="C61" s="69"/>
      <c r="D61" s="69"/>
      <c r="E61" s="69"/>
      <c r="F61" s="69"/>
      <c r="G61" s="69"/>
      <c r="H61" s="70"/>
      <c r="I61" s="71">
        <f>ROUND(I60*(BDI/100),2)</f>
        <v>71.77</v>
      </c>
      <c r="J61" s="72"/>
    </row>
    <row r="62" spans="1:18" x14ac:dyDescent="0.3">
      <c r="A62" s="68" t="str">
        <f>"TOTAL COM BDI - "&amp;B55</f>
        <v>TOTAL COM BDI - COMPOS6</v>
      </c>
      <c r="B62" s="69"/>
      <c r="C62" s="69"/>
      <c r="D62" s="69"/>
      <c r="E62" s="69"/>
      <c r="F62" s="69"/>
      <c r="G62" s="69"/>
      <c r="H62" s="70"/>
      <c r="I62" s="71">
        <f>SUM(I60:I61)</f>
        <v>360.71</v>
      </c>
      <c r="J62" s="72"/>
    </row>
    <row r="64" spans="1:18" x14ac:dyDescent="0.3">
      <c r="A64" s="4" t="s">
        <v>1018</v>
      </c>
      <c r="B64" s="4" t="s">
        <v>138</v>
      </c>
      <c r="C64" s="4" t="s">
        <v>139</v>
      </c>
      <c r="D64" s="4" t="s">
        <v>21</v>
      </c>
      <c r="E64" s="4" t="s">
        <v>140</v>
      </c>
      <c r="F64" s="4" t="s">
        <v>506</v>
      </c>
      <c r="G64" s="34" t="s">
        <v>1019</v>
      </c>
      <c r="H64" s="35"/>
      <c r="I64" s="34" t="s">
        <v>15</v>
      </c>
      <c r="J64" s="35"/>
    </row>
    <row r="65" spans="1:18" x14ac:dyDescent="0.3">
      <c r="A65" s="15" t="s">
        <v>1031</v>
      </c>
      <c r="B65" s="15" t="s">
        <v>533</v>
      </c>
      <c r="C65" s="15" t="str">
        <f>VLOOKUP(B65,S!$A:$G,2,FALSE)</f>
        <v>PRÓPRIA</v>
      </c>
      <c r="D65" s="22" t="str">
        <f>VLOOKUP(B65,S!$A:$G,3,FALSE)</f>
        <v>PERFURAÇÃO EM 8'' (ROCHA CRISTALINA)</v>
      </c>
      <c r="E65" s="15" t="str">
        <f>VLOOKUP(B65,S!$A:$G,4,FALSE)</f>
        <v>M</v>
      </c>
      <c r="F65" s="15"/>
      <c r="G65" s="73">
        <f>I70</f>
        <v>368.84000000000003</v>
      </c>
      <c r="H65" s="74"/>
      <c r="I65" s="73"/>
      <c r="J65" s="74"/>
      <c r="K65" s="16">
        <f>VLOOKUP(B65,S!A:G,5,FALSE)</f>
        <v>0</v>
      </c>
      <c r="L65" s="15" t="s">
        <v>1021</v>
      </c>
    </row>
    <row r="66" spans="1:18" ht="30" customHeight="1" x14ac:dyDescent="0.3">
      <c r="A66" s="23" t="s">
        <v>1022</v>
      </c>
      <c r="B66" s="23">
        <v>88297</v>
      </c>
      <c r="C66" s="23" t="str">
        <f>VLOOKUP(B66,IF(A66="COMPOSICAO",S!$A:$E,I!$A:$E),2,FALSE)</f>
        <v>SINAPI</v>
      </c>
      <c r="D66" s="24" t="str">
        <f>VLOOKUP(B66,IF(A66="COMPOSICAO",S!$A:$E,I!$A:$E),3,FALSE)</f>
        <v>OPERADOR DE MÁQUINAS E EQUIPAMENTOS COM ENCARGOS COMPLEMENTARES</v>
      </c>
      <c r="E66" s="23" t="str">
        <f>VLOOKUP(B66,IF(A66="COMPOSICAO",S!$A:$E,I!$A:$E),4,FALSE)</f>
        <v>H</v>
      </c>
      <c r="F66" s="23">
        <f>0.5106/pcf</f>
        <v>0.51060000000000005</v>
      </c>
      <c r="G66" s="71">
        <f>IF(A66="COMPOSICAO",VLOOKUP("TOTAL SEM BDI - "&amp;B66,CPUAUX1!$A:$J,9,FALSE),VLOOKUP(B66,I!$A:$E,5,FALSE))</f>
        <v>27.16</v>
      </c>
      <c r="H66" s="72"/>
      <c r="I66" s="71">
        <f>TRUNC(F66*G66,2)</f>
        <v>13.86</v>
      </c>
      <c r="J66" s="72"/>
      <c r="M66" s="23">
        <f>B66</f>
        <v>88297</v>
      </c>
      <c r="N66" s="5">
        <f>SUMIF(ORCAMENTO!B:B,B65,ORCAMENTO!F:F)</f>
        <v>0</v>
      </c>
      <c r="O66" s="23">
        <f>F66*N66</f>
        <v>0</v>
      </c>
      <c r="Q66" s="23">
        <f ca="1">IFERROR(SUMIF(CO!B:B,B65,OFFSET(CO!F:F,0,(4+MATCH(ETAPA,CO!$J$6:$P$6,0)))),0)</f>
        <v>0</v>
      </c>
      <c r="R66" s="23">
        <f ca="1">F66*Q66</f>
        <v>0</v>
      </c>
    </row>
    <row r="67" spans="1:18" ht="30" customHeight="1" x14ac:dyDescent="0.3">
      <c r="A67" s="23" t="s">
        <v>1022</v>
      </c>
      <c r="B67" s="23">
        <v>88277</v>
      </c>
      <c r="C67" s="23" t="str">
        <f>VLOOKUP(B67,IF(A67="COMPOSICAO",S!$A:$E,I!$A:$E),2,FALSE)</f>
        <v>SINAPI</v>
      </c>
      <c r="D67" s="24" t="str">
        <f>VLOOKUP(B67,IF(A67="COMPOSICAO",S!$A:$E,I!$A:$E),3,FALSE)</f>
        <v>MONTADOR (TUBO AÇO/EQUIPAMENTOS) COM ENCARGOS COMPLEMENTARES</v>
      </c>
      <c r="E67" s="23" t="str">
        <f>VLOOKUP(B67,IF(A67="COMPOSICAO",S!$A:$E,I!$A:$E),4,FALSE)</f>
        <v>H</v>
      </c>
      <c r="F67" s="23">
        <f>0.2553/pcf</f>
        <v>0.25530000000000003</v>
      </c>
      <c r="G67" s="71">
        <f>IF(A67="COMPOSICAO",VLOOKUP("TOTAL SEM BDI - "&amp;B67,CPUAUX1!$A:$J,9,FALSE),VLOOKUP(B67,I!$A:$E,5,FALSE))</f>
        <v>28.44</v>
      </c>
      <c r="H67" s="72"/>
      <c r="I67" s="71">
        <f>TRUNC(F67*G67,2)</f>
        <v>7.26</v>
      </c>
      <c r="J67" s="72"/>
      <c r="M67" s="23">
        <f>B67</f>
        <v>88277</v>
      </c>
      <c r="N67" s="5">
        <f>SUMIF(ORCAMENTO!B:B,B65,ORCAMENTO!F:F)</f>
        <v>0</v>
      </c>
      <c r="O67" s="23">
        <f>F67*N67</f>
        <v>0</v>
      </c>
      <c r="Q67" s="23">
        <f ca="1">IFERROR(SUMIF(CO!B:B,B65,OFFSET(CO!F:F,0,(4+MATCH(ETAPA,CO!$J$6:$P$6,0)))),0)</f>
        <v>0</v>
      </c>
      <c r="R67" s="23">
        <f ca="1">F67*Q67</f>
        <v>0</v>
      </c>
    </row>
    <row r="68" spans="1:18" x14ac:dyDescent="0.3">
      <c r="A68" s="23" t="s">
        <v>1022</v>
      </c>
      <c r="B68" s="23">
        <v>88316</v>
      </c>
      <c r="C68" s="23" t="str">
        <f>VLOOKUP(B68,IF(A68="COMPOSICAO",S!$A:$E,I!$A:$E),2,FALSE)</f>
        <v>SINAPI</v>
      </c>
      <c r="D68" s="24" t="str">
        <f>VLOOKUP(B68,IF(A68="COMPOSICAO",S!$A:$E,I!$A:$E),3,FALSE)</f>
        <v>SERVENTE COM ENCARGOS COMPLEMENTARES</v>
      </c>
      <c r="E68" s="23" t="str">
        <f>VLOOKUP(B68,IF(A68="COMPOSICAO",S!$A:$E,I!$A:$E),4,FALSE)</f>
        <v>H</v>
      </c>
      <c r="F68" s="23">
        <f>6.1272/pcf</f>
        <v>6.1272000000000002</v>
      </c>
      <c r="G68" s="71">
        <f>IF(A68="COMPOSICAO",VLOOKUP("TOTAL SEM BDI - "&amp;B68,CPUAUX1!$A:$J,9,FALSE),VLOOKUP(B68,I!$A:$E,5,FALSE))</f>
        <v>21.71</v>
      </c>
      <c r="H68" s="72"/>
      <c r="I68" s="71">
        <f>TRUNC(F68*G68,2)</f>
        <v>133.02000000000001</v>
      </c>
      <c r="J68" s="72"/>
      <c r="M68" s="23">
        <f>B68</f>
        <v>88316</v>
      </c>
      <c r="N68" s="5">
        <f>SUMIF(ORCAMENTO!B:B,B65,ORCAMENTO!F:F)</f>
        <v>0</v>
      </c>
      <c r="O68" s="23">
        <f>F68*N68</f>
        <v>0</v>
      </c>
      <c r="Q68" s="23">
        <f ca="1">IFERROR(SUMIF(CO!B:B,B65,OFFSET(CO!F:F,0,(4+MATCH(ETAPA,CO!$J$6:$P$6,0)))),0)</f>
        <v>0</v>
      </c>
      <c r="R68" s="23">
        <f ca="1">F68*Q68</f>
        <v>0</v>
      </c>
    </row>
    <row r="69" spans="1:18" ht="45" customHeight="1" x14ac:dyDescent="0.3">
      <c r="A69" s="23" t="s">
        <v>1023</v>
      </c>
      <c r="B69" s="23" t="s">
        <v>1036</v>
      </c>
      <c r="C69" s="23" t="str">
        <f>VLOOKUP(B69,IF(A69="COMPOSICAO",S!$A:$E,I!$A:$E),2,FALSE)</f>
        <v>PRÓPRIA</v>
      </c>
      <c r="D69" s="24" t="str">
        <f>VLOOKUP(B69,IF(A69="COMPOSICAO",S!$A:$E,I!$A:$E),3,FALSE)</f>
        <v>EQUIPAMENTOS PARA PERFURAÇÃO PELO ''SISTEMA ROTOPNEUMÁTICO'', COMPOSTO POR MÁQUINA ROTOPNEUMÁTICO, DIESEL</v>
      </c>
      <c r="E69" s="23" t="str">
        <f>VLOOKUP(B69,IF(A69="COMPOSICAO",S!$A:$E,I!$A:$E),4,FALSE)</f>
        <v>HPROD</v>
      </c>
      <c r="F69" s="23">
        <v>0.51060000000000005</v>
      </c>
      <c r="G69" s="71">
        <f>IF(A69="COMPOSICAO",VLOOKUP("TOTAL SEM BDI - "&amp;B69,CPUAUX1!$A:$J,9,FALSE),VLOOKUP(B69,I!$A:$E,5,FALSE))</f>
        <v>420.5</v>
      </c>
      <c r="H69" s="72"/>
      <c r="I69" s="71">
        <f>TRUNC(F69*G69,2)</f>
        <v>214.7</v>
      </c>
      <c r="J69" s="72"/>
      <c r="M69" s="23" t="str">
        <f>B69</f>
        <v>CAESB5</v>
      </c>
      <c r="N69" s="5">
        <f>SUMIF(ORCAMENTO!B:B,B65,ORCAMENTO!F:F)</f>
        <v>0</v>
      </c>
      <c r="O69" s="23">
        <f>F69*N69</f>
        <v>0</v>
      </c>
      <c r="Q69" s="23">
        <f ca="1">IFERROR(SUMIF(CO!B:B,B65,OFFSET(CO!F:F,0,(4+MATCH(ETAPA,CO!$J$6:$P$6,0)))),0)</f>
        <v>0</v>
      </c>
      <c r="R69" s="23">
        <f ca="1">F69*Q69</f>
        <v>0</v>
      </c>
    </row>
    <row r="70" spans="1:18" x14ac:dyDescent="0.3">
      <c r="A70" s="68" t="str">
        <f>"TOTAL SEM BDI - "&amp;B65</f>
        <v>TOTAL SEM BDI - COMPOS7</v>
      </c>
      <c r="B70" s="69"/>
      <c r="C70" s="69"/>
      <c r="D70" s="69"/>
      <c r="E70" s="69"/>
      <c r="F70" s="69"/>
      <c r="G70" s="69"/>
      <c r="H70" s="70"/>
      <c r="I70" s="71">
        <f>SUM(I65:I69)</f>
        <v>368.84000000000003</v>
      </c>
      <c r="J70" s="72"/>
    </row>
    <row r="71" spans="1:18" x14ac:dyDescent="0.3">
      <c r="A71" s="68" t="str">
        <f>"TAXA DE BDI ("&amp;TEXT(BDI,"00,00")&amp;" %)"</f>
        <v>TAXA DE BDI (24,84 %)</v>
      </c>
      <c r="B71" s="69"/>
      <c r="C71" s="69"/>
      <c r="D71" s="69"/>
      <c r="E71" s="69"/>
      <c r="F71" s="69"/>
      <c r="G71" s="69"/>
      <c r="H71" s="70"/>
      <c r="I71" s="71">
        <f>ROUND(I70*(BDI/100),2)</f>
        <v>91.62</v>
      </c>
      <c r="J71" s="72"/>
    </row>
    <row r="72" spans="1:18" x14ac:dyDescent="0.3">
      <c r="A72" s="68" t="str">
        <f>"TOTAL COM BDI - "&amp;B65</f>
        <v>TOTAL COM BDI - COMPOS7</v>
      </c>
      <c r="B72" s="69"/>
      <c r="C72" s="69"/>
      <c r="D72" s="69"/>
      <c r="E72" s="69"/>
      <c r="F72" s="69"/>
      <c r="G72" s="69"/>
      <c r="H72" s="70"/>
      <c r="I72" s="71">
        <f>SUM(I70:I71)</f>
        <v>460.46000000000004</v>
      </c>
      <c r="J72" s="72"/>
    </row>
    <row r="74" spans="1:18" x14ac:dyDescent="0.3">
      <c r="A74" s="4" t="s">
        <v>1018</v>
      </c>
      <c r="B74" s="4" t="s">
        <v>138</v>
      </c>
      <c r="C74" s="4" t="s">
        <v>139</v>
      </c>
      <c r="D74" s="4" t="s">
        <v>21</v>
      </c>
      <c r="E74" s="4" t="s">
        <v>140</v>
      </c>
      <c r="F74" s="4" t="s">
        <v>506</v>
      </c>
      <c r="G74" s="34" t="s">
        <v>1019</v>
      </c>
      <c r="H74" s="35"/>
      <c r="I74" s="34" t="s">
        <v>15</v>
      </c>
      <c r="J74" s="35"/>
    </row>
    <row r="75" spans="1:18" x14ac:dyDescent="0.3">
      <c r="A75" s="15" t="s">
        <v>1031</v>
      </c>
      <c r="B75" s="15" t="s">
        <v>535</v>
      </c>
      <c r="C75" s="15" t="str">
        <f>VLOOKUP(B75,S!$A:$G,2,FALSE)</f>
        <v>PRÓPRIA</v>
      </c>
      <c r="D75" s="22" t="str">
        <f>VLOOKUP(B75,S!$A:$G,3,FALSE)</f>
        <v>PERFURAÇÃO EM 6'' (SEDIMENTO)</v>
      </c>
      <c r="E75" s="15" t="str">
        <f>VLOOKUP(B75,S!$A:$G,4,FALSE)</f>
        <v>M</v>
      </c>
      <c r="F75" s="15"/>
      <c r="G75" s="73">
        <f>I80</f>
        <v>231.16</v>
      </c>
      <c r="H75" s="74"/>
      <c r="I75" s="73"/>
      <c r="J75" s="74"/>
      <c r="K75" s="16">
        <f>VLOOKUP(B75,S!A:G,5,FALSE)</f>
        <v>0</v>
      </c>
      <c r="L75" s="15" t="s">
        <v>1021</v>
      </c>
    </row>
    <row r="76" spans="1:18" ht="30" customHeight="1" x14ac:dyDescent="0.3">
      <c r="A76" s="23" t="s">
        <v>1022</v>
      </c>
      <c r="B76" s="23">
        <v>88297</v>
      </c>
      <c r="C76" s="23" t="str">
        <f>VLOOKUP(B76,IF(A76="COMPOSICAO",S!$A:$E,I!$A:$E),2,FALSE)</f>
        <v>SINAPI</v>
      </c>
      <c r="D76" s="24" t="str">
        <f>VLOOKUP(B76,IF(A76="COMPOSICAO",S!$A:$E,I!$A:$E),3,FALSE)</f>
        <v>OPERADOR DE MÁQUINAS E EQUIPAMENTOS COM ENCARGOS COMPLEMENTARES</v>
      </c>
      <c r="E76" s="23" t="str">
        <f>VLOOKUP(B76,IF(A76="COMPOSICAO",S!$A:$E,I!$A:$E),4,FALSE)</f>
        <v>H</v>
      </c>
      <c r="F76" s="23">
        <f>0.32/pcf</f>
        <v>0.32</v>
      </c>
      <c r="G76" s="71">
        <f>IF(A76="COMPOSICAO",VLOOKUP("TOTAL SEM BDI - "&amp;B76,CPUAUX1!$A:$J,9,FALSE),VLOOKUP(B76,I!$A:$E,5,FALSE))</f>
        <v>27.16</v>
      </c>
      <c r="H76" s="72"/>
      <c r="I76" s="71">
        <f>TRUNC(F76*G76,2)</f>
        <v>8.69</v>
      </c>
      <c r="J76" s="72"/>
      <c r="M76" s="23">
        <f>B76</f>
        <v>88297</v>
      </c>
      <c r="N76" s="5">
        <f>SUMIF(ORCAMENTO!B:B,B75,ORCAMENTO!F:F)</f>
        <v>475</v>
      </c>
      <c r="O76" s="23">
        <f>F76*N76</f>
        <v>152</v>
      </c>
      <c r="Q76" s="23">
        <f ca="1">IFERROR(SUMIF(CO!B:B,B75,OFFSET(CO!F:F,0,(4+MATCH(ETAPA,CO!$J$6:$P$6,0)))),0)</f>
        <v>190</v>
      </c>
      <c r="R76" s="23">
        <f ca="1">F76*Q76</f>
        <v>60.800000000000004</v>
      </c>
    </row>
    <row r="77" spans="1:18" ht="30" customHeight="1" x14ac:dyDescent="0.3">
      <c r="A77" s="23" t="s">
        <v>1022</v>
      </c>
      <c r="B77" s="23">
        <v>88277</v>
      </c>
      <c r="C77" s="23" t="str">
        <f>VLOOKUP(B77,IF(A77="COMPOSICAO",S!$A:$E,I!$A:$E),2,FALSE)</f>
        <v>SINAPI</v>
      </c>
      <c r="D77" s="24" t="str">
        <f>VLOOKUP(B77,IF(A77="COMPOSICAO",S!$A:$E,I!$A:$E),3,FALSE)</f>
        <v>MONTADOR (TUBO AÇO/EQUIPAMENTOS) COM ENCARGOS COMPLEMENTARES</v>
      </c>
      <c r="E77" s="23" t="str">
        <f>VLOOKUP(B77,IF(A77="COMPOSICAO",S!$A:$E,I!$A:$E),4,FALSE)</f>
        <v>H</v>
      </c>
      <c r="F77" s="23">
        <f>0.16/pcf</f>
        <v>0.16</v>
      </c>
      <c r="G77" s="71">
        <f>IF(A77="COMPOSICAO",VLOOKUP("TOTAL SEM BDI - "&amp;B77,CPUAUX1!$A:$J,9,FALSE),VLOOKUP(B77,I!$A:$E,5,FALSE))</f>
        <v>28.44</v>
      </c>
      <c r="H77" s="72"/>
      <c r="I77" s="71">
        <f>TRUNC(F77*G77,2)</f>
        <v>4.55</v>
      </c>
      <c r="J77" s="72"/>
      <c r="M77" s="23">
        <f>B77</f>
        <v>88277</v>
      </c>
      <c r="N77" s="5">
        <f>SUMIF(ORCAMENTO!B:B,B75,ORCAMENTO!F:F)</f>
        <v>475</v>
      </c>
      <c r="O77" s="23">
        <f>F77*N77</f>
        <v>76</v>
      </c>
      <c r="Q77" s="23">
        <f ca="1">IFERROR(SUMIF(CO!B:B,B75,OFFSET(CO!F:F,0,(4+MATCH(ETAPA,CO!$J$6:$P$6,0)))),0)</f>
        <v>190</v>
      </c>
      <c r="R77" s="23">
        <f ca="1">F77*Q77</f>
        <v>30.400000000000002</v>
      </c>
    </row>
    <row r="78" spans="1:18" x14ac:dyDescent="0.3">
      <c r="A78" s="23" t="s">
        <v>1022</v>
      </c>
      <c r="B78" s="23">
        <v>88316</v>
      </c>
      <c r="C78" s="23" t="str">
        <f>VLOOKUP(B78,IF(A78="COMPOSICAO",S!$A:$E,I!$A:$E),2,FALSE)</f>
        <v>SINAPI</v>
      </c>
      <c r="D78" s="24" t="str">
        <f>VLOOKUP(B78,IF(A78="COMPOSICAO",S!$A:$E,I!$A:$E),3,FALSE)</f>
        <v>SERVENTE COM ENCARGOS COMPLEMENTARES</v>
      </c>
      <c r="E78" s="23" t="str">
        <f>VLOOKUP(B78,IF(A78="COMPOSICAO",S!$A:$E,I!$A:$E),4,FALSE)</f>
        <v>H</v>
      </c>
      <c r="F78" s="23">
        <f>3.84/pcf</f>
        <v>3.84</v>
      </c>
      <c r="G78" s="71">
        <f>IF(A78="COMPOSICAO",VLOOKUP("TOTAL SEM BDI - "&amp;B78,CPUAUX1!$A:$J,9,FALSE),VLOOKUP(B78,I!$A:$E,5,FALSE))</f>
        <v>21.71</v>
      </c>
      <c r="H78" s="72"/>
      <c r="I78" s="71">
        <f>TRUNC(F78*G78,2)</f>
        <v>83.36</v>
      </c>
      <c r="J78" s="72"/>
      <c r="M78" s="23">
        <f>B78</f>
        <v>88316</v>
      </c>
      <c r="N78" s="5">
        <f>SUMIF(ORCAMENTO!B:B,B75,ORCAMENTO!F:F)</f>
        <v>475</v>
      </c>
      <c r="O78" s="23">
        <f>F78*N78</f>
        <v>1824</v>
      </c>
      <c r="Q78" s="23">
        <f ca="1">IFERROR(SUMIF(CO!B:B,B75,OFFSET(CO!F:F,0,(4+MATCH(ETAPA,CO!$J$6:$P$6,0)))),0)</f>
        <v>190</v>
      </c>
      <c r="R78" s="23">
        <f ca="1">F78*Q78</f>
        <v>729.6</v>
      </c>
    </row>
    <row r="79" spans="1:18" ht="45" customHeight="1" x14ac:dyDescent="0.3">
      <c r="A79" s="23" t="s">
        <v>1023</v>
      </c>
      <c r="B79" s="23" t="s">
        <v>1037</v>
      </c>
      <c r="C79" s="23" t="str">
        <f>VLOOKUP(B79,IF(A79="COMPOSICAO",S!$A:$E,I!$A:$E),2,FALSE)</f>
        <v>PRÓPRIA</v>
      </c>
      <c r="D79" s="24" t="str">
        <f>VLOOKUP(B79,IF(A79="COMPOSICAO",S!$A:$E,I!$A:$E),3,FALSE)</f>
        <v>EQUIPAMENTOS PARA PERFURAÇÃO PELO ''SISTEMA ROTOPNEUMÁTICO'', COMPOSTO POR MÁQUINA ROTOPNEUMÁTICO, DIESEL.</v>
      </c>
      <c r="E79" s="23" t="str">
        <f>VLOOKUP(B79,IF(A79="COMPOSICAO",S!$A:$E,I!$A:$E),4,FALSE)</f>
        <v>HPROD</v>
      </c>
      <c r="F79" s="23">
        <v>0.32</v>
      </c>
      <c r="G79" s="71">
        <f>IF(A79="COMPOSICAO",VLOOKUP("TOTAL SEM BDI - "&amp;B79,CPUAUX1!$A:$J,9,FALSE),VLOOKUP(B79,I!$A:$E,5,FALSE))</f>
        <v>420.5</v>
      </c>
      <c r="H79" s="72"/>
      <c r="I79" s="71">
        <f>TRUNC(F79*G79,2)</f>
        <v>134.56</v>
      </c>
      <c r="J79" s="72"/>
      <c r="M79" s="23" t="str">
        <f>B79</f>
        <v>CAESB6</v>
      </c>
      <c r="N79" s="5">
        <f>SUMIF(ORCAMENTO!B:B,B75,ORCAMENTO!F:F)</f>
        <v>475</v>
      </c>
      <c r="O79" s="23">
        <f>F79*N79</f>
        <v>152</v>
      </c>
      <c r="Q79" s="23">
        <f ca="1">IFERROR(SUMIF(CO!B:B,B75,OFFSET(CO!F:F,0,(4+MATCH(ETAPA,CO!$J$6:$P$6,0)))),0)</f>
        <v>190</v>
      </c>
      <c r="R79" s="23">
        <f ca="1">F79*Q79</f>
        <v>60.800000000000004</v>
      </c>
    </row>
    <row r="80" spans="1:18" x14ac:dyDescent="0.3">
      <c r="A80" s="68" t="str">
        <f>"TOTAL SEM BDI - "&amp;B75</f>
        <v>TOTAL SEM BDI - COMPOS8</v>
      </c>
      <c r="B80" s="69"/>
      <c r="C80" s="69"/>
      <c r="D80" s="69"/>
      <c r="E80" s="69"/>
      <c r="F80" s="69"/>
      <c r="G80" s="69"/>
      <c r="H80" s="70"/>
      <c r="I80" s="71">
        <f>SUM(I75:I79)</f>
        <v>231.16</v>
      </c>
      <c r="J80" s="72"/>
    </row>
    <row r="81" spans="1:18" x14ac:dyDescent="0.3">
      <c r="A81" s="68" t="str">
        <f>"TAXA DE BDI ("&amp;TEXT(BDI,"00,00")&amp;" %)"</f>
        <v>TAXA DE BDI (24,84 %)</v>
      </c>
      <c r="B81" s="69"/>
      <c r="C81" s="69"/>
      <c r="D81" s="69"/>
      <c r="E81" s="69"/>
      <c r="F81" s="69"/>
      <c r="G81" s="69"/>
      <c r="H81" s="70"/>
      <c r="I81" s="71">
        <f>ROUND(I80*(BDI/100),2)</f>
        <v>57.42</v>
      </c>
      <c r="J81" s="72"/>
    </row>
    <row r="82" spans="1:18" x14ac:dyDescent="0.3">
      <c r="A82" s="68" t="str">
        <f>"TOTAL COM BDI - "&amp;B75</f>
        <v>TOTAL COM BDI - COMPOS8</v>
      </c>
      <c r="B82" s="69"/>
      <c r="C82" s="69"/>
      <c r="D82" s="69"/>
      <c r="E82" s="69"/>
      <c r="F82" s="69"/>
      <c r="G82" s="69"/>
      <c r="H82" s="70"/>
      <c r="I82" s="71">
        <f>SUM(I80:I81)</f>
        <v>288.58</v>
      </c>
      <c r="J82" s="72"/>
    </row>
    <row r="84" spans="1:18" x14ac:dyDescent="0.3">
      <c r="A84" s="4" t="s">
        <v>1018</v>
      </c>
      <c r="B84" s="4" t="s">
        <v>138</v>
      </c>
      <c r="C84" s="4" t="s">
        <v>139</v>
      </c>
      <c r="D84" s="4" t="s">
        <v>21</v>
      </c>
      <c r="E84" s="4" t="s">
        <v>140</v>
      </c>
      <c r="F84" s="4" t="s">
        <v>506</v>
      </c>
      <c r="G84" s="34" t="s">
        <v>1019</v>
      </c>
      <c r="H84" s="35"/>
      <c r="I84" s="34" t="s">
        <v>15</v>
      </c>
      <c r="J84" s="35"/>
    </row>
    <row r="85" spans="1:18" x14ac:dyDescent="0.3">
      <c r="A85" s="15" t="s">
        <v>1031</v>
      </c>
      <c r="B85" s="15" t="s">
        <v>537</v>
      </c>
      <c r="C85" s="15" t="str">
        <f>VLOOKUP(B85,S!$A:$G,2,FALSE)</f>
        <v>PRÓPRIA</v>
      </c>
      <c r="D85" s="22" t="str">
        <f>VLOOKUP(B85,S!$A:$G,3,FALSE)</f>
        <v>PERFURAÇÃO EM 6'' (ROCHA CRISTALINA)</v>
      </c>
      <c r="E85" s="15" t="str">
        <f>VLOOKUP(B85,S!$A:$G,4,FALSE)</f>
        <v>M</v>
      </c>
      <c r="F85" s="15"/>
      <c r="G85" s="73">
        <f>I90</f>
        <v>330.20000000000005</v>
      </c>
      <c r="H85" s="74"/>
      <c r="I85" s="73"/>
      <c r="J85" s="74"/>
      <c r="K85" s="16">
        <f>VLOOKUP(B85,S!A:G,5,FALSE)</f>
        <v>0</v>
      </c>
      <c r="L85" s="15" t="s">
        <v>1021</v>
      </c>
    </row>
    <row r="86" spans="1:18" ht="30" customHeight="1" x14ac:dyDescent="0.3">
      <c r="A86" s="23" t="s">
        <v>1022</v>
      </c>
      <c r="B86" s="23">
        <v>88297</v>
      </c>
      <c r="C86" s="23" t="str">
        <f>VLOOKUP(B86,IF(A86="COMPOSICAO",S!$A:$E,I!$A:$E),2,FALSE)</f>
        <v>SINAPI</v>
      </c>
      <c r="D86" s="24" t="str">
        <f>VLOOKUP(B86,IF(A86="COMPOSICAO",S!$A:$E,I!$A:$E),3,FALSE)</f>
        <v>OPERADOR DE MÁQUINAS E EQUIPAMENTOS COM ENCARGOS COMPLEMENTARES</v>
      </c>
      <c r="E86" s="23" t="str">
        <f>VLOOKUP(B86,IF(A86="COMPOSICAO",S!$A:$E,I!$A:$E),4,FALSE)</f>
        <v>H</v>
      </c>
      <c r="F86" s="23">
        <f>0.4571/pcf</f>
        <v>0.45710000000000001</v>
      </c>
      <c r="G86" s="71">
        <f>IF(A86="COMPOSICAO",VLOOKUP("TOTAL SEM BDI - "&amp;B86,CPUAUX1!$A:$J,9,FALSE),VLOOKUP(B86,I!$A:$E,5,FALSE))</f>
        <v>27.16</v>
      </c>
      <c r="H86" s="72"/>
      <c r="I86" s="71">
        <f>TRUNC(F86*G86,2)</f>
        <v>12.41</v>
      </c>
      <c r="J86" s="72"/>
      <c r="M86" s="23">
        <f>B86</f>
        <v>88297</v>
      </c>
      <c r="N86" s="5">
        <f>SUMIF(ORCAMENTO!B:B,B85,ORCAMENTO!F:F)</f>
        <v>0</v>
      </c>
      <c r="O86" s="23">
        <f>F86*N86</f>
        <v>0</v>
      </c>
      <c r="Q86" s="23">
        <f ca="1">IFERROR(SUMIF(CO!B:B,B85,OFFSET(CO!F:F,0,(4+MATCH(ETAPA,CO!$J$6:$P$6,0)))),0)</f>
        <v>0</v>
      </c>
      <c r="R86" s="23">
        <f ca="1">F86*Q86</f>
        <v>0</v>
      </c>
    </row>
    <row r="87" spans="1:18" ht="30" customHeight="1" x14ac:dyDescent="0.3">
      <c r="A87" s="23" t="s">
        <v>1022</v>
      </c>
      <c r="B87" s="23">
        <v>88277</v>
      </c>
      <c r="C87" s="23" t="str">
        <f>VLOOKUP(B87,IF(A87="COMPOSICAO",S!$A:$E,I!$A:$E),2,FALSE)</f>
        <v>SINAPI</v>
      </c>
      <c r="D87" s="24" t="str">
        <f>VLOOKUP(B87,IF(A87="COMPOSICAO",S!$A:$E,I!$A:$E),3,FALSE)</f>
        <v>MONTADOR (TUBO AÇO/EQUIPAMENTOS) COM ENCARGOS COMPLEMENTARES</v>
      </c>
      <c r="E87" s="23" t="str">
        <f>VLOOKUP(B87,IF(A87="COMPOSICAO",S!$A:$E,I!$A:$E),4,FALSE)</f>
        <v>H</v>
      </c>
      <c r="F87" s="23">
        <f>0.2286/pcf</f>
        <v>0.2286</v>
      </c>
      <c r="G87" s="71">
        <f>IF(A87="COMPOSICAO",VLOOKUP("TOTAL SEM BDI - "&amp;B87,CPUAUX1!$A:$J,9,FALSE),VLOOKUP(B87,I!$A:$E,5,FALSE))</f>
        <v>28.44</v>
      </c>
      <c r="H87" s="72"/>
      <c r="I87" s="71">
        <f>TRUNC(F87*G87,2)</f>
        <v>6.5</v>
      </c>
      <c r="J87" s="72"/>
      <c r="M87" s="23">
        <f>B87</f>
        <v>88277</v>
      </c>
      <c r="N87" s="5">
        <f>SUMIF(ORCAMENTO!B:B,B85,ORCAMENTO!F:F)</f>
        <v>0</v>
      </c>
      <c r="O87" s="23">
        <f>F87*N87</f>
        <v>0</v>
      </c>
      <c r="Q87" s="23">
        <f ca="1">IFERROR(SUMIF(CO!B:B,B85,OFFSET(CO!F:F,0,(4+MATCH(ETAPA,CO!$J$6:$P$6,0)))),0)</f>
        <v>0</v>
      </c>
      <c r="R87" s="23">
        <f ca="1">F87*Q87</f>
        <v>0</v>
      </c>
    </row>
    <row r="88" spans="1:18" x14ac:dyDescent="0.3">
      <c r="A88" s="23" t="s">
        <v>1022</v>
      </c>
      <c r="B88" s="23">
        <v>88316</v>
      </c>
      <c r="C88" s="23" t="str">
        <f>VLOOKUP(B88,IF(A88="COMPOSICAO",S!$A:$E,I!$A:$E),2,FALSE)</f>
        <v>SINAPI</v>
      </c>
      <c r="D88" s="24" t="str">
        <f>VLOOKUP(B88,IF(A88="COMPOSICAO",S!$A:$E,I!$A:$E),3,FALSE)</f>
        <v>SERVENTE COM ENCARGOS COMPLEMENTARES</v>
      </c>
      <c r="E88" s="23" t="str">
        <f>VLOOKUP(B88,IF(A88="COMPOSICAO",S!$A:$E,I!$A:$E),4,FALSE)</f>
        <v>H</v>
      </c>
      <c r="F88" s="23">
        <f>5.4852/pcf</f>
        <v>5.4851999999999999</v>
      </c>
      <c r="G88" s="71">
        <f>IF(A88="COMPOSICAO",VLOOKUP("TOTAL SEM BDI - "&amp;B88,CPUAUX1!$A:$J,9,FALSE),VLOOKUP(B88,I!$A:$E,5,FALSE))</f>
        <v>21.71</v>
      </c>
      <c r="H88" s="72"/>
      <c r="I88" s="71">
        <f>TRUNC(F88*G88,2)</f>
        <v>119.08</v>
      </c>
      <c r="J88" s="72"/>
      <c r="M88" s="23">
        <f>B88</f>
        <v>88316</v>
      </c>
      <c r="N88" s="5">
        <f>SUMIF(ORCAMENTO!B:B,B85,ORCAMENTO!F:F)</f>
        <v>0</v>
      </c>
      <c r="O88" s="23">
        <f>F88*N88</f>
        <v>0</v>
      </c>
      <c r="Q88" s="23">
        <f ca="1">IFERROR(SUMIF(CO!B:B,B85,OFFSET(CO!F:F,0,(4+MATCH(ETAPA,CO!$J$6:$P$6,0)))),0)</f>
        <v>0</v>
      </c>
      <c r="R88" s="23">
        <f ca="1">F88*Q88</f>
        <v>0</v>
      </c>
    </row>
    <row r="89" spans="1:18" ht="45" customHeight="1" x14ac:dyDescent="0.3">
      <c r="A89" s="23" t="s">
        <v>1023</v>
      </c>
      <c r="B89" s="23" t="s">
        <v>1038</v>
      </c>
      <c r="C89" s="23" t="str">
        <f>VLOOKUP(B89,IF(A89="COMPOSICAO",S!$A:$E,I!$A:$E),2,FALSE)</f>
        <v>PRÓPRIA</v>
      </c>
      <c r="D89" s="24" t="str">
        <f>VLOOKUP(B89,IF(A89="COMPOSICAO",S!$A:$E,I!$A:$E),3,FALSE)</f>
        <v>EQUIPAMENTOS PARA PERFURAÇÃO PELO ''SISTEMA ROTOPNEUMÁTICO'', COMPOSTO POR MÁQUINA ROTOPNEUMÁTICO, DIESEL</v>
      </c>
      <c r="E89" s="23" t="str">
        <f>VLOOKUP(B89,IF(A89="COMPOSICAO",S!$A:$E,I!$A:$E),4,FALSE)</f>
        <v>HPROD</v>
      </c>
      <c r="F89" s="23">
        <v>0.45710000000000001</v>
      </c>
      <c r="G89" s="71">
        <f>IF(A89="COMPOSICAO",VLOOKUP("TOTAL SEM BDI - "&amp;B89,CPUAUX1!$A:$J,9,FALSE),VLOOKUP(B89,I!$A:$E,5,FALSE))</f>
        <v>420.5</v>
      </c>
      <c r="H89" s="72"/>
      <c r="I89" s="71">
        <f>TRUNC(F89*G89,2)</f>
        <v>192.21</v>
      </c>
      <c r="J89" s="72"/>
      <c r="M89" s="23" t="str">
        <f>B89</f>
        <v>CAESB7</v>
      </c>
      <c r="N89" s="5">
        <f>SUMIF(ORCAMENTO!B:B,B85,ORCAMENTO!F:F)</f>
        <v>0</v>
      </c>
      <c r="O89" s="23">
        <f>F89*N89</f>
        <v>0</v>
      </c>
      <c r="Q89" s="23">
        <f ca="1">IFERROR(SUMIF(CO!B:B,B85,OFFSET(CO!F:F,0,(4+MATCH(ETAPA,CO!$J$6:$P$6,0)))),0)</f>
        <v>0</v>
      </c>
      <c r="R89" s="23">
        <f ca="1">F89*Q89</f>
        <v>0</v>
      </c>
    </row>
    <row r="90" spans="1:18" x14ac:dyDescent="0.3">
      <c r="A90" s="68" t="str">
        <f>"TOTAL SEM BDI - "&amp;B85</f>
        <v>TOTAL SEM BDI - COMPOS9</v>
      </c>
      <c r="B90" s="69"/>
      <c r="C90" s="69"/>
      <c r="D90" s="69"/>
      <c r="E90" s="69"/>
      <c r="F90" s="69"/>
      <c r="G90" s="69"/>
      <c r="H90" s="70"/>
      <c r="I90" s="71">
        <f>SUM(I85:I89)</f>
        <v>330.20000000000005</v>
      </c>
      <c r="J90" s="72"/>
    </row>
    <row r="91" spans="1:18" x14ac:dyDescent="0.3">
      <c r="A91" s="68" t="str">
        <f>"TAXA DE BDI ("&amp;TEXT(BDI,"00,00")&amp;" %)"</f>
        <v>TAXA DE BDI (24,84 %)</v>
      </c>
      <c r="B91" s="69"/>
      <c r="C91" s="69"/>
      <c r="D91" s="69"/>
      <c r="E91" s="69"/>
      <c r="F91" s="69"/>
      <c r="G91" s="69"/>
      <c r="H91" s="70"/>
      <c r="I91" s="71">
        <f>ROUND(I90*(BDI/100),2)</f>
        <v>82.02</v>
      </c>
      <c r="J91" s="72"/>
    </row>
    <row r="92" spans="1:18" x14ac:dyDescent="0.3">
      <c r="A92" s="68" t="str">
        <f>"TOTAL COM BDI - "&amp;B85</f>
        <v>TOTAL COM BDI - COMPOS9</v>
      </c>
      <c r="B92" s="69"/>
      <c r="C92" s="69"/>
      <c r="D92" s="69"/>
      <c r="E92" s="69"/>
      <c r="F92" s="69"/>
      <c r="G92" s="69"/>
      <c r="H92" s="70"/>
      <c r="I92" s="71">
        <f>SUM(I90:I91)</f>
        <v>412.22</v>
      </c>
      <c r="J92" s="72"/>
    </row>
    <row r="94" spans="1:18" x14ac:dyDescent="0.3">
      <c r="A94" s="4" t="s">
        <v>1018</v>
      </c>
      <c r="B94" s="4" t="s">
        <v>138</v>
      </c>
      <c r="C94" s="4" t="s">
        <v>139</v>
      </c>
      <c r="D94" s="4" t="s">
        <v>21</v>
      </c>
      <c r="E94" s="4" t="s">
        <v>140</v>
      </c>
      <c r="F94" s="4" t="s">
        <v>506</v>
      </c>
      <c r="G94" s="34" t="s">
        <v>1019</v>
      </c>
      <c r="H94" s="35"/>
      <c r="I94" s="34" t="s">
        <v>15</v>
      </c>
      <c r="J94" s="35"/>
    </row>
    <row r="95" spans="1:18" x14ac:dyDescent="0.3">
      <c r="A95" s="15" t="s">
        <v>1031</v>
      </c>
      <c r="B95" s="15" t="s">
        <v>539</v>
      </c>
      <c r="C95" s="15" t="str">
        <f>VLOOKUP(B95,S!$A:$G,2,FALSE)</f>
        <v>PRÓPRIA</v>
      </c>
      <c r="D95" s="22" t="str">
        <f>VLOOKUP(B95,S!$A:$G,3,FALSE)</f>
        <v>CIMENTAÇÃO SANITÁRIA</v>
      </c>
      <c r="E95" s="15" t="str">
        <f>VLOOKUP(B95,S!$A:$G,4,FALSE)</f>
        <v>M³</v>
      </c>
      <c r="F95" s="15"/>
      <c r="G95" s="73">
        <f>I99</f>
        <v>164.58999999999997</v>
      </c>
      <c r="H95" s="74"/>
      <c r="I95" s="73"/>
      <c r="J95" s="74"/>
      <c r="K95" s="16">
        <f>VLOOKUP(B95,S!A:G,5,FALSE)</f>
        <v>0</v>
      </c>
      <c r="L95" s="15" t="s">
        <v>1021</v>
      </c>
    </row>
    <row r="96" spans="1:18" x14ac:dyDescent="0.3">
      <c r="A96" s="23" t="s">
        <v>1022</v>
      </c>
      <c r="B96" s="23">
        <v>88309</v>
      </c>
      <c r="C96" s="23" t="str">
        <f>VLOOKUP(B96,IF(A96="COMPOSICAO",S!$A:$E,I!$A:$E),2,FALSE)</f>
        <v>SINAPI</v>
      </c>
      <c r="D96" s="24" t="str">
        <f>VLOOKUP(B96,IF(A96="COMPOSICAO",S!$A:$E,I!$A:$E),3,FALSE)</f>
        <v>PEDREIRO COM ENCARGOS COMPLEMENTARES</v>
      </c>
      <c r="E96" s="23" t="str">
        <f>VLOOKUP(B96,IF(A96="COMPOSICAO",S!$A:$E,I!$A:$E),4,FALSE)</f>
        <v>H</v>
      </c>
      <c r="F96" s="23">
        <f>1.07/pcf</f>
        <v>1.07</v>
      </c>
      <c r="G96" s="71">
        <f>IF(A96="COMPOSICAO",VLOOKUP("TOTAL SEM BDI - "&amp;B96,CPUAUX1!$A:$J,9,FALSE),VLOOKUP(B96,I!$A:$E,5,FALSE))</f>
        <v>27.39</v>
      </c>
      <c r="H96" s="72"/>
      <c r="I96" s="71">
        <f>TRUNC(F96*G96,2)</f>
        <v>29.3</v>
      </c>
      <c r="J96" s="72"/>
      <c r="M96" s="23">
        <f>B96</f>
        <v>88309</v>
      </c>
      <c r="N96" s="5">
        <f>SUMIF(ORCAMENTO!B:B,B95,ORCAMENTO!F:F)</f>
        <v>22.75</v>
      </c>
      <c r="O96" s="23">
        <f>F96*N96</f>
        <v>24.342500000000001</v>
      </c>
      <c r="Q96" s="23">
        <f ca="1">IFERROR(SUMIF(CO!B:B,B95,OFFSET(CO!F:F,0,(4+MATCH(ETAPA,CO!$J$6:$P$6,0)))),0)</f>
        <v>9.1</v>
      </c>
      <c r="R96" s="23">
        <f ca="1">F96*Q96</f>
        <v>9.7370000000000001</v>
      </c>
    </row>
    <row r="97" spans="1:18" ht="30" customHeight="1" x14ac:dyDescent="0.3">
      <c r="A97" s="23" t="s">
        <v>1022</v>
      </c>
      <c r="B97" s="23">
        <v>88242</v>
      </c>
      <c r="C97" s="23" t="str">
        <f>VLOOKUP(B97,IF(A97="COMPOSICAO",S!$A:$E,I!$A:$E),2,FALSE)</f>
        <v>SINAPI</v>
      </c>
      <c r="D97" s="24" t="str">
        <f>VLOOKUP(B97,IF(A97="COMPOSICAO",S!$A:$E,I!$A:$E),3,FALSE)</f>
        <v>AJUDANTE DE PEDREIRO COM ENCARGOS COMPLEMENTARES</v>
      </c>
      <c r="E97" s="23" t="str">
        <f>VLOOKUP(B97,IF(A97="COMPOSICAO",S!$A:$E,I!$A:$E),4,FALSE)</f>
        <v>H</v>
      </c>
      <c r="F97" s="23">
        <f>2.14/pcf</f>
        <v>2.14</v>
      </c>
      <c r="G97" s="71">
        <f>IF(A97="COMPOSICAO",VLOOKUP("TOTAL SEM BDI - "&amp;B97,CPUAUX1!$A:$J,9,FALSE),VLOOKUP(B97,I!$A:$E,5,FALSE))</f>
        <v>22.42</v>
      </c>
      <c r="H97" s="72"/>
      <c r="I97" s="71">
        <f>TRUNC(F97*G97,2)</f>
        <v>47.97</v>
      </c>
      <c r="J97" s="72"/>
      <c r="M97" s="23">
        <f>B97</f>
        <v>88242</v>
      </c>
      <c r="N97" s="5">
        <f>SUMIF(ORCAMENTO!B:B,B95,ORCAMENTO!F:F)</f>
        <v>22.75</v>
      </c>
      <c r="O97" s="23">
        <f>F97*N97</f>
        <v>48.685000000000002</v>
      </c>
      <c r="Q97" s="23">
        <f ca="1">IFERROR(SUMIF(CO!B:B,B95,OFFSET(CO!F:F,0,(4+MATCH(ETAPA,CO!$J$6:$P$6,0)))),0)</f>
        <v>9.1</v>
      </c>
      <c r="R97" s="23">
        <f ca="1">F97*Q97</f>
        <v>19.474</v>
      </c>
    </row>
    <row r="98" spans="1:18" ht="45" customHeight="1" x14ac:dyDescent="0.3">
      <c r="A98" s="23" t="s">
        <v>1022</v>
      </c>
      <c r="B98" s="23">
        <v>88628</v>
      </c>
      <c r="C98" s="23" t="str">
        <f>VLOOKUP(B98,IF(A98="COMPOSICAO",S!$A:$E,I!$A:$E),2,FALSE)</f>
        <v>SINAPI</v>
      </c>
      <c r="D98" s="24" t="str">
        <f>VLOOKUP(B98,IF(A98="COMPOSICAO",S!$A:$E,I!$A:$E),3,FALSE)</f>
        <v>ARGAMASSA TRAÇO 1:3 (EM VOLUME DE CIMENTO E AREIA MÉDIA ÚMIDA), PREPARO MECÂNICO COM BETONEIRA 400 L. AF_08/2019</v>
      </c>
      <c r="E98" s="23" t="str">
        <f>VLOOKUP(B98,IF(A98="COMPOSICAO",S!$A:$E,I!$A:$E),4,FALSE)</f>
        <v>M3</v>
      </c>
      <c r="F98" s="23">
        <v>0.12820000000000001</v>
      </c>
      <c r="G98" s="71">
        <f>IF(A98="COMPOSICAO",VLOOKUP("TOTAL SEM BDI - "&amp;B98,CPUAUX1!$A:$J,9,FALSE),VLOOKUP(B98,I!$A:$E,5,FALSE))</f>
        <v>681.15</v>
      </c>
      <c r="H98" s="72"/>
      <c r="I98" s="71">
        <f>TRUNC(F98*G98,2)</f>
        <v>87.32</v>
      </c>
      <c r="J98" s="72"/>
      <c r="M98" s="23">
        <f>B98</f>
        <v>88628</v>
      </c>
      <c r="N98" s="5">
        <f>SUMIF(ORCAMENTO!B:B,B95,ORCAMENTO!F:F)</f>
        <v>22.75</v>
      </c>
      <c r="O98" s="23">
        <f>F98*N98</f>
        <v>2.91655</v>
      </c>
      <c r="Q98" s="23">
        <f ca="1">IFERROR(SUMIF(CO!B:B,B95,OFFSET(CO!F:F,0,(4+MATCH(ETAPA,CO!$J$6:$P$6,0)))),0)</f>
        <v>9.1</v>
      </c>
      <c r="R98" s="23">
        <f ca="1">F98*Q98</f>
        <v>1.16662</v>
      </c>
    </row>
    <row r="99" spans="1:18" x14ac:dyDescent="0.3">
      <c r="A99" s="68" t="str">
        <f>"TOTAL SEM BDI - "&amp;B95</f>
        <v>TOTAL SEM BDI - COMPOS10</v>
      </c>
      <c r="B99" s="69"/>
      <c r="C99" s="69"/>
      <c r="D99" s="69"/>
      <c r="E99" s="69"/>
      <c r="F99" s="69"/>
      <c r="G99" s="69"/>
      <c r="H99" s="70"/>
      <c r="I99" s="71">
        <f>SUM(I95:I98)</f>
        <v>164.58999999999997</v>
      </c>
      <c r="J99" s="72"/>
    </row>
    <row r="100" spans="1:18" x14ac:dyDescent="0.3">
      <c r="A100" s="68" t="str">
        <f>"TAXA DE BDI ("&amp;TEXT(BDI,"00,00")&amp;" %)"</f>
        <v>TAXA DE BDI (24,84 %)</v>
      </c>
      <c r="B100" s="69"/>
      <c r="C100" s="69"/>
      <c r="D100" s="69"/>
      <c r="E100" s="69"/>
      <c r="F100" s="69"/>
      <c r="G100" s="69"/>
      <c r="H100" s="70"/>
      <c r="I100" s="71">
        <f>ROUND(I99*(BDI/100),2)</f>
        <v>40.880000000000003</v>
      </c>
      <c r="J100" s="72"/>
    </row>
    <row r="101" spans="1:18" x14ac:dyDescent="0.3">
      <c r="A101" s="68" t="str">
        <f>"TOTAL COM BDI - "&amp;B95</f>
        <v>TOTAL COM BDI - COMPOS10</v>
      </c>
      <c r="B101" s="69"/>
      <c r="C101" s="69"/>
      <c r="D101" s="69"/>
      <c r="E101" s="69"/>
      <c r="F101" s="69"/>
      <c r="G101" s="69"/>
      <c r="H101" s="70"/>
      <c r="I101" s="71">
        <f>SUM(I99:I100)</f>
        <v>205.46999999999997</v>
      </c>
      <c r="J101" s="72"/>
    </row>
    <row r="103" spans="1:18" x14ac:dyDescent="0.3">
      <c r="A103" s="4" t="s">
        <v>1018</v>
      </c>
      <c r="B103" s="4" t="s">
        <v>138</v>
      </c>
      <c r="C103" s="4" t="s">
        <v>139</v>
      </c>
      <c r="D103" s="4" t="s">
        <v>21</v>
      </c>
      <c r="E103" s="4" t="s">
        <v>140</v>
      </c>
      <c r="F103" s="4" t="s">
        <v>506</v>
      </c>
      <c r="G103" s="34" t="s">
        <v>1019</v>
      </c>
      <c r="H103" s="35"/>
      <c r="I103" s="34" t="s">
        <v>15</v>
      </c>
      <c r="J103" s="35"/>
    </row>
    <row r="104" spans="1:18" ht="30" customHeight="1" x14ac:dyDescent="0.3">
      <c r="A104" s="15" t="s">
        <v>1031</v>
      </c>
      <c r="B104" s="15" t="s">
        <v>541</v>
      </c>
      <c r="C104" s="15" t="str">
        <f>VLOOKUP(B104,S!$A:$G,2,FALSE)</f>
        <v>PRÓPRIA</v>
      </c>
      <c r="D104" s="22" t="str">
        <f>VLOOKUP(B104,S!$A:$G,3,FALSE)</f>
        <v>LAJE DE PROTEÇÃO EM CONCRETO (1,0 M X 1,0 M X 0,15 M)</v>
      </c>
      <c r="E104" s="15" t="str">
        <f>VLOOKUP(B104,S!$A:$G,4,FALSE)</f>
        <v>M³</v>
      </c>
      <c r="F104" s="15"/>
      <c r="G104" s="73">
        <f>I109</f>
        <v>1259.1399999999999</v>
      </c>
      <c r="H104" s="74"/>
      <c r="I104" s="73"/>
      <c r="J104" s="74"/>
      <c r="K104" s="16">
        <f>VLOOKUP(B104,S!A:G,5,FALSE)</f>
        <v>0</v>
      </c>
      <c r="L104" s="15" t="s">
        <v>1021</v>
      </c>
    </row>
    <row r="105" spans="1:18" x14ac:dyDescent="0.3">
      <c r="A105" s="23" t="s">
        <v>1022</v>
      </c>
      <c r="B105" s="23">
        <v>88309</v>
      </c>
      <c r="C105" s="23" t="str">
        <f>VLOOKUP(B105,IF(A105="COMPOSICAO",S!$A:$E,I!$A:$E),2,FALSE)</f>
        <v>SINAPI</v>
      </c>
      <c r="D105" s="24" t="str">
        <f>VLOOKUP(B105,IF(A105="COMPOSICAO",S!$A:$E,I!$A:$E),3,FALSE)</f>
        <v>PEDREIRO COM ENCARGOS COMPLEMENTARES</v>
      </c>
      <c r="E105" s="23" t="str">
        <f>VLOOKUP(B105,IF(A105="COMPOSICAO",S!$A:$E,I!$A:$E),4,FALSE)</f>
        <v>H</v>
      </c>
      <c r="F105" s="23">
        <f>3.16/pcf</f>
        <v>3.16</v>
      </c>
      <c r="G105" s="71">
        <f>IF(A105="COMPOSICAO",VLOOKUP("TOTAL SEM BDI - "&amp;B105,CPUAUX1!$A:$J,9,FALSE),VLOOKUP(B105,I!$A:$E,5,FALSE))</f>
        <v>27.39</v>
      </c>
      <c r="H105" s="72"/>
      <c r="I105" s="71">
        <f>TRUNC(F105*G105,2)</f>
        <v>86.55</v>
      </c>
      <c r="J105" s="72"/>
      <c r="M105" s="23">
        <f>B105</f>
        <v>88309</v>
      </c>
      <c r="N105" s="5">
        <f>SUMIF(ORCAMENTO!B:B,B104,ORCAMENTO!F:F)</f>
        <v>0.75</v>
      </c>
      <c r="O105" s="23">
        <f>F105*N105</f>
        <v>2.37</v>
      </c>
      <c r="Q105" s="23">
        <f ca="1">IFERROR(SUMIF(CO!B:B,B104,OFFSET(CO!F:F,0,(4+MATCH(ETAPA,CO!$J$6:$P$6,0)))),0)</f>
        <v>0.3</v>
      </c>
      <c r="R105" s="23">
        <f ca="1">F105*Q105</f>
        <v>0.94799999999999995</v>
      </c>
    </row>
    <row r="106" spans="1:18" ht="30" customHeight="1" x14ac:dyDescent="0.3">
      <c r="A106" s="23" t="s">
        <v>1022</v>
      </c>
      <c r="B106" s="23">
        <v>88242</v>
      </c>
      <c r="C106" s="23" t="str">
        <f>VLOOKUP(B106,IF(A106="COMPOSICAO",S!$A:$E,I!$A:$E),2,FALSE)</f>
        <v>SINAPI</v>
      </c>
      <c r="D106" s="24" t="str">
        <f>VLOOKUP(B106,IF(A106="COMPOSICAO",S!$A:$E,I!$A:$E),3,FALSE)</f>
        <v>AJUDANTE DE PEDREIRO COM ENCARGOS COMPLEMENTARES</v>
      </c>
      <c r="E106" s="23" t="str">
        <f>VLOOKUP(B106,IF(A106="COMPOSICAO",S!$A:$E,I!$A:$E),4,FALSE)</f>
        <v>H</v>
      </c>
      <c r="F106" s="23">
        <f>1.8336/pcf</f>
        <v>1.8335999999999999</v>
      </c>
      <c r="G106" s="71">
        <f>IF(A106="COMPOSICAO",VLOOKUP("TOTAL SEM BDI - "&amp;B106,CPUAUX1!$A:$J,9,FALSE),VLOOKUP(B106,I!$A:$E,5,FALSE))</f>
        <v>22.42</v>
      </c>
      <c r="H106" s="72"/>
      <c r="I106" s="71">
        <f>TRUNC(F106*G106,2)</f>
        <v>41.1</v>
      </c>
      <c r="J106" s="72"/>
      <c r="M106" s="23">
        <f>B106</f>
        <v>88242</v>
      </c>
      <c r="N106" s="5">
        <f>SUMIF(ORCAMENTO!B:B,B104,ORCAMENTO!F:F)</f>
        <v>0.75</v>
      </c>
      <c r="O106" s="23">
        <f>F106*N106</f>
        <v>1.3752</v>
      </c>
      <c r="Q106" s="23">
        <f ca="1">IFERROR(SUMIF(CO!B:B,B104,OFFSET(CO!F:F,0,(4+MATCH(ETAPA,CO!$J$6:$P$6,0)))),0)</f>
        <v>0.3</v>
      </c>
      <c r="R106" s="23">
        <f ca="1">F106*Q106</f>
        <v>0.5500799999999999</v>
      </c>
    </row>
    <row r="107" spans="1:18" ht="60" customHeight="1" x14ac:dyDescent="0.3">
      <c r="A107" s="23" t="s">
        <v>1022</v>
      </c>
      <c r="B107" s="23">
        <v>94964</v>
      </c>
      <c r="C107" s="23" t="str">
        <f>VLOOKUP(B107,IF(A107="COMPOSICAO",S!$A:$E,I!$A:$E),2,FALSE)</f>
        <v>SINAPI</v>
      </c>
      <c r="D107" s="24" t="str">
        <f>VLOOKUP(B107,IF(A107="COMPOSICAO",S!$A:$E,I!$A:$E),3,FALSE)</f>
        <v>CONCRETO FCK = 20MPA, TRAÇO 1:2,7:3 (EM MASSA SECA DE CIMENTO/ AREIA MÉDIA/ BRITA 1) - PREPARO MECÂNICO COM BETONEIRA 400 L. AF_05/2021</v>
      </c>
      <c r="E107" s="23" t="str">
        <f>VLOOKUP(B107,IF(A107="COMPOSICAO",S!$A:$E,I!$A:$E),4,FALSE)</f>
        <v>M3</v>
      </c>
      <c r="F107" s="23">
        <v>1</v>
      </c>
      <c r="G107" s="71">
        <f>IF(A107="COMPOSICAO",VLOOKUP("TOTAL SEM BDI - "&amp;B107,CPUAUX1!$A:$J,9,FALSE),VLOOKUP(B107,I!$A:$E,5,FALSE))</f>
        <v>641.65</v>
      </c>
      <c r="H107" s="72"/>
      <c r="I107" s="71">
        <f>TRUNC(F107*G107,2)</f>
        <v>641.65</v>
      </c>
      <c r="J107" s="72"/>
      <c r="M107" s="23">
        <f>B107</f>
        <v>94964</v>
      </c>
      <c r="N107" s="5">
        <f>SUMIF(ORCAMENTO!B:B,B104,ORCAMENTO!F:F)</f>
        <v>0.75</v>
      </c>
      <c r="O107" s="23">
        <f>F107*N107</f>
        <v>0.75</v>
      </c>
      <c r="Q107" s="23">
        <f ca="1">IFERROR(SUMIF(CO!B:B,B104,OFFSET(CO!F:F,0,(4+MATCH(ETAPA,CO!$J$6:$P$6,0)))),0)</f>
        <v>0.3</v>
      </c>
      <c r="R107" s="23">
        <f ca="1">F107*Q107</f>
        <v>0.3</v>
      </c>
    </row>
    <row r="108" spans="1:18" ht="60" customHeight="1" x14ac:dyDescent="0.3">
      <c r="A108" s="23" t="s">
        <v>1022</v>
      </c>
      <c r="B108" s="23">
        <v>97086</v>
      </c>
      <c r="C108" s="23" t="str">
        <f>VLOOKUP(B108,IF(A108="COMPOSICAO",S!$A:$E,I!$A:$E),2,FALSE)</f>
        <v>SINAPI</v>
      </c>
      <c r="D108" s="24" t="str">
        <f>VLOOKUP(B108,IF(A108="COMPOSICAO",S!$A:$E,I!$A:$E),3,FALSE)</f>
        <v>FABRICAÇÃO, MONTAGEM E DESMONTAGEM DE FORMA PARA RADIER, PISO DE CONCRETO OU LAJE SOBRE SOLO, EM MADEIRA SERRADA, 4 UTILIZAÇÕES. AF_09/2021</v>
      </c>
      <c r="E108" s="23" t="str">
        <f>VLOOKUP(B108,IF(A108="COMPOSICAO",S!$A:$E,I!$A:$E),4,FALSE)</f>
        <v>M2</v>
      </c>
      <c r="F108" s="23">
        <v>4</v>
      </c>
      <c r="G108" s="71">
        <f>IF(A108="COMPOSICAO",VLOOKUP("TOTAL SEM BDI - "&amp;B108,CPUAUX1!$A:$J,9,FALSE),VLOOKUP(B108,I!$A:$E,5,FALSE))</f>
        <v>122.46000000000001</v>
      </c>
      <c r="H108" s="72"/>
      <c r="I108" s="71">
        <f>TRUNC(F108*G108,2)</f>
        <v>489.84</v>
      </c>
      <c r="J108" s="72"/>
      <c r="M108" s="23">
        <f>B108</f>
        <v>97086</v>
      </c>
      <c r="N108" s="5">
        <f>SUMIF(ORCAMENTO!B:B,B104,ORCAMENTO!F:F)</f>
        <v>0.75</v>
      </c>
      <c r="O108" s="23">
        <f>F108*N108</f>
        <v>3</v>
      </c>
      <c r="Q108" s="23">
        <f ca="1">IFERROR(SUMIF(CO!B:B,B104,OFFSET(CO!F:F,0,(4+MATCH(ETAPA,CO!$J$6:$P$6,0)))),0)</f>
        <v>0.3</v>
      </c>
      <c r="R108" s="23">
        <f ca="1">F108*Q108</f>
        <v>1.2</v>
      </c>
    </row>
    <row r="109" spans="1:18" x14ac:dyDescent="0.3">
      <c r="A109" s="68" t="str">
        <f>"TOTAL SEM BDI - "&amp;B104</f>
        <v>TOTAL SEM BDI - COMPOS11</v>
      </c>
      <c r="B109" s="69"/>
      <c r="C109" s="69"/>
      <c r="D109" s="69"/>
      <c r="E109" s="69"/>
      <c r="F109" s="69"/>
      <c r="G109" s="69"/>
      <c r="H109" s="70"/>
      <c r="I109" s="71">
        <f>SUM(I104:I108)</f>
        <v>1259.1399999999999</v>
      </c>
      <c r="J109" s="72"/>
    </row>
    <row r="110" spans="1:18" x14ac:dyDescent="0.3">
      <c r="A110" s="68" t="str">
        <f>"TAXA DE BDI ("&amp;TEXT(BDI,"00,00")&amp;" %)"</f>
        <v>TAXA DE BDI (24,84 %)</v>
      </c>
      <c r="B110" s="69"/>
      <c r="C110" s="69"/>
      <c r="D110" s="69"/>
      <c r="E110" s="69"/>
      <c r="F110" s="69"/>
      <c r="G110" s="69"/>
      <c r="H110" s="70"/>
      <c r="I110" s="71">
        <f>ROUND(I109*(BDI/100),2)</f>
        <v>312.77</v>
      </c>
      <c r="J110" s="72"/>
    </row>
    <row r="111" spans="1:18" x14ac:dyDescent="0.3">
      <c r="A111" s="68" t="str">
        <f>"TOTAL COM BDI - "&amp;B104</f>
        <v>TOTAL COM BDI - COMPOS11</v>
      </c>
      <c r="B111" s="69"/>
      <c r="C111" s="69"/>
      <c r="D111" s="69"/>
      <c r="E111" s="69"/>
      <c r="F111" s="69"/>
      <c r="G111" s="69"/>
      <c r="H111" s="70"/>
      <c r="I111" s="71">
        <f>SUM(I109:I110)</f>
        <v>1571.9099999999999</v>
      </c>
      <c r="J111" s="72"/>
    </row>
    <row r="113" spans="1:18" x14ac:dyDescent="0.3">
      <c r="A113" s="4" t="s">
        <v>1018</v>
      </c>
      <c r="B113" s="4" t="s">
        <v>138</v>
      </c>
      <c r="C113" s="4" t="s">
        <v>139</v>
      </c>
      <c r="D113" s="4" t="s">
        <v>21</v>
      </c>
      <c r="E113" s="4" t="s">
        <v>140</v>
      </c>
      <c r="F113" s="4" t="s">
        <v>506</v>
      </c>
      <c r="G113" s="34" t="s">
        <v>1019</v>
      </c>
      <c r="H113" s="35"/>
      <c r="I113" s="34" t="s">
        <v>15</v>
      </c>
      <c r="J113" s="35"/>
    </row>
    <row r="114" spans="1:18" x14ac:dyDescent="0.3">
      <c r="A114" s="15" t="s">
        <v>1031</v>
      </c>
      <c r="B114" s="15" t="s">
        <v>543</v>
      </c>
      <c r="C114" s="15" t="str">
        <f>VLOOKUP(B114,S!$A:$G,2,FALSE)</f>
        <v>PRÓPRIA</v>
      </c>
      <c r="D114" s="22" t="str">
        <f>VLOOKUP(B114,S!$A:$G,3,FALSE)</f>
        <v>DESENVOLVIMENTO COM BOMBA SUBMERSA</v>
      </c>
      <c r="E114" s="15" t="str">
        <f>VLOOKUP(B114,S!$A:$G,4,FALSE)</f>
        <v>H</v>
      </c>
      <c r="F114" s="15"/>
      <c r="G114" s="73">
        <f>I119</f>
        <v>513.45000000000005</v>
      </c>
      <c r="H114" s="74"/>
      <c r="I114" s="73"/>
      <c r="J114" s="74"/>
      <c r="K114" s="16">
        <f>VLOOKUP(B114,S!A:G,5,FALSE)</f>
        <v>0</v>
      </c>
      <c r="L114" s="15" t="s">
        <v>1021</v>
      </c>
    </row>
    <row r="115" spans="1:18" ht="30" customHeight="1" x14ac:dyDescent="0.3">
      <c r="A115" s="23" t="s">
        <v>1022</v>
      </c>
      <c r="B115" s="23">
        <v>88297</v>
      </c>
      <c r="C115" s="23" t="str">
        <f>VLOOKUP(B115,IF(A115="COMPOSICAO",S!$A:$E,I!$A:$E),2,FALSE)</f>
        <v>SINAPI</v>
      </c>
      <c r="D115" s="24" t="str">
        <f>VLOOKUP(B115,IF(A115="COMPOSICAO",S!$A:$E,I!$A:$E),3,FALSE)</f>
        <v>OPERADOR DE MÁQUINAS E EQUIPAMENTOS COM ENCARGOS COMPLEMENTARES</v>
      </c>
      <c r="E115" s="23" t="str">
        <f>VLOOKUP(B115,IF(A115="COMPOSICAO",S!$A:$E,I!$A:$E),4,FALSE)</f>
        <v>H</v>
      </c>
      <c r="F115" s="23">
        <v>1</v>
      </c>
      <c r="G115" s="71">
        <f>IF(A115="COMPOSICAO",VLOOKUP("TOTAL SEM BDI - "&amp;B115,CPUAUX1!$A:$J,9,FALSE),VLOOKUP(B115,I!$A:$E,5,FALSE))</f>
        <v>27.16</v>
      </c>
      <c r="H115" s="72"/>
      <c r="I115" s="71">
        <f>TRUNC(F115*G115,2)</f>
        <v>27.16</v>
      </c>
      <c r="J115" s="72"/>
      <c r="M115" s="23">
        <f>B115</f>
        <v>88297</v>
      </c>
      <c r="N115" s="5">
        <f>SUMIF(ORCAMENTO!B:B,B114,ORCAMENTO!F:F)</f>
        <v>30</v>
      </c>
      <c r="O115" s="23">
        <f>F115*N115</f>
        <v>30</v>
      </c>
      <c r="Q115" s="23">
        <f ca="1">IFERROR(SUMIF(CO!B:B,B114,OFFSET(CO!F:F,0,(4+MATCH(ETAPA,CO!$J$6:$P$6,0)))),0)</f>
        <v>12</v>
      </c>
      <c r="R115" s="23">
        <f ca="1">F115*Q115</f>
        <v>12</v>
      </c>
    </row>
    <row r="116" spans="1:18" ht="30" customHeight="1" x14ac:dyDescent="0.3">
      <c r="A116" s="23" t="s">
        <v>1022</v>
      </c>
      <c r="B116" s="23">
        <v>88250</v>
      </c>
      <c r="C116" s="23" t="str">
        <f>VLOOKUP(B116,IF(A116="COMPOSICAO",S!$A:$E,I!$A:$E),2,FALSE)</f>
        <v>SINAPI</v>
      </c>
      <c r="D116" s="24" t="str">
        <f>VLOOKUP(B116,IF(A116="COMPOSICAO",S!$A:$E,I!$A:$E),3,FALSE)</f>
        <v>AUXILIAR DE MECÂNICO COM ENCARGOS COMPLEMENTARES</v>
      </c>
      <c r="E116" s="23" t="str">
        <f>VLOOKUP(B116,IF(A116="COMPOSICAO",S!$A:$E,I!$A:$E),4,FALSE)</f>
        <v>H</v>
      </c>
      <c r="F116" s="23">
        <v>2</v>
      </c>
      <c r="G116" s="71">
        <f>IF(A116="COMPOSICAO",VLOOKUP("TOTAL SEM BDI - "&amp;B116,CPUAUX1!$A:$J,9,FALSE),VLOOKUP(B116,I!$A:$E,5,FALSE))</f>
        <v>21.18</v>
      </c>
      <c r="H116" s="72"/>
      <c r="I116" s="71">
        <f>TRUNC(F116*G116,2)</f>
        <v>42.36</v>
      </c>
      <c r="J116" s="72"/>
      <c r="M116" s="23">
        <f>B116</f>
        <v>88250</v>
      </c>
      <c r="N116" s="5">
        <f>SUMIF(ORCAMENTO!B:B,B114,ORCAMENTO!F:F)</f>
        <v>30</v>
      </c>
      <c r="O116" s="23">
        <f>F116*N116</f>
        <v>60</v>
      </c>
      <c r="Q116" s="23">
        <f ca="1">IFERROR(SUMIF(CO!B:B,B114,OFFSET(CO!F:F,0,(4+MATCH(ETAPA,CO!$J$6:$P$6,0)))),0)</f>
        <v>12</v>
      </c>
      <c r="R116" s="23">
        <f ca="1">F116*Q116</f>
        <v>24</v>
      </c>
    </row>
    <row r="117" spans="1:18" ht="30" customHeight="1" x14ac:dyDescent="0.3">
      <c r="A117" s="23" t="s">
        <v>1025</v>
      </c>
      <c r="B117" s="23">
        <v>3346</v>
      </c>
      <c r="C117" s="23" t="str">
        <f>VLOOKUP(B117,IF(A117="COMPOSICAO",S!$A:$E,I!$A:$E),2,FALSE)</f>
        <v>SINAPI</v>
      </c>
      <c r="D117" s="24" t="str">
        <f>VLOOKUP(B117,IF(A117="COMPOSICAO",S!$A:$E,I!$A:$E),3,FALSE)</f>
        <v>LOCACAO DE GRUPO GERADOR *80 A 125* KVA, MOTOR DIESEL, REBOCAVEL, ACIONAMENTO MANUAL</v>
      </c>
      <c r="E117" s="23" t="str">
        <f>VLOOKUP(B117,IF(A117="COMPOSICAO",S!$A:$E,I!$A:$E),4,FALSE)</f>
        <v>H</v>
      </c>
      <c r="F117" s="23">
        <v>1</v>
      </c>
      <c r="G117" s="71">
        <f>IF(A117="COMPOSICAO",VLOOKUP("TOTAL SEM BDI - "&amp;B117,CPUAUX1!$A:$J,9,FALSE),VLOOKUP(B117,I!$A:$E,5,FALSE))</f>
        <v>23.43</v>
      </c>
      <c r="H117" s="72"/>
      <c r="I117" s="71">
        <f>TRUNC(F117*G117,2)</f>
        <v>23.43</v>
      </c>
      <c r="J117" s="72"/>
      <c r="M117" s="23">
        <f>B117</f>
        <v>3346</v>
      </c>
      <c r="N117" s="5">
        <f>SUMIF(ORCAMENTO!B:B,B114,ORCAMENTO!F:F)</f>
        <v>30</v>
      </c>
      <c r="O117" s="23">
        <f>F117*N117</f>
        <v>30</v>
      </c>
      <c r="Q117" s="23">
        <f ca="1">IFERROR(SUMIF(CO!B:B,B114,OFFSET(CO!F:F,0,(4+MATCH(ETAPA,CO!$J$6:$P$6,0)))),0)</f>
        <v>12</v>
      </c>
      <c r="R117" s="23">
        <f ca="1">F117*Q117</f>
        <v>12</v>
      </c>
    </row>
    <row r="118" spans="1:18" ht="45" customHeight="1" x14ac:dyDescent="0.3">
      <c r="A118" s="23" t="s">
        <v>1023</v>
      </c>
      <c r="B118" s="23" t="s">
        <v>1039</v>
      </c>
      <c r="C118" s="23" t="str">
        <f>VLOOKUP(B118,IF(A118="COMPOSICAO",S!$A:$E,I!$A:$E),2,FALSE)</f>
        <v>PRÓPRIA</v>
      </c>
      <c r="D118" s="24" t="str">
        <f>VLOOKUP(B118,IF(A118="COMPOSICAO",S!$A:$E,I!$A:$E),3,FALSE)</f>
        <v>EQUIPAMENTOS PARA PERFURAÇÃO PELO ''SISTEMA ROTOPNEUMÁTICO'', COMPOSTO POR MÁQUINA ROTOPNEUMÁTICO, DIESEL</v>
      </c>
      <c r="E118" s="23" t="str">
        <f>VLOOKUP(B118,IF(A118="COMPOSICAO",S!$A:$E,I!$A:$E),4,FALSE)</f>
        <v>H</v>
      </c>
      <c r="F118" s="23">
        <v>1</v>
      </c>
      <c r="G118" s="71">
        <f>IF(A118="COMPOSICAO",VLOOKUP("TOTAL SEM BDI - "&amp;B118,CPUAUX1!$A:$J,9,FALSE),VLOOKUP(B118,I!$A:$E,5,FALSE))</f>
        <v>420.5</v>
      </c>
      <c r="H118" s="72"/>
      <c r="I118" s="71">
        <f>TRUNC(F118*G118,2)</f>
        <v>420.5</v>
      </c>
      <c r="J118" s="72"/>
      <c r="M118" s="23" t="str">
        <f>B118</f>
        <v>CAESB8</v>
      </c>
      <c r="N118" s="5">
        <f>SUMIF(ORCAMENTO!B:B,B114,ORCAMENTO!F:F)</f>
        <v>30</v>
      </c>
      <c r="O118" s="23">
        <f>F118*N118</f>
        <v>30</v>
      </c>
      <c r="Q118" s="23">
        <f ca="1">IFERROR(SUMIF(CO!B:B,B114,OFFSET(CO!F:F,0,(4+MATCH(ETAPA,CO!$J$6:$P$6,0)))),0)</f>
        <v>12</v>
      </c>
      <c r="R118" s="23">
        <f ca="1">F118*Q118</f>
        <v>12</v>
      </c>
    </row>
    <row r="119" spans="1:18" x14ac:dyDescent="0.3">
      <c r="A119" s="68" t="str">
        <f>"TOTAL SEM BDI - "&amp;B114</f>
        <v>TOTAL SEM BDI - COMPOS12</v>
      </c>
      <c r="B119" s="69"/>
      <c r="C119" s="69"/>
      <c r="D119" s="69"/>
      <c r="E119" s="69"/>
      <c r="F119" s="69"/>
      <c r="G119" s="69"/>
      <c r="H119" s="70"/>
      <c r="I119" s="71">
        <f>SUM(I114:I118)</f>
        <v>513.45000000000005</v>
      </c>
      <c r="J119" s="72"/>
    </row>
    <row r="120" spans="1:18" x14ac:dyDescent="0.3">
      <c r="A120" s="68" t="str">
        <f>"TAXA DE BDI ("&amp;TEXT(BDI,"00,00")&amp;" %)"</f>
        <v>TAXA DE BDI (24,84 %)</v>
      </c>
      <c r="B120" s="69"/>
      <c r="C120" s="69"/>
      <c r="D120" s="69"/>
      <c r="E120" s="69"/>
      <c r="F120" s="69"/>
      <c r="G120" s="69"/>
      <c r="H120" s="70"/>
      <c r="I120" s="71">
        <f>ROUND(I119*(BDI/100),2)</f>
        <v>127.54</v>
      </c>
      <c r="J120" s="72"/>
    </row>
    <row r="121" spans="1:18" x14ac:dyDescent="0.3">
      <c r="A121" s="68" t="str">
        <f>"TOTAL COM BDI - "&amp;B114</f>
        <v>TOTAL COM BDI - COMPOS12</v>
      </c>
      <c r="B121" s="69"/>
      <c r="C121" s="69"/>
      <c r="D121" s="69"/>
      <c r="E121" s="69"/>
      <c r="F121" s="69"/>
      <c r="G121" s="69"/>
      <c r="H121" s="70"/>
      <c r="I121" s="71">
        <f>SUM(I119:I120)</f>
        <v>640.99</v>
      </c>
      <c r="J121" s="72"/>
    </row>
    <row r="123" spans="1:18" x14ac:dyDescent="0.3">
      <c r="A123" s="4" t="s">
        <v>1018</v>
      </c>
      <c r="B123" s="4" t="s">
        <v>138</v>
      </c>
      <c r="C123" s="4" t="s">
        <v>139</v>
      </c>
      <c r="D123" s="4" t="s">
        <v>21</v>
      </c>
      <c r="E123" s="4" t="s">
        <v>140</v>
      </c>
      <c r="F123" s="4" t="s">
        <v>506</v>
      </c>
      <c r="G123" s="34" t="s">
        <v>1019</v>
      </c>
      <c r="H123" s="35"/>
      <c r="I123" s="34" t="s">
        <v>15</v>
      </c>
      <c r="J123" s="35"/>
    </row>
    <row r="124" spans="1:18" x14ac:dyDescent="0.3">
      <c r="A124" s="15" t="s">
        <v>1031</v>
      </c>
      <c r="B124" s="15" t="s">
        <v>545</v>
      </c>
      <c r="C124" s="15" t="str">
        <f>VLOOKUP(B124,S!$A:$G,2,FALSE)</f>
        <v>PRÓPRIA</v>
      </c>
      <c r="D124" s="22" t="str">
        <f>VLOOKUP(B124,S!$A:$G,3,FALSE)</f>
        <v>TESTE VAZÃO COM BOMBA SUBMERSA</v>
      </c>
      <c r="E124" s="15" t="str">
        <f>VLOOKUP(B124,S!$A:$G,4,FALSE)</f>
        <v>H</v>
      </c>
      <c r="F124" s="15"/>
      <c r="G124" s="73">
        <f>I130</f>
        <v>95.539999999999992</v>
      </c>
      <c r="H124" s="74"/>
      <c r="I124" s="73"/>
      <c r="J124" s="74"/>
      <c r="K124" s="16">
        <f>VLOOKUP(B124,S!A:G,5,FALSE)</f>
        <v>0</v>
      </c>
      <c r="L124" s="15" t="s">
        <v>1021</v>
      </c>
    </row>
    <row r="125" spans="1:18" ht="30" customHeight="1" x14ac:dyDescent="0.3">
      <c r="A125" s="23" t="s">
        <v>1022</v>
      </c>
      <c r="B125" s="23">
        <v>88297</v>
      </c>
      <c r="C125" s="23" t="str">
        <f>VLOOKUP(B125,IF(A125="COMPOSICAO",S!$A:$E,I!$A:$E),2,FALSE)</f>
        <v>SINAPI</v>
      </c>
      <c r="D125" s="24" t="str">
        <f>VLOOKUP(B125,IF(A125="COMPOSICAO",S!$A:$E,I!$A:$E),3,FALSE)</f>
        <v>OPERADOR DE MÁQUINAS E EQUIPAMENTOS COM ENCARGOS COMPLEMENTARES</v>
      </c>
      <c r="E125" s="23" t="str">
        <f>VLOOKUP(B125,IF(A125="COMPOSICAO",S!$A:$E,I!$A:$E),4,FALSE)</f>
        <v>H</v>
      </c>
      <c r="F125" s="23">
        <v>1</v>
      </c>
      <c r="G125" s="71">
        <f>IF(A125="COMPOSICAO",VLOOKUP("TOTAL SEM BDI - "&amp;B125,CPUAUX1!$A:$J,9,FALSE),VLOOKUP(B125,I!$A:$E,5,FALSE))</f>
        <v>27.16</v>
      </c>
      <c r="H125" s="72"/>
      <c r="I125" s="71">
        <f>TRUNC(F125*G125,2)</f>
        <v>27.16</v>
      </c>
      <c r="J125" s="72"/>
      <c r="M125" s="23">
        <f>B125</f>
        <v>88297</v>
      </c>
      <c r="N125" s="5">
        <f>SUMIF(ORCAMENTO!B:B,B124,ORCAMENTO!F:F)</f>
        <v>120</v>
      </c>
      <c r="O125" s="23">
        <f>F125*N125</f>
        <v>120</v>
      </c>
      <c r="Q125" s="23">
        <f ca="1">IFERROR(SUMIF(CO!B:B,B124,OFFSET(CO!F:F,0,(4+MATCH(ETAPA,CO!$J$6:$P$6,0)))),0)</f>
        <v>48</v>
      </c>
      <c r="R125" s="23">
        <f ca="1">F125*Q125</f>
        <v>48</v>
      </c>
    </row>
    <row r="126" spans="1:18" ht="30" customHeight="1" x14ac:dyDescent="0.3">
      <c r="A126" s="23" t="s">
        <v>1022</v>
      </c>
      <c r="B126" s="23">
        <v>88250</v>
      </c>
      <c r="C126" s="23" t="str">
        <f>VLOOKUP(B126,IF(A126="COMPOSICAO",S!$A:$E,I!$A:$E),2,FALSE)</f>
        <v>SINAPI</v>
      </c>
      <c r="D126" s="24" t="str">
        <f>VLOOKUP(B126,IF(A126="COMPOSICAO",S!$A:$E,I!$A:$E),3,FALSE)</f>
        <v>AUXILIAR DE MECÂNICO COM ENCARGOS COMPLEMENTARES</v>
      </c>
      <c r="E126" s="23" t="str">
        <f>VLOOKUP(B126,IF(A126="COMPOSICAO",S!$A:$E,I!$A:$E),4,FALSE)</f>
        <v>H</v>
      </c>
      <c r="F126" s="23">
        <v>2</v>
      </c>
      <c r="G126" s="71">
        <f>IF(A126="COMPOSICAO",VLOOKUP("TOTAL SEM BDI - "&amp;B126,CPUAUX1!$A:$J,9,FALSE),VLOOKUP(B126,I!$A:$E,5,FALSE))</f>
        <v>21.18</v>
      </c>
      <c r="H126" s="72"/>
      <c r="I126" s="71">
        <f>TRUNC(F126*G126,2)</f>
        <v>42.36</v>
      </c>
      <c r="J126" s="72"/>
      <c r="M126" s="23">
        <f>B126</f>
        <v>88250</v>
      </c>
      <c r="N126" s="5">
        <f>SUMIF(ORCAMENTO!B:B,B124,ORCAMENTO!F:F)</f>
        <v>120</v>
      </c>
      <c r="O126" s="23">
        <f>F126*N126</f>
        <v>240</v>
      </c>
      <c r="Q126" s="23">
        <f ca="1">IFERROR(SUMIF(CO!B:B,B124,OFFSET(CO!F:F,0,(4+MATCH(ETAPA,CO!$J$6:$P$6,0)))),0)</f>
        <v>48</v>
      </c>
      <c r="R126" s="23">
        <f ca="1">F126*Q126</f>
        <v>96</v>
      </c>
    </row>
    <row r="127" spans="1:18" ht="30" customHeight="1" x14ac:dyDescent="0.3">
      <c r="A127" s="23" t="s">
        <v>1025</v>
      </c>
      <c r="B127" s="23">
        <v>3346</v>
      </c>
      <c r="C127" s="23" t="str">
        <f>VLOOKUP(B127,IF(A127="COMPOSICAO",S!$A:$E,I!$A:$E),2,FALSE)</f>
        <v>SINAPI</v>
      </c>
      <c r="D127" s="24" t="str">
        <f>VLOOKUP(B127,IF(A127="COMPOSICAO",S!$A:$E,I!$A:$E),3,FALSE)</f>
        <v>LOCACAO DE GRUPO GERADOR *80 A 125* KVA, MOTOR DIESEL, REBOCAVEL, ACIONAMENTO MANUAL</v>
      </c>
      <c r="E127" s="23" t="str">
        <f>VLOOKUP(B127,IF(A127="COMPOSICAO",S!$A:$E,I!$A:$E),4,FALSE)</f>
        <v>H</v>
      </c>
      <c r="F127" s="23">
        <v>1</v>
      </c>
      <c r="G127" s="71">
        <f>IF(A127="COMPOSICAO",VLOOKUP("TOTAL SEM BDI - "&amp;B127,CPUAUX1!$A:$J,9,FALSE),VLOOKUP(B127,I!$A:$E,5,FALSE))</f>
        <v>23.43</v>
      </c>
      <c r="H127" s="72"/>
      <c r="I127" s="71">
        <f>TRUNC(F127*G127,2)</f>
        <v>23.43</v>
      </c>
      <c r="J127" s="72"/>
      <c r="M127" s="23">
        <f>B127</f>
        <v>3346</v>
      </c>
      <c r="N127" s="5">
        <f>SUMIF(ORCAMENTO!B:B,B124,ORCAMENTO!F:F)</f>
        <v>120</v>
      </c>
      <c r="O127" s="23">
        <f>F127*N127</f>
        <v>120</v>
      </c>
      <c r="Q127" s="23">
        <f ca="1">IFERROR(SUMIF(CO!B:B,B124,OFFSET(CO!F:F,0,(4+MATCH(ETAPA,CO!$J$6:$P$6,0)))),0)</f>
        <v>48</v>
      </c>
      <c r="R127" s="23">
        <f ca="1">F127*Q127</f>
        <v>48</v>
      </c>
    </row>
    <row r="128" spans="1:18" ht="90" customHeight="1" x14ac:dyDescent="0.3">
      <c r="A128" s="23" t="s">
        <v>1025</v>
      </c>
      <c r="B128" s="23">
        <v>743</v>
      </c>
      <c r="C128" s="23" t="str">
        <f>VLOOKUP(B128,IF(A128="COMPOSICAO",S!$A:$E,I!$A:$E),2,FALSE)</f>
        <v>SINAPI</v>
      </c>
      <c r="D128" s="24" t="str">
        <f>VLOOKUP(B128,IF(A128="COMPOSICAO",S!$A:$E,I!$A:$E),3,FALSE)</f>
        <v>LOCACAO DE BOMBA SUBMERSIVEL PARA DRENAGEM E ESGOTAMENTO, MOTOR ELETRICO TRIFASICO, POTENCIA DE 2 CV, DIAMETRO DE RECALQUE DE 2", FAIXA DE OPERACAO Q=35 M3/H (+ OU - 3 M3/H) E AMT=2 M, Q=13 M3/H (+ OU - 3 M3/H) E AMT = 17 M (+ OU - 3 M)</v>
      </c>
      <c r="E128" s="23" t="str">
        <f>VLOOKUP(B128,IF(A128="COMPOSICAO",S!$A:$E,I!$A:$E),4,FALSE)</f>
        <v>H</v>
      </c>
      <c r="F128" s="23">
        <v>1</v>
      </c>
      <c r="G128" s="71">
        <f>IF(A128="COMPOSICAO",VLOOKUP("TOTAL SEM BDI - "&amp;B128,CPUAUX1!$A:$J,9,FALSE),VLOOKUP(B128,I!$A:$E,5,FALSE))</f>
        <v>2.4300000000000002</v>
      </c>
      <c r="H128" s="72"/>
      <c r="I128" s="71">
        <f>TRUNC(F128*G128,2)</f>
        <v>2.4300000000000002</v>
      </c>
      <c r="J128" s="72"/>
      <c r="M128" s="23">
        <f>B128</f>
        <v>743</v>
      </c>
      <c r="N128" s="5">
        <f>SUMIF(ORCAMENTO!B:B,B124,ORCAMENTO!F:F)</f>
        <v>120</v>
      </c>
      <c r="O128" s="23">
        <f>F128*N128</f>
        <v>120</v>
      </c>
      <c r="Q128" s="23">
        <f ca="1">IFERROR(SUMIF(CO!B:B,B124,OFFSET(CO!F:F,0,(4+MATCH(ETAPA,CO!$J$6:$P$6,0)))),0)</f>
        <v>48</v>
      </c>
      <c r="R128" s="23">
        <f ca="1">F128*Q128</f>
        <v>48</v>
      </c>
    </row>
    <row r="129" spans="1:18" x14ac:dyDescent="0.3">
      <c r="A129" s="23" t="s">
        <v>1023</v>
      </c>
      <c r="B129" s="23" t="s">
        <v>1040</v>
      </c>
      <c r="C129" s="23" t="str">
        <f>VLOOKUP(B129,IF(A129="COMPOSICAO",S!$A:$E,I!$A:$E),2,FALSE)</f>
        <v>PRÓPRIA</v>
      </c>
      <c r="D129" s="24" t="str">
        <f>VLOOKUP(B129,IF(A129="COMPOSICAO",S!$A:$E,I!$A:$E),3,FALSE)</f>
        <v>MEDIDOR DE VAZÃO</v>
      </c>
      <c r="E129" s="23" t="str">
        <f>VLOOKUP(B129,IF(A129="COMPOSICAO",S!$A:$E,I!$A:$E),4,FALSE)</f>
        <v>H</v>
      </c>
      <c r="F129" s="23">
        <v>1</v>
      </c>
      <c r="G129" s="71">
        <f>IF(A129="COMPOSICAO",VLOOKUP("TOTAL SEM BDI - "&amp;B129,CPUAUX1!$A:$J,9,FALSE),VLOOKUP(B129,I!$A:$E,5,FALSE))</f>
        <v>0.16</v>
      </c>
      <c r="H129" s="72"/>
      <c r="I129" s="71">
        <f>TRUNC(F129*G129,2)</f>
        <v>0.16</v>
      </c>
      <c r="J129" s="72"/>
      <c r="M129" s="23" t="str">
        <f>B129</f>
        <v>CAESB9</v>
      </c>
      <c r="N129" s="5">
        <f>SUMIF(ORCAMENTO!B:B,B124,ORCAMENTO!F:F)</f>
        <v>120</v>
      </c>
      <c r="O129" s="23">
        <f>F129*N129</f>
        <v>120</v>
      </c>
      <c r="Q129" s="23">
        <f ca="1">IFERROR(SUMIF(CO!B:B,B124,OFFSET(CO!F:F,0,(4+MATCH(ETAPA,CO!$J$6:$P$6,0)))),0)</f>
        <v>48</v>
      </c>
      <c r="R129" s="23">
        <f ca="1">F129*Q129</f>
        <v>48</v>
      </c>
    </row>
    <row r="130" spans="1:18" x14ac:dyDescent="0.3">
      <c r="A130" s="68" t="str">
        <f>"TOTAL SEM BDI - "&amp;B124</f>
        <v>TOTAL SEM BDI - COMPOS13</v>
      </c>
      <c r="B130" s="69"/>
      <c r="C130" s="69"/>
      <c r="D130" s="69"/>
      <c r="E130" s="69"/>
      <c r="F130" s="69"/>
      <c r="G130" s="69"/>
      <c r="H130" s="70"/>
      <c r="I130" s="71">
        <f>SUM(I124:I129)</f>
        <v>95.539999999999992</v>
      </c>
      <c r="J130" s="72"/>
    </row>
    <row r="131" spans="1:18" x14ac:dyDescent="0.3">
      <c r="A131" s="68" t="str">
        <f>"TAXA DE BDI ("&amp;TEXT(BDI,"00,00")&amp;" %)"</f>
        <v>TAXA DE BDI (24,84 %)</v>
      </c>
      <c r="B131" s="69"/>
      <c r="C131" s="69"/>
      <c r="D131" s="69"/>
      <c r="E131" s="69"/>
      <c r="F131" s="69"/>
      <c r="G131" s="69"/>
      <c r="H131" s="70"/>
      <c r="I131" s="71">
        <f>ROUND(I130*(BDI/100),2)</f>
        <v>23.73</v>
      </c>
      <c r="J131" s="72"/>
    </row>
    <row r="132" spans="1:18" x14ac:dyDescent="0.3">
      <c r="A132" s="68" t="str">
        <f>"TOTAL COM BDI - "&amp;B124</f>
        <v>TOTAL COM BDI - COMPOS13</v>
      </c>
      <c r="B132" s="69"/>
      <c r="C132" s="69"/>
      <c r="D132" s="69"/>
      <c r="E132" s="69"/>
      <c r="F132" s="69"/>
      <c r="G132" s="69"/>
      <c r="H132" s="70"/>
      <c r="I132" s="71">
        <f>SUM(I130:I131)</f>
        <v>119.27</v>
      </c>
      <c r="J132" s="72"/>
    </row>
    <row r="134" spans="1:18" x14ac:dyDescent="0.3">
      <c r="A134" s="4" t="s">
        <v>1018</v>
      </c>
      <c r="B134" s="4" t="s">
        <v>138</v>
      </c>
      <c r="C134" s="4" t="s">
        <v>139</v>
      </c>
      <c r="D134" s="4" t="s">
        <v>21</v>
      </c>
      <c r="E134" s="4" t="s">
        <v>140</v>
      </c>
      <c r="F134" s="4" t="s">
        <v>506</v>
      </c>
      <c r="G134" s="34" t="s">
        <v>1019</v>
      </c>
      <c r="H134" s="35"/>
      <c r="I134" s="34" t="s">
        <v>15</v>
      </c>
      <c r="J134" s="35"/>
    </row>
    <row r="135" spans="1:18" x14ac:dyDescent="0.3">
      <c r="A135" s="15" t="s">
        <v>1031</v>
      </c>
      <c r="B135" s="15" t="s">
        <v>547</v>
      </c>
      <c r="C135" s="15" t="str">
        <f>VLOOKUP(B135,S!$A:$G,2,FALSE)</f>
        <v>PRÓPRIA</v>
      </c>
      <c r="D135" s="22" t="str">
        <f>VLOOKUP(B135,S!$A:$G,3,FALSE)</f>
        <v>DESINFECÇÃO</v>
      </c>
      <c r="E135" s="15" t="str">
        <f>VLOOKUP(B135,S!$A:$G,4,FALSE)</f>
        <v>H</v>
      </c>
      <c r="F135" s="15"/>
      <c r="G135" s="73">
        <f>I142</f>
        <v>100.11000000000003</v>
      </c>
      <c r="H135" s="74"/>
      <c r="I135" s="73"/>
      <c r="J135" s="74"/>
      <c r="K135" s="16">
        <f>VLOOKUP(B135,S!A:G,5,FALSE)</f>
        <v>0</v>
      </c>
      <c r="L135" s="15" t="s">
        <v>1021</v>
      </c>
    </row>
    <row r="136" spans="1:18" ht="30" customHeight="1" x14ac:dyDescent="0.3">
      <c r="A136" s="23" t="s">
        <v>1022</v>
      </c>
      <c r="B136" s="23">
        <v>88297</v>
      </c>
      <c r="C136" s="23" t="str">
        <f>VLOOKUP(B136,IF(A136="COMPOSICAO",S!$A:$E,I!$A:$E),2,FALSE)</f>
        <v>SINAPI</v>
      </c>
      <c r="D136" s="24" t="str">
        <f>VLOOKUP(B136,IF(A136="COMPOSICAO",S!$A:$E,I!$A:$E),3,FALSE)</f>
        <v>OPERADOR DE MÁQUINAS E EQUIPAMENTOS COM ENCARGOS COMPLEMENTARES</v>
      </c>
      <c r="E136" s="23" t="str">
        <f>VLOOKUP(B136,IF(A136="COMPOSICAO",S!$A:$E,I!$A:$E),4,FALSE)</f>
        <v>H</v>
      </c>
      <c r="F136" s="23">
        <v>1</v>
      </c>
      <c r="G136" s="71">
        <f>IF(A136="COMPOSICAO",VLOOKUP("TOTAL SEM BDI - "&amp;B136,CPUAUX1!$A:$J,9,FALSE),VLOOKUP(B136,I!$A:$E,5,FALSE))</f>
        <v>27.16</v>
      </c>
      <c r="H136" s="72"/>
      <c r="I136" s="71">
        <f t="shared" ref="I136:I141" si="0">TRUNC(F136*G136,2)</f>
        <v>27.16</v>
      </c>
      <c r="J136" s="72"/>
      <c r="M136" s="23">
        <f t="shared" ref="M136:M141" si="1">B136</f>
        <v>88297</v>
      </c>
      <c r="N136" s="5">
        <f>SUMIF(ORCAMENTO!B:B,B135,ORCAMENTO!F:F)</f>
        <v>30</v>
      </c>
      <c r="O136" s="23">
        <f t="shared" ref="O136:O141" si="2">F136*N136</f>
        <v>30</v>
      </c>
      <c r="Q136" s="23">
        <f ca="1">IFERROR(SUMIF(CO!B:B,B135,OFFSET(CO!F:F,0,(4+MATCH(ETAPA,CO!$J$6:$P$6,0)))),0)</f>
        <v>12</v>
      </c>
      <c r="R136" s="23">
        <f t="shared" ref="R136:R141" ca="1" si="3">F136*Q136</f>
        <v>12</v>
      </c>
    </row>
    <row r="137" spans="1:18" ht="30" customHeight="1" x14ac:dyDescent="0.3">
      <c r="A137" s="23" t="s">
        <v>1022</v>
      </c>
      <c r="B137" s="23">
        <v>88250</v>
      </c>
      <c r="C137" s="23" t="str">
        <f>VLOOKUP(B137,IF(A137="COMPOSICAO",S!$A:$E,I!$A:$E),2,FALSE)</f>
        <v>SINAPI</v>
      </c>
      <c r="D137" s="24" t="str">
        <f>VLOOKUP(B137,IF(A137="COMPOSICAO",S!$A:$E,I!$A:$E),3,FALSE)</f>
        <v>AUXILIAR DE MECÂNICO COM ENCARGOS COMPLEMENTARES</v>
      </c>
      <c r="E137" s="23" t="str">
        <f>VLOOKUP(B137,IF(A137="COMPOSICAO",S!$A:$E,I!$A:$E),4,FALSE)</f>
        <v>H</v>
      </c>
      <c r="F137" s="23">
        <v>1</v>
      </c>
      <c r="G137" s="71">
        <f>IF(A137="COMPOSICAO",VLOOKUP("TOTAL SEM BDI - "&amp;B137,CPUAUX1!$A:$J,9,FALSE),VLOOKUP(B137,I!$A:$E,5,FALSE))</f>
        <v>21.18</v>
      </c>
      <c r="H137" s="72"/>
      <c r="I137" s="71">
        <f t="shared" si="0"/>
        <v>21.18</v>
      </c>
      <c r="J137" s="72"/>
      <c r="M137" s="23">
        <f t="shared" si="1"/>
        <v>88250</v>
      </c>
      <c r="N137" s="5">
        <f>SUMIF(ORCAMENTO!B:B,B135,ORCAMENTO!F:F)</f>
        <v>30</v>
      </c>
      <c r="O137" s="23">
        <f t="shared" si="2"/>
        <v>30</v>
      </c>
      <c r="Q137" s="23">
        <f ca="1">IFERROR(SUMIF(CO!B:B,B135,OFFSET(CO!F:F,0,(4+MATCH(ETAPA,CO!$J$6:$P$6,0)))),0)</f>
        <v>12</v>
      </c>
      <c r="R137" s="23">
        <f t="shared" ca="1" si="3"/>
        <v>12</v>
      </c>
    </row>
    <row r="138" spans="1:18" x14ac:dyDescent="0.3">
      <c r="A138" s="23" t="s">
        <v>1022</v>
      </c>
      <c r="B138" s="23">
        <v>88316</v>
      </c>
      <c r="C138" s="23" t="str">
        <f>VLOOKUP(B138,IF(A138="COMPOSICAO",S!$A:$E,I!$A:$E),2,FALSE)</f>
        <v>SINAPI</v>
      </c>
      <c r="D138" s="24" t="str">
        <f>VLOOKUP(B138,IF(A138="COMPOSICAO",S!$A:$E,I!$A:$E),3,FALSE)</f>
        <v>SERVENTE COM ENCARGOS COMPLEMENTARES</v>
      </c>
      <c r="E138" s="23" t="str">
        <f>VLOOKUP(B138,IF(A138="COMPOSICAO",S!$A:$E,I!$A:$E),4,FALSE)</f>
        <v>H</v>
      </c>
      <c r="F138" s="23">
        <v>1</v>
      </c>
      <c r="G138" s="71">
        <f>IF(A138="COMPOSICAO",VLOOKUP("TOTAL SEM BDI - "&amp;B138,CPUAUX1!$A:$J,9,FALSE),VLOOKUP(B138,I!$A:$E,5,FALSE))</f>
        <v>21.71</v>
      </c>
      <c r="H138" s="72"/>
      <c r="I138" s="71">
        <f t="shared" si="0"/>
        <v>21.71</v>
      </c>
      <c r="J138" s="72"/>
      <c r="M138" s="23">
        <f t="shared" si="1"/>
        <v>88316</v>
      </c>
      <c r="N138" s="5">
        <f>SUMIF(ORCAMENTO!B:B,B135,ORCAMENTO!F:F)</f>
        <v>30</v>
      </c>
      <c r="O138" s="23">
        <f t="shared" si="2"/>
        <v>30</v>
      </c>
      <c r="Q138" s="23">
        <f ca="1">IFERROR(SUMIF(CO!B:B,B135,OFFSET(CO!F:F,0,(4+MATCH(ETAPA,CO!$J$6:$P$6,0)))),0)</f>
        <v>12</v>
      </c>
      <c r="R138" s="23">
        <f t="shared" ca="1" si="3"/>
        <v>12</v>
      </c>
    </row>
    <row r="139" spans="1:18" ht="30" customHeight="1" x14ac:dyDescent="0.3">
      <c r="A139" s="23" t="s">
        <v>1025</v>
      </c>
      <c r="B139" s="23">
        <v>3346</v>
      </c>
      <c r="C139" s="23" t="str">
        <f>VLOOKUP(B139,IF(A139="COMPOSICAO",S!$A:$E,I!$A:$E),2,FALSE)</f>
        <v>SINAPI</v>
      </c>
      <c r="D139" s="24" t="str">
        <f>VLOOKUP(B139,IF(A139="COMPOSICAO",S!$A:$E,I!$A:$E),3,FALSE)</f>
        <v>LOCACAO DE GRUPO GERADOR *80 A 125* KVA, MOTOR DIESEL, REBOCAVEL, ACIONAMENTO MANUAL</v>
      </c>
      <c r="E139" s="23" t="str">
        <f>VLOOKUP(B139,IF(A139="COMPOSICAO",S!$A:$E,I!$A:$E),4,FALSE)</f>
        <v>H</v>
      </c>
      <c r="F139" s="23">
        <v>1</v>
      </c>
      <c r="G139" s="71">
        <f>IF(A139="COMPOSICAO",VLOOKUP("TOTAL SEM BDI - "&amp;B139,CPUAUX1!$A:$J,9,FALSE),VLOOKUP(B139,I!$A:$E,5,FALSE))</f>
        <v>23.43</v>
      </c>
      <c r="H139" s="72"/>
      <c r="I139" s="71">
        <f t="shared" si="0"/>
        <v>23.43</v>
      </c>
      <c r="J139" s="72"/>
      <c r="M139" s="23">
        <f t="shared" si="1"/>
        <v>3346</v>
      </c>
      <c r="N139" s="5">
        <f>SUMIF(ORCAMENTO!B:B,B135,ORCAMENTO!F:F)</f>
        <v>30</v>
      </c>
      <c r="O139" s="23">
        <f t="shared" si="2"/>
        <v>30</v>
      </c>
      <c r="Q139" s="23">
        <f ca="1">IFERROR(SUMIF(CO!B:B,B135,OFFSET(CO!F:F,0,(4+MATCH(ETAPA,CO!$J$6:$P$6,0)))),0)</f>
        <v>12</v>
      </c>
      <c r="R139" s="23">
        <f t="shared" ca="1" si="3"/>
        <v>12</v>
      </c>
    </row>
    <row r="140" spans="1:18" ht="90" customHeight="1" x14ac:dyDescent="0.3">
      <c r="A140" s="23" t="s">
        <v>1025</v>
      </c>
      <c r="B140" s="23">
        <v>743</v>
      </c>
      <c r="C140" s="23" t="str">
        <f>VLOOKUP(B140,IF(A140="COMPOSICAO",S!$A:$E,I!$A:$E),2,FALSE)</f>
        <v>SINAPI</v>
      </c>
      <c r="D140" s="24" t="str">
        <f>VLOOKUP(B140,IF(A140="COMPOSICAO",S!$A:$E,I!$A:$E),3,FALSE)</f>
        <v>LOCACAO DE BOMBA SUBMERSIVEL PARA DRENAGEM E ESGOTAMENTO, MOTOR ELETRICO TRIFASICO, POTENCIA DE 2 CV, DIAMETRO DE RECALQUE DE 2", FAIXA DE OPERACAO Q=35 M3/H (+ OU - 3 M3/H) E AMT=2 M, Q=13 M3/H (+ OU - 3 M3/H) E AMT = 17 M (+ OU - 3 M)</v>
      </c>
      <c r="E140" s="23" t="str">
        <f>VLOOKUP(B140,IF(A140="COMPOSICAO",S!$A:$E,I!$A:$E),4,FALSE)</f>
        <v>H</v>
      </c>
      <c r="F140" s="23">
        <v>1</v>
      </c>
      <c r="G140" s="71">
        <f>IF(A140="COMPOSICAO",VLOOKUP("TOTAL SEM BDI - "&amp;B140,CPUAUX1!$A:$J,9,FALSE),VLOOKUP(B140,I!$A:$E,5,FALSE))</f>
        <v>2.4300000000000002</v>
      </c>
      <c r="H140" s="72"/>
      <c r="I140" s="71">
        <f t="shared" si="0"/>
        <v>2.4300000000000002</v>
      </c>
      <c r="J140" s="72"/>
      <c r="M140" s="23">
        <f t="shared" si="1"/>
        <v>743</v>
      </c>
      <c r="N140" s="5">
        <f>SUMIF(ORCAMENTO!B:B,B135,ORCAMENTO!F:F)</f>
        <v>30</v>
      </c>
      <c r="O140" s="23">
        <f t="shared" si="2"/>
        <v>30</v>
      </c>
      <c r="Q140" s="23">
        <f ca="1">IFERROR(SUMIF(CO!B:B,B135,OFFSET(CO!F:F,0,(4+MATCH(ETAPA,CO!$J$6:$P$6,0)))),0)</f>
        <v>12</v>
      </c>
      <c r="R140" s="23">
        <f t="shared" ca="1" si="3"/>
        <v>12</v>
      </c>
    </row>
    <row r="141" spans="1:18" x14ac:dyDescent="0.3">
      <c r="A141" s="23" t="s">
        <v>1023</v>
      </c>
      <c r="B141" s="23" t="s">
        <v>1041</v>
      </c>
      <c r="C141" s="23" t="str">
        <f>VLOOKUP(B141,IF(A141="COMPOSICAO",S!$A:$E,I!$A:$E),2,FALSE)</f>
        <v>PRÓPRIA</v>
      </c>
      <c r="D141" s="24" t="str">
        <f>VLOOKUP(B141,IF(A141="COMPOSICAO",S!$A:$E,I!$A:$E),3,FALSE)</f>
        <v>HIPOCLORITO DE SÓDIO</v>
      </c>
      <c r="E141" s="23" t="str">
        <f>VLOOKUP(B141,IF(A141="COMPOSICAO",S!$A:$E,I!$A:$E),4,FALSE)</f>
        <v>L</v>
      </c>
      <c r="F141" s="23">
        <v>1</v>
      </c>
      <c r="G141" s="71">
        <f>IF(A141="COMPOSICAO",VLOOKUP("TOTAL SEM BDI - "&amp;B141,CPUAUX1!$A:$J,9,FALSE),VLOOKUP(B141,I!$A:$E,5,FALSE))</f>
        <v>4.2</v>
      </c>
      <c r="H141" s="72"/>
      <c r="I141" s="71">
        <f t="shared" si="0"/>
        <v>4.2</v>
      </c>
      <c r="J141" s="72"/>
      <c r="M141" s="23" t="str">
        <f t="shared" si="1"/>
        <v>EMBASA1</v>
      </c>
      <c r="N141" s="5">
        <f>SUMIF(ORCAMENTO!B:B,B135,ORCAMENTO!F:F)</f>
        <v>30</v>
      </c>
      <c r="O141" s="23">
        <f t="shared" si="2"/>
        <v>30</v>
      </c>
      <c r="Q141" s="23">
        <f ca="1">IFERROR(SUMIF(CO!B:B,B135,OFFSET(CO!F:F,0,(4+MATCH(ETAPA,CO!$J$6:$P$6,0)))),0)</f>
        <v>12</v>
      </c>
      <c r="R141" s="23">
        <f t="shared" ca="1" si="3"/>
        <v>12</v>
      </c>
    </row>
    <row r="142" spans="1:18" x14ac:dyDescent="0.3">
      <c r="A142" s="68" t="str">
        <f>"TOTAL SEM BDI - "&amp;B135</f>
        <v>TOTAL SEM BDI - COMPOS14</v>
      </c>
      <c r="B142" s="69"/>
      <c r="C142" s="69"/>
      <c r="D142" s="69"/>
      <c r="E142" s="69"/>
      <c r="F142" s="69"/>
      <c r="G142" s="69"/>
      <c r="H142" s="70"/>
      <c r="I142" s="71">
        <f>SUM(I135:I141)</f>
        <v>100.11000000000003</v>
      </c>
      <c r="J142" s="72"/>
    </row>
    <row r="143" spans="1:18" x14ac:dyDescent="0.3">
      <c r="A143" s="68" t="str">
        <f>"TAXA DE BDI ("&amp;TEXT(BDI,"00,00")&amp;" %)"</f>
        <v>TAXA DE BDI (24,84 %)</v>
      </c>
      <c r="B143" s="69"/>
      <c r="C143" s="69"/>
      <c r="D143" s="69"/>
      <c r="E143" s="69"/>
      <c r="F143" s="69"/>
      <c r="G143" s="69"/>
      <c r="H143" s="70"/>
      <c r="I143" s="71">
        <f>ROUND(I142*(BDI/100),2)</f>
        <v>24.87</v>
      </c>
      <c r="J143" s="72"/>
    </row>
    <row r="144" spans="1:18" x14ac:dyDescent="0.3">
      <c r="A144" s="68" t="str">
        <f>"TOTAL COM BDI - "&amp;B135</f>
        <v>TOTAL COM BDI - COMPOS14</v>
      </c>
      <c r="B144" s="69"/>
      <c r="C144" s="69"/>
      <c r="D144" s="69"/>
      <c r="E144" s="69"/>
      <c r="F144" s="69"/>
      <c r="G144" s="69"/>
      <c r="H144" s="70"/>
      <c r="I144" s="71">
        <f>SUM(I142:I143)</f>
        <v>124.98000000000003</v>
      </c>
      <c r="J144" s="72"/>
    </row>
    <row r="146" spans="1:18" x14ac:dyDescent="0.3">
      <c r="A146" s="4" t="s">
        <v>1018</v>
      </c>
      <c r="B146" s="4" t="s">
        <v>138</v>
      </c>
      <c r="C146" s="4" t="s">
        <v>139</v>
      </c>
      <c r="D146" s="4" t="s">
        <v>21</v>
      </c>
      <c r="E146" s="4" t="s">
        <v>140</v>
      </c>
      <c r="F146" s="4" t="s">
        <v>506</v>
      </c>
      <c r="G146" s="34" t="s">
        <v>1019</v>
      </c>
      <c r="H146" s="35"/>
      <c r="I146" s="34" t="s">
        <v>15</v>
      </c>
      <c r="J146" s="35"/>
    </row>
    <row r="147" spans="1:18" x14ac:dyDescent="0.3">
      <c r="A147" s="15" t="s">
        <v>1031</v>
      </c>
      <c r="B147" s="15" t="s">
        <v>549</v>
      </c>
      <c r="C147" s="15" t="str">
        <f>VLOOKUP(B147,S!$A:$G,2,FALSE)</f>
        <v>PRÓPRIA</v>
      </c>
      <c r="D147" s="22" t="str">
        <f>VLOOKUP(B147,S!$A:$G,3,FALSE)</f>
        <v>RELATÓRIO TÉCNICO</v>
      </c>
      <c r="E147" s="15" t="str">
        <f>VLOOKUP(B147,S!$A:$G,4,FALSE)</f>
        <v>UN</v>
      </c>
      <c r="F147" s="15"/>
      <c r="G147" s="73">
        <f>I149</f>
        <v>1110.2</v>
      </c>
      <c r="H147" s="74"/>
      <c r="I147" s="73"/>
      <c r="J147" s="74"/>
      <c r="K147" s="16">
        <f>VLOOKUP(B147,S!A:G,5,FALSE)</f>
        <v>0</v>
      </c>
      <c r="L147" s="15" t="s">
        <v>1021</v>
      </c>
    </row>
    <row r="148" spans="1:18" x14ac:dyDescent="0.3">
      <c r="A148" s="23" t="s">
        <v>1023</v>
      </c>
      <c r="B148" s="23" t="s">
        <v>1042</v>
      </c>
      <c r="C148" s="23" t="str">
        <f>VLOOKUP(B148,IF(A148="COMPOSICAO",S!$A:$E,I!$A:$E),2,FALSE)</f>
        <v>PRÓPRIA</v>
      </c>
      <c r="D148" s="24" t="str">
        <f>VLOOKUP(B148,IF(A148="COMPOSICAO",S!$A:$E,I!$A:$E),3,FALSE)</f>
        <v>GEÓLOGO SÊNIOR</v>
      </c>
      <c r="E148" s="23" t="str">
        <f>VLOOKUP(B148,IF(A148="COMPOSICAO",S!$A:$E,I!$A:$E),4,FALSE)</f>
        <v>H</v>
      </c>
      <c r="F148" s="23">
        <f>10/pcf</f>
        <v>10</v>
      </c>
      <c r="G148" s="71">
        <f>IF(A148="COMPOSICAO",VLOOKUP("TOTAL SEM BDI - "&amp;B148,CPUAUX1!$A:$J,9,FALSE),VLOOKUP(B148,I!$A:$E,5,FALSE))</f>
        <v>111.02</v>
      </c>
      <c r="H148" s="72"/>
      <c r="I148" s="71">
        <f>TRUNC(F148*G148,2)</f>
        <v>1110.2</v>
      </c>
      <c r="J148" s="72"/>
      <c r="M148" s="23" t="str">
        <f>B148</f>
        <v>CAESB10</v>
      </c>
      <c r="N148" s="5">
        <f>SUMIF(ORCAMENTO!B:B,B147,ORCAMENTO!F:F)</f>
        <v>5</v>
      </c>
      <c r="O148" s="23">
        <f>F148*N148</f>
        <v>50</v>
      </c>
      <c r="Q148" s="23">
        <f ca="1">IFERROR(SUMIF(CO!B:B,B147,OFFSET(CO!F:F,0,(4+MATCH(ETAPA,CO!$J$6:$P$6,0)))),0)</f>
        <v>2</v>
      </c>
      <c r="R148" s="23">
        <f ca="1">F148*Q148</f>
        <v>20</v>
      </c>
    </row>
    <row r="149" spans="1:18" x14ac:dyDescent="0.3">
      <c r="A149" s="68" t="str">
        <f>"TOTAL SEM BDI - "&amp;B147</f>
        <v>TOTAL SEM BDI - COMPOS15</v>
      </c>
      <c r="B149" s="69"/>
      <c r="C149" s="69"/>
      <c r="D149" s="69"/>
      <c r="E149" s="69"/>
      <c r="F149" s="69"/>
      <c r="G149" s="69"/>
      <c r="H149" s="70"/>
      <c r="I149" s="71">
        <f>SUM(I147:I148)</f>
        <v>1110.2</v>
      </c>
      <c r="J149" s="72"/>
    </row>
    <row r="150" spans="1:18" x14ac:dyDescent="0.3">
      <c r="A150" s="68" t="str">
        <f>"TAXA DE BDI ("&amp;TEXT(BDI,"00,00")&amp;" %)"</f>
        <v>TAXA DE BDI (24,84 %)</v>
      </c>
      <c r="B150" s="69"/>
      <c r="C150" s="69"/>
      <c r="D150" s="69"/>
      <c r="E150" s="69"/>
      <c r="F150" s="69"/>
      <c r="G150" s="69"/>
      <c r="H150" s="70"/>
      <c r="I150" s="71">
        <f>ROUND(I149*(BDI/100),2)</f>
        <v>275.77</v>
      </c>
      <c r="J150" s="72"/>
    </row>
    <row r="151" spans="1:18" x14ac:dyDescent="0.3">
      <c r="A151" s="68" t="str">
        <f>"TOTAL COM BDI - "&amp;B147</f>
        <v>TOTAL COM BDI - COMPOS15</v>
      </c>
      <c r="B151" s="69"/>
      <c r="C151" s="69"/>
      <c r="D151" s="69"/>
      <c r="E151" s="69"/>
      <c r="F151" s="69"/>
      <c r="G151" s="69"/>
      <c r="H151" s="70"/>
      <c r="I151" s="71">
        <f>SUM(I149:I150)</f>
        <v>1385.97</v>
      </c>
      <c r="J151" s="72"/>
    </row>
    <row r="153" spans="1:18" x14ac:dyDescent="0.3">
      <c r="A153" s="4" t="s">
        <v>1018</v>
      </c>
      <c r="B153" s="4" t="s">
        <v>138</v>
      </c>
      <c r="C153" s="4" t="s">
        <v>139</v>
      </c>
      <c r="D153" s="4" t="s">
        <v>21</v>
      </c>
      <c r="E153" s="4" t="s">
        <v>140</v>
      </c>
      <c r="F153" s="4" t="s">
        <v>506</v>
      </c>
      <c r="G153" s="34" t="s">
        <v>1019</v>
      </c>
      <c r="H153" s="35"/>
      <c r="I153" s="34" t="s">
        <v>15</v>
      </c>
      <c r="J153" s="35"/>
    </row>
    <row r="154" spans="1:18" x14ac:dyDescent="0.3">
      <c r="A154" s="15" t="s">
        <v>1031</v>
      </c>
      <c r="B154" s="15" t="s">
        <v>551</v>
      </c>
      <c r="C154" s="15" t="str">
        <f>VLOOKUP(B154,S!$A:$G,2,FALSE)</f>
        <v>PRÓPRIA</v>
      </c>
      <c r="D154" s="22" t="str">
        <f>VLOOKUP(B154,S!$A:$G,3,FALSE)</f>
        <v>ANÁLISE FÍSICO-QUÍMICA DA ÁGUA</v>
      </c>
      <c r="E154" s="15" t="str">
        <f>VLOOKUP(B154,S!$A:$G,4,FALSE)</f>
        <v>UN</v>
      </c>
      <c r="F154" s="15"/>
      <c r="G154" s="73">
        <f>I156</f>
        <v>565.21</v>
      </c>
      <c r="H154" s="74"/>
      <c r="I154" s="73"/>
      <c r="J154" s="74"/>
      <c r="K154" s="16">
        <f>VLOOKUP(B154,S!A:G,5,FALSE)</f>
        <v>0</v>
      </c>
      <c r="L154" s="15" t="s">
        <v>1021</v>
      </c>
    </row>
    <row r="155" spans="1:18" x14ac:dyDescent="0.3">
      <c r="A155" s="23" t="s">
        <v>1022</v>
      </c>
      <c r="B155" s="23" t="s">
        <v>1043</v>
      </c>
      <c r="C155" s="23" t="str">
        <f>VLOOKUP(B155,IF(A155="COMPOSICAO",S!$A:$E,I!$A:$E),2,FALSE)</f>
        <v>ORSE</v>
      </c>
      <c r="D155" s="24" t="str">
        <f>VLOOKUP(B155,IF(A155="COMPOSICAO",S!$A:$E,I!$A:$E),3,FALSE)</f>
        <v>ANÁLISE FÍSICO-QUÍMICA DA ÁGUA</v>
      </c>
      <c r="E155" s="23" t="str">
        <f>VLOOKUP(B155,IF(A155="COMPOSICAO",S!$A:$E,I!$A:$E),4,FALSE)</f>
        <v>UN</v>
      </c>
      <c r="F155" s="23">
        <v>1</v>
      </c>
      <c r="G155" s="71">
        <f>IF(A155="COMPOSICAO",VLOOKUP("TOTAL SEM BDI - "&amp;B155,CPUAUX1!$A:$J,9,FALSE),VLOOKUP(B155,I!$A:$E,5,FALSE))</f>
        <v>565.21</v>
      </c>
      <c r="H155" s="72"/>
      <c r="I155" s="71">
        <f>TRUNC(F155*G155,2)</f>
        <v>565.21</v>
      </c>
      <c r="J155" s="72"/>
      <c r="M155" s="23" t="str">
        <f>B155</f>
        <v>06312/ORSE</v>
      </c>
      <c r="N155" s="5">
        <f>SUMIF(ORCAMENTO!B:B,B154,ORCAMENTO!F:F)</f>
        <v>5</v>
      </c>
      <c r="O155" s="23">
        <f>F155*N155</f>
        <v>5</v>
      </c>
      <c r="Q155" s="23">
        <f ca="1">IFERROR(SUMIF(CO!B:B,B154,OFFSET(CO!F:F,0,(4+MATCH(ETAPA,CO!$J$6:$P$6,0)))),0)</f>
        <v>2</v>
      </c>
      <c r="R155" s="23">
        <f ca="1">F155*Q155</f>
        <v>2</v>
      </c>
    </row>
    <row r="156" spans="1:18" x14ac:dyDescent="0.3">
      <c r="A156" s="68" t="str">
        <f>"TOTAL SEM BDI - "&amp;B154</f>
        <v>TOTAL SEM BDI - COMPOS16</v>
      </c>
      <c r="B156" s="69"/>
      <c r="C156" s="69"/>
      <c r="D156" s="69"/>
      <c r="E156" s="69"/>
      <c r="F156" s="69"/>
      <c r="G156" s="69"/>
      <c r="H156" s="70"/>
      <c r="I156" s="71">
        <f>SUM(I154:I155)</f>
        <v>565.21</v>
      </c>
      <c r="J156" s="72"/>
    </row>
    <row r="157" spans="1:18" x14ac:dyDescent="0.3">
      <c r="A157" s="68" t="str">
        <f>"TAXA DE BDI ("&amp;TEXT(BDI,"00,00")&amp;" %)"</f>
        <v>TAXA DE BDI (24,84 %)</v>
      </c>
      <c r="B157" s="69"/>
      <c r="C157" s="69"/>
      <c r="D157" s="69"/>
      <c r="E157" s="69"/>
      <c r="F157" s="69"/>
      <c r="G157" s="69"/>
      <c r="H157" s="70"/>
      <c r="I157" s="71">
        <f>ROUND(I156*(BDI/100),2)</f>
        <v>140.4</v>
      </c>
      <c r="J157" s="72"/>
    </row>
    <row r="158" spans="1:18" x14ac:dyDescent="0.3">
      <c r="A158" s="68" t="str">
        <f>"TOTAL COM BDI - "&amp;B154</f>
        <v>TOTAL COM BDI - COMPOS16</v>
      </c>
      <c r="B158" s="69"/>
      <c r="C158" s="69"/>
      <c r="D158" s="69"/>
      <c r="E158" s="69"/>
      <c r="F158" s="69"/>
      <c r="G158" s="69"/>
      <c r="H158" s="70"/>
      <c r="I158" s="71">
        <f>SUM(I156:I157)</f>
        <v>705.61</v>
      </c>
      <c r="J158" s="72"/>
    </row>
    <row r="160" spans="1:18" x14ac:dyDescent="0.3">
      <c r="A160" s="4" t="s">
        <v>1018</v>
      </c>
      <c r="B160" s="4" t="s">
        <v>138</v>
      </c>
      <c r="C160" s="4" t="s">
        <v>139</v>
      </c>
      <c r="D160" s="4" t="s">
        <v>21</v>
      </c>
      <c r="E160" s="4" t="s">
        <v>140</v>
      </c>
      <c r="F160" s="4" t="s">
        <v>506</v>
      </c>
      <c r="G160" s="34" t="s">
        <v>1019</v>
      </c>
      <c r="H160" s="35"/>
      <c r="I160" s="34" t="s">
        <v>15</v>
      </c>
      <c r="J160" s="35"/>
    </row>
    <row r="161" spans="1:18" ht="30" customHeight="1" x14ac:dyDescent="0.3">
      <c r="A161" s="15" t="s">
        <v>1031</v>
      </c>
      <c r="B161" s="15" t="s">
        <v>553</v>
      </c>
      <c r="C161" s="15" t="str">
        <f>VLOOKUP(B161,S!$A:$G,2,FALSE)</f>
        <v>PRÓPRIA</v>
      </c>
      <c r="D161" s="22" t="str">
        <f>VLOOKUP(B161,S!$A:$G,3,FALSE)</f>
        <v>FORNECIMENTO E INSTALAÇÃO DE REVESTIMENTO GEOMECÂNICO STANDART DN-154-S</v>
      </c>
      <c r="E161" s="15" t="str">
        <f>VLOOKUP(B161,S!$A:$G,4,FALSE)</f>
        <v>M</v>
      </c>
      <c r="F161" s="15"/>
      <c r="G161" s="73">
        <f>I166</f>
        <v>170.76</v>
      </c>
      <c r="H161" s="74"/>
      <c r="I161" s="73"/>
      <c r="J161" s="74"/>
      <c r="K161" s="16">
        <f>VLOOKUP(B161,S!A:G,5,FALSE)</f>
        <v>0</v>
      </c>
      <c r="L161" s="15" t="s">
        <v>1021</v>
      </c>
    </row>
    <row r="162" spans="1:18" ht="30" customHeight="1" x14ac:dyDescent="0.3">
      <c r="A162" s="23" t="s">
        <v>1022</v>
      </c>
      <c r="B162" s="23">
        <v>88297</v>
      </c>
      <c r="C162" s="23" t="str">
        <f>VLOOKUP(B162,IF(A162="COMPOSICAO",S!$A:$E,I!$A:$E),2,FALSE)</f>
        <v>SINAPI</v>
      </c>
      <c r="D162" s="24" t="str">
        <f>VLOOKUP(B162,IF(A162="COMPOSICAO",S!$A:$E,I!$A:$E),3,FALSE)</f>
        <v>OPERADOR DE MÁQUINAS E EQUIPAMENTOS COM ENCARGOS COMPLEMENTARES</v>
      </c>
      <c r="E162" s="23" t="str">
        <f>VLOOKUP(B162,IF(A162="COMPOSICAO",S!$A:$E,I!$A:$E),4,FALSE)</f>
        <v>H</v>
      </c>
      <c r="F162" s="23">
        <f>0.1063/pcf</f>
        <v>0.10630000000000001</v>
      </c>
      <c r="G162" s="71">
        <f>IF(A162="COMPOSICAO",VLOOKUP("TOTAL SEM BDI - "&amp;B162,CPUAUX1!$A:$J,9,FALSE),VLOOKUP(B162,I!$A:$E,5,FALSE))</f>
        <v>27.16</v>
      </c>
      <c r="H162" s="72"/>
      <c r="I162" s="71">
        <f>TRUNC(F162*G162,2)</f>
        <v>2.88</v>
      </c>
      <c r="J162" s="72"/>
      <c r="M162" s="23">
        <f>B162</f>
        <v>88297</v>
      </c>
      <c r="N162" s="5">
        <f>SUMIF(ORCAMENTO!B:B,B161,ORCAMENTO!F:F)</f>
        <v>180</v>
      </c>
      <c r="O162" s="23">
        <f>F162*N162</f>
        <v>19.134</v>
      </c>
      <c r="Q162" s="23">
        <f ca="1">IFERROR(SUMIF(CO!B:B,B161,OFFSET(CO!F:F,0,(4+MATCH(ETAPA,CO!$J$6:$P$6,0)))),0)</f>
        <v>72</v>
      </c>
      <c r="R162" s="23">
        <f ca="1">F162*Q162</f>
        <v>7.6536000000000008</v>
      </c>
    </row>
    <row r="163" spans="1:18" x14ac:dyDescent="0.3">
      <c r="A163" s="23" t="s">
        <v>1022</v>
      </c>
      <c r="B163" s="23">
        <v>88316</v>
      </c>
      <c r="C163" s="23" t="str">
        <f>VLOOKUP(B163,IF(A163="COMPOSICAO",S!$A:$E,I!$A:$E),2,FALSE)</f>
        <v>SINAPI</v>
      </c>
      <c r="D163" s="24" t="str">
        <f>VLOOKUP(B163,IF(A163="COMPOSICAO",S!$A:$E,I!$A:$E),3,FALSE)</f>
        <v>SERVENTE COM ENCARGOS COMPLEMENTARES</v>
      </c>
      <c r="E163" s="23" t="str">
        <f>VLOOKUP(B163,IF(A163="COMPOSICAO",S!$A:$E,I!$A:$E),4,FALSE)</f>
        <v>H</v>
      </c>
      <c r="F163" s="23">
        <f>0.3189/pcf</f>
        <v>0.31890000000000002</v>
      </c>
      <c r="G163" s="71">
        <f>IF(A163="COMPOSICAO",VLOOKUP("TOTAL SEM BDI - "&amp;B163,CPUAUX1!$A:$J,9,FALSE),VLOOKUP(B163,I!$A:$E,5,FALSE))</f>
        <v>21.71</v>
      </c>
      <c r="H163" s="72"/>
      <c r="I163" s="71">
        <f>TRUNC(F163*G163,2)</f>
        <v>6.92</v>
      </c>
      <c r="J163" s="72"/>
      <c r="M163" s="23">
        <f>B163</f>
        <v>88316</v>
      </c>
      <c r="N163" s="5">
        <f>SUMIF(ORCAMENTO!B:B,B161,ORCAMENTO!F:F)</f>
        <v>180</v>
      </c>
      <c r="O163" s="23">
        <f>F163*N163</f>
        <v>57.402000000000001</v>
      </c>
      <c r="Q163" s="23">
        <f ca="1">IFERROR(SUMIF(CO!B:B,B161,OFFSET(CO!F:F,0,(4+MATCH(ETAPA,CO!$J$6:$P$6,0)))),0)</f>
        <v>72</v>
      </c>
      <c r="R163" s="23">
        <f ca="1">F163*Q163</f>
        <v>22.960800000000003</v>
      </c>
    </row>
    <row r="164" spans="1:18" ht="45" customHeight="1" x14ac:dyDescent="0.3">
      <c r="A164" s="23" t="s">
        <v>1023</v>
      </c>
      <c r="B164" s="23" t="s">
        <v>1044</v>
      </c>
      <c r="C164" s="23" t="str">
        <f>VLOOKUP(B164,IF(A164="COMPOSICAO",S!$A:$E,I!$A:$E),2,FALSE)</f>
        <v>PRÓPRIA</v>
      </c>
      <c r="D164" s="24" t="str">
        <f>VLOOKUP(B164,IF(A164="COMPOSICAO",S!$A:$E,I!$A:$E),3,FALSE)</f>
        <v>EQUIPAMENTOS PARA PERFURAÇÃO PELO "SISTEMA ROTOPNEUMÁTICO", COMPOSTO POR MÁQUINA ROTOPNEUMÁTICO, DIESEL</v>
      </c>
      <c r="E164" s="23" t="str">
        <f>VLOOKUP(B164,IF(A164="COMPOSICAO",S!$A:$E,I!$A:$E),4,FALSE)</f>
        <v>HPROD</v>
      </c>
      <c r="F164" s="23">
        <v>0.10630000000000001</v>
      </c>
      <c r="G164" s="71">
        <f>IF(A164="COMPOSICAO",VLOOKUP("TOTAL SEM BDI - "&amp;B164,CPUAUX1!$A:$J,9,FALSE),VLOOKUP(B164,I!$A:$E,5,FALSE))</f>
        <v>420.5</v>
      </c>
      <c r="H164" s="72"/>
      <c r="I164" s="71">
        <f>TRUNC(F164*G164,2)</f>
        <v>44.69</v>
      </c>
      <c r="J164" s="72"/>
      <c r="M164" s="23" t="str">
        <f>B164</f>
        <v>CAESB1</v>
      </c>
      <c r="N164" s="5">
        <f>SUMIF(ORCAMENTO!B:B,B161,ORCAMENTO!F:F)</f>
        <v>180</v>
      </c>
      <c r="O164" s="23">
        <f>F164*N164</f>
        <v>19.134</v>
      </c>
      <c r="Q164" s="23">
        <f ca="1">IFERROR(SUMIF(CO!B:B,B161,OFFSET(CO!F:F,0,(4+MATCH(ETAPA,CO!$J$6:$P$6,0)))),0)</f>
        <v>72</v>
      </c>
      <c r="R164" s="23">
        <f ca="1">F164*Q164</f>
        <v>7.6536000000000008</v>
      </c>
    </row>
    <row r="165" spans="1:18" ht="30" customHeight="1" x14ac:dyDescent="0.3">
      <c r="A165" s="23" t="s">
        <v>1025</v>
      </c>
      <c r="B165" s="23">
        <v>9854</v>
      </c>
      <c r="C165" s="23" t="str">
        <f>VLOOKUP(B165,IF(A165="COMPOSICAO",S!$A:$E,I!$A:$E),2,FALSE)</f>
        <v>SINAPI</v>
      </c>
      <c r="D165" s="24" t="str">
        <f>VLOOKUP(B165,IF(A165="COMPOSICAO",S!$A:$E,I!$A:$E),3,FALSE)</f>
        <v>TUBO PVC DE REVESTIMENTO GEOMECANICO NERVURADO STANDARD, DN = 154 MM, COMPRIMENTO = 2 M</v>
      </c>
      <c r="E165" s="23" t="str">
        <f>VLOOKUP(B165,IF(A165="COMPOSICAO",S!$A:$E,I!$A:$E),4,FALSE)</f>
        <v>M</v>
      </c>
      <c r="F165" s="23">
        <v>1.01</v>
      </c>
      <c r="G165" s="71">
        <f>IF(A165="COMPOSICAO",VLOOKUP("TOTAL SEM BDI - "&amp;B165,CPUAUX1!$A:$J,9,FALSE),VLOOKUP(B165,I!$A:$E,5,FALSE))</f>
        <v>115.12</v>
      </c>
      <c r="H165" s="72"/>
      <c r="I165" s="71">
        <f>TRUNC(F165*G165,2)</f>
        <v>116.27</v>
      </c>
      <c r="J165" s="72"/>
      <c r="M165" s="23">
        <f>B165</f>
        <v>9854</v>
      </c>
      <c r="N165" s="5">
        <f>SUMIF(ORCAMENTO!B:B,B161,ORCAMENTO!F:F)</f>
        <v>180</v>
      </c>
      <c r="O165" s="23">
        <f>F165*N165</f>
        <v>181.8</v>
      </c>
      <c r="Q165" s="23">
        <f ca="1">IFERROR(SUMIF(CO!B:B,B161,OFFSET(CO!F:F,0,(4+MATCH(ETAPA,CO!$J$6:$P$6,0)))),0)</f>
        <v>72</v>
      </c>
      <c r="R165" s="23">
        <f ca="1">F165*Q165</f>
        <v>72.72</v>
      </c>
    </row>
    <row r="166" spans="1:18" x14ac:dyDescent="0.3">
      <c r="A166" s="68" t="str">
        <f>"TOTAL SEM BDI - "&amp;B161</f>
        <v>TOTAL SEM BDI - COMPOS1</v>
      </c>
      <c r="B166" s="69"/>
      <c r="C166" s="69"/>
      <c r="D166" s="69"/>
      <c r="E166" s="69"/>
      <c r="F166" s="69"/>
      <c r="G166" s="69"/>
      <c r="H166" s="70"/>
      <c r="I166" s="71">
        <f>SUM(I161:I165)</f>
        <v>170.76</v>
      </c>
      <c r="J166" s="72"/>
    </row>
    <row r="167" spans="1:18" x14ac:dyDescent="0.3">
      <c r="A167" s="68" t="str">
        <f>"TAXA DE BDI ("&amp;TEXT(BDI,"00,00")&amp;" %)"</f>
        <v>TAXA DE BDI (24,84 %)</v>
      </c>
      <c r="B167" s="69"/>
      <c r="C167" s="69"/>
      <c r="D167" s="69"/>
      <c r="E167" s="69"/>
      <c r="F167" s="69"/>
      <c r="G167" s="69"/>
      <c r="H167" s="70"/>
      <c r="I167" s="71">
        <f>ROUND(I166*(BDI/100),2)</f>
        <v>42.42</v>
      </c>
      <c r="J167" s="72"/>
    </row>
    <row r="168" spans="1:18" x14ac:dyDescent="0.3">
      <c r="A168" s="68" t="str">
        <f>"TOTAL COM BDI - "&amp;B161</f>
        <v>TOTAL COM BDI - COMPOS1</v>
      </c>
      <c r="B168" s="69"/>
      <c r="C168" s="69"/>
      <c r="D168" s="69"/>
      <c r="E168" s="69"/>
      <c r="F168" s="69"/>
      <c r="G168" s="69"/>
      <c r="H168" s="70"/>
      <c r="I168" s="71">
        <f>SUM(I166:I167)</f>
        <v>213.18</v>
      </c>
      <c r="J168" s="72"/>
    </row>
    <row r="170" spans="1:18" x14ac:dyDescent="0.3">
      <c r="A170" s="4" t="s">
        <v>1018</v>
      </c>
      <c r="B170" s="4" t="s">
        <v>138</v>
      </c>
      <c r="C170" s="4" t="s">
        <v>139</v>
      </c>
      <c r="D170" s="4" t="s">
        <v>21</v>
      </c>
      <c r="E170" s="4" t="s">
        <v>140</v>
      </c>
      <c r="F170" s="4" t="s">
        <v>506</v>
      </c>
      <c r="G170" s="34" t="s">
        <v>1019</v>
      </c>
      <c r="H170" s="35"/>
      <c r="I170" s="34" t="s">
        <v>15</v>
      </c>
      <c r="J170" s="35"/>
    </row>
    <row r="171" spans="1:18" ht="30" customHeight="1" x14ac:dyDescent="0.3">
      <c r="A171" s="15" t="s">
        <v>1031</v>
      </c>
      <c r="B171" s="15" t="s">
        <v>555</v>
      </c>
      <c r="C171" s="15" t="str">
        <f>VLOOKUP(B171,S!$A:$G,2,FALSE)</f>
        <v>PRÓPRIA</v>
      </c>
      <c r="D171" s="22" t="str">
        <f>VLOOKUP(B171,S!$A:$G,3,FALSE)</f>
        <v>FORNECIMENTO E INSTALAÇÃO DE TAMPA PARA POÇO</v>
      </c>
      <c r="E171" s="15" t="str">
        <f>VLOOKUP(B171,S!$A:$G,4,FALSE)</f>
        <v>UN</v>
      </c>
      <c r="F171" s="15"/>
      <c r="G171" s="73">
        <f>I174</f>
        <v>109.94</v>
      </c>
      <c r="H171" s="74"/>
      <c r="I171" s="73"/>
      <c r="J171" s="74"/>
      <c r="K171" s="16">
        <f>VLOOKUP(B171,S!A:G,5,FALSE)</f>
        <v>0</v>
      </c>
      <c r="L171" s="15" t="s">
        <v>1021</v>
      </c>
    </row>
    <row r="172" spans="1:18" ht="30" customHeight="1" x14ac:dyDescent="0.3">
      <c r="A172" s="23" t="s">
        <v>1022</v>
      </c>
      <c r="B172" s="23">
        <v>88267</v>
      </c>
      <c r="C172" s="23" t="str">
        <f>VLOOKUP(B172,IF(A172="COMPOSICAO",S!$A:$E,I!$A:$E),2,FALSE)</f>
        <v>SINAPI</v>
      </c>
      <c r="D172" s="24" t="str">
        <f>VLOOKUP(B172,IF(A172="COMPOSICAO",S!$A:$E,I!$A:$E),3,FALSE)</f>
        <v>ENCANADOR OU BOMBEIRO HIDRÁULICO COM ENCARGOS COMPLEMENTARES</v>
      </c>
      <c r="E172" s="23" t="str">
        <f>VLOOKUP(B172,IF(A172="COMPOSICAO",S!$A:$E,I!$A:$E),4,FALSE)</f>
        <v>H</v>
      </c>
      <c r="F172" s="23">
        <f>0.1/pcf</f>
        <v>0.1</v>
      </c>
      <c r="G172" s="71">
        <f>IF(A172="COMPOSICAO",VLOOKUP("TOTAL SEM BDI - "&amp;B172,CPUAUX1!$A:$J,9,FALSE),VLOOKUP(B172,I!$A:$E,5,FALSE))</f>
        <v>26.669999999999998</v>
      </c>
      <c r="H172" s="72"/>
      <c r="I172" s="71">
        <f>TRUNC(F172*G172,2)</f>
        <v>2.66</v>
      </c>
      <c r="J172" s="72"/>
      <c r="M172" s="23">
        <f>B172</f>
        <v>88267</v>
      </c>
      <c r="N172" s="5">
        <f>SUMIF(ORCAMENTO!B:B,B171,ORCAMENTO!F:F)</f>
        <v>5</v>
      </c>
      <c r="O172" s="23">
        <f>F172*N172</f>
        <v>0.5</v>
      </c>
      <c r="Q172" s="23">
        <f ca="1">IFERROR(SUMIF(CO!B:B,B171,OFFSET(CO!F:F,0,(4+MATCH(ETAPA,CO!$J$6:$P$6,0)))),0)</f>
        <v>2</v>
      </c>
      <c r="R172" s="23">
        <f ca="1">F172*Q172</f>
        <v>0.2</v>
      </c>
    </row>
    <row r="173" spans="1:18" x14ac:dyDescent="0.3">
      <c r="A173" s="23" t="s">
        <v>1025</v>
      </c>
      <c r="B173" s="23" t="s">
        <v>1045</v>
      </c>
      <c r="C173" s="23" t="str">
        <f>VLOOKUP(B173,IF(A173="COMPOSICAO",S!$A:$E,I!$A:$E),2,FALSE)</f>
        <v>ORSE</v>
      </c>
      <c r="D173" s="24" t="str">
        <f>VLOOKUP(B173,IF(A173="COMPOSICAO",S!$A:$E,I!$A:$E),3,FALSE)</f>
        <v>TAMPA DE POÇO GALVANIZADA EM 6"</v>
      </c>
      <c r="E173" s="23" t="str">
        <f>VLOOKUP(B173,IF(A173="COMPOSICAO",S!$A:$E,I!$A:$E),4,FALSE)</f>
        <v>UN</v>
      </c>
      <c r="F173" s="23">
        <v>1</v>
      </c>
      <c r="G173" s="71">
        <f>IF(A173="COMPOSICAO",VLOOKUP("TOTAL SEM BDI - "&amp;B173,CPUAUX1!$A:$J,9,FALSE),VLOOKUP(B173,I!$A:$E,5,FALSE))</f>
        <v>107.28</v>
      </c>
      <c r="H173" s="72"/>
      <c r="I173" s="71">
        <f>TRUNC(F173*G173,2)</f>
        <v>107.28</v>
      </c>
      <c r="J173" s="72"/>
      <c r="M173" s="23" t="str">
        <f>B173</f>
        <v>05128/ORSE</v>
      </c>
      <c r="N173" s="5">
        <f>SUMIF(ORCAMENTO!B:B,B171,ORCAMENTO!F:F)</f>
        <v>5</v>
      </c>
      <c r="O173" s="23">
        <f>F173*N173</f>
        <v>5</v>
      </c>
      <c r="Q173" s="23">
        <f ca="1">IFERROR(SUMIF(CO!B:B,B171,OFFSET(CO!F:F,0,(4+MATCH(ETAPA,CO!$J$6:$P$6,0)))),0)</f>
        <v>2</v>
      </c>
      <c r="R173" s="23">
        <f ca="1">F173*Q173</f>
        <v>2</v>
      </c>
    </row>
    <row r="174" spans="1:18" x14ac:dyDescent="0.3">
      <c r="A174" s="68" t="str">
        <f>"TOTAL SEM BDI - "&amp;B171</f>
        <v>TOTAL SEM BDI - COMPOS2</v>
      </c>
      <c r="B174" s="69"/>
      <c r="C174" s="69"/>
      <c r="D174" s="69"/>
      <c r="E174" s="69"/>
      <c r="F174" s="69"/>
      <c r="G174" s="69"/>
      <c r="H174" s="70"/>
      <c r="I174" s="71">
        <f>SUM(I171:I173)</f>
        <v>109.94</v>
      </c>
      <c r="J174" s="72"/>
    </row>
    <row r="175" spans="1:18" x14ac:dyDescent="0.3">
      <c r="A175" s="68" t="str">
        <f>"TAXA DE BDI ("&amp;TEXT(BDI,"00,00")&amp;" %)"</f>
        <v>TAXA DE BDI (24,84 %)</v>
      </c>
      <c r="B175" s="69"/>
      <c r="C175" s="69"/>
      <c r="D175" s="69"/>
      <c r="E175" s="69"/>
      <c r="F175" s="69"/>
      <c r="G175" s="69"/>
      <c r="H175" s="70"/>
      <c r="I175" s="71">
        <f>ROUND(I174*(BDI/100),2)</f>
        <v>27.31</v>
      </c>
      <c r="J175" s="72"/>
    </row>
    <row r="176" spans="1:18" x14ac:dyDescent="0.3">
      <c r="A176" s="68" t="str">
        <f>"TOTAL COM BDI - "&amp;B171</f>
        <v>TOTAL COM BDI - COMPOS2</v>
      </c>
      <c r="B176" s="69"/>
      <c r="C176" s="69"/>
      <c r="D176" s="69"/>
      <c r="E176" s="69"/>
      <c r="F176" s="69"/>
      <c r="G176" s="69"/>
      <c r="H176" s="70"/>
      <c r="I176" s="71">
        <f>SUM(I174:I175)</f>
        <v>137.25</v>
      </c>
      <c r="J176" s="72"/>
    </row>
    <row r="178" spans="1:18" x14ac:dyDescent="0.3">
      <c r="A178" s="4" t="s">
        <v>1018</v>
      </c>
      <c r="B178" s="4" t="s">
        <v>138</v>
      </c>
      <c r="C178" s="4" t="s">
        <v>139</v>
      </c>
      <c r="D178" s="4" t="s">
        <v>21</v>
      </c>
      <c r="E178" s="4" t="s">
        <v>140</v>
      </c>
      <c r="F178" s="4" t="s">
        <v>506</v>
      </c>
      <c r="G178" s="34" t="s">
        <v>1019</v>
      </c>
      <c r="H178" s="35"/>
      <c r="I178" s="34" t="s">
        <v>15</v>
      </c>
      <c r="J178" s="35"/>
    </row>
    <row r="179" spans="1:18" ht="30" customHeight="1" x14ac:dyDescent="0.3">
      <c r="A179" s="15" t="s">
        <v>1031</v>
      </c>
      <c r="B179" s="15" t="s">
        <v>558</v>
      </c>
      <c r="C179" s="15" t="str">
        <f>VLOOKUP(B179,S!$A:$G,2,FALSE)</f>
        <v>PRÓPRIA</v>
      </c>
      <c r="D179" s="22" t="str">
        <f>VLOOKUP(B179,S!$A:$G,3,FALSE)</f>
        <v>FORNECIMENTO E INSTALAÇÃO DE BOMBA SUBMERSA DE 3CV, MONOFÁSICA, 220 V, LEÃO OU SIMILAR</v>
      </c>
      <c r="E179" s="15" t="str">
        <f>VLOOKUP(B179,S!$A:$G,4,FALSE)</f>
        <v>UN</v>
      </c>
      <c r="F179" s="15"/>
      <c r="G179" s="73">
        <f>I184</f>
        <v>3515.68</v>
      </c>
      <c r="H179" s="74"/>
      <c r="I179" s="73"/>
      <c r="J179" s="74"/>
      <c r="K179" s="16">
        <f>VLOOKUP(B179,S!A:G,5,FALSE)</f>
        <v>0</v>
      </c>
      <c r="L179" s="15" t="s">
        <v>1021</v>
      </c>
    </row>
    <row r="180" spans="1:18" ht="30" customHeight="1" x14ac:dyDescent="0.3">
      <c r="A180" s="23" t="s">
        <v>1022</v>
      </c>
      <c r="B180" s="23">
        <v>88248</v>
      </c>
      <c r="C180" s="23" t="str">
        <f>VLOOKUP(B180,IF(A180="COMPOSICAO",S!$A:$E,I!$A:$E),2,FALSE)</f>
        <v>SINAPI</v>
      </c>
      <c r="D180" s="24" t="str">
        <f>VLOOKUP(B180,IF(A180="COMPOSICAO",S!$A:$E,I!$A:$E),3,FALSE)</f>
        <v>AUXILIAR DE ENCANADOR OU BOMBEIRO HIDRÁULICO COM ENCARGOS COMPLEMENTARES</v>
      </c>
      <c r="E180" s="23" t="str">
        <f>VLOOKUP(B180,IF(A180="COMPOSICAO",S!$A:$E,I!$A:$E),4,FALSE)</f>
        <v>H</v>
      </c>
      <c r="F180" s="23">
        <f>1.3/pcf</f>
        <v>1.3</v>
      </c>
      <c r="G180" s="71">
        <f>IF(A180="COMPOSICAO",VLOOKUP("TOTAL SEM BDI - "&amp;B180,CPUAUX1!$A:$J,9,FALSE),VLOOKUP(B180,I!$A:$E,5,FALSE))</f>
        <v>21.82</v>
      </c>
      <c r="H180" s="72"/>
      <c r="I180" s="71">
        <f>TRUNC(F180*G180,2)</f>
        <v>28.36</v>
      </c>
      <c r="J180" s="72"/>
      <c r="M180" s="23">
        <f>B180</f>
        <v>88248</v>
      </c>
      <c r="N180" s="5">
        <f>SUMIF(ORCAMENTO!B:B,B179,ORCAMENTO!F:F)</f>
        <v>5</v>
      </c>
      <c r="O180" s="23">
        <f>F180*N180</f>
        <v>6.5</v>
      </c>
      <c r="Q180" s="23">
        <f ca="1">IFERROR(SUMIF(CO!B:B,B179,OFFSET(CO!F:F,0,(4+MATCH(ETAPA,CO!$J$6:$P$6,0)))),0)</f>
        <v>2</v>
      </c>
      <c r="R180" s="23">
        <f ca="1">F180*Q180</f>
        <v>2.6</v>
      </c>
    </row>
    <row r="181" spans="1:18" x14ac:dyDescent="0.3">
      <c r="A181" s="23" t="s">
        <v>1022</v>
      </c>
      <c r="B181" s="23">
        <v>88264</v>
      </c>
      <c r="C181" s="23" t="str">
        <f>VLOOKUP(B181,IF(A181="COMPOSICAO",S!$A:$E,I!$A:$E),2,FALSE)</f>
        <v>SINAPI</v>
      </c>
      <c r="D181" s="24" t="str">
        <f>VLOOKUP(B181,IF(A181="COMPOSICAO",S!$A:$E,I!$A:$E),3,FALSE)</f>
        <v>ELETRICISTA COM ENCARGOS COMPLEMENTARES</v>
      </c>
      <c r="E181" s="23" t="str">
        <f>VLOOKUP(B181,IF(A181="COMPOSICAO",S!$A:$E,I!$A:$E),4,FALSE)</f>
        <v>H</v>
      </c>
      <c r="F181" s="23">
        <f>0.3/pcf</f>
        <v>0.3</v>
      </c>
      <c r="G181" s="71">
        <f>IF(A181="COMPOSICAO",VLOOKUP("TOTAL SEM BDI - "&amp;B181,CPUAUX1!$A:$J,9,FALSE),VLOOKUP(B181,I!$A:$E,5,FALSE))</f>
        <v>27.74</v>
      </c>
      <c r="H181" s="72"/>
      <c r="I181" s="71">
        <f>TRUNC(F181*G181,2)</f>
        <v>8.32</v>
      </c>
      <c r="J181" s="72"/>
      <c r="M181" s="23">
        <f>B181</f>
        <v>88264</v>
      </c>
      <c r="N181" s="5">
        <f>SUMIF(ORCAMENTO!B:B,B179,ORCAMENTO!F:F)</f>
        <v>5</v>
      </c>
      <c r="O181" s="23">
        <f>F181*N181</f>
        <v>1.5</v>
      </c>
      <c r="Q181" s="23">
        <f ca="1">IFERROR(SUMIF(CO!B:B,B179,OFFSET(CO!F:F,0,(4+MATCH(ETAPA,CO!$J$6:$P$6,0)))),0)</f>
        <v>2</v>
      </c>
      <c r="R181" s="23">
        <f ca="1">F181*Q181</f>
        <v>0.6</v>
      </c>
    </row>
    <row r="182" spans="1:18" ht="30" customHeight="1" x14ac:dyDescent="0.3">
      <c r="A182" s="23" t="s">
        <v>1022</v>
      </c>
      <c r="B182" s="23">
        <v>88267</v>
      </c>
      <c r="C182" s="23" t="str">
        <f>VLOOKUP(B182,IF(A182="COMPOSICAO",S!$A:$E,I!$A:$E),2,FALSE)</f>
        <v>SINAPI</v>
      </c>
      <c r="D182" s="24" t="str">
        <f>VLOOKUP(B182,IF(A182="COMPOSICAO",S!$A:$E,I!$A:$E),3,FALSE)</f>
        <v>ENCANADOR OU BOMBEIRO HIDRÁULICO COM ENCARGOS COMPLEMENTARES</v>
      </c>
      <c r="E182" s="23" t="str">
        <f>VLOOKUP(B182,IF(A182="COMPOSICAO",S!$A:$E,I!$A:$E),4,FALSE)</f>
        <v>H</v>
      </c>
      <c r="F182" s="23">
        <f>0.3/pcf</f>
        <v>0.3</v>
      </c>
      <c r="G182" s="71">
        <f>IF(A182="COMPOSICAO",VLOOKUP("TOTAL SEM BDI - "&amp;B182,CPUAUX1!$A:$J,9,FALSE),VLOOKUP(B182,I!$A:$E,5,FALSE))</f>
        <v>26.669999999999998</v>
      </c>
      <c r="H182" s="72"/>
      <c r="I182" s="71">
        <f>TRUNC(F182*G182,2)</f>
        <v>8</v>
      </c>
      <c r="J182" s="72"/>
      <c r="M182" s="23">
        <f>B182</f>
        <v>88267</v>
      </c>
      <c r="N182" s="5">
        <f>SUMIF(ORCAMENTO!B:B,B179,ORCAMENTO!F:F)</f>
        <v>5</v>
      </c>
      <c r="O182" s="23">
        <f>F182*N182</f>
        <v>1.5</v>
      </c>
      <c r="Q182" s="23">
        <f ca="1">IFERROR(SUMIF(CO!B:B,B179,OFFSET(CO!F:F,0,(4+MATCH(ETAPA,CO!$J$6:$P$6,0)))),0)</f>
        <v>2</v>
      </c>
      <c r="R182" s="23">
        <f ca="1">F182*Q182</f>
        <v>0.6</v>
      </c>
    </row>
    <row r="183" spans="1:18" x14ac:dyDescent="0.3">
      <c r="A183" s="23" t="s">
        <v>1023</v>
      </c>
      <c r="B183" s="23" t="s">
        <v>1046</v>
      </c>
      <c r="C183" s="23" t="str">
        <f>VLOOKUP(B183,IF(A183="COMPOSICAO",S!$A:$E,I!$A:$E),2,FALSE)</f>
        <v>PRÓPRIA</v>
      </c>
      <c r="D183" s="24" t="str">
        <f>VLOOKUP(B183,IF(A183="COMPOSICAO",S!$A:$E,I!$A:$E),3,FALSE)</f>
        <v>BOMBA 3CV MONOFÁSICA 220V</v>
      </c>
      <c r="E183" s="23" t="str">
        <f>VLOOKUP(B183,IF(A183="COMPOSICAO",S!$A:$E,I!$A:$E),4,FALSE)</f>
        <v>UN</v>
      </c>
      <c r="F183" s="23">
        <v>1</v>
      </c>
      <c r="G183" s="71">
        <f>IF(A183="COMPOSICAO",VLOOKUP("TOTAL SEM BDI - "&amp;B183,CPUAUX1!$A:$J,9,FALSE),VLOOKUP(B183,I!$A:$E,5,FALSE))</f>
        <v>3471</v>
      </c>
      <c r="H183" s="72"/>
      <c r="I183" s="71">
        <f>TRUNC(F183*G183,2)</f>
        <v>3471</v>
      </c>
      <c r="J183" s="72"/>
      <c r="M183" s="23" t="str">
        <f>B183</f>
        <v>COTA01</v>
      </c>
      <c r="N183" s="5">
        <f>SUMIF(ORCAMENTO!B:B,B179,ORCAMENTO!F:F)</f>
        <v>5</v>
      </c>
      <c r="O183" s="23">
        <f>F183*N183</f>
        <v>5</v>
      </c>
      <c r="Q183" s="23">
        <f ca="1">IFERROR(SUMIF(CO!B:B,B179,OFFSET(CO!F:F,0,(4+MATCH(ETAPA,CO!$J$6:$P$6,0)))),0)</f>
        <v>2</v>
      </c>
      <c r="R183" s="23">
        <f ca="1">F183*Q183</f>
        <v>2</v>
      </c>
    </row>
    <row r="184" spans="1:18" x14ac:dyDescent="0.3">
      <c r="A184" s="68" t="str">
        <f>"TOTAL SEM BDI - "&amp;B179</f>
        <v>TOTAL SEM BDI - COMPOS17</v>
      </c>
      <c r="B184" s="69"/>
      <c r="C184" s="69"/>
      <c r="D184" s="69"/>
      <c r="E184" s="69"/>
      <c r="F184" s="69"/>
      <c r="G184" s="69"/>
      <c r="H184" s="70"/>
      <c r="I184" s="71">
        <f>SUM(I179:I183)</f>
        <v>3515.68</v>
      </c>
      <c r="J184" s="72"/>
    </row>
    <row r="185" spans="1:18" x14ac:dyDescent="0.3">
      <c r="A185" s="68" t="str">
        <f>"TAXA DE BDI ("&amp;TEXT(BDI,"00,00")&amp;" %)"</f>
        <v>TAXA DE BDI (24,84 %)</v>
      </c>
      <c r="B185" s="69"/>
      <c r="C185" s="69"/>
      <c r="D185" s="69"/>
      <c r="E185" s="69"/>
      <c r="F185" s="69"/>
      <c r="G185" s="69"/>
      <c r="H185" s="70"/>
      <c r="I185" s="71">
        <f>ROUND(I184*(BDI/100),2)</f>
        <v>873.29</v>
      </c>
      <c r="J185" s="72"/>
    </row>
    <row r="186" spans="1:18" x14ac:dyDescent="0.3">
      <c r="A186" s="68" t="str">
        <f>"TOTAL COM BDI - "&amp;B179</f>
        <v>TOTAL COM BDI - COMPOS17</v>
      </c>
      <c r="B186" s="69"/>
      <c r="C186" s="69"/>
      <c r="D186" s="69"/>
      <c r="E186" s="69"/>
      <c r="F186" s="69"/>
      <c r="G186" s="69"/>
      <c r="H186" s="70"/>
      <c r="I186" s="71">
        <f>SUM(I184:I185)</f>
        <v>4388.9699999999993</v>
      </c>
      <c r="J186" s="72"/>
    </row>
    <row r="188" spans="1:18" x14ac:dyDescent="0.3">
      <c r="A188" s="4" t="s">
        <v>1018</v>
      </c>
      <c r="B188" s="4" t="s">
        <v>138</v>
      </c>
      <c r="C188" s="4" t="s">
        <v>139</v>
      </c>
      <c r="D188" s="4" t="s">
        <v>21</v>
      </c>
      <c r="E188" s="4" t="s">
        <v>140</v>
      </c>
      <c r="F188" s="4" t="s">
        <v>506</v>
      </c>
      <c r="G188" s="34" t="s">
        <v>1019</v>
      </c>
      <c r="H188" s="35"/>
      <c r="I188" s="34" t="s">
        <v>15</v>
      </c>
      <c r="J188" s="35"/>
    </row>
    <row r="189" spans="1:18" ht="30" customHeight="1" x14ac:dyDescent="0.3">
      <c r="A189" s="15" t="s">
        <v>1031</v>
      </c>
      <c r="B189" s="15" t="s">
        <v>560</v>
      </c>
      <c r="C189" s="15" t="str">
        <f>VLOOKUP(B189,S!$A:$G,2,FALSE)</f>
        <v>PRÓPRIA</v>
      </c>
      <c r="D189" s="22" t="str">
        <f>VLOOKUP(B189,S!$A:$G,3,FALSE)</f>
        <v>FORNECIMENTO E INSTALAÇÃO DE PAINEL DE COMANDO ELÉTRICO PARA BOMBA 3CV, MONOFÁSICO</v>
      </c>
      <c r="E189" s="15" t="str">
        <f>VLOOKUP(B189,S!$A:$G,4,FALSE)</f>
        <v>UN</v>
      </c>
      <c r="F189" s="15"/>
      <c r="G189" s="73">
        <f>I193</f>
        <v>773.3</v>
      </c>
      <c r="H189" s="74"/>
      <c r="I189" s="73"/>
      <c r="J189" s="74"/>
      <c r="K189" s="16">
        <f>VLOOKUP(B189,S!A:G,5,FALSE)</f>
        <v>0</v>
      </c>
      <c r="L189" s="15" t="s">
        <v>1021</v>
      </c>
    </row>
    <row r="190" spans="1:18" x14ac:dyDescent="0.3">
      <c r="A190" s="23" t="s">
        <v>1022</v>
      </c>
      <c r="B190" s="23">
        <v>88264</v>
      </c>
      <c r="C190" s="23" t="str">
        <f>VLOOKUP(B190,IF(A190="COMPOSICAO",S!$A:$E,I!$A:$E),2,FALSE)</f>
        <v>SINAPI</v>
      </c>
      <c r="D190" s="24" t="str">
        <f>VLOOKUP(B190,IF(A190="COMPOSICAO",S!$A:$E,I!$A:$E),3,FALSE)</f>
        <v>ELETRICISTA COM ENCARGOS COMPLEMENTARES</v>
      </c>
      <c r="E190" s="23" t="str">
        <f>VLOOKUP(B190,IF(A190="COMPOSICAO",S!$A:$E,I!$A:$E),4,FALSE)</f>
        <v>H</v>
      </c>
      <c r="F190" s="23">
        <f>6/pcf</f>
        <v>6</v>
      </c>
      <c r="G190" s="71">
        <f>IF(A190="COMPOSICAO",VLOOKUP("TOTAL SEM BDI - "&amp;B190,CPUAUX1!$A:$J,9,FALSE),VLOOKUP(B190,I!$A:$E,5,FALSE))</f>
        <v>27.74</v>
      </c>
      <c r="H190" s="72"/>
      <c r="I190" s="71">
        <f>TRUNC(F190*G190,2)</f>
        <v>166.44</v>
      </c>
      <c r="J190" s="72"/>
      <c r="M190" s="23">
        <f>B190</f>
        <v>88264</v>
      </c>
      <c r="N190" s="5">
        <f>SUMIF(ORCAMENTO!B:B,B189,ORCAMENTO!F:F)</f>
        <v>5</v>
      </c>
      <c r="O190" s="23">
        <f>F190*N190</f>
        <v>30</v>
      </c>
      <c r="Q190" s="23">
        <f ca="1">IFERROR(SUMIF(CO!B:B,B189,OFFSET(CO!F:F,0,(4+MATCH(ETAPA,CO!$J$6:$P$6,0)))),0)</f>
        <v>2</v>
      </c>
      <c r="R190" s="23">
        <f ca="1">F190*Q190</f>
        <v>12</v>
      </c>
    </row>
    <row r="191" spans="1:18" ht="30" customHeight="1" x14ac:dyDescent="0.3">
      <c r="A191" s="23" t="s">
        <v>1022</v>
      </c>
      <c r="B191" s="23">
        <v>88247</v>
      </c>
      <c r="C191" s="23" t="str">
        <f>VLOOKUP(B191,IF(A191="COMPOSICAO",S!$A:$E,I!$A:$E),2,FALSE)</f>
        <v>SINAPI</v>
      </c>
      <c r="D191" s="24" t="str">
        <f>VLOOKUP(B191,IF(A191="COMPOSICAO",S!$A:$E,I!$A:$E),3,FALSE)</f>
        <v>AUXILIAR DE ELETRICISTA COM ENCARGOS COMPLEMENTARES</v>
      </c>
      <c r="E191" s="23" t="str">
        <f>VLOOKUP(B191,IF(A191="COMPOSICAO",S!$A:$E,I!$A:$E),4,FALSE)</f>
        <v>H</v>
      </c>
      <c r="F191" s="23">
        <f>6/pcf</f>
        <v>6</v>
      </c>
      <c r="G191" s="71">
        <f>IF(A191="COMPOSICAO",VLOOKUP("TOTAL SEM BDI - "&amp;B191,CPUAUX1!$A:$J,9,FALSE),VLOOKUP(B191,I!$A:$E,5,FALSE))</f>
        <v>22.810000000000002</v>
      </c>
      <c r="H191" s="72"/>
      <c r="I191" s="71">
        <f>TRUNC(F191*G191,2)</f>
        <v>136.86000000000001</v>
      </c>
      <c r="J191" s="72"/>
      <c r="M191" s="23">
        <f>B191</f>
        <v>88247</v>
      </c>
      <c r="N191" s="5">
        <f>SUMIF(ORCAMENTO!B:B,B189,ORCAMENTO!F:F)</f>
        <v>5</v>
      </c>
      <c r="O191" s="23">
        <f>F191*N191</f>
        <v>30</v>
      </c>
      <c r="Q191" s="23">
        <f ca="1">IFERROR(SUMIF(CO!B:B,B189,OFFSET(CO!F:F,0,(4+MATCH(ETAPA,CO!$J$6:$P$6,0)))),0)</f>
        <v>2</v>
      </c>
      <c r="R191" s="23">
        <f ca="1">F191*Q191</f>
        <v>12</v>
      </c>
    </row>
    <row r="192" spans="1:18" x14ac:dyDescent="0.3">
      <c r="A192" s="23" t="s">
        <v>1023</v>
      </c>
      <c r="B192" s="23" t="s">
        <v>1047</v>
      </c>
      <c r="C192" s="23" t="str">
        <f>VLOOKUP(B192,IF(A192="COMPOSICAO",S!$A:$E,I!$A:$E),2,FALSE)</f>
        <v>PRÓPRIA</v>
      </c>
      <c r="D192" s="24" t="str">
        <f>VLOOKUP(B192,IF(A192="COMPOSICAO",S!$A:$E,I!$A:$E),3,FALSE)</f>
        <v>PAINEL DE COMANDO MONOFÁSICO</v>
      </c>
      <c r="E192" s="23" t="str">
        <f>VLOOKUP(B192,IF(A192="COMPOSICAO",S!$A:$E,I!$A:$E),4,FALSE)</f>
        <v>UN</v>
      </c>
      <c r="F192" s="23">
        <v>1</v>
      </c>
      <c r="G192" s="71">
        <f>IF(A192="COMPOSICAO",VLOOKUP("TOTAL SEM BDI - "&amp;B192,CPUAUX1!$A:$J,9,FALSE),VLOOKUP(B192,I!$A:$E,5,FALSE))</f>
        <v>470</v>
      </c>
      <c r="H192" s="72"/>
      <c r="I192" s="71">
        <f>TRUNC(F192*G192,2)</f>
        <v>470</v>
      </c>
      <c r="J192" s="72"/>
      <c r="M192" s="23" t="str">
        <f>B192</f>
        <v>COTA11</v>
      </c>
      <c r="N192" s="5">
        <f>SUMIF(ORCAMENTO!B:B,B189,ORCAMENTO!F:F)</f>
        <v>5</v>
      </c>
      <c r="O192" s="23">
        <f>F192*N192</f>
        <v>5</v>
      </c>
      <c r="Q192" s="23">
        <f ca="1">IFERROR(SUMIF(CO!B:B,B189,OFFSET(CO!F:F,0,(4+MATCH(ETAPA,CO!$J$6:$P$6,0)))),0)</f>
        <v>2</v>
      </c>
      <c r="R192" s="23">
        <f ca="1">F192*Q192</f>
        <v>2</v>
      </c>
    </row>
    <row r="193" spans="1:18" x14ac:dyDescent="0.3">
      <c r="A193" s="68" t="str">
        <f>"TOTAL SEM BDI - "&amp;B189</f>
        <v>TOTAL SEM BDI - COMPOS29</v>
      </c>
      <c r="B193" s="69"/>
      <c r="C193" s="69"/>
      <c r="D193" s="69"/>
      <c r="E193" s="69"/>
      <c r="F193" s="69"/>
      <c r="G193" s="69"/>
      <c r="H193" s="70"/>
      <c r="I193" s="71">
        <f>SUM(I189:I192)</f>
        <v>773.3</v>
      </c>
      <c r="J193" s="72"/>
    </row>
    <row r="194" spans="1:18" x14ac:dyDescent="0.3">
      <c r="A194" s="68" t="str">
        <f>"TAXA DE BDI ("&amp;TEXT(BDI,"00,00")&amp;" %)"</f>
        <v>TAXA DE BDI (24,84 %)</v>
      </c>
      <c r="B194" s="69"/>
      <c r="C194" s="69"/>
      <c r="D194" s="69"/>
      <c r="E194" s="69"/>
      <c r="F194" s="69"/>
      <c r="G194" s="69"/>
      <c r="H194" s="70"/>
      <c r="I194" s="71">
        <f>ROUND(I193*(BDI/100),2)</f>
        <v>192.09</v>
      </c>
      <c r="J194" s="72"/>
    </row>
    <row r="195" spans="1:18" x14ac:dyDescent="0.3">
      <c r="A195" s="68" t="str">
        <f>"TOTAL COM BDI - "&amp;B189</f>
        <v>TOTAL COM BDI - COMPOS29</v>
      </c>
      <c r="B195" s="69"/>
      <c r="C195" s="69"/>
      <c r="D195" s="69"/>
      <c r="E195" s="69"/>
      <c r="F195" s="69"/>
      <c r="G195" s="69"/>
      <c r="H195" s="70"/>
      <c r="I195" s="71">
        <f>SUM(I193:I194)</f>
        <v>965.39</v>
      </c>
      <c r="J195" s="72"/>
    </row>
    <row r="197" spans="1:18" x14ac:dyDescent="0.3">
      <c r="A197" s="4" t="s">
        <v>1018</v>
      </c>
      <c r="B197" s="4" t="s">
        <v>138</v>
      </c>
      <c r="C197" s="4" t="s">
        <v>139</v>
      </c>
      <c r="D197" s="4" t="s">
        <v>21</v>
      </c>
      <c r="E197" s="4" t="s">
        <v>140</v>
      </c>
      <c r="F197" s="4" t="s">
        <v>506</v>
      </c>
      <c r="G197" s="34" t="s">
        <v>1019</v>
      </c>
      <c r="H197" s="35"/>
      <c r="I197" s="34" t="s">
        <v>15</v>
      </c>
      <c r="J197" s="35"/>
    </row>
    <row r="198" spans="1:18" ht="30" customHeight="1" x14ac:dyDescent="0.3">
      <c r="A198" s="15" t="s">
        <v>1031</v>
      </c>
      <c r="B198" s="15" t="s">
        <v>562</v>
      </c>
      <c r="C198" s="15" t="str">
        <f>VLOOKUP(B198,S!$A:$G,2,FALSE)</f>
        <v>PRÓPRIA</v>
      </c>
      <c r="D198" s="22" t="str">
        <f>VLOOKUP(B198,S!$A:$G,3,FALSE)</f>
        <v>FORNECIMENTO E INSTALAÇÃO DE TUBO EDUTOR DE PVC DE 1.1/2'' COM LUVA</v>
      </c>
      <c r="E198" s="15" t="str">
        <f>VLOOKUP(B198,S!$A:$G,4,FALSE)</f>
        <v>M</v>
      </c>
      <c r="F198" s="15"/>
      <c r="G198" s="73">
        <f>I204</f>
        <v>46.25</v>
      </c>
      <c r="H198" s="74"/>
      <c r="I198" s="73"/>
      <c r="J198" s="74"/>
      <c r="K198" s="16">
        <f>VLOOKUP(B198,S!A:G,5,FALSE)</f>
        <v>0</v>
      </c>
      <c r="L198" s="15" t="s">
        <v>1021</v>
      </c>
    </row>
    <row r="199" spans="1:18" ht="30" customHeight="1" x14ac:dyDescent="0.3">
      <c r="A199" s="23" t="s">
        <v>1022</v>
      </c>
      <c r="B199" s="23">
        <v>88248</v>
      </c>
      <c r="C199" s="23" t="str">
        <f>VLOOKUP(B199,IF(A199="COMPOSICAO",S!$A:$E,I!$A:$E),2,FALSE)</f>
        <v>SINAPI</v>
      </c>
      <c r="D199" s="24" t="str">
        <f>VLOOKUP(B199,IF(A199="COMPOSICAO",S!$A:$E,I!$A:$E),3,FALSE)</f>
        <v>AUXILIAR DE ENCANADOR OU BOMBEIRO HIDRÁULICO COM ENCARGOS COMPLEMENTARES</v>
      </c>
      <c r="E199" s="23" t="str">
        <f>VLOOKUP(B199,IF(A199="COMPOSICAO",S!$A:$E,I!$A:$E),4,FALSE)</f>
        <v>H</v>
      </c>
      <c r="F199" s="23">
        <f>0.304/pcf</f>
        <v>0.30399999999999999</v>
      </c>
      <c r="G199" s="71">
        <f>IF(A199="COMPOSICAO",VLOOKUP("TOTAL SEM BDI - "&amp;B199,CPUAUX1!$A:$J,9,FALSE),VLOOKUP(B199,I!$A:$E,5,FALSE))</f>
        <v>21.82</v>
      </c>
      <c r="H199" s="72"/>
      <c r="I199" s="71">
        <f>TRUNC(F199*G199,2)</f>
        <v>6.63</v>
      </c>
      <c r="J199" s="72"/>
      <c r="M199" s="23">
        <f>B199</f>
        <v>88248</v>
      </c>
      <c r="N199" s="5">
        <f>SUMIF(ORCAMENTO!B:B,B198,ORCAMENTO!F:F)</f>
        <v>550</v>
      </c>
      <c r="O199" s="23">
        <f>F199*N199</f>
        <v>167.2</v>
      </c>
      <c r="Q199" s="23">
        <f ca="1">IFERROR(SUMIF(CO!B:B,B198,OFFSET(CO!F:F,0,(4+MATCH(ETAPA,CO!$J$6:$P$6,0)))),0)</f>
        <v>220</v>
      </c>
      <c r="R199" s="23">
        <f ca="1">F199*Q199</f>
        <v>66.88</v>
      </c>
    </row>
    <row r="200" spans="1:18" ht="30" customHeight="1" x14ac:dyDescent="0.3">
      <c r="A200" s="23" t="s">
        <v>1022</v>
      </c>
      <c r="B200" s="23">
        <v>88267</v>
      </c>
      <c r="C200" s="23" t="str">
        <f>VLOOKUP(B200,IF(A200="COMPOSICAO",S!$A:$E,I!$A:$E),2,FALSE)</f>
        <v>SINAPI</v>
      </c>
      <c r="D200" s="24" t="str">
        <f>VLOOKUP(B200,IF(A200="COMPOSICAO",S!$A:$E,I!$A:$E),3,FALSE)</f>
        <v>ENCANADOR OU BOMBEIRO HIDRÁULICO COM ENCARGOS COMPLEMENTARES</v>
      </c>
      <c r="E200" s="23" t="str">
        <f>VLOOKUP(B200,IF(A200="COMPOSICAO",S!$A:$E,I!$A:$E),4,FALSE)</f>
        <v>H</v>
      </c>
      <c r="F200" s="23">
        <f>0.089/pcf</f>
        <v>8.8999999999999996E-2</v>
      </c>
      <c r="G200" s="71">
        <f>IF(A200="COMPOSICAO",VLOOKUP("TOTAL SEM BDI - "&amp;B200,CPUAUX1!$A:$J,9,FALSE),VLOOKUP(B200,I!$A:$E,5,FALSE))</f>
        <v>26.669999999999998</v>
      </c>
      <c r="H200" s="72"/>
      <c r="I200" s="71">
        <f>TRUNC(F200*G200,2)</f>
        <v>2.37</v>
      </c>
      <c r="J200" s="72"/>
      <c r="M200" s="23">
        <f>B200</f>
        <v>88267</v>
      </c>
      <c r="N200" s="5">
        <f>SUMIF(ORCAMENTO!B:B,B198,ORCAMENTO!F:F)</f>
        <v>550</v>
      </c>
      <c r="O200" s="23">
        <f>F200*N200</f>
        <v>48.949999999999996</v>
      </c>
      <c r="Q200" s="23">
        <f ca="1">IFERROR(SUMIF(CO!B:B,B198,OFFSET(CO!F:F,0,(4+MATCH(ETAPA,CO!$J$6:$P$6,0)))),0)</f>
        <v>220</v>
      </c>
      <c r="R200" s="23">
        <f ca="1">F200*Q200</f>
        <v>19.579999999999998</v>
      </c>
    </row>
    <row r="201" spans="1:18" ht="30" customHeight="1" x14ac:dyDescent="0.3">
      <c r="A201" s="23" t="s">
        <v>1025</v>
      </c>
      <c r="B201" s="23">
        <v>3939</v>
      </c>
      <c r="C201" s="23" t="str">
        <f>VLOOKUP(B201,IF(A201="COMPOSICAO",S!$A:$E,I!$A:$E),2,FALSE)</f>
        <v>SINAPI</v>
      </c>
      <c r="D201" s="24" t="str">
        <f>VLOOKUP(B201,IF(A201="COMPOSICAO",S!$A:$E,I!$A:$E),3,FALSE)</f>
        <v>LUVA DE FERRO GALVANIZADO, COM ROSCA BSP, DE 1 1/2"</v>
      </c>
      <c r="E201" s="23" t="str">
        <f>VLOOKUP(B201,IF(A201="COMPOSICAO",S!$A:$E,I!$A:$E),4,FALSE)</f>
        <v>UN</v>
      </c>
      <c r="F201" s="23">
        <v>0.25</v>
      </c>
      <c r="G201" s="71">
        <f>IF(A201="COMPOSICAO",VLOOKUP("TOTAL SEM BDI - "&amp;B201,CPUAUX1!$A:$J,9,FALSE),VLOOKUP(B201,I!$A:$E,5,FALSE))</f>
        <v>19.670000000000002</v>
      </c>
      <c r="H201" s="72"/>
      <c r="I201" s="71">
        <f>TRUNC(F201*G201,2)</f>
        <v>4.91</v>
      </c>
      <c r="J201" s="72"/>
      <c r="M201" s="23">
        <f>B201</f>
        <v>3939</v>
      </c>
      <c r="N201" s="5">
        <f>SUMIF(ORCAMENTO!B:B,B198,ORCAMENTO!F:F)</f>
        <v>550</v>
      </c>
      <c r="O201" s="23">
        <f>F201*N201</f>
        <v>137.5</v>
      </c>
      <c r="Q201" s="23">
        <f ca="1">IFERROR(SUMIF(CO!B:B,B198,OFFSET(CO!F:F,0,(4+MATCH(ETAPA,CO!$J$6:$P$6,0)))),0)</f>
        <v>220</v>
      </c>
      <c r="R201" s="23">
        <f ca="1">F201*Q201</f>
        <v>55</v>
      </c>
    </row>
    <row r="202" spans="1:18" ht="30" customHeight="1" x14ac:dyDescent="0.3">
      <c r="A202" s="23" t="s">
        <v>1025</v>
      </c>
      <c r="B202" s="23">
        <v>3146</v>
      </c>
      <c r="C202" s="23" t="str">
        <f>VLOOKUP(B202,IF(A202="COMPOSICAO",S!$A:$E,I!$A:$E),2,FALSE)</f>
        <v>SINAPI</v>
      </c>
      <c r="D202" s="24" t="str">
        <f>VLOOKUP(B202,IF(A202="COMPOSICAO",S!$A:$E,I!$A:$E),3,FALSE)</f>
        <v>FITA VEDA ROSCA, EM PTFE, ROLO DE 18 MM X 10 M (L X C)</v>
      </c>
      <c r="E202" s="23" t="str">
        <f>VLOOKUP(B202,IF(A202="COMPOSICAO",S!$A:$E,I!$A:$E),4,FALSE)</f>
        <v>UN</v>
      </c>
      <c r="F202" s="23">
        <v>0.25</v>
      </c>
      <c r="G202" s="71">
        <f>IF(A202="COMPOSICAO",VLOOKUP("TOTAL SEM BDI - "&amp;B202,CPUAUX1!$A:$J,9,FALSE),VLOOKUP(B202,I!$A:$E,5,FALSE))</f>
        <v>4.1399999999999997</v>
      </c>
      <c r="H202" s="72"/>
      <c r="I202" s="71">
        <f>TRUNC(F202*G202,2)</f>
        <v>1.03</v>
      </c>
      <c r="J202" s="72"/>
      <c r="M202" s="23">
        <f>B202</f>
        <v>3146</v>
      </c>
      <c r="N202" s="5">
        <f>SUMIF(ORCAMENTO!B:B,B198,ORCAMENTO!F:F)</f>
        <v>550</v>
      </c>
      <c r="O202" s="23">
        <f>F202*N202</f>
        <v>137.5</v>
      </c>
      <c r="Q202" s="23">
        <f ca="1">IFERROR(SUMIF(CO!B:B,B198,OFFSET(CO!F:F,0,(4+MATCH(ETAPA,CO!$J$6:$P$6,0)))),0)</f>
        <v>220</v>
      </c>
      <c r="R202" s="23">
        <f ca="1">F202*Q202</f>
        <v>55</v>
      </c>
    </row>
    <row r="203" spans="1:18" ht="15" customHeight="1" x14ac:dyDescent="0.3">
      <c r="A203" s="23" t="s">
        <v>1025</v>
      </c>
      <c r="B203" s="23">
        <v>9862</v>
      </c>
      <c r="C203" s="23" t="str">
        <f>VLOOKUP(B203,IF(A203="COMPOSICAO",S!$A:$E,I!$A:$E),2,FALSE)</f>
        <v>SINAPI</v>
      </c>
      <c r="D203" s="24" t="str">
        <f>VLOOKUP(B203,IF(A203="COMPOSICAO",S!$A:$E,I!$A:$E),3,FALSE)</f>
        <v>TUBO PVC, ROSCAVEL, 1 1/2", AGUA FRIA PREDIAL</v>
      </c>
      <c r="E203" s="23" t="str">
        <f>VLOOKUP(B203,IF(A203="COMPOSICAO",S!$A:$E,I!$A:$E),4,FALSE)</f>
        <v>M</v>
      </c>
      <c r="F203" s="23">
        <v>1</v>
      </c>
      <c r="G203" s="71">
        <f>IF(A203="COMPOSICAO",VLOOKUP("TOTAL SEM BDI - "&amp;B203,CPUAUX1!$A:$J,9,FALSE),VLOOKUP(B203,I!$A:$E,5,FALSE))</f>
        <v>31.31</v>
      </c>
      <c r="H203" s="72"/>
      <c r="I203" s="71">
        <f>TRUNC(F203*G203,2)</f>
        <v>31.31</v>
      </c>
      <c r="J203" s="72"/>
      <c r="M203" s="23">
        <f>B203</f>
        <v>9862</v>
      </c>
      <c r="N203" s="5">
        <f>SUMIF(ORCAMENTO!B:B,B198,ORCAMENTO!F:F)</f>
        <v>550</v>
      </c>
      <c r="O203" s="23">
        <f>F203*N203</f>
        <v>550</v>
      </c>
      <c r="Q203" s="23">
        <f ca="1">IFERROR(SUMIF(CO!B:B,B198,OFFSET(CO!F:F,0,(4+MATCH(ETAPA,CO!$J$6:$P$6,0)))),0)</f>
        <v>220</v>
      </c>
      <c r="R203" s="23">
        <f ca="1">F203*Q203</f>
        <v>220</v>
      </c>
    </row>
    <row r="204" spans="1:18" x14ac:dyDescent="0.3">
      <c r="A204" s="68" t="str">
        <f>"TOTAL SEM BDI - "&amp;B198</f>
        <v>TOTAL SEM BDI - COMPOS19</v>
      </c>
      <c r="B204" s="69"/>
      <c r="C204" s="69"/>
      <c r="D204" s="69"/>
      <c r="E204" s="69"/>
      <c r="F204" s="69"/>
      <c r="G204" s="69"/>
      <c r="H204" s="70"/>
      <c r="I204" s="71">
        <f>SUM(I198:I203)</f>
        <v>46.25</v>
      </c>
      <c r="J204" s="72"/>
    </row>
    <row r="205" spans="1:18" x14ac:dyDescent="0.3">
      <c r="A205" s="68" t="str">
        <f>"TAXA DE BDI ("&amp;TEXT(BDI,"00,00")&amp;" %)"</f>
        <v>TAXA DE BDI (24,84 %)</v>
      </c>
      <c r="B205" s="69"/>
      <c r="C205" s="69"/>
      <c r="D205" s="69"/>
      <c r="E205" s="69"/>
      <c r="F205" s="69"/>
      <c r="G205" s="69"/>
      <c r="H205" s="70"/>
      <c r="I205" s="71">
        <f>ROUND(I204*(BDI/100),2)</f>
        <v>11.49</v>
      </c>
      <c r="J205" s="72"/>
    </row>
    <row r="206" spans="1:18" x14ac:dyDescent="0.3">
      <c r="A206" s="68" t="str">
        <f>"TOTAL COM BDI - "&amp;B198</f>
        <v>TOTAL COM BDI - COMPOS19</v>
      </c>
      <c r="B206" s="69"/>
      <c r="C206" s="69"/>
      <c r="D206" s="69"/>
      <c r="E206" s="69"/>
      <c r="F206" s="69"/>
      <c r="G206" s="69"/>
      <c r="H206" s="70"/>
      <c r="I206" s="71">
        <f>SUM(I204:I205)</f>
        <v>57.74</v>
      </c>
      <c r="J206" s="72"/>
    </row>
    <row r="208" spans="1:18" x14ac:dyDescent="0.3">
      <c r="A208" s="4" t="s">
        <v>1018</v>
      </c>
      <c r="B208" s="4" t="s">
        <v>138</v>
      </c>
      <c r="C208" s="4" t="s">
        <v>139</v>
      </c>
      <c r="D208" s="4" t="s">
        <v>21</v>
      </c>
      <c r="E208" s="4" t="s">
        <v>140</v>
      </c>
      <c r="F208" s="4" t="s">
        <v>506</v>
      </c>
      <c r="G208" s="34" t="s">
        <v>1019</v>
      </c>
      <c r="H208" s="35"/>
      <c r="I208" s="34" t="s">
        <v>15</v>
      </c>
      <c r="J208" s="35"/>
    </row>
    <row r="209" spans="1:18" ht="30" customHeight="1" x14ac:dyDescent="0.3">
      <c r="A209" s="15" t="s">
        <v>1031</v>
      </c>
      <c r="B209" s="15" t="s">
        <v>564</v>
      </c>
      <c r="C209" s="15" t="str">
        <f>VLOOKUP(B209,S!$A:$G,2,FALSE)</f>
        <v>PRÓPRIA</v>
      </c>
      <c r="D209" s="22" t="str">
        <f>VLOOKUP(B209,S!$A:$G,3,FALSE)</f>
        <v>FORNECIMENTO E INSTALAÇÃO DE CABO CHATO SUBMERSO DE 3 X 6 MM²</v>
      </c>
      <c r="E209" s="15" t="str">
        <f>VLOOKUP(B209,S!$A:$G,4,FALSE)</f>
        <v>M</v>
      </c>
      <c r="F209" s="15"/>
      <c r="G209" s="73">
        <f>I213</f>
        <v>25.98</v>
      </c>
      <c r="H209" s="74"/>
      <c r="I209" s="73"/>
      <c r="J209" s="74"/>
      <c r="K209" s="16">
        <f>VLOOKUP(B209,S!A:G,5,FALSE)</f>
        <v>0</v>
      </c>
      <c r="L209" s="15" t="s">
        <v>1021</v>
      </c>
    </row>
    <row r="210" spans="1:18" x14ac:dyDescent="0.3">
      <c r="A210" s="23" t="s">
        <v>1022</v>
      </c>
      <c r="B210" s="23">
        <v>88264</v>
      </c>
      <c r="C210" s="23" t="str">
        <f>VLOOKUP(B210,IF(A210="COMPOSICAO",S!$A:$E,I!$A:$E),2,FALSE)</f>
        <v>SINAPI</v>
      </c>
      <c r="D210" s="24" t="str">
        <f>VLOOKUP(B210,IF(A210="COMPOSICAO",S!$A:$E,I!$A:$E),3,FALSE)</f>
        <v>ELETRICISTA COM ENCARGOS COMPLEMENTARES</v>
      </c>
      <c r="E210" s="23" t="str">
        <f>VLOOKUP(B210,IF(A210="COMPOSICAO",S!$A:$E,I!$A:$E),4,FALSE)</f>
        <v>H</v>
      </c>
      <c r="F210" s="23">
        <f>0.051/pcf</f>
        <v>5.0999999999999997E-2</v>
      </c>
      <c r="G210" s="71">
        <f>IF(A210="COMPOSICAO",VLOOKUP("TOTAL SEM BDI - "&amp;B210,CPUAUX1!$A:$J,9,FALSE),VLOOKUP(B210,I!$A:$E,5,FALSE))</f>
        <v>27.74</v>
      </c>
      <c r="H210" s="72"/>
      <c r="I210" s="71">
        <f>TRUNC(F210*G210,2)</f>
        <v>1.41</v>
      </c>
      <c r="J210" s="72"/>
      <c r="M210" s="23">
        <f>B210</f>
        <v>88264</v>
      </c>
      <c r="N210" s="5">
        <f>SUMIF(ORCAMENTO!B:B,B209,ORCAMENTO!F:F)</f>
        <v>600</v>
      </c>
      <c r="O210" s="23">
        <f>F210*N210</f>
        <v>30.599999999999998</v>
      </c>
      <c r="Q210" s="23">
        <f ca="1">IFERROR(SUMIF(CO!B:B,B209,OFFSET(CO!F:F,0,(4+MATCH(ETAPA,CO!$J$6:$P$6,0)))),0)</f>
        <v>240</v>
      </c>
      <c r="R210" s="23">
        <f ca="1">F210*Q210</f>
        <v>12.239999999999998</v>
      </c>
    </row>
    <row r="211" spans="1:18" ht="30" customHeight="1" x14ac:dyDescent="0.3">
      <c r="A211" s="23" t="s">
        <v>1022</v>
      </c>
      <c r="B211" s="23">
        <v>88247</v>
      </c>
      <c r="C211" s="23" t="str">
        <f>VLOOKUP(B211,IF(A211="COMPOSICAO",S!$A:$E,I!$A:$E),2,FALSE)</f>
        <v>SINAPI</v>
      </c>
      <c r="D211" s="24" t="str">
        <f>VLOOKUP(B211,IF(A211="COMPOSICAO",S!$A:$E,I!$A:$E),3,FALSE)</f>
        <v>AUXILIAR DE ELETRICISTA COM ENCARGOS COMPLEMENTARES</v>
      </c>
      <c r="E211" s="23" t="str">
        <f>VLOOKUP(B211,IF(A211="COMPOSICAO",S!$A:$E,I!$A:$E),4,FALSE)</f>
        <v>H</v>
      </c>
      <c r="F211" s="23">
        <f>0.051/pcf</f>
        <v>5.0999999999999997E-2</v>
      </c>
      <c r="G211" s="71">
        <f>IF(A211="COMPOSICAO",VLOOKUP("TOTAL SEM BDI - "&amp;B211,CPUAUX1!$A:$J,9,FALSE),VLOOKUP(B211,I!$A:$E,5,FALSE))</f>
        <v>22.810000000000002</v>
      </c>
      <c r="H211" s="72"/>
      <c r="I211" s="71">
        <f>TRUNC(F211*G211,2)</f>
        <v>1.1599999999999999</v>
      </c>
      <c r="J211" s="72"/>
      <c r="M211" s="23">
        <f>B211</f>
        <v>88247</v>
      </c>
      <c r="N211" s="5">
        <f>SUMIF(ORCAMENTO!B:B,B209,ORCAMENTO!F:F)</f>
        <v>600</v>
      </c>
      <c r="O211" s="23">
        <f>F211*N211</f>
        <v>30.599999999999998</v>
      </c>
      <c r="Q211" s="23">
        <f ca="1">IFERROR(SUMIF(CO!B:B,B209,OFFSET(CO!F:F,0,(4+MATCH(ETAPA,CO!$J$6:$P$6,0)))),0)</f>
        <v>240</v>
      </c>
      <c r="R211" s="23">
        <f ca="1">F211*Q211</f>
        <v>12.239999999999998</v>
      </c>
    </row>
    <row r="212" spans="1:18" ht="30" customHeight="1" x14ac:dyDescent="0.3">
      <c r="A212" s="23" t="s">
        <v>1025</v>
      </c>
      <c r="B212" s="23">
        <v>34622</v>
      </c>
      <c r="C212" s="23" t="str">
        <f>VLOOKUP(B212,IF(A212="COMPOSICAO",S!$A:$E,I!$A:$E),2,FALSE)</f>
        <v>SINAPI</v>
      </c>
      <c r="D212" s="24" t="str">
        <f>VLOOKUP(B212,IF(A212="COMPOSICAO",S!$A:$E,I!$A:$E),3,FALSE)</f>
        <v>CABO FLEXIVEL PVC 750 V, 3 CONDUTORES DE 6,0 MM2</v>
      </c>
      <c r="E212" s="23" t="str">
        <f>VLOOKUP(B212,IF(A212="COMPOSICAO",S!$A:$E,I!$A:$E),4,FALSE)</f>
        <v>M</v>
      </c>
      <c r="F212" s="23">
        <v>1</v>
      </c>
      <c r="G212" s="71">
        <f>IF(A212="COMPOSICAO",VLOOKUP("TOTAL SEM BDI - "&amp;B212,CPUAUX1!$A:$J,9,FALSE),VLOOKUP(B212,I!$A:$E,5,FALSE))</f>
        <v>23.41</v>
      </c>
      <c r="H212" s="72"/>
      <c r="I212" s="71">
        <f>TRUNC(F212*G212,2)</f>
        <v>23.41</v>
      </c>
      <c r="J212" s="72"/>
      <c r="M212" s="23">
        <f>B212</f>
        <v>34622</v>
      </c>
      <c r="N212" s="5">
        <f>SUMIF(ORCAMENTO!B:B,B209,ORCAMENTO!F:F)</f>
        <v>600</v>
      </c>
      <c r="O212" s="23">
        <f>F212*N212</f>
        <v>600</v>
      </c>
      <c r="Q212" s="23">
        <f ca="1">IFERROR(SUMIF(CO!B:B,B209,OFFSET(CO!F:F,0,(4+MATCH(ETAPA,CO!$J$6:$P$6,0)))),0)</f>
        <v>240</v>
      </c>
      <c r="R212" s="23">
        <f ca="1">F212*Q212</f>
        <v>240</v>
      </c>
    </row>
    <row r="213" spans="1:18" x14ac:dyDescent="0.3">
      <c r="A213" s="68" t="str">
        <f>"TOTAL SEM BDI - "&amp;B209</f>
        <v>TOTAL SEM BDI - COMPOS24</v>
      </c>
      <c r="B213" s="69"/>
      <c r="C213" s="69"/>
      <c r="D213" s="69"/>
      <c r="E213" s="69"/>
      <c r="F213" s="69"/>
      <c r="G213" s="69"/>
      <c r="H213" s="70"/>
      <c r="I213" s="71">
        <f>SUM(I209:I212)</f>
        <v>25.98</v>
      </c>
      <c r="J213" s="72"/>
    </row>
    <row r="214" spans="1:18" x14ac:dyDescent="0.3">
      <c r="A214" s="68" t="str">
        <f>"TAXA DE BDI ("&amp;TEXT(BDI,"00,00")&amp;" %)"</f>
        <v>TAXA DE BDI (24,84 %)</v>
      </c>
      <c r="B214" s="69"/>
      <c r="C214" s="69"/>
      <c r="D214" s="69"/>
      <c r="E214" s="69"/>
      <c r="F214" s="69"/>
      <c r="G214" s="69"/>
      <c r="H214" s="70"/>
      <c r="I214" s="71">
        <f>ROUND(I213*(BDI/100),2)</f>
        <v>6.45</v>
      </c>
      <c r="J214" s="72"/>
    </row>
    <row r="215" spans="1:18" x14ac:dyDescent="0.3">
      <c r="A215" s="68" t="str">
        <f>"TOTAL COM BDI - "&amp;B209</f>
        <v>TOTAL COM BDI - COMPOS24</v>
      </c>
      <c r="B215" s="69"/>
      <c r="C215" s="69"/>
      <c r="D215" s="69"/>
      <c r="E215" s="69"/>
      <c r="F215" s="69"/>
      <c r="G215" s="69"/>
      <c r="H215" s="70"/>
      <c r="I215" s="71">
        <f>SUM(I213:I214)</f>
        <v>32.43</v>
      </c>
      <c r="J215" s="72"/>
    </row>
    <row r="217" spans="1:18" x14ac:dyDescent="0.3">
      <c r="A217" s="4" t="s">
        <v>1018</v>
      </c>
      <c r="B217" s="4" t="s">
        <v>138</v>
      </c>
      <c r="C217" s="4" t="s">
        <v>139</v>
      </c>
      <c r="D217" s="4" t="s">
        <v>21</v>
      </c>
      <c r="E217" s="4" t="s">
        <v>140</v>
      </c>
      <c r="F217" s="4" t="s">
        <v>506</v>
      </c>
      <c r="G217" s="34" t="s">
        <v>1019</v>
      </c>
      <c r="H217" s="35"/>
      <c r="I217" s="34" t="s">
        <v>15</v>
      </c>
      <c r="J217" s="35"/>
    </row>
    <row r="218" spans="1:18" x14ac:dyDescent="0.3">
      <c r="A218" s="15" t="s">
        <v>1031</v>
      </c>
      <c r="B218" s="15" t="s">
        <v>566</v>
      </c>
      <c r="C218" s="15" t="str">
        <f>VLOOKUP(B218,S!$A:$G,2,FALSE)</f>
        <v>PRÓPRIA</v>
      </c>
      <c r="D218" s="22" t="str">
        <f>VLOOKUP(B218,S!$A:$G,3,FALSE)</f>
        <v>BARRILETE (CURVAS E CONEXÕES)</v>
      </c>
      <c r="E218" s="15" t="str">
        <f>VLOOKUP(B218,S!$A:$G,4,FALSE)</f>
        <v>UN</v>
      </c>
      <c r="F218" s="15"/>
      <c r="G218" s="73">
        <f>I234</f>
        <v>2135.96</v>
      </c>
      <c r="H218" s="74"/>
      <c r="I218" s="73"/>
      <c r="J218" s="74"/>
      <c r="K218" s="16">
        <f>VLOOKUP(B218,S!A:G,5,FALSE)</f>
        <v>0</v>
      </c>
      <c r="L218" s="15" t="s">
        <v>1021</v>
      </c>
    </row>
    <row r="219" spans="1:18" x14ac:dyDescent="0.3">
      <c r="A219" s="23" t="s">
        <v>1022</v>
      </c>
      <c r="B219" s="23">
        <v>88264</v>
      </c>
      <c r="C219" s="23" t="str">
        <f>VLOOKUP(B219,IF(A219="COMPOSICAO",S!$A:$E,I!$A:$E),2,FALSE)</f>
        <v>SINAPI</v>
      </c>
      <c r="D219" s="24" t="str">
        <f>VLOOKUP(B219,IF(A219="COMPOSICAO",S!$A:$E,I!$A:$E),3,FALSE)</f>
        <v>ELETRICISTA COM ENCARGOS COMPLEMENTARES</v>
      </c>
      <c r="E219" s="23" t="str">
        <f>VLOOKUP(B219,IF(A219="COMPOSICAO",S!$A:$E,I!$A:$E),4,FALSE)</f>
        <v>H</v>
      </c>
      <c r="F219" s="23">
        <f>13.04/pcf</f>
        <v>13.04</v>
      </c>
      <c r="G219" s="71">
        <f>IF(A219="COMPOSICAO",VLOOKUP("TOTAL SEM BDI - "&amp;B219,CPUAUX1!$A:$J,9,FALSE),VLOOKUP(B219,I!$A:$E,5,FALSE))</f>
        <v>27.74</v>
      </c>
      <c r="H219" s="72"/>
      <c r="I219" s="71">
        <f t="shared" ref="I219:I233" si="4">TRUNC(F219*G219,2)</f>
        <v>361.72</v>
      </c>
      <c r="J219" s="72"/>
      <c r="M219" s="23">
        <f t="shared" ref="M219:M233" si="5">B219</f>
        <v>88264</v>
      </c>
      <c r="N219" s="5">
        <f>SUMIF(ORCAMENTO!B:B,B218,ORCAMENTO!F:F)</f>
        <v>5</v>
      </c>
      <c r="O219" s="23">
        <f t="shared" ref="O219:O233" si="6">F219*N219</f>
        <v>65.199999999999989</v>
      </c>
      <c r="Q219" s="23">
        <f ca="1">IFERROR(SUMIF(CO!B:B,B218,OFFSET(CO!F:F,0,(4+MATCH(ETAPA,CO!$J$6:$P$6,0)))),0)</f>
        <v>2</v>
      </c>
      <c r="R219" s="23">
        <f t="shared" ref="R219:R233" ca="1" si="7">F219*Q219</f>
        <v>26.08</v>
      </c>
    </row>
    <row r="220" spans="1:18" ht="30" customHeight="1" x14ac:dyDescent="0.3">
      <c r="A220" s="23" t="s">
        <v>1022</v>
      </c>
      <c r="B220" s="23">
        <v>88247</v>
      </c>
      <c r="C220" s="23" t="str">
        <f>VLOOKUP(B220,IF(A220="COMPOSICAO",S!$A:$E,I!$A:$E),2,FALSE)</f>
        <v>SINAPI</v>
      </c>
      <c r="D220" s="24" t="str">
        <f>VLOOKUP(B220,IF(A220="COMPOSICAO",S!$A:$E,I!$A:$E),3,FALSE)</f>
        <v>AUXILIAR DE ELETRICISTA COM ENCARGOS COMPLEMENTARES</v>
      </c>
      <c r="E220" s="23" t="str">
        <f>VLOOKUP(B220,IF(A220="COMPOSICAO",S!$A:$E,I!$A:$E),4,FALSE)</f>
        <v>H</v>
      </c>
      <c r="F220" s="23">
        <f>13.04/pcf</f>
        <v>13.04</v>
      </c>
      <c r="G220" s="71">
        <f>IF(A220="COMPOSICAO",VLOOKUP("TOTAL SEM BDI - "&amp;B220,CPUAUX1!$A:$J,9,FALSE),VLOOKUP(B220,I!$A:$E,5,FALSE))</f>
        <v>22.810000000000002</v>
      </c>
      <c r="H220" s="72"/>
      <c r="I220" s="71">
        <f t="shared" si="4"/>
        <v>297.44</v>
      </c>
      <c r="J220" s="72"/>
      <c r="M220" s="23">
        <f t="shared" si="5"/>
        <v>88247</v>
      </c>
      <c r="N220" s="5">
        <f>SUMIF(ORCAMENTO!B:B,B218,ORCAMENTO!F:F)</f>
        <v>5</v>
      </c>
      <c r="O220" s="23">
        <f t="shared" si="6"/>
        <v>65.199999999999989</v>
      </c>
      <c r="Q220" s="23">
        <f ca="1">IFERROR(SUMIF(CO!B:B,B218,OFFSET(CO!F:F,0,(4+MATCH(ETAPA,CO!$J$6:$P$6,0)))),0)</f>
        <v>2</v>
      </c>
      <c r="R220" s="23">
        <f t="shared" ca="1" si="7"/>
        <v>26.08</v>
      </c>
    </row>
    <row r="221" spans="1:18" ht="45" customHeight="1" x14ac:dyDescent="0.3">
      <c r="A221" s="23" t="s">
        <v>1025</v>
      </c>
      <c r="B221" s="23">
        <v>12898</v>
      </c>
      <c r="C221" s="23" t="str">
        <f>VLOOKUP(B221,IF(A221="COMPOSICAO",S!$A:$E,I!$A:$E),2,FALSE)</f>
        <v>SINAPI</v>
      </c>
      <c r="D221" s="24" t="str">
        <f>VLOOKUP(B221,IF(A221="COMPOSICAO",S!$A:$E,I!$A:$E),3,FALSE)</f>
        <v>MANOMETRO COM CAIXA EM ACO PINTADO, ESCALA *10* KGF/CM2 (*10* BAR), DIAMETRO NOMINAL DE 100 MM, CONEXAO DE 1/2"</v>
      </c>
      <c r="E221" s="23" t="str">
        <f>VLOOKUP(B221,IF(A221="COMPOSICAO",S!$A:$E,I!$A:$E),4,FALSE)</f>
        <v>UN</v>
      </c>
      <c r="F221" s="23">
        <v>1</v>
      </c>
      <c r="G221" s="71">
        <f>IF(A221="COMPOSICAO",VLOOKUP("TOTAL SEM BDI - "&amp;B221,CPUAUX1!$A:$J,9,FALSE),VLOOKUP(B221,I!$A:$E,5,FALSE))</f>
        <v>210</v>
      </c>
      <c r="H221" s="72"/>
      <c r="I221" s="71">
        <f t="shared" si="4"/>
        <v>210</v>
      </c>
      <c r="J221" s="72"/>
      <c r="M221" s="23">
        <f t="shared" si="5"/>
        <v>12898</v>
      </c>
      <c r="N221" s="5">
        <f>SUMIF(ORCAMENTO!B:B,B218,ORCAMENTO!F:F)</f>
        <v>5</v>
      </c>
      <c r="O221" s="23">
        <f t="shared" si="6"/>
        <v>5</v>
      </c>
      <c r="Q221" s="23">
        <f ca="1">IFERROR(SUMIF(CO!B:B,B218,OFFSET(CO!F:F,0,(4+MATCH(ETAPA,CO!$J$6:$P$6,0)))),0)</f>
        <v>2</v>
      </c>
      <c r="R221" s="23">
        <f t="shared" ca="1" si="7"/>
        <v>2</v>
      </c>
    </row>
    <row r="222" spans="1:18" ht="45" customHeight="1" x14ac:dyDescent="0.3">
      <c r="A222" s="23" t="s">
        <v>1025</v>
      </c>
      <c r="B222" s="23">
        <v>10409</v>
      </c>
      <c r="C222" s="23" t="str">
        <f>VLOOKUP(B222,IF(A222="COMPOSICAO",S!$A:$E,I!$A:$E),2,FALSE)</f>
        <v>SINAPI</v>
      </c>
      <c r="D222" s="24" t="str">
        <f>VLOOKUP(B222,IF(A222="COMPOSICAO",S!$A:$E,I!$A:$E),3,FALSE)</f>
        <v>VALVULA DE RETENCAO HORIZONTAL, DE BRONZE (PN-25), 1 1/2", 400 PSI, TAMPA DE PORCA DE UNIAO, EXTREMIDADES COM ROSCA</v>
      </c>
      <c r="E222" s="23" t="str">
        <f>VLOOKUP(B222,IF(A222="COMPOSICAO",S!$A:$E,I!$A:$E),4,FALSE)</f>
        <v>UN</v>
      </c>
      <c r="F222" s="23">
        <v>1</v>
      </c>
      <c r="G222" s="71">
        <f>IF(A222="COMPOSICAO",VLOOKUP("TOTAL SEM BDI - "&amp;B222,CPUAUX1!$A:$J,9,FALSE),VLOOKUP(B222,I!$A:$E,5,FALSE))</f>
        <v>298.89999999999998</v>
      </c>
      <c r="H222" s="72"/>
      <c r="I222" s="71">
        <f t="shared" si="4"/>
        <v>298.89999999999998</v>
      </c>
      <c r="J222" s="72"/>
      <c r="M222" s="23">
        <f t="shared" si="5"/>
        <v>10409</v>
      </c>
      <c r="N222" s="5">
        <f>SUMIF(ORCAMENTO!B:B,B218,ORCAMENTO!F:F)</f>
        <v>5</v>
      </c>
      <c r="O222" s="23">
        <f t="shared" si="6"/>
        <v>5</v>
      </c>
      <c r="Q222" s="23">
        <f ca="1">IFERROR(SUMIF(CO!B:B,B218,OFFSET(CO!F:F,0,(4+MATCH(ETAPA,CO!$J$6:$P$6,0)))),0)</f>
        <v>2</v>
      </c>
      <c r="R222" s="23">
        <f t="shared" ca="1" si="7"/>
        <v>2</v>
      </c>
    </row>
    <row r="223" spans="1:18" ht="30" customHeight="1" x14ac:dyDescent="0.3">
      <c r="A223" s="23" t="s">
        <v>1025</v>
      </c>
      <c r="B223" s="23">
        <v>6010</v>
      </c>
      <c r="C223" s="23" t="str">
        <f>VLOOKUP(B223,IF(A223="COMPOSICAO",S!$A:$E,I!$A:$E),2,FALSE)</f>
        <v>SINAPI</v>
      </c>
      <c r="D223" s="24" t="str">
        <f>VLOOKUP(B223,IF(A223="COMPOSICAO",S!$A:$E,I!$A:$E),3,FALSE)</f>
        <v>REGISTRO GAVETA BRUTO EM LATAO FORJADO, BITOLA 1 1/2"</v>
      </c>
      <c r="E223" s="23" t="str">
        <f>VLOOKUP(B223,IF(A223="COMPOSICAO",S!$A:$E,I!$A:$E),4,FALSE)</f>
        <v>UN</v>
      </c>
      <c r="F223" s="23">
        <v>1</v>
      </c>
      <c r="G223" s="71">
        <f>IF(A223="COMPOSICAO",VLOOKUP("TOTAL SEM BDI - "&amp;B223,CPUAUX1!$A:$J,9,FALSE),VLOOKUP(B223,I!$A:$E,5,FALSE))</f>
        <v>105.75</v>
      </c>
      <c r="H223" s="72"/>
      <c r="I223" s="71">
        <f t="shared" si="4"/>
        <v>105.75</v>
      </c>
      <c r="J223" s="72"/>
      <c r="M223" s="23">
        <f t="shared" si="5"/>
        <v>6010</v>
      </c>
      <c r="N223" s="5">
        <f>SUMIF(ORCAMENTO!B:B,B218,ORCAMENTO!F:F)</f>
        <v>5</v>
      </c>
      <c r="O223" s="23">
        <f t="shared" si="6"/>
        <v>5</v>
      </c>
      <c r="Q223" s="23">
        <f ca="1">IFERROR(SUMIF(CO!B:B,B218,OFFSET(CO!F:F,0,(4+MATCH(ETAPA,CO!$J$6:$P$6,0)))),0)</f>
        <v>2</v>
      </c>
      <c r="R223" s="23">
        <f t="shared" ca="1" si="7"/>
        <v>2</v>
      </c>
    </row>
    <row r="224" spans="1:18" x14ac:dyDescent="0.3">
      <c r="A224" s="23" t="s">
        <v>1025</v>
      </c>
      <c r="B224" s="23">
        <v>6297</v>
      </c>
      <c r="C224" s="23" t="str">
        <f>VLOOKUP(B224,IF(A224="COMPOSICAO",S!$A:$E,I!$A:$E),2,FALSE)</f>
        <v>SINAPI</v>
      </c>
      <c r="D224" s="24" t="str">
        <f>VLOOKUP(B224,IF(A224="COMPOSICAO",S!$A:$E,I!$A:$E),3,FALSE)</f>
        <v>TE DE FERRO GALVANIZADO, DE 1 1/2"</v>
      </c>
      <c r="E224" s="23" t="str">
        <f>VLOOKUP(B224,IF(A224="COMPOSICAO",S!$A:$E,I!$A:$E),4,FALSE)</f>
        <v>UN</v>
      </c>
      <c r="F224" s="23">
        <v>2</v>
      </c>
      <c r="G224" s="71">
        <f>IF(A224="COMPOSICAO",VLOOKUP("TOTAL SEM BDI - "&amp;B224,CPUAUX1!$A:$J,9,FALSE),VLOOKUP(B224,I!$A:$E,5,FALSE))</f>
        <v>35.909999999999997</v>
      </c>
      <c r="H224" s="72"/>
      <c r="I224" s="71">
        <f t="shared" si="4"/>
        <v>71.819999999999993</v>
      </c>
      <c r="J224" s="72"/>
      <c r="M224" s="23">
        <f t="shared" si="5"/>
        <v>6297</v>
      </c>
      <c r="N224" s="5">
        <f>SUMIF(ORCAMENTO!B:B,B218,ORCAMENTO!F:F)</f>
        <v>5</v>
      </c>
      <c r="O224" s="23">
        <f t="shared" si="6"/>
        <v>10</v>
      </c>
      <c r="Q224" s="23">
        <f ca="1">IFERROR(SUMIF(CO!B:B,B218,OFFSET(CO!F:F,0,(4+MATCH(ETAPA,CO!$J$6:$P$6,0)))),0)</f>
        <v>2</v>
      </c>
      <c r="R224" s="23">
        <f t="shared" ca="1" si="7"/>
        <v>4</v>
      </c>
    </row>
    <row r="225" spans="1:18" ht="30" customHeight="1" x14ac:dyDescent="0.3">
      <c r="A225" s="23" t="s">
        <v>1025</v>
      </c>
      <c r="B225" s="23">
        <v>72</v>
      </c>
      <c r="C225" s="23" t="str">
        <f>VLOOKUP(B225,IF(A225="COMPOSICAO",S!$A:$E,I!$A:$E),2,FALSE)</f>
        <v>SINAPI</v>
      </c>
      <c r="D225" s="24" t="str">
        <f>VLOOKUP(B225,IF(A225="COMPOSICAO",S!$A:$E,I!$A:$E),3,FALSE)</f>
        <v>ADAPTADOR PVC, ROSCAVEL, COM FLANGES E ANEL DE VEDACAO, 1 1/2", PARA CAIXA D'AGUA</v>
      </c>
      <c r="E225" s="23" t="str">
        <f>VLOOKUP(B225,IF(A225="COMPOSICAO",S!$A:$E,I!$A:$E),4,FALSE)</f>
        <v>UN</v>
      </c>
      <c r="F225" s="23">
        <v>1</v>
      </c>
      <c r="G225" s="71">
        <f>IF(A225="COMPOSICAO",VLOOKUP("TOTAL SEM BDI - "&amp;B225,CPUAUX1!$A:$J,9,FALSE),VLOOKUP(B225,I!$A:$E,5,FALSE))</f>
        <v>50.26</v>
      </c>
      <c r="H225" s="72"/>
      <c r="I225" s="71">
        <f t="shared" si="4"/>
        <v>50.26</v>
      </c>
      <c r="J225" s="72"/>
      <c r="M225" s="23">
        <f t="shared" si="5"/>
        <v>72</v>
      </c>
      <c r="N225" s="5">
        <f>SUMIF(ORCAMENTO!B:B,B218,ORCAMENTO!F:F)</f>
        <v>5</v>
      </c>
      <c r="O225" s="23">
        <f t="shared" si="6"/>
        <v>5</v>
      </c>
      <c r="Q225" s="23">
        <f ca="1">IFERROR(SUMIF(CO!B:B,B218,OFFSET(CO!F:F,0,(4+MATCH(ETAPA,CO!$J$6:$P$6,0)))),0)</f>
        <v>2</v>
      </c>
      <c r="R225" s="23">
        <f t="shared" ca="1" si="7"/>
        <v>2</v>
      </c>
    </row>
    <row r="226" spans="1:18" ht="30" customHeight="1" x14ac:dyDescent="0.3">
      <c r="A226" s="23" t="s">
        <v>1025</v>
      </c>
      <c r="B226" s="23">
        <v>12424</v>
      </c>
      <c r="C226" s="23" t="str">
        <f>VLOOKUP(B226,IF(A226="COMPOSICAO",S!$A:$E,I!$A:$E),2,FALSE)</f>
        <v>SINAPI</v>
      </c>
      <c r="D226" s="24" t="str">
        <f>VLOOKUP(B226,IF(A226="COMPOSICAO",S!$A:$E,I!$A:$E),3,FALSE)</f>
        <v>UNIAO DE FERRO GALVANIZADO, COM ASSENTO CONICO DE BRONZE, DE 1 1/2"</v>
      </c>
      <c r="E226" s="23" t="str">
        <f>VLOOKUP(B226,IF(A226="COMPOSICAO",S!$A:$E,I!$A:$E),4,FALSE)</f>
        <v>UN</v>
      </c>
      <c r="F226" s="23">
        <v>1</v>
      </c>
      <c r="G226" s="71">
        <f>IF(A226="COMPOSICAO",VLOOKUP("TOTAL SEM BDI - "&amp;B226,CPUAUX1!$A:$J,9,FALSE),VLOOKUP(B226,I!$A:$E,5,FALSE))</f>
        <v>82.38</v>
      </c>
      <c r="H226" s="72"/>
      <c r="I226" s="71">
        <f t="shared" si="4"/>
        <v>82.38</v>
      </c>
      <c r="J226" s="72"/>
      <c r="M226" s="23">
        <f t="shared" si="5"/>
        <v>12424</v>
      </c>
      <c r="N226" s="5">
        <f>SUMIF(ORCAMENTO!B:B,B218,ORCAMENTO!F:F)</f>
        <v>5</v>
      </c>
      <c r="O226" s="23">
        <f t="shared" si="6"/>
        <v>5</v>
      </c>
      <c r="Q226" s="23">
        <f ca="1">IFERROR(SUMIF(CO!B:B,B218,OFFSET(CO!F:F,0,(4+MATCH(ETAPA,CO!$J$6:$P$6,0)))),0)</f>
        <v>2</v>
      </c>
      <c r="R226" s="23">
        <f t="shared" ca="1" si="7"/>
        <v>2</v>
      </c>
    </row>
    <row r="227" spans="1:18" ht="30" customHeight="1" x14ac:dyDescent="0.3">
      <c r="A227" s="23" t="s">
        <v>1025</v>
      </c>
      <c r="B227" s="23">
        <v>4209</v>
      </c>
      <c r="C227" s="23" t="str">
        <f>VLOOKUP(B227,IF(A227="COMPOSICAO",S!$A:$E,I!$A:$E),2,FALSE)</f>
        <v>SINAPI</v>
      </c>
      <c r="D227" s="24" t="str">
        <f>VLOOKUP(B227,IF(A227="COMPOSICAO",S!$A:$E,I!$A:$E),3,FALSE)</f>
        <v>NIPLE DE FERRO GALVANIZADO, COM ROSCA BSP, DE 1 1/2"</v>
      </c>
      <c r="E227" s="23" t="str">
        <f>VLOOKUP(B227,IF(A227="COMPOSICAO",S!$A:$E,I!$A:$E),4,FALSE)</f>
        <v>UN</v>
      </c>
      <c r="F227" s="23">
        <v>4</v>
      </c>
      <c r="G227" s="71">
        <f>IF(A227="COMPOSICAO",VLOOKUP("TOTAL SEM BDI - "&amp;B227,CPUAUX1!$A:$J,9,FALSE),VLOOKUP(B227,I!$A:$E,5,FALSE))</f>
        <v>19.38</v>
      </c>
      <c r="H227" s="72"/>
      <c r="I227" s="71">
        <f t="shared" si="4"/>
        <v>77.52</v>
      </c>
      <c r="J227" s="72"/>
      <c r="M227" s="23">
        <f t="shared" si="5"/>
        <v>4209</v>
      </c>
      <c r="N227" s="5">
        <f>SUMIF(ORCAMENTO!B:B,B218,ORCAMENTO!F:F)</f>
        <v>5</v>
      </c>
      <c r="O227" s="23">
        <f t="shared" si="6"/>
        <v>20</v>
      </c>
      <c r="Q227" s="23">
        <f ca="1">IFERROR(SUMIF(CO!B:B,B218,OFFSET(CO!F:F,0,(4+MATCH(ETAPA,CO!$J$6:$P$6,0)))),0)</f>
        <v>2</v>
      </c>
      <c r="R227" s="23">
        <f t="shared" ca="1" si="7"/>
        <v>8</v>
      </c>
    </row>
    <row r="228" spans="1:18" ht="15" customHeight="1" x14ac:dyDescent="0.3">
      <c r="A228" s="23" t="s">
        <v>1025</v>
      </c>
      <c r="B228" s="23">
        <v>4893</v>
      </c>
      <c r="C228" s="23" t="str">
        <f>VLOOKUP(B228,IF(A228="COMPOSICAO",S!$A:$E,I!$A:$E),2,FALSE)</f>
        <v>SINAPI</v>
      </c>
      <c r="D228" s="24" t="str">
        <f>VLOOKUP(B228,IF(A228="COMPOSICAO",S!$A:$E,I!$A:$E),3,FALSE)</f>
        <v>PLUG OU BUJAO DE FERRO GALVANIZADO, DE 1 1/2"</v>
      </c>
      <c r="E228" s="23" t="str">
        <f>VLOOKUP(B228,IF(A228="COMPOSICAO",S!$A:$E,I!$A:$E),4,FALSE)</f>
        <v>UN</v>
      </c>
      <c r="F228" s="23">
        <v>1</v>
      </c>
      <c r="G228" s="71">
        <f>IF(A228="COMPOSICAO",VLOOKUP("TOTAL SEM BDI - "&amp;B228,CPUAUX1!$A:$J,9,FALSE),VLOOKUP(B228,I!$A:$E,5,FALSE))</f>
        <v>12.09</v>
      </c>
      <c r="H228" s="72"/>
      <c r="I228" s="71">
        <f t="shared" si="4"/>
        <v>12.09</v>
      </c>
      <c r="J228" s="72"/>
      <c r="M228" s="23">
        <f t="shared" si="5"/>
        <v>4893</v>
      </c>
      <c r="N228" s="5">
        <f>SUMIF(ORCAMENTO!B:B,B218,ORCAMENTO!F:F)</f>
        <v>5</v>
      </c>
      <c r="O228" s="23">
        <f t="shared" si="6"/>
        <v>5</v>
      </c>
      <c r="Q228" s="23">
        <f ca="1">IFERROR(SUMIF(CO!B:B,B218,OFFSET(CO!F:F,0,(4+MATCH(ETAPA,CO!$J$6:$P$6,0)))),0)</f>
        <v>2</v>
      </c>
      <c r="R228" s="23">
        <f t="shared" ca="1" si="7"/>
        <v>2</v>
      </c>
    </row>
    <row r="229" spans="1:18" ht="30" customHeight="1" x14ac:dyDescent="0.3">
      <c r="A229" s="23" t="s">
        <v>1025</v>
      </c>
      <c r="B229" s="23">
        <v>788</v>
      </c>
      <c r="C229" s="23" t="str">
        <f>VLOOKUP(B229,IF(A229="COMPOSICAO",S!$A:$E,I!$A:$E),2,FALSE)</f>
        <v>SINAPI</v>
      </c>
      <c r="D229" s="24" t="str">
        <f>VLOOKUP(B229,IF(A229="COMPOSICAO",S!$A:$E,I!$A:$E),3,FALSE)</f>
        <v>BUCHA DE REDUCAO DE FERRO GALVANIZADO, COM ROSCA BSP, DE 2" X 1 1/2"</v>
      </c>
      <c r="E229" s="23" t="str">
        <f>VLOOKUP(B229,IF(A229="COMPOSICAO",S!$A:$E,I!$A:$E),4,FALSE)</f>
        <v>UN</v>
      </c>
      <c r="F229" s="23">
        <v>2</v>
      </c>
      <c r="G229" s="71">
        <f>IF(A229="COMPOSICAO",VLOOKUP("TOTAL SEM BDI - "&amp;B229,CPUAUX1!$A:$J,9,FALSE),VLOOKUP(B229,I!$A:$E,5,FALSE))</f>
        <v>23.82</v>
      </c>
      <c r="H229" s="72"/>
      <c r="I229" s="71">
        <f t="shared" si="4"/>
        <v>47.64</v>
      </c>
      <c r="J229" s="72"/>
      <c r="M229" s="23">
        <f t="shared" si="5"/>
        <v>788</v>
      </c>
      <c r="N229" s="5">
        <f>SUMIF(ORCAMENTO!B:B,B218,ORCAMENTO!F:F)</f>
        <v>5</v>
      </c>
      <c r="O229" s="23">
        <f t="shared" si="6"/>
        <v>10</v>
      </c>
      <c r="Q229" s="23">
        <f ca="1">IFERROR(SUMIF(CO!B:B,B218,OFFSET(CO!F:F,0,(4+MATCH(ETAPA,CO!$J$6:$P$6,0)))),0)</f>
        <v>2</v>
      </c>
      <c r="R229" s="23">
        <f t="shared" ca="1" si="7"/>
        <v>4</v>
      </c>
    </row>
    <row r="230" spans="1:18" ht="30" customHeight="1" x14ac:dyDescent="0.3">
      <c r="A230" s="23" t="s">
        <v>1025</v>
      </c>
      <c r="B230" s="23">
        <v>3939</v>
      </c>
      <c r="C230" s="23" t="str">
        <f>VLOOKUP(B230,IF(A230="COMPOSICAO",S!$A:$E,I!$A:$E),2,FALSE)</f>
        <v>SINAPI</v>
      </c>
      <c r="D230" s="24" t="str">
        <f>VLOOKUP(B230,IF(A230="COMPOSICAO",S!$A:$E,I!$A:$E),3,FALSE)</f>
        <v>LUVA DE FERRO GALVANIZADO, COM ROSCA BSP, DE 1 1/2"</v>
      </c>
      <c r="E230" s="23" t="str">
        <f>VLOOKUP(B230,IF(A230="COMPOSICAO",S!$A:$E,I!$A:$E),4,FALSE)</f>
        <v>UN</v>
      </c>
      <c r="F230" s="23">
        <v>1</v>
      </c>
      <c r="G230" s="71">
        <f>IF(A230="COMPOSICAO",VLOOKUP("TOTAL SEM BDI - "&amp;B230,CPUAUX1!$A:$J,9,FALSE),VLOOKUP(B230,I!$A:$E,5,FALSE))</f>
        <v>19.670000000000002</v>
      </c>
      <c r="H230" s="72"/>
      <c r="I230" s="71">
        <f t="shared" si="4"/>
        <v>19.670000000000002</v>
      </c>
      <c r="J230" s="72"/>
      <c r="M230" s="23">
        <f t="shared" si="5"/>
        <v>3939</v>
      </c>
      <c r="N230" s="5">
        <f>SUMIF(ORCAMENTO!B:B,B218,ORCAMENTO!F:F)</f>
        <v>5</v>
      </c>
      <c r="O230" s="23">
        <f t="shared" si="6"/>
        <v>5</v>
      </c>
      <c r="Q230" s="23">
        <f ca="1">IFERROR(SUMIF(CO!B:B,B218,OFFSET(CO!F:F,0,(4+MATCH(ETAPA,CO!$J$6:$P$6,0)))),0)</f>
        <v>2</v>
      </c>
      <c r="R230" s="23">
        <f t="shared" ca="1" si="7"/>
        <v>2</v>
      </c>
    </row>
    <row r="231" spans="1:18" x14ac:dyDescent="0.3">
      <c r="A231" s="23" t="s">
        <v>1025</v>
      </c>
      <c r="B231" s="23" t="s">
        <v>1048</v>
      </c>
      <c r="C231" s="23" t="str">
        <f>VLOOKUP(B231,IF(A231="COMPOSICAO",S!$A:$E,I!$A:$E),2,FALSE)</f>
        <v>ORSE</v>
      </c>
      <c r="D231" s="24" t="str">
        <f>VLOOKUP(B231,IF(A231="COMPOSICAO",S!$A:$E,I!$A:$E),3,FALSE)</f>
        <v>ABRAÇADEIRA EM FERRO GALVANIZADO DN 150MM</v>
      </c>
      <c r="E231" s="23" t="str">
        <f>VLOOKUP(B231,IF(A231="COMPOSICAO",S!$A:$E,I!$A:$E),4,FALSE)</f>
        <v>UN</v>
      </c>
      <c r="F231" s="23">
        <v>1</v>
      </c>
      <c r="G231" s="71">
        <f>IF(A231="COMPOSICAO",VLOOKUP("TOTAL SEM BDI - "&amp;B231,CPUAUX1!$A:$J,9,FALSE),VLOOKUP(B231,I!$A:$E,5,FALSE))</f>
        <v>55.73</v>
      </c>
      <c r="H231" s="72"/>
      <c r="I231" s="71">
        <f t="shared" si="4"/>
        <v>55.73</v>
      </c>
      <c r="J231" s="72"/>
      <c r="M231" s="23" t="str">
        <f t="shared" si="5"/>
        <v>04840/ORSE</v>
      </c>
      <c r="N231" s="5">
        <f>SUMIF(ORCAMENTO!B:B,B218,ORCAMENTO!F:F)</f>
        <v>5</v>
      </c>
      <c r="O231" s="23">
        <f t="shared" si="6"/>
        <v>5</v>
      </c>
      <c r="Q231" s="23">
        <f ca="1">IFERROR(SUMIF(CO!B:B,B218,OFFSET(CO!F:F,0,(4+MATCH(ETAPA,CO!$J$6:$P$6,0)))),0)</f>
        <v>2</v>
      </c>
      <c r="R231" s="23">
        <f t="shared" ca="1" si="7"/>
        <v>2</v>
      </c>
    </row>
    <row r="232" spans="1:18" ht="30" customHeight="1" x14ac:dyDescent="0.3">
      <c r="A232" s="23" t="s">
        <v>1025</v>
      </c>
      <c r="B232" s="23">
        <v>1789</v>
      </c>
      <c r="C232" s="23" t="str">
        <f>VLOOKUP(B232,IF(A232="COMPOSICAO",S!$A:$E,I!$A:$E),2,FALSE)</f>
        <v>SINAPI</v>
      </c>
      <c r="D232" s="24" t="str">
        <f>VLOOKUP(B232,IF(A232="COMPOSICAO",S!$A:$E,I!$A:$E),3,FALSE)</f>
        <v>CURVA 90 GRAUS DE FERRO GALVANIZADO, COM ROSCA BSP FEMEA, DE 1 1/2"</v>
      </c>
      <c r="E232" s="23" t="str">
        <f>VLOOKUP(B232,IF(A232="COMPOSICAO",S!$A:$E,I!$A:$E),4,FALSE)</f>
        <v>UN</v>
      </c>
      <c r="F232" s="23">
        <v>2</v>
      </c>
      <c r="G232" s="71">
        <f>IF(A232="COMPOSICAO",VLOOKUP("TOTAL SEM BDI - "&amp;B232,CPUAUX1!$A:$J,9,FALSE),VLOOKUP(B232,I!$A:$E,5,FALSE))</f>
        <v>68.05</v>
      </c>
      <c r="H232" s="72"/>
      <c r="I232" s="71">
        <f t="shared" si="4"/>
        <v>136.1</v>
      </c>
      <c r="J232" s="72"/>
      <c r="M232" s="23">
        <f t="shared" si="5"/>
        <v>1789</v>
      </c>
      <c r="N232" s="5">
        <f>SUMIF(ORCAMENTO!B:B,B218,ORCAMENTO!F:F)</f>
        <v>5</v>
      </c>
      <c r="O232" s="23">
        <f t="shared" si="6"/>
        <v>10</v>
      </c>
      <c r="Q232" s="23">
        <f ca="1">IFERROR(SUMIF(CO!B:B,B218,OFFSET(CO!F:F,0,(4+MATCH(ETAPA,CO!$J$6:$P$6,0)))),0)</f>
        <v>2</v>
      </c>
      <c r="R232" s="23">
        <f t="shared" ca="1" si="7"/>
        <v>4</v>
      </c>
    </row>
    <row r="233" spans="1:18" ht="45" customHeight="1" x14ac:dyDescent="0.3">
      <c r="A233" s="23" t="s">
        <v>1025</v>
      </c>
      <c r="B233" s="23">
        <v>21012</v>
      </c>
      <c r="C233" s="23" t="str">
        <f>VLOOKUP(B233,IF(A233="COMPOSICAO",S!$A:$E,I!$A:$E),2,FALSE)</f>
        <v>SINAPI</v>
      </c>
      <c r="D233" s="24" t="str">
        <f>VLOOKUP(B233,IF(A233="COMPOSICAO",S!$A:$E,I!$A:$E),3,FALSE)</f>
        <v>TUBO ACO GALVANIZADO COM COSTURA, CLASSE LEVE, DN 40 MM (1 1/2"), E = 3,00 MM, *3,48* KG/M (NBR 5580)</v>
      </c>
      <c r="E233" s="23" t="str">
        <f>VLOOKUP(B233,IF(A233="COMPOSICAO",S!$A:$E,I!$A:$E),4,FALSE)</f>
        <v>M</v>
      </c>
      <c r="F233" s="23">
        <v>6</v>
      </c>
      <c r="G233" s="71">
        <f>IF(A233="COMPOSICAO",VLOOKUP("TOTAL SEM BDI - "&amp;B233,CPUAUX1!$A:$J,9,FALSE),VLOOKUP(B233,I!$A:$E,5,FALSE))</f>
        <v>51.49</v>
      </c>
      <c r="H233" s="72"/>
      <c r="I233" s="71">
        <f t="shared" si="4"/>
        <v>308.94</v>
      </c>
      <c r="J233" s="72"/>
      <c r="M233" s="23">
        <f t="shared" si="5"/>
        <v>21012</v>
      </c>
      <c r="N233" s="5">
        <f>SUMIF(ORCAMENTO!B:B,B218,ORCAMENTO!F:F)</f>
        <v>5</v>
      </c>
      <c r="O233" s="23">
        <f t="shared" si="6"/>
        <v>30</v>
      </c>
      <c r="Q233" s="23">
        <f ca="1">IFERROR(SUMIF(CO!B:B,B218,OFFSET(CO!F:F,0,(4+MATCH(ETAPA,CO!$J$6:$P$6,0)))),0)</f>
        <v>2</v>
      </c>
      <c r="R233" s="23">
        <f t="shared" ca="1" si="7"/>
        <v>12</v>
      </c>
    </row>
    <row r="234" spans="1:18" x14ac:dyDescent="0.3">
      <c r="A234" s="68" t="str">
        <f>"TOTAL SEM BDI - "&amp;B218</f>
        <v>TOTAL SEM BDI - COMPOS21</v>
      </c>
      <c r="B234" s="69"/>
      <c r="C234" s="69"/>
      <c r="D234" s="69"/>
      <c r="E234" s="69"/>
      <c r="F234" s="69"/>
      <c r="G234" s="69"/>
      <c r="H234" s="70"/>
      <c r="I234" s="71">
        <f>SUM(I218:I233)</f>
        <v>2135.96</v>
      </c>
      <c r="J234" s="72"/>
    </row>
    <row r="235" spans="1:18" x14ac:dyDescent="0.3">
      <c r="A235" s="68" t="str">
        <f>"TAXA DE BDI ("&amp;TEXT(BDI,"00,00")&amp;" %)"</f>
        <v>TAXA DE BDI (24,84 %)</v>
      </c>
      <c r="B235" s="69"/>
      <c r="C235" s="69"/>
      <c r="D235" s="69"/>
      <c r="E235" s="69"/>
      <c r="F235" s="69"/>
      <c r="G235" s="69"/>
      <c r="H235" s="70"/>
      <c r="I235" s="71">
        <f>ROUND(I234*(BDI/100),2)</f>
        <v>530.57000000000005</v>
      </c>
      <c r="J235" s="72"/>
    </row>
    <row r="236" spans="1:18" x14ac:dyDescent="0.3">
      <c r="A236" s="68" t="str">
        <f>"TOTAL COM BDI - "&amp;B218</f>
        <v>TOTAL COM BDI - COMPOS21</v>
      </c>
      <c r="B236" s="69"/>
      <c r="C236" s="69"/>
      <c r="D236" s="69"/>
      <c r="E236" s="69"/>
      <c r="F236" s="69"/>
      <c r="G236" s="69"/>
      <c r="H236" s="70"/>
      <c r="I236" s="71">
        <f>SUM(I234:I235)</f>
        <v>2666.53</v>
      </c>
      <c r="J236" s="72"/>
    </row>
    <row r="238" spans="1:18" x14ac:dyDescent="0.3">
      <c r="A238" s="4" t="s">
        <v>1018</v>
      </c>
      <c r="B238" s="4" t="s">
        <v>138</v>
      </c>
      <c r="C238" s="4" t="s">
        <v>139</v>
      </c>
      <c r="D238" s="4" t="s">
        <v>21</v>
      </c>
      <c r="E238" s="4" t="s">
        <v>140</v>
      </c>
      <c r="F238" s="4" t="s">
        <v>506</v>
      </c>
      <c r="G238" s="34" t="s">
        <v>1019</v>
      </c>
      <c r="H238" s="35"/>
      <c r="I238" s="34" t="s">
        <v>15</v>
      </c>
      <c r="J238" s="35"/>
    </row>
    <row r="239" spans="1:18" ht="30" customHeight="1" x14ac:dyDescent="0.3">
      <c r="A239" s="15" t="s">
        <v>1031</v>
      </c>
      <c r="B239" s="15" t="s">
        <v>568</v>
      </c>
      <c r="C239" s="15" t="str">
        <f>VLOOKUP(B239,S!$A:$G,2,FALSE)</f>
        <v>PRÓPRIA</v>
      </c>
      <c r="D239" s="22" t="str">
        <f>VLOOKUP(B239,S!$A:$G,3,FALSE)</f>
        <v>AQUISIÇÃO E INSTALAÇÃO DE DOSADOR DE CLORO</v>
      </c>
      <c r="E239" s="15" t="str">
        <f>VLOOKUP(B239,S!$A:$G,4,FALSE)</f>
        <v>UND</v>
      </c>
      <c r="F239" s="15"/>
      <c r="G239" s="73">
        <f>I251</f>
        <v>1090.75</v>
      </c>
      <c r="H239" s="74"/>
      <c r="I239" s="73"/>
      <c r="J239" s="74"/>
      <c r="K239" s="16">
        <f>VLOOKUP(B239,S!A:G,5,FALSE)</f>
        <v>0</v>
      </c>
      <c r="L239" s="15" t="s">
        <v>1021</v>
      </c>
    </row>
    <row r="240" spans="1:18" ht="30" customHeight="1" x14ac:dyDescent="0.3">
      <c r="A240" s="23" t="s">
        <v>1022</v>
      </c>
      <c r="B240" s="23">
        <v>88267</v>
      </c>
      <c r="C240" s="23" t="str">
        <f>VLOOKUP(B240,IF(A240="COMPOSICAO",S!$A:$E,I!$A:$E),2,FALSE)</f>
        <v>SINAPI</v>
      </c>
      <c r="D240" s="24" t="str">
        <f>VLOOKUP(B240,IF(A240="COMPOSICAO",S!$A:$E,I!$A:$E),3,FALSE)</f>
        <v>ENCANADOR OU BOMBEIRO HIDRÁULICO COM ENCARGOS COMPLEMENTARES</v>
      </c>
      <c r="E240" s="23" t="str">
        <f>VLOOKUP(B240,IF(A240="COMPOSICAO",S!$A:$E,I!$A:$E),4,FALSE)</f>
        <v>H</v>
      </c>
      <c r="F240" s="23">
        <f>4/pcf</f>
        <v>4</v>
      </c>
      <c r="G240" s="71">
        <f>IF(A240="COMPOSICAO",VLOOKUP("TOTAL SEM BDI - "&amp;B240,CPUAUX1!$A:$J,9,FALSE),VLOOKUP(B240,I!$A:$E,5,FALSE))</f>
        <v>26.669999999999998</v>
      </c>
      <c r="H240" s="72"/>
      <c r="I240" s="71">
        <f t="shared" ref="I240:I250" si="8">TRUNC(F240*G240,2)</f>
        <v>106.68</v>
      </c>
      <c r="J240" s="72"/>
      <c r="M240" s="23">
        <f t="shared" ref="M240:M250" si="9">B240</f>
        <v>88267</v>
      </c>
      <c r="N240" s="5">
        <f>SUMIF(ORCAMENTO!B:B,B239,ORCAMENTO!F:F)</f>
        <v>5</v>
      </c>
      <c r="O240" s="23">
        <f t="shared" ref="O240:O250" si="10">F240*N240</f>
        <v>20</v>
      </c>
      <c r="Q240" s="23">
        <f ca="1">IFERROR(SUMIF(CO!B:B,B239,OFFSET(CO!F:F,0,(4+MATCH(ETAPA,CO!$J$6:$P$6,0)))),0)</f>
        <v>2</v>
      </c>
      <c r="R240" s="23">
        <f t="shared" ref="R240:R250" ca="1" si="11">F240*Q240</f>
        <v>8</v>
      </c>
    </row>
    <row r="241" spans="1:18" ht="30" customHeight="1" x14ac:dyDescent="0.3">
      <c r="A241" s="23" t="s">
        <v>1022</v>
      </c>
      <c r="B241" s="23">
        <v>88248</v>
      </c>
      <c r="C241" s="23" t="str">
        <f>VLOOKUP(B241,IF(A241="COMPOSICAO",S!$A:$E,I!$A:$E),2,FALSE)</f>
        <v>SINAPI</v>
      </c>
      <c r="D241" s="24" t="str">
        <f>VLOOKUP(B241,IF(A241="COMPOSICAO",S!$A:$E,I!$A:$E),3,FALSE)</f>
        <v>AUXILIAR DE ENCANADOR OU BOMBEIRO HIDRÁULICO COM ENCARGOS COMPLEMENTARES</v>
      </c>
      <c r="E241" s="23" t="str">
        <f>VLOOKUP(B241,IF(A241="COMPOSICAO",S!$A:$E,I!$A:$E),4,FALSE)</f>
        <v>H</v>
      </c>
      <c r="F241" s="23">
        <f>4/pcf</f>
        <v>4</v>
      </c>
      <c r="G241" s="71">
        <f>IF(A241="COMPOSICAO",VLOOKUP("TOTAL SEM BDI - "&amp;B241,CPUAUX1!$A:$J,9,FALSE),VLOOKUP(B241,I!$A:$E,5,FALSE))</f>
        <v>21.82</v>
      </c>
      <c r="H241" s="72"/>
      <c r="I241" s="71">
        <f t="shared" si="8"/>
        <v>87.28</v>
      </c>
      <c r="J241" s="72"/>
      <c r="M241" s="23">
        <f t="shared" si="9"/>
        <v>88248</v>
      </c>
      <c r="N241" s="5">
        <f>SUMIF(ORCAMENTO!B:B,B239,ORCAMENTO!F:F)</f>
        <v>5</v>
      </c>
      <c r="O241" s="23">
        <f t="shared" si="10"/>
        <v>20</v>
      </c>
      <c r="Q241" s="23">
        <f ca="1">IFERROR(SUMIF(CO!B:B,B239,OFFSET(CO!F:F,0,(4+MATCH(ETAPA,CO!$J$6:$P$6,0)))),0)</f>
        <v>2</v>
      </c>
      <c r="R241" s="23">
        <f t="shared" ca="1" si="11"/>
        <v>8</v>
      </c>
    </row>
    <row r="242" spans="1:18" ht="30" customHeight="1" x14ac:dyDescent="0.3">
      <c r="A242" s="23" t="s">
        <v>1025</v>
      </c>
      <c r="B242" s="23">
        <v>108</v>
      </c>
      <c r="C242" s="23" t="str">
        <f>VLOOKUP(B242,IF(A242="COMPOSICAO",S!$A:$E,I!$A:$E),2,FALSE)</f>
        <v>SINAPI</v>
      </c>
      <c r="D242" s="24" t="str">
        <f>VLOOKUP(B242,IF(A242="COMPOSICAO",S!$A:$E,I!$A:$E),3,FALSE)</f>
        <v>ADAPTADOR PVC SOLDAVEL CURTO COM BOLSA E ROSCA, 32 MM X 1", PARA AGUA FRIA</v>
      </c>
      <c r="E242" s="23" t="str">
        <f>VLOOKUP(B242,IF(A242="COMPOSICAO",S!$A:$E,I!$A:$E),4,FALSE)</f>
        <v>UN</v>
      </c>
      <c r="F242" s="23">
        <v>4</v>
      </c>
      <c r="G242" s="71">
        <f>IF(A242="COMPOSICAO",VLOOKUP("TOTAL SEM BDI - "&amp;B242,CPUAUX1!$A:$J,9,FALSE),VLOOKUP(B242,I!$A:$E,5,FALSE))</f>
        <v>1.79</v>
      </c>
      <c r="H242" s="72"/>
      <c r="I242" s="71">
        <f t="shared" si="8"/>
        <v>7.16</v>
      </c>
      <c r="J242" s="72"/>
      <c r="M242" s="23">
        <f t="shared" si="9"/>
        <v>108</v>
      </c>
      <c r="N242" s="5">
        <f>SUMIF(ORCAMENTO!B:B,B239,ORCAMENTO!F:F)</f>
        <v>5</v>
      </c>
      <c r="O242" s="23">
        <f t="shared" si="10"/>
        <v>20</v>
      </c>
      <c r="Q242" s="23">
        <f ca="1">IFERROR(SUMIF(CO!B:B,B239,OFFSET(CO!F:F,0,(4+MATCH(ETAPA,CO!$J$6:$P$6,0)))),0)</f>
        <v>2</v>
      </c>
      <c r="R242" s="23">
        <f t="shared" ca="1" si="11"/>
        <v>8</v>
      </c>
    </row>
    <row r="243" spans="1:18" x14ac:dyDescent="0.3">
      <c r="A243" s="23" t="s">
        <v>1025</v>
      </c>
      <c r="B243" s="23" t="s">
        <v>1049</v>
      </c>
      <c r="C243" s="23" t="str">
        <f>VLOOKUP(B243,IF(A243="COMPOSICAO",S!$A:$E,I!$A:$E),2,FALSE)</f>
        <v>ORSE</v>
      </c>
      <c r="D243" s="24" t="str">
        <f>VLOOKUP(B243,IF(A243="COMPOSICAO",S!$A:$E,I!$A:$E),3,FALSE)</f>
        <v>LUVA PVC RIGIDO ROSCAVEL D=1 "</v>
      </c>
      <c r="E243" s="23" t="str">
        <f>VLOOKUP(B243,IF(A243="COMPOSICAO",S!$A:$E,I!$A:$E),4,FALSE)</f>
        <v>UN</v>
      </c>
      <c r="F243" s="23">
        <v>2</v>
      </c>
      <c r="G243" s="71">
        <f>IF(A243="COMPOSICAO",VLOOKUP("TOTAL SEM BDI - "&amp;B243,CPUAUX1!$A:$J,9,FALSE),VLOOKUP(B243,I!$A:$E,5,FALSE))</f>
        <v>4.3899999999999997</v>
      </c>
      <c r="H243" s="72"/>
      <c r="I243" s="71">
        <f t="shared" si="8"/>
        <v>8.7799999999999994</v>
      </c>
      <c r="J243" s="72"/>
      <c r="M243" s="23" t="str">
        <f t="shared" si="9"/>
        <v>01431/ORSE</v>
      </c>
      <c r="N243" s="5">
        <f>SUMIF(ORCAMENTO!B:B,B239,ORCAMENTO!F:F)</f>
        <v>5</v>
      </c>
      <c r="O243" s="23">
        <f t="shared" si="10"/>
        <v>10</v>
      </c>
      <c r="Q243" s="23">
        <f ca="1">IFERROR(SUMIF(CO!B:B,B239,OFFSET(CO!F:F,0,(4+MATCH(ETAPA,CO!$J$6:$P$6,0)))),0)</f>
        <v>2</v>
      </c>
      <c r="R243" s="23">
        <f t="shared" ca="1" si="11"/>
        <v>4</v>
      </c>
    </row>
    <row r="244" spans="1:18" ht="30" customHeight="1" x14ac:dyDescent="0.3">
      <c r="A244" s="23" t="s">
        <v>1025</v>
      </c>
      <c r="B244" s="23">
        <v>1957</v>
      </c>
      <c r="C244" s="23" t="str">
        <f>VLOOKUP(B244,IF(A244="COMPOSICAO",S!$A:$E,I!$A:$E),2,FALSE)</f>
        <v>SINAPI</v>
      </c>
      <c r="D244" s="24" t="str">
        <f>VLOOKUP(B244,IF(A244="COMPOSICAO",S!$A:$E,I!$A:$E),3,FALSE)</f>
        <v>CURVA DE PVC 90 GRAUS, SOLDAVEL, 32 MM, COR MARROM, PARA AGUA FRIA PREDIAL</v>
      </c>
      <c r="E244" s="23" t="str">
        <f>VLOOKUP(B244,IF(A244="COMPOSICAO",S!$A:$E,I!$A:$E),4,FALSE)</f>
        <v>UN</v>
      </c>
      <c r="F244" s="23">
        <v>4</v>
      </c>
      <c r="G244" s="71">
        <f>IF(A244="COMPOSICAO",VLOOKUP("TOTAL SEM BDI - "&amp;B244,CPUAUX1!$A:$J,9,FALSE),VLOOKUP(B244,I!$A:$E,5,FALSE))</f>
        <v>6.45</v>
      </c>
      <c r="H244" s="72"/>
      <c r="I244" s="71">
        <f t="shared" si="8"/>
        <v>25.8</v>
      </c>
      <c r="J244" s="72"/>
      <c r="M244" s="23">
        <f t="shared" si="9"/>
        <v>1957</v>
      </c>
      <c r="N244" s="5">
        <f>SUMIF(ORCAMENTO!B:B,B239,ORCAMENTO!F:F)</f>
        <v>5</v>
      </c>
      <c r="O244" s="23">
        <f t="shared" si="10"/>
        <v>20</v>
      </c>
      <c r="Q244" s="23">
        <f ca="1">IFERROR(SUMIF(CO!B:B,B239,OFFSET(CO!F:F,0,(4+MATCH(ETAPA,CO!$J$6:$P$6,0)))),0)</f>
        <v>2</v>
      </c>
      <c r="R244" s="23">
        <f t="shared" ca="1" si="11"/>
        <v>8</v>
      </c>
    </row>
    <row r="245" spans="1:18" ht="30" customHeight="1" x14ac:dyDescent="0.3">
      <c r="A245" s="23" t="s">
        <v>1025</v>
      </c>
      <c r="B245" s="23">
        <v>11675</v>
      </c>
      <c r="C245" s="23" t="str">
        <f>VLOOKUP(B245,IF(A245="COMPOSICAO",S!$A:$E,I!$A:$E),2,FALSE)</f>
        <v>SINAPI</v>
      </c>
      <c r="D245" s="24" t="str">
        <f>VLOOKUP(B245,IF(A245="COMPOSICAO",S!$A:$E,I!$A:$E),3,FALSE)</f>
        <v>REGISTRO DE ESFERA, PVC, COM VOLANTE, VS, SOLDAVEL, DN 32 MM, COM CORPO DIVIDIDO</v>
      </c>
      <c r="E245" s="23" t="str">
        <f>VLOOKUP(B245,IF(A245="COMPOSICAO",S!$A:$E,I!$A:$E),4,FALSE)</f>
        <v>UN</v>
      </c>
      <c r="F245" s="23">
        <v>3</v>
      </c>
      <c r="G245" s="71">
        <f>IF(A245="COMPOSICAO",VLOOKUP("TOTAL SEM BDI - "&amp;B245,CPUAUX1!$A:$J,9,FALSE),VLOOKUP(B245,I!$A:$E,5,FALSE))</f>
        <v>47.8</v>
      </c>
      <c r="H245" s="72"/>
      <c r="I245" s="71">
        <f t="shared" si="8"/>
        <v>143.4</v>
      </c>
      <c r="J245" s="72"/>
      <c r="M245" s="23">
        <f t="shared" si="9"/>
        <v>11675</v>
      </c>
      <c r="N245" s="5">
        <f>SUMIF(ORCAMENTO!B:B,B239,ORCAMENTO!F:F)</f>
        <v>5</v>
      </c>
      <c r="O245" s="23">
        <f t="shared" si="10"/>
        <v>15</v>
      </c>
      <c r="Q245" s="23">
        <f ca="1">IFERROR(SUMIF(CO!B:B,B239,OFFSET(CO!F:F,0,(4+MATCH(ETAPA,CO!$J$6:$P$6,0)))),0)</f>
        <v>2</v>
      </c>
      <c r="R245" s="23">
        <f t="shared" ca="1" si="11"/>
        <v>6</v>
      </c>
    </row>
    <row r="246" spans="1:18" ht="30" customHeight="1" x14ac:dyDescent="0.3">
      <c r="A246" s="23" t="s">
        <v>1025</v>
      </c>
      <c r="B246" s="23">
        <v>7140</v>
      </c>
      <c r="C246" s="23" t="str">
        <f>VLOOKUP(B246,IF(A246="COMPOSICAO",S!$A:$E,I!$A:$E),2,FALSE)</f>
        <v>SINAPI</v>
      </c>
      <c r="D246" s="24" t="str">
        <f>VLOOKUP(B246,IF(A246="COMPOSICAO",S!$A:$E,I!$A:$E),3,FALSE)</f>
        <v>TE SOLDAVEL, PVC, 90 GRAUS, 32 MM, PARA AGUA FRIA PREDIAL (NBR 5648)</v>
      </c>
      <c r="E246" s="23" t="str">
        <f>VLOOKUP(B246,IF(A246="COMPOSICAO",S!$A:$E,I!$A:$E),4,FALSE)</f>
        <v>UN</v>
      </c>
      <c r="F246" s="23">
        <v>1</v>
      </c>
      <c r="G246" s="71">
        <f>IF(A246="COMPOSICAO",VLOOKUP("TOTAL SEM BDI - "&amp;B246,CPUAUX1!$A:$J,9,FALSE),VLOOKUP(B246,I!$A:$E,5,FALSE))</f>
        <v>3.77</v>
      </c>
      <c r="H246" s="72"/>
      <c r="I246" s="71">
        <f t="shared" si="8"/>
        <v>3.77</v>
      </c>
      <c r="J246" s="72"/>
      <c r="M246" s="23">
        <f t="shared" si="9"/>
        <v>7140</v>
      </c>
      <c r="N246" s="5">
        <f>SUMIF(ORCAMENTO!B:B,B239,ORCAMENTO!F:F)</f>
        <v>5</v>
      </c>
      <c r="O246" s="23">
        <f t="shared" si="10"/>
        <v>5</v>
      </c>
      <c r="Q246" s="23">
        <f ca="1">IFERROR(SUMIF(CO!B:B,B239,OFFSET(CO!F:F,0,(4+MATCH(ETAPA,CO!$J$6:$P$6,0)))),0)</f>
        <v>2</v>
      </c>
      <c r="R246" s="23">
        <f t="shared" ca="1" si="11"/>
        <v>2</v>
      </c>
    </row>
    <row r="247" spans="1:18" ht="30" customHeight="1" x14ac:dyDescent="0.3">
      <c r="A247" s="23" t="s">
        <v>1025</v>
      </c>
      <c r="B247" s="23">
        <v>3536</v>
      </c>
      <c r="C247" s="23" t="str">
        <f>VLOOKUP(B247,IF(A247="COMPOSICAO",S!$A:$E,I!$A:$E),2,FALSE)</f>
        <v>SINAPI</v>
      </c>
      <c r="D247" s="24" t="str">
        <f>VLOOKUP(B247,IF(A247="COMPOSICAO",S!$A:$E,I!$A:$E),3,FALSE)</f>
        <v>JOELHO PVC, SOLDAVEL, 90 GRAUS, 32 MM, COR MARROM, PARA AGUA FRIA PREDIAL</v>
      </c>
      <c r="E247" s="23" t="str">
        <f>VLOOKUP(B247,IF(A247="COMPOSICAO",S!$A:$E,I!$A:$E),4,FALSE)</f>
        <v>UN</v>
      </c>
      <c r="F247" s="23">
        <v>1</v>
      </c>
      <c r="G247" s="71">
        <f>IF(A247="COMPOSICAO",VLOOKUP("TOTAL SEM BDI - "&amp;B247,CPUAUX1!$A:$J,9,FALSE),VLOOKUP(B247,I!$A:$E,5,FALSE))</f>
        <v>2.42</v>
      </c>
      <c r="H247" s="72"/>
      <c r="I247" s="71">
        <f t="shared" si="8"/>
        <v>2.42</v>
      </c>
      <c r="J247" s="72"/>
      <c r="M247" s="23">
        <f t="shared" si="9"/>
        <v>3536</v>
      </c>
      <c r="N247" s="5">
        <f>SUMIF(ORCAMENTO!B:B,B239,ORCAMENTO!F:F)</f>
        <v>5</v>
      </c>
      <c r="O247" s="23">
        <f t="shared" si="10"/>
        <v>5</v>
      </c>
      <c r="Q247" s="23">
        <f ca="1">IFERROR(SUMIF(CO!B:B,B239,OFFSET(CO!F:F,0,(4+MATCH(ETAPA,CO!$J$6:$P$6,0)))),0)</f>
        <v>2</v>
      </c>
      <c r="R247" s="23">
        <f t="shared" ca="1" si="11"/>
        <v>2</v>
      </c>
    </row>
    <row r="248" spans="1:18" ht="30" customHeight="1" x14ac:dyDescent="0.3">
      <c r="A248" s="23" t="s">
        <v>1025</v>
      </c>
      <c r="B248" s="23">
        <v>9869</v>
      </c>
      <c r="C248" s="23" t="str">
        <f>VLOOKUP(B248,IF(A248="COMPOSICAO",S!$A:$E,I!$A:$E),2,FALSE)</f>
        <v>SINAPI</v>
      </c>
      <c r="D248" s="24" t="str">
        <f>VLOOKUP(B248,IF(A248="COMPOSICAO",S!$A:$E,I!$A:$E),3,FALSE)</f>
        <v>TUBO PVC, SOLDAVEL, DE 32 MM, AGUA FRIA (NBR-5648)</v>
      </c>
      <c r="E248" s="23" t="str">
        <f>VLOOKUP(B248,IF(A248="COMPOSICAO",S!$A:$E,I!$A:$E),4,FALSE)</f>
        <v>M</v>
      </c>
      <c r="F248" s="23">
        <v>2</v>
      </c>
      <c r="G248" s="71">
        <f>IF(A248="COMPOSICAO",VLOOKUP("TOTAL SEM BDI - "&amp;B248,CPUAUX1!$A:$J,9,FALSE),VLOOKUP(B248,I!$A:$E,5,FALSE))</f>
        <v>8.9499999999999993</v>
      </c>
      <c r="H248" s="72"/>
      <c r="I248" s="71">
        <f t="shared" si="8"/>
        <v>17.899999999999999</v>
      </c>
      <c r="J248" s="72"/>
      <c r="M248" s="23">
        <f t="shared" si="9"/>
        <v>9869</v>
      </c>
      <c r="N248" s="5">
        <f>SUMIF(ORCAMENTO!B:B,B239,ORCAMENTO!F:F)</f>
        <v>5</v>
      </c>
      <c r="O248" s="23">
        <f t="shared" si="10"/>
        <v>10</v>
      </c>
      <c r="Q248" s="23">
        <f ca="1">IFERROR(SUMIF(CO!B:B,B239,OFFSET(CO!F:F,0,(4+MATCH(ETAPA,CO!$J$6:$P$6,0)))),0)</f>
        <v>2</v>
      </c>
      <c r="R248" s="23">
        <f t="shared" ca="1" si="11"/>
        <v>4</v>
      </c>
    </row>
    <row r="249" spans="1:18" x14ac:dyDescent="0.3">
      <c r="A249" s="23" t="s">
        <v>1023</v>
      </c>
      <c r="B249" s="23" t="s">
        <v>1050</v>
      </c>
      <c r="C249" s="23" t="str">
        <f>VLOOKUP(B249,IF(A249="COMPOSICAO",S!$A:$E,I!$A:$E),2,FALSE)</f>
        <v>PRÓPRIA</v>
      </c>
      <c r="D249" s="24" t="str">
        <f>VLOOKUP(B249,IF(A249="COMPOSICAO",S!$A:$E,I!$A:$E),3,FALSE)</f>
        <v>COLAR DE TOMADA FOFO PARA PVC 40MM X 32MM</v>
      </c>
      <c r="E249" s="23" t="str">
        <f>VLOOKUP(B249,IF(A249="COMPOSICAO",S!$A:$E,I!$A:$E),4,FALSE)</f>
        <v>UND</v>
      </c>
      <c r="F249" s="23">
        <v>2</v>
      </c>
      <c r="G249" s="71">
        <f>IF(A249="COMPOSICAO",VLOOKUP("TOTAL SEM BDI - "&amp;B249,CPUAUX1!$A:$J,9,FALSE),VLOOKUP(B249,I!$A:$E,5,FALSE))</f>
        <v>20</v>
      </c>
      <c r="H249" s="72"/>
      <c r="I249" s="71">
        <f t="shared" si="8"/>
        <v>40</v>
      </c>
      <c r="J249" s="72"/>
      <c r="M249" s="23" t="str">
        <f t="shared" si="9"/>
        <v>COTA10</v>
      </c>
      <c r="N249" s="5">
        <f>SUMIF(ORCAMENTO!B:B,B239,ORCAMENTO!F:F)</f>
        <v>5</v>
      </c>
      <c r="O249" s="23">
        <f t="shared" si="10"/>
        <v>10</v>
      </c>
      <c r="Q249" s="23">
        <f ca="1">IFERROR(SUMIF(CO!B:B,B239,OFFSET(CO!F:F,0,(4+MATCH(ETAPA,CO!$J$6:$P$6,0)))),0)</f>
        <v>2</v>
      </c>
      <c r="R249" s="23">
        <f t="shared" ca="1" si="11"/>
        <v>4</v>
      </c>
    </row>
    <row r="250" spans="1:18" ht="30" customHeight="1" x14ac:dyDescent="0.3">
      <c r="A250" s="23" t="s">
        <v>1025</v>
      </c>
      <c r="B250" s="23" t="s">
        <v>1051</v>
      </c>
      <c r="C250" s="23" t="str">
        <f>VLOOKUP(B250,IF(A250="COMPOSICAO",S!$A:$E,I!$A:$E),2,FALSE)</f>
        <v>ORSE</v>
      </c>
      <c r="D250" s="24" t="str">
        <f>VLOOKUP(B250,IF(A250="COMPOSICAO",S!$A:$E,I!$A:$E),3,FALSE)</f>
        <v>HIPOCLORADOR OU DOSADOR DE SOLUÇÕES, COM REGULADOR P/ 6,12 OU 24 L/H</v>
      </c>
      <c r="E250" s="23" t="str">
        <f>VLOOKUP(B250,IF(A250="COMPOSICAO",S!$A:$E,I!$A:$E),4,FALSE)</f>
        <v>UN</v>
      </c>
      <c r="F250" s="23">
        <v>1</v>
      </c>
      <c r="G250" s="71">
        <f>IF(A250="COMPOSICAO",VLOOKUP("TOTAL SEM BDI - "&amp;B250,CPUAUX1!$A:$J,9,FALSE),VLOOKUP(B250,I!$A:$E,5,FALSE))</f>
        <v>647.55999999999995</v>
      </c>
      <c r="H250" s="72"/>
      <c r="I250" s="71">
        <f t="shared" si="8"/>
        <v>647.55999999999995</v>
      </c>
      <c r="J250" s="72"/>
      <c r="M250" s="23" t="str">
        <f t="shared" si="9"/>
        <v>07065/ORSE</v>
      </c>
      <c r="N250" s="5">
        <f>SUMIF(ORCAMENTO!B:B,B239,ORCAMENTO!F:F)</f>
        <v>5</v>
      </c>
      <c r="O250" s="23">
        <f t="shared" si="10"/>
        <v>5</v>
      </c>
      <c r="Q250" s="23">
        <f ca="1">IFERROR(SUMIF(CO!B:B,B239,OFFSET(CO!F:F,0,(4+MATCH(ETAPA,CO!$J$6:$P$6,0)))),0)</f>
        <v>2</v>
      </c>
      <c r="R250" s="23">
        <f t="shared" ca="1" si="11"/>
        <v>2</v>
      </c>
    </row>
    <row r="251" spans="1:18" x14ac:dyDescent="0.3">
      <c r="A251" s="68" t="str">
        <f>"TOTAL SEM BDI - "&amp;B239</f>
        <v>TOTAL SEM BDI - COMPOS26</v>
      </c>
      <c r="B251" s="69"/>
      <c r="C251" s="69"/>
      <c r="D251" s="69"/>
      <c r="E251" s="69"/>
      <c r="F251" s="69"/>
      <c r="G251" s="69"/>
      <c r="H251" s="70"/>
      <c r="I251" s="71">
        <f>SUM(I239:I250)</f>
        <v>1090.75</v>
      </c>
      <c r="J251" s="72"/>
    </row>
    <row r="252" spans="1:18" x14ac:dyDescent="0.3">
      <c r="A252" s="68" t="str">
        <f>"TAXA DE BDI ("&amp;TEXT(BDI,"00,00")&amp;" %)"</f>
        <v>TAXA DE BDI (24,84 %)</v>
      </c>
      <c r="B252" s="69"/>
      <c r="C252" s="69"/>
      <c r="D252" s="69"/>
      <c r="E252" s="69"/>
      <c r="F252" s="69"/>
      <c r="G252" s="69"/>
      <c r="H252" s="70"/>
      <c r="I252" s="71">
        <f>ROUND(I251*(BDI/100),2)</f>
        <v>270.94</v>
      </c>
      <c r="J252" s="72"/>
    </row>
    <row r="253" spans="1:18" x14ac:dyDescent="0.3">
      <c r="A253" s="68" t="str">
        <f>"TOTAL COM BDI - "&amp;B239</f>
        <v>TOTAL COM BDI - COMPOS26</v>
      </c>
      <c r="B253" s="69"/>
      <c r="C253" s="69"/>
      <c r="D253" s="69"/>
      <c r="E253" s="69"/>
      <c r="F253" s="69"/>
      <c r="G253" s="69"/>
      <c r="H253" s="70"/>
      <c r="I253" s="71">
        <f>SUM(I251:I252)</f>
        <v>1361.69</v>
      </c>
      <c r="J253" s="72"/>
    </row>
    <row r="255" spans="1:18" x14ac:dyDescent="0.3">
      <c r="A255" s="4" t="s">
        <v>1018</v>
      </c>
      <c r="B255" s="4" t="s">
        <v>138</v>
      </c>
      <c r="C255" s="4" t="s">
        <v>139</v>
      </c>
      <c r="D255" s="4" t="s">
        <v>21</v>
      </c>
      <c r="E255" s="4" t="s">
        <v>140</v>
      </c>
      <c r="F255" s="4" t="s">
        <v>506</v>
      </c>
      <c r="G255" s="34" t="s">
        <v>1019</v>
      </c>
      <c r="H255" s="35"/>
      <c r="I255" s="34" t="s">
        <v>15</v>
      </c>
      <c r="J255" s="35"/>
    </row>
    <row r="256" spans="1:18" ht="30" customHeight="1" x14ac:dyDescent="0.3">
      <c r="A256" s="15" t="s">
        <v>1052</v>
      </c>
      <c r="B256" s="15">
        <v>98524</v>
      </c>
      <c r="C256" s="15" t="str">
        <f>VLOOKUP(B256,S!$A:$G,2,FALSE)</f>
        <v>SINAPI</v>
      </c>
      <c r="D256" s="22" t="str">
        <f>VLOOKUP(B256,S!$A:$G,3,FALSE)</f>
        <v>LIMPEZA MANUAL DE VEGETAÇÃO EM TERRENO COM ENXADA. AF_03/2024</v>
      </c>
      <c r="E256" s="15" t="str">
        <f>VLOOKUP(B256,S!$A:$G,4,FALSE)</f>
        <v>M2</v>
      </c>
      <c r="F256" s="15"/>
      <c r="G256" s="73">
        <f>I258</f>
        <v>4.62</v>
      </c>
      <c r="H256" s="74"/>
      <c r="I256" s="73"/>
      <c r="J256" s="74"/>
      <c r="K256" s="16">
        <f>VLOOKUP(B256,S!A:G,5,FALSE)</f>
        <v>4.62</v>
      </c>
      <c r="L256" s="15" t="str">
        <f>IF(K256=G256,"OK, CONFORME TABELA",IF(G256&gt;K256,"ACIMA DA TABELA: ","ABAIXO DA TABELA: ")&amp;TRUNC((G256*100)/K256,2)&amp;" %")</f>
        <v>OK, CONFORME TABELA</v>
      </c>
    </row>
    <row r="257" spans="1:18" x14ac:dyDescent="0.3">
      <c r="A257" s="23" t="s">
        <v>1022</v>
      </c>
      <c r="B257" s="23">
        <v>88316</v>
      </c>
      <c r="C257" s="23" t="str">
        <f>VLOOKUP(B257,IF(A257="COMPOSICAO",S!$A:$E,I!$A:$E),2,FALSE)</f>
        <v>SINAPI</v>
      </c>
      <c r="D257" s="24" t="str">
        <f>VLOOKUP(B257,IF(A257="COMPOSICAO",S!$A:$E,I!$A:$E),3,FALSE)</f>
        <v>SERVENTE COM ENCARGOS COMPLEMENTARES</v>
      </c>
      <c r="E257" s="23" t="str">
        <f>VLOOKUP(B257,IF(A257="COMPOSICAO",S!$A:$E,I!$A:$E),4,FALSE)</f>
        <v>H</v>
      </c>
      <c r="F257" s="23">
        <f>0.2132/pcf</f>
        <v>0.2132</v>
      </c>
      <c r="G257" s="71">
        <f>IF(A257="COMPOSICAO",VLOOKUP("TOTAL SEM BDI - "&amp;B257,CPUAUX1!$A:$J,9,FALSE),VLOOKUP(B257,I!$A:$E,5,FALSE))</f>
        <v>21.71</v>
      </c>
      <c r="H257" s="72"/>
      <c r="I257" s="71">
        <f>TRUNC(F257*G257,2)</f>
        <v>4.62</v>
      </c>
      <c r="J257" s="72"/>
      <c r="M257" s="23">
        <f>B257</f>
        <v>88316</v>
      </c>
      <c r="N257" s="5">
        <f>SUMIF(ORCAMENTO!B:B,B256,ORCAMENTO!F:F)</f>
        <v>500</v>
      </c>
      <c r="O257" s="23">
        <f>F257*N257</f>
        <v>106.6</v>
      </c>
      <c r="Q257" s="23">
        <f ca="1">IFERROR(SUMIF(CO!B:B,B256,OFFSET(CO!F:F,0,(4+MATCH(ETAPA,CO!$J$6:$P$6,0)))),0)</f>
        <v>200</v>
      </c>
      <c r="R257" s="23">
        <f ca="1">F257*Q257</f>
        <v>42.64</v>
      </c>
    </row>
    <row r="258" spans="1:18" x14ac:dyDescent="0.3">
      <c r="A258" s="68" t="str">
        <f>"TOTAL SEM BDI - "&amp;B256</f>
        <v>TOTAL SEM BDI - 98524</v>
      </c>
      <c r="B258" s="69"/>
      <c r="C258" s="69"/>
      <c r="D258" s="69"/>
      <c r="E258" s="69"/>
      <c r="F258" s="69"/>
      <c r="G258" s="69"/>
      <c r="H258" s="70"/>
      <c r="I258" s="71">
        <f>SUM(I256:I257)</f>
        <v>4.62</v>
      </c>
      <c r="J258" s="72"/>
    </row>
    <row r="259" spans="1:18" x14ac:dyDescent="0.3">
      <c r="A259" s="68" t="str">
        <f>"TAXA DE BDI ("&amp;TEXT(BDI,"00,00")&amp;" %)"</f>
        <v>TAXA DE BDI (24,84 %)</v>
      </c>
      <c r="B259" s="69"/>
      <c r="C259" s="69"/>
      <c r="D259" s="69"/>
      <c r="E259" s="69"/>
      <c r="F259" s="69"/>
      <c r="G259" s="69"/>
      <c r="H259" s="70"/>
      <c r="I259" s="71">
        <f>ROUND(I258*(BDI/100),2)</f>
        <v>1.1499999999999999</v>
      </c>
      <c r="J259" s="72"/>
    </row>
    <row r="260" spans="1:18" x14ac:dyDescent="0.3">
      <c r="A260" s="68" t="str">
        <f>"TOTAL COM BDI - "&amp;B256</f>
        <v>TOTAL COM BDI - 98524</v>
      </c>
      <c r="B260" s="69"/>
      <c r="C260" s="69"/>
      <c r="D260" s="69"/>
      <c r="E260" s="69"/>
      <c r="F260" s="69"/>
      <c r="G260" s="69"/>
      <c r="H260" s="70"/>
      <c r="I260" s="71">
        <f>SUM(I258:I259)</f>
        <v>5.77</v>
      </c>
      <c r="J260" s="72"/>
    </row>
    <row r="262" spans="1:18" x14ac:dyDescent="0.3">
      <c r="A262" s="4" t="s">
        <v>1018</v>
      </c>
      <c r="B262" s="4" t="s">
        <v>138</v>
      </c>
      <c r="C262" s="4" t="s">
        <v>139</v>
      </c>
      <c r="D262" s="4" t="s">
        <v>21</v>
      </c>
      <c r="E262" s="4" t="s">
        <v>140</v>
      </c>
      <c r="F262" s="4" t="s">
        <v>506</v>
      </c>
      <c r="G262" s="34" t="s">
        <v>1019</v>
      </c>
      <c r="H262" s="35"/>
      <c r="I262" s="34" t="s">
        <v>15</v>
      </c>
      <c r="J262" s="35"/>
    </row>
    <row r="263" spans="1:18" ht="45" customHeight="1" x14ac:dyDescent="0.3">
      <c r="A263" s="15" t="s">
        <v>1053</v>
      </c>
      <c r="B263" s="15">
        <v>99059</v>
      </c>
      <c r="C263" s="15" t="str">
        <f>VLOOKUP(B263,S!$A:$G,2,FALSE)</f>
        <v>SINAPI</v>
      </c>
      <c r="D263" s="22" t="str">
        <f>VLOOKUP(B263,S!$A:$G,3,FALSE)</f>
        <v>LOCAÇÃO CONVENCIONAL DE OBRA, UTILIZANDO GABARITO DE TÁBUAS CORRIDAS PONTALETADAS A CADA 2,00M - 2 UTILIZAÇÕES. AF_03/2024</v>
      </c>
      <c r="E263" s="15" t="str">
        <f>VLOOKUP(B263,S!$A:$G,4,FALSE)</f>
        <v>M</v>
      </c>
      <c r="F263" s="15"/>
      <c r="G263" s="73">
        <f>I274</f>
        <v>60.260000000000005</v>
      </c>
      <c r="H263" s="74"/>
      <c r="I263" s="73"/>
      <c r="J263" s="74"/>
      <c r="K263" s="16">
        <f>VLOOKUP(B263,S!A:G,5,FALSE)</f>
        <v>60.26</v>
      </c>
      <c r="L263" s="15" t="str">
        <f>IF(K263=G263,"OK, CONFORME TABELA",IF(G263&gt;K263,"ACIMA DA TABELA: ","ABAIXO DA TABELA: ")&amp;TRUNC((G263*100)/K263,2)&amp;" %")</f>
        <v>OK, CONFORME TABELA</v>
      </c>
    </row>
    <row r="264" spans="1:18" ht="45" customHeight="1" x14ac:dyDescent="0.3">
      <c r="A264" s="23" t="s">
        <v>1022</v>
      </c>
      <c r="B264" s="23">
        <v>94974</v>
      </c>
      <c r="C264" s="23" t="str">
        <f>VLOOKUP(B264,IF(A264="COMPOSICAO",S!$A:$E,I!$A:$E),2,FALSE)</f>
        <v>SINAPI</v>
      </c>
      <c r="D264" s="24" t="str">
        <f>VLOOKUP(B264,IF(A264="COMPOSICAO",S!$A:$E,I!$A:$E),3,FALSE)</f>
        <v>CONCRETO MAGRO PARA LASTRO, TRAÇO 1:4,5:4,5 (EM MASSA SECA DE CIMENTO/ AREIA MÉDIA/ BRITA 1) - PREPARO MANUAL. AF_05/2021</v>
      </c>
      <c r="E264" s="23" t="str">
        <f>VLOOKUP(B264,IF(A264="COMPOSICAO",S!$A:$E,I!$A:$E),4,FALSE)</f>
        <v>M3</v>
      </c>
      <c r="F264" s="23">
        <v>4.0000000000000001E-3</v>
      </c>
      <c r="G264" s="71">
        <f>IF(A264="COMPOSICAO",VLOOKUP("TOTAL SEM BDI - "&amp;B264,CPUAUX1!$A:$J,9,FALSE),VLOOKUP(B264,I!$A:$E,5,FALSE))</f>
        <v>585.11</v>
      </c>
      <c r="H264" s="72"/>
      <c r="I264" s="71">
        <f t="shared" ref="I264:I273" si="12">TRUNC(F264*G264,2)</f>
        <v>2.34</v>
      </c>
      <c r="J264" s="72"/>
      <c r="M264" s="23">
        <f t="shared" ref="M264:M273" si="13">B264</f>
        <v>94974</v>
      </c>
      <c r="N264" s="5">
        <f>SUMIF(ORCAMENTO!B:B,B263,ORCAMENTO!F:F)</f>
        <v>220</v>
      </c>
      <c r="O264" s="23">
        <f t="shared" ref="O264:O273" si="14">F264*N264</f>
        <v>0.88</v>
      </c>
      <c r="Q264" s="23">
        <f ca="1">IFERROR(SUMIF(CO!B:B,B263,OFFSET(CO!F:F,0,(4+MATCH(ETAPA,CO!$J$6:$P$6,0)))),0)</f>
        <v>88</v>
      </c>
      <c r="R264" s="23">
        <f t="shared" ref="R264:R273" ca="1" si="15">F264*Q264</f>
        <v>0.35199999999999998</v>
      </c>
    </row>
    <row r="265" spans="1:18" ht="45" customHeight="1" x14ac:dyDescent="0.3">
      <c r="A265" s="23" t="s">
        <v>1022</v>
      </c>
      <c r="B265" s="23">
        <v>91693</v>
      </c>
      <c r="C265" s="23" t="str">
        <f>VLOOKUP(B265,IF(A265="COMPOSICAO",S!$A:$E,I!$A:$E),2,FALSE)</f>
        <v>SINAPI</v>
      </c>
      <c r="D265" s="24" t="str">
        <f>VLOOKUP(B265,IF(A265="COMPOSICAO",S!$A:$E,I!$A:$E),3,FALSE)</f>
        <v>SERRA CIRCULAR DE BANCADA COM MOTOR ELÉTRICO POTÊNCIA DE 5HP, COM COIFA PARA DISCO 10" - CHI DIURNO. AF_08/2015</v>
      </c>
      <c r="E265" s="23" t="str">
        <f>VLOOKUP(B265,IF(A265="COMPOSICAO",S!$A:$E,I!$A:$E),4,FALSE)</f>
        <v>CHI</v>
      </c>
      <c r="F265" s="23">
        <v>2.8000000000000001E-2</v>
      </c>
      <c r="G265" s="71">
        <f>IF(A265="COMPOSICAO",VLOOKUP("TOTAL SEM BDI - "&amp;B265,CPUAUX1!$A:$J,9,FALSE),VLOOKUP(B265,I!$A:$E,5,FALSE))</f>
        <v>27.3</v>
      </c>
      <c r="H265" s="72"/>
      <c r="I265" s="71">
        <f t="shared" si="12"/>
        <v>0.76</v>
      </c>
      <c r="J265" s="72"/>
      <c r="M265" s="23">
        <f t="shared" si="13"/>
        <v>91693</v>
      </c>
      <c r="N265" s="5">
        <f>SUMIF(ORCAMENTO!B:B,B263,ORCAMENTO!F:F)</f>
        <v>220</v>
      </c>
      <c r="O265" s="23">
        <f t="shared" si="14"/>
        <v>6.16</v>
      </c>
      <c r="Q265" s="23">
        <f ca="1">IFERROR(SUMIF(CO!B:B,B263,OFFSET(CO!F:F,0,(4+MATCH(ETAPA,CO!$J$6:$P$6,0)))),0)</f>
        <v>88</v>
      </c>
      <c r="R265" s="23">
        <f t="shared" ca="1" si="15"/>
        <v>2.464</v>
      </c>
    </row>
    <row r="266" spans="1:18" ht="45" customHeight="1" x14ac:dyDescent="0.3">
      <c r="A266" s="23" t="s">
        <v>1022</v>
      </c>
      <c r="B266" s="23">
        <v>91692</v>
      </c>
      <c r="C266" s="23" t="str">
        <f>VLOOKUP(B266,IF(A266="COMPOSICAO",S!$A:$E,I!$A:$E),2,FALSE)</f>
        <v>SINAPI</v>
      </c>
      <c r="D266" s="24" t="str">
        <f>VLOOKUP(B266,IF(A266="COMPOSICAO",S!$A:$E,I!$A:$E),3,FALSE)</f>
        <v>SERRA CIRCULAR DE BANCADA COM MOTOR ELÉTRICO POTÊNCIA DE 5HP, COM COIFA PARA DISCO 10" - CHP DIURNO. AF_08/2015</v>
      </c>
      <c r="E266" s="23" t="str">
        <f>VLOOKUP(B266,IF(A266="COMPOSICAO",S!$A:$E,I!$A:$E),4,FALSE)</f>
        <v>CHP</v>
      </c>
      <c r="F266" s="23">
        <v>7.0000000000000001E-3</v>
      </c>
      <c r="G266" s="71">
        <f>IF(A266="COMPOSICAO",VLOOKUP("TOTAL SEM BDI - "&amp;B266,CPUAUX1!$A:$J,9,FALSE),VLOOKUP(B266,I!$A:$E,5,FALSE))</f>
        <v>28.87</v>
      </c>
      <c r="H266" s="72"/>
      <c r="I266" s="71">
        <f t="shared" si="12"/>
        <v>0.2</v>
      </c>
      <c r="J266" s="72"/>
      <c r="M266" s="23">
        <f t="shared" si="13"/>
        <v>91692</v>
      </c>
      <c r="N266" s="5">
        <f>SUMIF(ORCAMENTO!B:B,B263,ORCAMENTO!F:F)</f>
        <v>220</v>
      </c>
      <c r="O266" s="23">
        <f t="shared" si="14"/>
        <v>1.54</v>
      </c>
      <c r="Q266" s="23">
        <f ca="1">IFERROR(SUMIF(CO!B:B,B263,OFFSET(CO!F:F,0,(4+MATCH(ETAPA,CO!$J$6:$P$6,0)))),0)</f>
        <v>88</v>
      </c>
      <c r="R266" s="23">
        <f t="shared" ca="1" si="15"/>
        <v>0.61599999999999999</v>
      </c>
    </row>
    <row r="267" spans="1:18" ht="30" customHeight="1" x14ac:dyDescent="0.3">
      <c r="A267" s="23" t="s">
        <v>1022</v>
      </c>
      <c r="B267" s="23">
        <v>88262</v>
      </c>
      <c r="C267" s="23" t="str">
        <f>VLOOKUP(B267,IF(A267="COMPOSICAO",S!$A:$E,I!$A:$E),2,FALSE)</f>
        <v>SINAPI</v>
      </c>
      <c r="D267" s="24" t="str">
        <f>VLOOKUP(B267,IF(A267="COMPOSICAO",S!$A:$E,I!$A:$E),3,FALSE)</f>
        <v>CARPINTEIRO DE FORMAS COM ENCARGOS COMPLEMENTARES</v>
      </c>
      <c r="E267" s="23" t="str">
        <f>VLOOKUP(B267,IF(A267="COMPOSICAO",S!$A:$E,I!$A:$E),4,FALSE)</f>
        <v>H</v>
      </c>
      <c r="F267" s="23">
        <f>0.7247/pcf</f>
        <v>0.72470000000000001</v>
      </c>
      <c r="G267" s="71">
        <f>IF(A267="COMPOSICAO",VLOOKUP("TOTAL SEM BDI - "&amp;B267,CPUAUX1!$A:$J,9,FALSE),VLOOKUP(B267,I!$A:$E,5,FALSE))</f>
        <v>26.97</v>
      </c>
      <c r="H267" s="72"/>
      <c r="I267" s="71">
        <f t="shared" si="12"/>
        <v>19.54</v>
      </c>
      <c r="J267" s="72"/>
      <c r="M267" s="23">
        <f t="shared" si="13"/>
        <v>88262</v>
      </c>
      <c r="N267" s="5">
        <f>SUMIF(ORCAMENTO!B:B,B263,ORCAMENTO!F:F)</f>
        <v>220</v>
      </c>
      <c r="O267" s="23">
        <f t="shared" si="14"/>
        <v>159.434</v>
      </c>
      <c r="Q267" s="23">
        <f ca="1">IFERROR(SUMIF(CO!B:B,B263,OFFSET(CO!F:F,0,(4+MATCH(ETAPA,CO!$J$6:$P$6,0)))),0)</f>
        <v>88</v>
      </c>
      <c r="R267" s="23">
        <f t="shared" ca="1" si="15"/>
        <v>63.773600000000002</v>
      </c>
    </row>
    <row r="268" spans="1:18" ht="30" customHeight="1" x14ac:dyDescent="0.3">
      <c r="A268" s="23" t="s">
        <v>1022</v>
      </c>
      <c r="B268" s="23">
        <v>88239</v>
      </c>
      <c r="C268" s="23" t="str">
        <f>VLOOKUP(B268,IF(A268="COMPOSICAO",S!$A:$E,I!$A:$E),2,FALSE)</f>
        <v>SINAPI</v>
      </c>
      <c r="D268" s="24" t="str">
        <f>VLOOKUP(B268,IF(A268="COMPOSICAO",S!$A:$E,I!$A:$E),3,FALSE)</f>
        <v>AJUDANTE DE CARPINTEIRO COM ENCARGOS COMPLEMENTARES</v>
      </c>
      <c r="E268" s="23" t="str">
        <f>VLOOKUP(B268,IF(A268="COMPOSICAO",S!$A:$E,I!$A:$E),4,FALSE)</f>
        <v>H</v>
      </c>
      <c r="F268" s="23">
        <f>0.7247/pcf</f>
        <v>0.72470000000000001</v>
      </c>
      <c r="G268" s="71">
        <f>IF(A268="COMPOSICAO",VLOOKUP("TOTAL SEM BDI - "&amp;B268,CPUAUX1!$A:$J,9,FALSE),VLOOKUP(B268,I!$A:$E,5,FALSE))</f>
        <v>22.2</v>
      </c>
      <c r="H268" s="72"/>
      <c r="I268" s="71">
        <f t="shared" si="12"/>
        <v>16.079999999999998</v>
      </c>
      <c r="J268" s="72"/>
      <c r="M268" s="23">
        <f t="shared" si="13"/>
        <v>88239</v>
      </c>
      <c r="N268" s="5">
        <f>SUMIF(ORCAMENTO!B:B,B263,ORCAMENTO!F:F)</f>
        <v>220</v>
      </c>
      <c r="O268" s="23">
        <f t="shared" si="14"/>
        <v>159.434</v>
      </c>
      <c r="Q268" s="23">
        <f ca="1">IFERROR(SUMIF(CO!B:B,B263,OFFSET(CO!F:F,0,(4+MATCH(ETAPA,CO!$J$6:$P$6,0)))),0)</f>
        <v>88</v>
      </c>
      <c r="R268" s="23">
        <f t="shared" ca="1" si="15"/>
        <v>63.773600000000002</v>
      </c>
    </row>
    <row r="269" spans="1:18" ht="30" customHeight="1" x14ac:dyDescent="0.3">
      <c r="A269" s="23" t="s">
        <v>1025</v>
      </c>
      <c r="B269" s="23">
        <v>10567</v>
      </c>
      <c r="C269" s="23" t="str">
        <f>VLOOKUP(B269,IF(A269="COMPOSICAO",S!$A:$E,I!$A:$E),2,FALSE)</f>
        <v>SINAPI</v>
      </c>
      <c r="D269" s="24" t="str">
        <f>VLOOKUP(B269,IF(A269="COMPOSICAO",S!$A:$E,I!$A:$E),3,FALSE)</f>
        <v>TABUA *2,5 X 23* CM EM PINUS, MISTA OU EQUIVALENTE DA REGIAO - BRUTA</v>
      </c>
      <c r="E269" s="23" t="str">
        <f>VLOOKUP(B269,IF(A269="COMPOSICAO",S!$A:$E,I!$A:$E),4,FALSE)</f>
        <v>M</v>
      </c>
      <c r="F269" s="23">
        <v>0.55000000000000004</v>
      </c>
      <c r="G269" s="71">
        <f>IF(A269="COMPOSICAO",VLOOKUP("TOTAL SEM BDI - "&amp;B269,CPUAUX1!$A:$J,9,FALSE),VLOOKUP(B269,I!$A:$E,5,FALSE))</f>
        <v>11.36</v>
      </c>
      <c r="H269" s="72"/>
      <c r="I269" s="71">
        <f t="shared" si="12"/>
        <v>6.24</v>
      </c>
      <c r="J269" s="72"/>
      <c r="M269" s="23">
        <f t="shared" si="13"/>
        <v>10567</v>
      </c>
      <c r="N269" s="5">
        <f>SUMIF(ORCAMENTO!B:B,B263,ORCAMENTO!F:F)</f>
        <v>220</v>
      </c>
      <c r="O269" s="23">
        <f t="shared" si="14"/>
        <v>121.00000000000001</v>
      </c>
      <c r="Q269" s="23">
        <f ca="1">IFERROR(SUMIF(CO!B:B,B263,OFFSET(CO!F:F,0,(4+MATCH(ETAPA,CO!$J$6:$P$6,0)))),0)</f>
        <v>88</v>
      </c>
      <c r="R269" s="23">
        <f t="shared" ca="1" si="15"/>
        <v>48.400000000000006</v>
      </c>
    </row>
    <row r="270" spans="1:18" ht="30" customHeight="1" x14ac:dyDescent="0.3">
      <c r="A270" s="23" t="s">
        <v>1025</v>
      </c>
      <c r="B270" s="23">
        <v>7356</v>
      </c>
      <c r="C270" s="23" t="str">
        <f>VLOOKUP(B270,IF(A270="COMPOSICAO",S!$A:$E,I!$A:$E),2,FALSE)</f>
        <v>SINAPI</v>
      </c>
      <c r="D270" s="24" t="str">
        <f>VLOOKUP(B270,IF(A270="COMPOSICAO",S!$A:$E,I!$A:$E),3,FALSE)</f>
        <v>TINTA LATEX ACRILICA PREMIUM, COR BRANCO FOSCO</v>
      </c>
      <c r="E270" s="23" t="str">
        <f>VLOOKUP(B270,IF(A270="COMPOSICAO",S!$A:$E,I!$A:$E),4,FALSE)</f>
        <v>L</v>
      </c>
      <c r="F270" s="23">
        <v>2.5600000000000001E-2</v>
      </c>
      <c r="G270" s="71">
        <f>IF(A270="COMPOSICAO",VLOOKUP("TOTAL SEM BDI - "&amp;B270,CPUAUX1!$A:$J,9,FALSE),VLOOKUP(B270,I!$A:$E,5,FALSE))</f>
        <v>28.97</v>
      </c>
      <c r="H270" s="72"/>
      <c r="I270" s="71">
        <f t="shared" si="12"/>
        <v>0.74</v>
      </c>
      <c r="J270" s="72"/>
      <c r="M270" s="23">
        <f t="shared" si="13"/>
        <v>7356</v>
      </c>
      <c r="N270" s="5">
        <f>SUMIF(ORCAMENTO!B:B,B263,ORCAMENTO!F:F)</f>
        <v>220</v>
      </c>
      <c r="O270" s="23">
        <f t="shared" si="14"/>
        <v>5.6320000000000006</v>
      </c>
      <c r="Q270" s="23">
        <f ca="1">IFERROR(SUMIF(CO!B:B,B263,OFFSET(CO!F:F,0,(4+MATCH(ETAPA,CO!$J$6:$P$6,0)))),0)</f>
        <v>88</v>
      </c>
      <c r="R270" s="23">
        <f t="shared" ca="1" si="15"/>
        <v>2.2528000000000001</v>
      </c>
    </row>
    <row r="271" spans="1:18" ht="30" customHeight="1" x14ac:dyDescent="0.3">
      <c r="A271" s="23" t="s">
        <v>1025</v>
      </c>
      <c r="B271" s="23">
        <v>5068</v>
      </c>
      <c r="C271" s="23" t="str">
        <f>VLOOKUP(B271,IF(A271="COMPOSICAO",S!$A:$E,I!$A:$E),2,FALSE)</f>
        <v>SINAPI</v>
      </c>
      <c r="D271" s="24" t="str">
        <f>VLOOKUP(B271,IF(A271="COMPOSICAO",S!$A:$E,I!$A:$E),3,FALSE)</f>
        <v>PREGO DE ACO POLIDO COM CABECA 17 X 21 (2 X 11)</v>
      </c>
      <c r="E271" s="23" t="str">
        <f>VLOOKUP(B271,IF(A271="COMPOSICAO",S!$A:$E,I!$A:$E),4,FALSE)</f>
        <v>KG</v>
      </c>
      <c r="F271" s="23">
        <v>0.111</v>
      </c>
      <c r="G271" s="71">
        <f>IF(A271="COMPOSICAO",VLOOKUP("TOTAL SEM BDI - "&amp;B271,CPUAUX1!$A:$J,9,FALSE),VLOOKUP(B271,I!$A:$E,5,FALSE))</f>
        <v>20.34</v>
      </c>
      <c r="H271" s="72"/>
      <c r="I271" s="71">
        <f t="shared" si="12"/>
        <v>2.25</v>
      </c>
      <c r="J271" s="72"/>
      <c r="M271" s="23">
        <f t="shared" si="13"/>
        <v>5068</v>
      </c>
      <c r="N271" s="5">
        <f>SUMIF(ORCAMENTO!B:B,B263,ORCAMENTO!F:F)</f>
        <v>220</v>
      </c>
      <c r="O271" s="23">
        <f t="shared" si="14"/>
        <v>24.42</v>
      </c>
      <c r="Q271" s="23">
        <f ca="1">IFERROR(SUMIF(CO!B:B,B263,OFFSET(CO!F:F,0,(4+MATCH(ETAPA,CO!$J$6:$P$6,0)))),0)</f>
        <v>88</v>
      </c>
      <c r="R271" s="23">
        <f t="shared" ca="1" si="15"/>
        <v>9.7680000000000007</v>
      </c>
    </row>
    <row r="272" spans="1:18" ht="45" customHeight="1" x14ac:dyDescent="0.3">
      <c r="A272" s="23" t="s">
        <v>1025</v>
      </c>
      <c r="B272" s="23">
        <v>4433</v>
      </c>
      <c r="C272" s="23" t="str">
        <f>VLOOKUP(B272,IF(A272="COMPOSICAO",S!$A:$E,I!$A:$E),2,FALSE)</f>
        <v>SINAPI</v>
      </c>
      <c r="D272" s="24" t="str">
        <f>VLOOKUP(B272,IF(A272="COMPOSICAO",S!$A:$E,I!$A:$E),3,FALSE)</f>
        <v>CAIBRO NAO APARELHADO *6 X 6* CM, EM MACARANDUBA/MASSARANDUBA, ANGELIM OU EQUIVALENTE DA REGIAO - BRUTA</v>
      </c>
      <c r="E272" s="23" t="str">
        <f>VLOOKUP(B272,IF(A272="COMPOSICAO",S!$A:$E,I!$A:$E),4,FALSE)</f>
        <v>M</v>
      </c>
      <c r="F272" s="23">
        <v>0.41249999999999998</v>
      </c>
      <c r="G272" s="71">
        <f>IF(A272="COMPOSICAO",VLOOKUP("TOTAL SEM BDI - "&amp;B272,CPUAUX1!$A:$J,9,FALSE),VLOOKUP(B272,I!$A:$E,5,FALSE))</f>
        <v>19.55</v>
      </c>
      <c r="H272" s="72"/>
      <c r="I272" s="71">
        <f t="shared" si="12"/>
        <v>8.06</v>
      </c>
      <c r="J272" s="72"/>
      <c r="M272" s="23">
        <f t="shared" si="13"/>
        <v>4433</v>
      </c>
      <c r="N272" s="5">
        <f>SUMIF(ORCAMENTO!B:B,B263,ORCAMENTO!F:F)</f>
        <v>220</v>
      </c>
      <c r="O272" s="23">
        <f t="shared" si="14"/>
        <v>90.75</v>
      </c>
      <c r="Q272" s="23">
        <f ca="1">IFERROR(SUMIF(CO!B:B,B263,OFFSET(CO!F:F,0,(4+MATCH(ETAPA,CO!$J$6:$P$6,0)))),0)</f>
        <v>88</v>
      </c>
      <c r="R272" s="23">
        <f t="shared" ca="1" si="15"/>
        <v>36.299999999999997</v>
      </c>
    </row>
    <row r="273" spans="1:18" ht="45" customHeight="1" x14ac:dyDescent="0.3">
      <c r="A273" s="23" t="s">
        <v>1025</v>
      </c>
      <c r="B273" s="23">
        <v>4417</v>
      </c>
      <c r="C273" s="23" t="str">
        <f>VLOOKUP(B273,IF(A273="COMPOSICAO",S!$A:$E,I!$A:$E),2,FALSE)</f>
        <v>SINAPI</v>
      </c>
      <c r="D273" s="24" t="str">
        <f>VLOOKUP(B273,IF(A273="COMPOSICAO",S!$A:$E,I!$A:$E),3,FALSE)</f>
        <v>SARRAFO NAO APARELHADO *2,5 X 7* CM, EM MACARANDUBA/MASSARANDUBA, ANGELIM, PEROBA-ROSA OU EQUIVALENTE DA REGIAO - BRUTA</v>
      </c>
      <c r="E273" s="23" t="str">
        <f>VLOOKUP(B273,IF(A273="COMPOSICAO",S!$A:$E,I!$A:$E),4,FALSE)</f>
        <v>M</v>
      </c>
      <c r="F273" s="23">
        <v>0.74450000000000005</v>
      </c>
      <c r="G273" s="71">
        <f>IF(A273="COMPOSICAO",VLOOKUP("TOTAL SEM BDI - "&amp;B273,CPUAUX1!$A:$J,9,FALSE),VLOOKUP(B273,I!$A:$E,5,FALSE))</f>
        <v>5.44</v>
      </c>
      <c r="H273" s="72"/>
      <c r="I273" s="71">
        <f t="shared" si="12"/>
        <v>4.05</v>
      </c>
      <c r="J273" s="72"/>
      <c r="M273" s="23">
        <f t="shared" si="13"/>
        <v>4417</v>
      </c>
      <c r="N273" s="5">
        <f>SUMIF(ORCAMENTO!B:B,B263,ORCAMENTO!F:F)</f>
        <v>220</v>
      </c>
      <c r="O273" s="23">
        <f t="shared" si="14"/>
        <v>163.79000000000002</v>
      </c>
      <c r="Q273" s="23">
        <f ca="1">IFERROR(SUMIF(CO!B:B,B263,OFFSET(CO!F:F,0,(4+MATCH(ETAPA,CO!$J$6:$P$6,0)))),0)</f>
        <v>88</v>
      </c>
      <c r="R273" s="23">
        <f t="shared" ca="1" si="15"/>
        <v>65.516000000000005</v>
      </c>
    </row>
    <row r="274" spans="1:18" x14ac:dyDescent="0.3">
      <c r="A274" s="68" t="str">
        <f>"TOTAL SEM BDI - "&amp;B263</f>
        <v>TOTAL SEM BDI - 99059</v>
      </c>
      <c r="B274" s="69"/>
      <c r="C274" s="69"/>
      <c r="D274" s="69"/>
      <c r="E274" s="69"/>
      <c r="F274" s="69"/>
      <c r="G274" s="69"/>
      <c r="H274" s="70"/>
      <c r="I274" s="71">
        <f>SUM(I263:I273)</f>
        <v>60.260000000000005</v>
      </c>
      <c r="J274" s="72"/>
    </row>
    <row r="275" spans="1:18" x14ac:dyDescent="0.3">
      <c r="A275" s="68" t="str">
        <f>"TAXA DE BDI ("&amp;TEXT(BDI,"00,00")&amp;" %)"</f>
        <v>TAXA DE BDI (24,84 %)</v>
      </c>
      <c r="B275" s="69"/>
      <c r="C275" s="69"/>
      <c r="D275" s="69"/>
      <c r="E275" s="69"/>
      <c r="F275" s="69"/>
      <c r="G275" s="69"/>
      <c r="H275" s="70"/>
      <c r="I275" s="71">
        <f>ROUND(I274*(BDI/100),2)</f>
        <v>14.97</v>
      </c>
      <c r="J275" s="72"/>
    </row>
    <row r="276" spans="1:18" x14ac:dyDescent="0.3">
      <c r="A276" s="68" t="str">
        <f>"TOTAL COM BDI - "&amp;B263</f>
        <v>TOTAL COM BDI - 99059</v>
      </c>
      <c r="B276" s="69"/>
      <c r="C276" s="69"/>
      <c r="D276" s="69"/>
      <c r="E276" s="69"/>
      <c r="F276" s="69"/>
      <c r="G276" s="69"/>
      <c r="H276" s="70"/>
      <c r="I276" s="71">
        <f>SUM(I274:I275)</f>
        <v>75.23</v>
      </c>
      <c r="J276" s="72"/>
    </row>
    <row r="278" spans="1:18" x14ac:dyDescent="0.3">
      <c r="A278" s="4" t="s">
        <v>1018</v>
      </c>
      <c r="B278" s="4" t="s">
        <v>138</v>
      </c>
      <c r="C278" s="4" t="s">
        <v>139</v>
      </c>
      <c r="D278" s="4" t="s">
        <v>21</v>
      </c>
      <c r="E278" s="4" t="s">
        <v>140</v>
      </c>
      <c r="F278" s="4" t="s">
        <v>506</v>
      </c>
      <c r="G278" s="34" t="s">
        <v>1019</v>
      </c>
      <c r="H278" s="35"/>
      <c r="I278" s="34" t="s">
        <v>15</v>
      </c>
      <c r="J278" s="35"/>
    </row>
    <row r="279" spans="1:18" x14ac:dyDescent="0.3">
      <c r="A279" s="15" t="s">
        <v>1054</v>
      </c>
      <c r="B279" s="15">
        <v>93358</v>
      </c>
      <c r="C279" s="15" t="str">
        <f>VLOOKUP(B279,S!$A:$G,2,FALSE)</f>
        <v>SINAPI</v>
      </c>
      <c r="D279" s="22" t="str">
        <f>VLOOKUP(B279,S!$A:$G,3,FALSE)</f>
        <v>ESCAVAÇÃO MANUAL DE VALA. AF_09/2024</v>
      </c>
      <c r="E279" s="15" t="str">
        <f>VLOOKUP(B279,S!$A:$G,4,FALSE)</f>
        <v>M3</v>
      </c>
      <c r="F279" s="15"/>
      <c r="G279" s="73">
        <f>I281</f>
        <v>85.87</v>
      </c>
      <c r="H279" s="74"/>
      <c r="I279" s="73"/>
      <c r="J279" s="74"/>
      <c r="K279" s="16">
        <f>VLOOKUP(B279,S!A:G,5,FALSE)</f>
        <v>85.87</v>
      </c>
      <c r="L279" s="15" t="str">
        <f>IF(K279=G279,"OK, CONFORME TABELA",IF(G279&gt;K279,"ACIMA DA TABELA: ","ABAIXO DA TABELA: ")&amp;TRUNC((G279*100)/K279,2)&amp;" %")</f>
        <v>OK, CONFORME TABELA</v>
      </c>
    </row>
    <row r="280" spans="1:18" x14ac:dyDescent="0.3">
      <c r="A280" s="23" t="s">
        <v>1022</v>
      </c>
      <c r="B280" s="23">
        <v>88316</v>
      </c>
      <c r="C280" s="23" t="str">
        <f>VLOOKUP(B280,IF(A280="COMPOSICAO",S!$A:$E,I!$A:$E),2,FALSE)</f>
        <v>SINAPI</v>
      </c>
      <c r="D280" s="24" t="str">
        <f>VLOOKUP(B280,IF(A280="COMPOSICAO",S!$A:$E,I!$A:$E),3,FALSE)</f>
        <v>SERVENTE COM ENCARGOS COMPLEMENTARES</v>
      </c>
      <c r="E280" s="23" t="str">
        <f>VLOOKUP(B280,IF(A280="COMPOSICAO",S!$A:$E,I!$A:$E),4,FALSE)</f>
        <v>H</v>
      </c>
      <c r="F280" s="23">
        <f>3.9557667/pcf</f>
        <v>3.9557666999999999</v>
      </c>
      <c r="G280" s="71">
        <f>IF(A280="COMPOSICAO",VLOOKUP("TOTAL SEM BDI - "&amp;B280,CPUAUX1!$A:$J,9,FALSE),VLOOKUP(B280,I!$A:$E,5,FALSE))</f>
        <v>21.71</v>
      </c>
      <c r="H280" s="72"/>
      <c r="I280" s="71">
        <f>TRUNC(F280*G280,2)</f>
        <v>85.87</v>
      </c>
      <c r="J280" s="72"/>
      <c r="M280" s="23">
        <f>B280</f>
        <v>88316</v>
      </c>
      <c r="N280" s="5">
        <f>SUMIF(ORCAMENTO!B:B,B279,ORCAMENTO!F:F)</f>
        <v>21.5</v>
      </c>
      <c r="O280" s="23">
        <f>F280*N280</f>
        <v>85.048984050000001</v>
      </c>
      <c r="Q280" s="23">
        <f ca="1">IFERROR(SUMIF(CO!B:B,B279,OFFSET(CO!F:F,0,(4+MATCH(ETAPA,CO!$J$6:$P$6,0)))),0)</f>
        <v>8.6</v>
      </c>
      <c r="R280" s="23">
        <f ca="1">F280*Q280</f>
        <v>34.019593619999995</v>
      </c>
    </row>
    <row r="281" spans="1:18" x14ac:dyDescent="0.3">
      <c r="A281" s="68" t="str">
        <f>"TOTAL SEM BDI - "&amp;B279</f>
        <v>TOTAL SEM BDI - 93358</v>
      </c>
      <c r="B281" s="69"/>
      <c r="C281" s="69"/>
      <c r="D281" s="69"/>
      <c r="E281" s="69"/>
      <c r="F281" s="69"/>
      <c r="G281" s="69"/>
      <c r="H281" s="70"/>
      <c r="I281" s="71">
        <f>SUM(I279:I280)</f>
        <v>85.87</v>
      </c>
      <c r="J281" s="72"/>
    </row>
    <row r="282" spans="1:18" x14ac:dyDescent="0.3">
      <c r="A282" s="68" t="str">
        <f>"TAXA DE BDI ("&amp;TEXT(BDI,"00,00")&amp;" %)"</f>
        <v>TAXA DE BDI (24,84 %)</v>
      </c>
      <c r="B282" s="69"/>
      <c r="C282" s="69"/>
      <c r="D282" s="69"/>
      <c r="E282" s="69"/>
      <c r="F282" s="69"/>
      <c r="G282" s="69"/>
      <c r="H282" s="70"/>
      <c r="I282" s="71">
        <f>ROUND(I281*(BDI/100),2)</f>
        <v>21.33</v>
      </c>
      <c r="J282" s="72"/>
    </row>
    <row r="283" spans="1:18" x14ac:dyDescent="0.3">
      <c r="A283" s="68" t="str">
        <f>"TOTAL COM BDI - "&amp;B279</f>
        <v>TOTAL COM BDI - 93358</v>
      </c>
      <c r="B283" s="69"/>
      <c r="C283" s="69"/>
      <c r="D283" s="69"/>
      <c r="E283" s="69"/>
      <c r="F283" s="69"/>
      <c r="G283" s="69"/>
      <c r="H283" s="70"/>
      <c r="I283" s="71">
        <f>SUM(I281:I282)</f>
        <v>107.2</v>
      </c>
      <c r="J283" s="72"/>
    </row>
    <row r="285" spans="1:18" x14ac:dyDescent="0.3">
      <c r="A285" s="4" t="s">
        <v>1018</v>
      </c>
      <c r="B285" s="4" t="s">
        <v>138</v>
      </c>
      <c r="C285" s="4" t="s">
        <v>139</v>
      </c>
      <c r="D285" s="4" t="s">
        <v>21</v>
      </c>
      <c r="E285" s="4" t="s">
        <v>140</v>
      </c>
      <c r="F285" s="4" t="s">
        <v>506</v>
      </c>
      <c r="G285" s="34" t="s">
        <v>1019</v>
      </c>
      <c r="H285" s="35"/>
      <c r="I285" s="34" t="s">
        <v>15</v>
      </c>
      <c r="J285" s="35"/>
    </row>
    <row r="286" spans="1:18" ht="45" customHeight="1" x14ac:dyDescent="0.3">
      <c r="A286" s="15" t="s">
        <v>1055</v>
      </c>
      <c r="B286" s="15">
        <v>96617</v>
      </c>
      <c r="C286" s="15" t="str">
        <f>VLOOKUP(B286,S!$A:$G,2,FALSE)</f>
        <v>SINAPI</v>
      </c>
      <c r="D286" s="22" t="str">
        <f>VLOOKUP(B286,S!$A:$G,3,FALSE)</f>
        <v>LASTRO DE CONCRETO MAGRO, APLICADO EM BLOCOS DE COROAMENTO OU SAPATAS, ESPESSURA DE 3 CM. AF_01/2024</v>
      </c>
      <c r="E286" s="15" t="str">
        <f>VLOOKUP(B286,S!$A:$G,4,FALSE)</f>
        <v>M2</v>
      </c>
      <c r="F286" s="15"/>
      <c r="G286" s="73">
        <f>I290</f>
        <v>23.990000000000002</v>
      </c>
      <c r="H286" s="74"/>
      <c r="I286" s="73"/>
      <c r="J286" s="74"/>
      <c r="K286" s="16">
        <f>VLOOKUP(B286,S!A:G,5,FALSE)</f>
        <v>23.99</v>
      </c>
      <c r="L286" s="15" t="str">
        <f>IF(K286=G286,"OK, CONFORME TABELA",IF(G286&gt;K286,"ACIMA DA TABELA: ","ABAIXO DA TABELA: ")&amp;TRUNC((G286*100)/K286,2)&amp;" %")</f>
        <v>OK, CONFORME TABELA</v>
      </c>
    </row>
    <row r="287" spans="1:18" ht="60" customHeight="1" x14ac:dyDescent="0.3">
      <c r="A287" s="23" t="s">
        <v>1022</v>
      </c>
      <c r="B287" s="23">
        <v>94968</v>
      </c>
      <c r="C287" s="23" t="str">
        <f>VLOOKUP(B287,IF(A287="COMPOSICAO",S!$A:$E,I!$A:$E),2,FALSE)</f>
        <v>SINAPI</v>
      </c>
      <c r="D287" s="24" t="str">
        <f>VLOOKUP(B287,IF(A287="COMPOSICAO",S!$A:$E,I!$A:$E),3,FALSE)</f>
        <v>CONCRETO MAGRO PARA LASTRO, TRAÇO 1:4,5:4,5 (EM MASSA SECA DE CIMENTO/ AREIA MÉDIA/ BRITA 1) - PREPARO MECÂNICO COM BETONEIRA 600 L. AF_05/2021</v>
      </c>
      <c r="E287" s="23" t="str">
        <f>VLOOKUP(B287,IF(A287="COMPOSICAO",S!$A:$E,I!$A:$E),4,FALSE)</f>
        <v>M3</v>
      </c>
      <c r="F287" s="23">
        <v>3.39E-2</v>
      </c>
      <c r="G287" s="71">
        <f>IF(A287="COMPOSICAO",VLOOKUP("TOTAL SEM BDI - "&amp;B287,CPUAUX1!$A:$J,9,FALSE),VLOOKUP(B287,I!$A:$E,5,FALSE))</f>
        <v>525.04</v>
      </c>
      <c r="H287" s="72"/>
      <c r="I287" s="71">
        <f>TRUNC(F287*G287,2)</f>
        <v>17.79</v>
      </c>
      <c r="J287" s="72"/>
      <c r="M287" s="23">
        <f>B287</f>
        <v>94968</v>
      </c>
      <c r="N287" s="5">
        <f>SUMIF(ORCAMENTO!B:B,B286,ORCAMENTO!F:F)</f>
        <v>32.9</v>
      </c>
      <c r="O287" s="23">
        <f>F287*N287</f>
        <v>1.11531</v>
      </c>
      <c r="Q287" s="23">
        <f ca="1">IFERROR(SUMIF(CO!B:B,B286,OFFSET(CO!F:F,0,(4+MATCH(ETAPA,CO!$J$6:$P$6,0)))),0)</f>
        <v>13.16</v>
      </c>
      <c r="R287" s="23">
        <f ca="1">F287*Q287</f>
        <v>0.44612400000000002</v>
      </c>
    </row>
    <row r="288" spans="1:18" x14ac:dyDescent="0.3">
      <c r="A288" s="23" t="s">
        <v>1022</v>
      </c>
      <c r="B288" s="23">
        <v>88316</v>
      </c>
      <c r="C288" s="23" t="str">
        <f>VLOOKUP(B288,IF(A288="COMPOSICAO",S!$A:$E,I!$A:$E),2,FALSE)</f>
        <v>SINAPI</v>
      </c>
      <c r="D288" s="24" t="str">
        <f>VLOOKUP(B288,IF(A288="COMPOSICAO",S!$A:$E,I!$A:$E),3,FALSE)</f>
        <v>SERVENTE COM ENCARGOS COMPLEMENTARES</v>
      </c>
      <c r="E288" s="23" t="str">
        <f>VLOOKUP(B288,IF(A288="COMPOSICAO",S!$A:$E,I!$A:$E),4,FALSE)</f>
        <v>H</v>
      </c>
      <c r="F288" s="23">
        <f>0.0508/pcf</f>
        <v>5.0799999999999998E-2</v>
      </c>
      <c r="G288" s="71">
        <f>IF(A288="COMPOSICAO",VLOOKUP("TOTAL SEM BDI - "&amp;B288,CPUAUX1!$A:$J,9,FALSE),VLOOKUP(B288,I!$A:$E,5,FALSE))</f>
        <v>21.71</v>
      </c>
      <c r="H288" s="72"/>
      <c r="I288" s="71">
        <f>TRUNC(F288*G288,2)</f>
        <v>1.1000000000000001</v>
      </c>
      <c r="J288" s="72"/>
      <c r="M288" s="23">
        <f>B288</f>
        <v>88316</v>
      </c>
      <c r="N288" s="5">
        <f>SUMIF(ORCAMENTO!B:B,B286,ORCAMENTO!F:F)</f>
        <v>32.9</v>
      </c>
      <c r="O288" s="23">
        <f>F288*N288</f>
        <v>1.6713199999999999</v>
      </c>
      <c r="Q288" s="23">
        <f ca="1">IFERROR(SUMIF(CO!B:B,B286,OFFSET(CO!F:F,0,(4+MATCH(ETAPA,CO!$J$6:$P$6,0)))),0)</f>
        <v>13.16</v>
      </c>
      <c r="R288" s="23">
        <f ca="1">F288*Q288</f>
        <v>0.66852800000000001</v>
      </c>
    </row>
    <row r="289" spans="1:18" x14ac:dyDescent="0.3">
      <c r="A289" s="23" t="s">
        <v>1022</v>
      </c>
      <c r="B289" s="23">
        <v>88309</v>
      </c>
      <c r="C289" s="23" t="str">
        <f>VLOOKUP(B289,IF(A289="COMPOSICAO",S!$A:$E,I!$A:$E),2,FALSE)</f>
        <v>SINAPI</v>
      </c>
      <c r="D289" s="24" t="str">
        <f>VLOOKUP(B289,IF(A289="COMPOSICAO",S!$A:$E,I!$A:$E),3,FALSE)</f>
        <v>PEDREIRO COM ENCARGOS COMPLEMENTARES</v>
      </c>
      <c r="E289" s="23" t="str">
        <f>VLOOKUP(B289,IF(A289="COMPOSICAO",S!$A:$E,I!$A:$E),4,FALSE)</f>
        <v>H</v>
      </c>
      <c r="F289" s="23">
        <f>0.1863/pcf</f>
        <v>0.18629999999999999</v>
      </c>
      <c r="G289" s="71">
        <f>IF(A289="COMPOSICAO",VLOOKUP("TOTAL SEM BDI - "&amp;B289,CPUAUX1!$A:$J,9,FALSE),VLOOKUP(B289,I!$A:$E,5,FALSE))</f>
        <v>27.39</v>
      </c>
      <c r="H289" s="72"/>
      <c r="I289" s="71">
        <f>TRUNC(F289*G289,2)</f>
        <v>5.0999999999999996</v>
      </c>
      <c r="J289" s="72"/>
      <c r="M289" s="23">
        <f>B289</f>
        <v>88309</v>
      </c>
      <c r="N289" s="5">
        <f>SUMIF(ORCAMENTO!B:B,B286,ORCAMENTO!F:F)</f>
        <v>32.9</v>
      </c>
      <c r="O289" s="23">
        <f>F289*N289</f>
        <v>6.1292699999999991</v>
      </c>
      <c r="Q289" s="23">
        <f ca="1">IFERROR(SUMIF(CO!B:B,B286,OFFSET(CO!F:F,0,(4+MATCH(ETAPA,CO!$J$6:$P$6,0)))),0)</f>
        <v>13.16</v>
      </c>
      <c r="R289" s="23">
        <f ca="1">F289*Q289</f>
        <v>2.451708</v>
      </c>
    </row>
    <row r="290" spans="1:18" x14ac:dyDescent="0.3">
      <c r="A290" s="68" t="str">
        <f>"TOTAL SEM BDI - "&amp;B286</f>
        <v>TOTAL SEM BDI - 96617</v>
      </c>
      <c r="B290" s="69"/>
      <c r="C290" s="69"/>
      <c r="D290" s="69"/>
      <c r="E290" s="69"/>
      <c r="F290" s="69"/>
      <c r="G290" s="69"/>
      <c r="H290" s="70"/>
      <c r="I290" s="71">
        <f>SUM(I286:I289)</f>
        <v>23.990000000000002</v>
      </c>
      <c r="J290" s="72"/>
    </row>
    <row r="291" spans="1:18" x14ac:dyDescent="0.3">
      <c r="A291" s="68" t="str">
        <f>"TAXA DE BDI ("&amp;TEXT(BDI,"00,00")&amp;" %)"</f>
        <v>TAXA DE BDI (24,84 %)</v>
      </c>
      <c r="B291" s="69"/>
      <c r="C291" s="69"/>
      <c r="D291" s="69"/>
      <c r="E291" s="69"/>
      <c r="F291" s="69"/>
      <c r="G291" s="69"/>
      <c r="H291" s="70"/>
      <c r="I291" s="71">
        <f>ROUND(I290*(BDI/100),2)</f>
        <v>5.96</v>
      </c>
      <c r="J291" s="72"/>
    </row>
    <row r="292" spans="1:18" x14ac:dyDescent="0.3">
      <c r="A292" s="68" t="str">
        <f>"TOTAL COM BDI - "&amp;B286</f>
        <v>TOTAL COM BDI - 96617</v>
      </c>
      <c r="B292" s="69"/>
      <c r="C292" s="69"/>
      <c r="D292" s="69"/>
      <c r="E292" s="69"/>
      <c r="F292" s="69"/>
      <c r="G292" s="69"/>
      <c r="H292" s="70"/>
      <c r="I292" s="71">
        <f>SUM(I290:I291)</f>
        <v>29.950000000000003</v>
      </c>
      <c r="J292" s="72"/>
    </row>
    <row r="294" spans="1:18" x14ac:dyDescent="0.3">
      <c r="A294" s="4" t="s">
        <v>1018</v>
      </c>
      <c r="B294" s="4" t="s">
        <v>138</v>
      </c>
      <c r="C294" s="4" t="s">
        <v>139</v>
      </c>
      <c r="D294" s="4" t="s">
        <v>21</v>
      </c>
      <c r="E294" s="4" t="s">
        <v>140</v>
      </c>
      <c r="F294" s="4" t="s">
        <v>506</v>
      </c>
      <c r="G294" s="34" t="s">
        <v>1019</v>
      </c>
      <c r="H294" s="35"/>
      <c r="I294" s="34" t="s">
        <v>15</v>
      </c>
      <c r="J294" s="35"/>
    </row>
    <row r="295" spans="1:18" ht="60" customHeight="1" x14ac:dyDescent="0.3">
      <c r="A295" s="15" t="s">
        <v>1056</v>
      </c>
      <c r="B295" s="15">
        <v>103800</v>
      </c>
      <c r="C295" s="15" t="str">
        <f>VLOOKUP(B295,S!$A:$G,2,FALSE)</f>
        <v>SINAPI</v>
      </c>
      <c r="D295" s="22" t="str">
        <f>VLOOKUP(B295,S!$A:$G,3,FALSE)</f>
        <v>PEDRA ARGAMASSADA COM CIMENTO E AREIA 1:3, 40% DE ARGAMASSA EM VOLUME - AREIA E PEDRA DE MÃO COMERCIAIS - FORNECIMENTO E ASSENTAMENTO. AF_08/2022</v>
      </c>
      <c r="E295" s="15" t="str">
        <f>VLOOKUP(B295,S!$A:$G,4,FALSE)</f>
        <v>M3</v>
      </c>
      <c r="F295" s="15"/>
      <c r="G295" s="73">
        <f>I300</f>
        <v>680.59</v>
      </c>
      <c r="H295" s="74"/>
      <c r="I295" s="73"/>
      <c r="J295" s="74"/>
      <c r="K295" s="16">
        <f>VLOOKUP(B295,S!A:G,5,FALSE)</f>
        <v>680.59</v>
      </c>
      <c r="L295" s="15" t="str">
        <f>IF(K295=G295,"OK, CONFORME TABELA",IF(G295&gt;K295,"ACIMA DA TABELA: ","ABAIXO DA TABELA: ")&amp;TRUNC((G295*100)/K295,2)&amp;" %")</f>
        <v>OK, CONFORME TABELA</v>
      </c>
    </row>
    <row r="296" spans="1:18" ht="45" customHeight="1" x14ac:dyDescent="0.3">
      <c r="A296" s="23" t="s">
        <v>1022</v>
      </c>
      <c r="B296" s="23">
        <v>88629</v>
      </c>
      <c r="C296" s="23" t="str">
        <f>VLOOKUP(B296,IF(A296="COMPOSICAO",S!$A:$E,I!$A:$E),2,FALSE)</f>
        <v>SINAPI</v>
      </c>
      <c r="D296" s="24" t="str">
        <f>VLOOKUP(B296,IF(A296="COMPOSICAO",S!$A:$E,I!$A:$E),3,FALSE)</f>
        <v>ARGAMASSA TRAÇO 1:3 (EM VOLUME DE CIMENTO E AREIA MÉDIA ÚMIDA), PREPARO MANUAL. AF_08/2019</v>
      </c>
      <c r="E296" s="23" t="str">
        <f>VLOOKUP(B296,IF(A296="COMPOSICAO",S!$A:$E,I!$A:$E),4,FALSE)</f>
        <v>M3</v>
      </c>
      <c r="F296" s="23">
        <v>0.44119999999999998</v>
      </c>
      <c r="G296" s="71">
        <f>IF(A296="COMPOSICAO",VLOOKUP("TOTAL SEM BDI - "&amp;B296,CPUAUX1!$A:$J,9,FALSE),VLOOKUP(B296,I!$A:$E,5,FALSE))</f>
        <v>770.66</v>
      </c>
      <c r="H296" s="72"/>
      <c r="I296" s="71">
        <f>TRUNC(F296*G296,2)</f>
        <v>340.01</v>
      </c>
      <c r="J296" s="72"/>
      <c r="M296" s="23">
        <f>B296</f>
        <v>88629</v>
      </c>
      <c r="N296" s="5">
        <f>SUMIF(ORCAMENTO!B:B,B295,ORCAMENTO!F:F)</f>
        <v>5.2</v>
      </c>
      <c r="O296" s="23">
        <f>F296*N296</f>
        <v>2.2942399999999998</v>
      </c>
      <c r="Q296" s="23">
        <f ca="1">IFERROR(SUMIF(CO!B:B,B295,OFFSET(CO!F:F,0,(4+MATCH(ETAPA,CO!$J$6:$P$6,0)))),0)</f>
        <v>2.08</v>
      </c>
      <c r="R296" s="23">
        <f ca="1">F296*Q296</f>
        <v>0.91769599999999996</v>
      </c>
    </row>
    <row r="297" spans="1:18" x14ac:dyDescent="0.3">
      <c r="A297" s="23" t="s">
        <v>1022</v>
      </c>
      <c r="B297" s="23">
        <v>88316</v>
      </c>
      <c r="C297" s="23" t="str">
        <f>VLOOKUP(B297,IF(A297="COMPOSICAO",S!$A:$E,I!$A:$E),2,FALSE)</f>
        <v>SINAPI</v>
      </c>
      <c r="D297" s="24" t="str">
        <f>VLOOKUP(B297,IF(A297="COMPOSICAO",S!$A:$E,I!$A:$E),3,FALSE)</f>
        <v>SERVENTE COM ENCARGOS COMPLEMENTARES</v>
      </c>
      <c r="E297" s="23" t="str">
        <f>VLOOKUP(B297,IF(A297="COMPOSICAO",S!$A:$E,I!$A:$E),4,FALSE)</f>
        <v>H</v>
      </c>
      <c r="F297" s="23">
        <f>3.1021/pcf</f>
        <v>3.1021000000000001</v>
      </c>
      <c r="G297" s="71">
        <f>IF(A297="COMPOSICAO",VLOOKUP("TOTAL SEM BDI - "&amp;B297,CPUAUX1!$A:$J,9,FALSE),VLOOKUP(B297,I!$A:$E,5,FALSE))</f>
        <v>21.71</v>
      </c>
      <c r="H297" s="72"/>
      <c r="I297" s="71">
        <f>TRUNC(F297*G297,2)</f>
        <v>67.34</v>
      </c>
      <c r="J297" s="72"/>
      <c r="M297" s="23">
        <f>B297</f>
        <v>88316</v>
      </c>
      <c r="N297" s="5">
        <f>SUMIF(ORCAMENTO!B:B,B295,ORCAMENTO!F:F)</f>
        <v>5.2</v>
      </c>
      <c r="O297" s="23">
        <f>F297*N297</f>
        <v>16.13092</v>
      </c>
      <c r="Q297" s="23">
        <f ca="1">IFERROR(SUMIF(CO!B:B,B295,OFFSET(CO!F:F,0,(4+MATCH(ETAPA,CO!$J$6:$P$6,0)))),0)</f>
        <v>2.08</v>
      </c>
      <c r="R297" s="23">
        <f ca="1">F297*Q297</f>
        <v>6.4523680000000008</v>
      </c>
    </row>
    <row r="298" spans="1:18" x14ac:dyDescent="0.3">
      <c r="A298" s="23" t="s">
        <v>1022</v>
      </c>
      <c r="B298" s="23">
        <v>88309</v>
      </c>
      <c r="C298" s="23" t="str">
        <f>VLOOKUP(B298,IF(A298="COMPOSICAO",S!$A:$E,I!$A:$E),2,FALSE)</f>
        <v>SINAPI</v>
      </c>
      <c r="D298" s="24" t="str">
        <f>VLOOKUP(B298,IF(A298="COMPOSICAO",S!$A:$E,I!$A:$E),3,FALSE)</f>
        <v>PEDREIRO COM ENCARGOS COMPLEMENTARES</v>
      </c>
      <c r="E298" s="23" t="str">
        <f>VLOOKUP(B298,IF(A298="COMPOSICAO",S!$A:$E,I!$A:$E),4,FALSE)</f>
        <v>H</v>
      </c>
      <c r="F298" s="23">
        <f>2.2158/pcf</f>
        <v>2.2158000000000002</v>
      </c>
      <c r="G298" s="71">
        <f>IF(A298="COMPOSICAO",VLOOKUP("TOTAL SEM BDI - "&amp;B298,CPUAUX1!$A:$J,9,FALSE),VLOOKUP(B298,I!$A:$E,5,FALSE))</f>
        <v>27.39</v>
      </c>
      <c r="H298" s="72"/>
      <c r="I298" s="71">
        <f>TRUNC(F298*G298,2)</f>
        <v>60.69</v>
      </c>
      <c r="J298" s="72"/>
      <c r="M298" s="23">
        <f>B298</f>
        <v>88309</v>
      </c>
      <c r="N298" s="5">
        <f>SUMIF(ORCAMENTO!B:B,B295,ORCAMENTO!F:F)</f>
        <v>5.2</v>
      </c>
      <c r="O298" s="23">
        <f>F298*N298</f>
        <v>11.522160000000001</v>
      </c>
      <c r="Q298" s="23">
        <f ca="1">IFERROR(SUMIF(CO!B:B,B295,OFFSET(CO!F:F,0,(4+MATCH(ETAPA,CO!$J$6:$P$6,0)))),0)</f>
        <v>2.08</v>
      </c>
      <c r="R298" s="23">
        <f ca="1">F298*Q298</f>
        <v>4.6088640000000005</v>
      </c>
    </row>
    <row r="299" spans="1:18" ht="30" customHeight="1" x14ac:dyDescent="0.3">
      <c r="A299" s="23" t="s">
        <v>1025</v>
      </c>
      <c r="B299" s="23">
        <v>4730</v>
      </c>
      <c r="C299" s="23" t="str">
        <f>VLOOKUP(B299,IF(A299="COMPOSICAO",S!$A:$E,I!$A:$E),2,FALSE)</f>
        <v>SINAPI</v>
      </c>
      <c r="D299" s="24" t="str">
        <f>VLOOKUP(B299,IF(A299="COMPOSICAO",S!$A:$E,I!$A:$E),3,FALSE)</f>
        <v>PEDRA DE MAO OU PEDRA RACHAO PARA ARRIMO/FUNDACAO (POSTO PEDREIRA/FORNECEDOR, SEM FRETE)</v>
      </c>
      <c r="E299" s="23" t="str">
        <f>VLOOKUP(B299,IF(A299="COMPOSICAO",S!$A:$E,I!$A:$E),4,FALSE)</f>
        <v>M3</v>
      </c>
      <c r="F299" s="23">
        <v>0.90859999999999996</v>
      </c>
      <c r="G299" s="71">
        <f>IF(A299="COMPOSICAO",VLOOKUP("TOTAL SEM BDI - "&amp;B299,CPUAUX1!$A:$J,9,FALSE),VLOOKUP(B299,I!$A:$E,5,FALSE))</f>
        <v>233.94</v>
      </c>
      <c r="H299" s="72"/>
      <c r="I299" s="71">
        <f>TRUNC(F299*G299,2)</f>
        <v>212.55</v>
      </c>
      <c r="J299" s="72"/>
      <c r="M299" s="23">
        <f>B299</f>
        <v>4730</v>
      </c>
      <c r="N299" s="5">
        <f>SUMIF(ORCAMENTO!B:B,B295,ORCAMENTO!F:F)</f>
        <v>5.2</v>
      </c>
      <c r="O299" s="23">
        <f>F299*N299</f>
        <v>4.7247199999999996</v>
      </c>
      <c r="Q299" s="23">
        <f ca="1">IFERROR(SUMIF(CO!B:B,B295,OFFSET(CO!F:F,0,(4+MATCH(ETAPA,CO!$J$6:$P$6,0)))),0)</f>
        <v>2.08</v>
      </c>
      <c r="R299" s="23">
        <f ca="1">F299*Q299</f>
        <v>1.889888</v>
      </c>
    </row>
    <row r="300" spans="1:18" x14ac:dyDescent="0.3">
      <c r="A300" s="68" t="str">
        <f>"TOTAL SEM BDI - "&amp;B295</f>
        <v>TOTAL SEM BDI - 103800</v>
      </c>
      <c r="B300" s="69"/>
      <c r="C300" s="69"/>
      <c r="D300" s="69"/>
      <c r="E300" s="69"/>
      <c r="F300" s="69"/>
      <c r="G300" s="69"/>
      <c r="H300" s="70"/>
      <c r="I300" s="71">
        <f>SUM(I295:I299)</f>
        <v>680.59</v>
      </c>
      <c r="J300" s="72"/>
    </row>
    <row r="301" spans="1:18" x14ac:dyDescent="0.3">
      <c r="A301" s="68" t="str">
        <f>"TAXA DE BDI ("&amp;TEXT(BDI,"00,00")&amp;" %)"</f>
        <v>TAXA DE BDI (24,84 %)</v>
      </c>
      <c r="B301" s="69"/>
      <c r="C301" s="69"/>
      <c r="D301" s="69"/>
      <c r="E301" s="69"/>
      <c r="F301" s="69"/>
      <c r="G301" s="69"/>
      <c r="H301" s="70"/>
      <c r="I301" s="71">
        <f>ROUND(I300*(BDI/100),2)</f>
        <v>169.06</v>
      </c>
      <c r="J301" s="72"/>
    </row>
    <row r="302" spans="1:18" x14ac:dyDescent="0.3">
      <c r="A302" s="68" t="str">
        <f>"TOTAL COM BDI - "&amp;B295</f>
        <v>TOTAL COM BDI - 103800</v>
      </c>
      <c r="B302" s="69"/>
      <c r="C302" s="69"/>
      <c r="D302" s="69"/>
      <c r="E302" s="69"/>
      <c r="F302" s="69"/>
      <c r="G302" s="69"/>
      <c r="H302" s="70"/>
      <c r="I302" s="71">
        <f>SUM(I300:I301)</f>
        <v>849.65000000000009</v>
      </c>
      <c r="J302" s="72"/>
    </row>
    <row r="304" spans="1:18" x14ac:dyDescent="0.3">
      <c r="A304" s="4" t="s">
        <v>1018</v>
      </c>
      <c r="B304" s="4" t="s">
        <v>138</v>
      </c>
      <c r="C304" s="4" t="s">
        <v>139</v>
      </c>
      <c r="D304" s="4" t="s">
        <v>21</v>
      </c>
      <c r="E304" s="4" t="s">
        <v>140</v>
      </c>
      <c r="F304" s="4" t="s">
        <v>506</v>
      </c>
      <c r="G304" s="34" t="s">
        <v>1019</v>
      </c>
      <c r="H304" s="35"/>
      <c r="I304" s="34" t="s">
        <v>15</v>
      </c>
      <c r="J304" s="35"/>
    </row>
    <row r="305" spans="1:18" ht="60" customHeight="1" x14ac:dyDescent="0.3">
      <c r="A305" s="15" t="s">
        <v>1057</v>
      </c>
      <c r="B305" s="15">
        <v>103335</v>
      </c>
      <c r="C305" s="15" t="str">
        <f>VLOOKUP(B305,S!$A:$G,2,FALSE)</f>
        <v>SINAPI</v>
      </c>
      <c r="D305" s="22" t="str">
        <f>VLOOKUP(B305,S!$A:$G,3,FALSE)</f>
        <v>ALVENARIA DE VEDAÇÃO DE BLOCOS CERÂMICOS FURADOS NA HORIZONTAL DE 14X9X19 CM (ESPESSURA 14 CM, BLOCO DEITADO) E ARGAMASSA DE ASSENTAMENTO COM PREPARO MANUAL. AF_12/2021</v>
      </c>
      <c r="E305" s="15" t="str">
        <f>VLOOKUP(B305,S!$A:$G,4,FALSE)</f>
        <v>M2</v>
      </c>
      <c r="F305" s="15"/>
      <c r="G305" s="73">
        <f>I312</f>
        <v>146.51</v>
      </c>
      <c r="H305" s="74"/>
      <c r="I305" s="73"/>
      <c r="J305" s="74"/>
      <c r="K305" s="16">
        <f>VLOOKUP(B305,S!A:G,5,FALSE)</f>
        <v>146.51</v>
      </c>
      <c r="L305" s="15" t="str">
        <f>IF(K305=G305,"OK, CONFORME TABELA",IF(G305&gt;K305,"ACIMA DA TABELA: ","ABAIXO DA TABELA: ")&amp;TRUNC((G305*100)/K305,2)&amp;" %")</f>
        <v>OK, CONFORME TABELA</v>
      </c>
    </row>
    <row r="306" spans="1:18" x14ac:dyDescent="0.3">
      <c r="A306" s="23" t="s">
        <v>1022</v>
      </c>
      <c r="B306" s="23">
        <v>88316</v>
      </c>
      <c r="C306" s="23" t="str">
        <f>VLOOKUP(B306,IF(A306="COMPOSICAO",S!$A:$E,I!$A:$E),2,FALSE)</f>
        <v>SINAPI</v>
      </c>
      <c r="D306" s="24" t="str">
        <f>VLOOKUP(B306,IF(A306="COMPOSICAO",S!$A:$E,I!$A:$E),3,FALSE)</f>
        <v>SERVENTE COM ENCARGOS COMPLEMENTARES</v>
      </c>
      <c r="E306" s="23" t="str">
        <f>VLOOKUP(B306,IF(A306="COMPOSICAO",S!$A:$E,I!$A:$E),4,FALSE)</f>
        <v>H</v>
      </c>
      <c r="F306" s="23">
        <f>1.16/pcf</f>
        <v>1.1599999999999999</v>
      </c>
      <c r="G306" s="71">
        <f>IF(A306="COMPOSICAO",VLOOKUP("TOTAL SEM BDI - "&amp;B306,CPUAUX1!$A:$J,9,FALSE),VLOOKUP(B306,I!$A:$E,5,FALSE))</f>
        <v>21.71</v>
      </c>
      <c r="H306" s="72"/>
      <c r="I306" s="71">
        <f t="shared" ref="I306:I311" si="16">TRUNC(F306*G306,2)</f>
        <v>25.18</v>
      </c>
      <c r="J306" s="72"/>
      <c r="M306" s="23">
        <f t="shared" ref="M306:M311" si="17">B306</f>
        <v>88316</v>
      </c>
      <c r="N306" s="5">
        <f>SUMIF(ORCAMENTO!B:B,B305,ORCAMENTO!F:F)</f>
        <v>8.6000000000000014</v>
      </c>
      <c r="O306" s="23">
        <f t="shared" ref="O306:O311" si="18">F306*N306</f>
        <v>9.9760000000000009</v>
      </c>
      <c r="Q306" s="23">
        <f ca="1">IFERROR(SUMIF(CO!B:B,B305,OFFSET(CO!F:F,0,(4+MATCH(ETAPA,CO!$J$6:$P$6,0)))),0)</f>
        <v>3.4400000000000004</v>
      </c>
      <c r="R306" s="23">
        <f t="shared" ref="R306:R311" ca="1" si="19">F306*Q306</f>
        <v>3.9904000000000002</v>
      </c>
    </row>
    <row r="307" spans="1:18" x14ac:dyDescent="0.3">
      <c r="A307" s="23" t="s">
        <v>1022</v>
      </c>
      <c r="B307" s="23">
        <v>88309</v>
      </c>
      <c r="C307" s="23" t="str">
        <f>VLOOKUP(B307,IF(A307="COMPOSICAO",S!$A:$E,I!$A:$E),2,FALSE)</f>
        <v>SINAPI</v>
      </c>
      <c r="D307" s="24" t="str">
        <f>VLOOKUP(B307,IF(A307="COMPOSICAO",S!$A:$E,I!$A:$E),3,FALSE)</f>
        <v>PEDREIRO COM ENCARGOS COMPLEMENTARES</v>
      </c>
      <c r="E307" s="23" t="str">
        <f>VLOOKUP(B307,IF(A307="COMPOSICAO",S!$A:$E,I!$A:$E),4,FALSE)</f>
        <v>H</v>
      </c>
      <c r="F307" s="23">
        <f>2.32/pcf</f>
        <v>2.3199999999999998</v>
      </c>
      <c r="G307" s="71">
        <f>IF(A307="COMPOSICAO",VLOOKUP("TOTAL SEM BDI - "&amp;B307,CPUAUX1!$A:$J,9,FALSE),VLOOKUP(B307,I!$A:$E,5,FALSE))</f>
        <v>27.39</v>
      </c>
      <c r="H307" s="72"/>
      <c r="I307" s="71">
        <f t="shared" si="16"/>
        <v>63.54</v>
      </c>
      <c r="J307" s="72"/>
      <c r="M307" s="23">
        <f t="shared" si="17"/>
        <v>88309</v>
      </c>
      <c r="N307" s="5">
        <f>SUMIF(ORCAMENTO!B:B,B305,ORCAMENTO!F:F)</f>
        <v>8.6000000000000014</v>
      </c>
      <c r="O307" s="23">
        <f t="shared" si="18"/>
        <v>19.952000000000002</v>
      </c>
      <c r="Q307" s="23">
        <f ca="1">IFERROR(SUMIF(CO!B:B,B305,OFFSET(CO!F:F,0,(4+MATCH(ETAPA,CO!$J$6:$P$6,0)))),0)</f>
        <v>3.4400000000000004</v>
      </c>
      <c r="R307" s="23">
        <f t="shared" ca="1" si="19"/>
        <v>7.9808000000000003</v>
      </c>
    </row>
    <row r="308" spans="1:18" ht="60" customHeight="1" x14ac:dyDescent="0.3">
      <c r="A308" s="23" t="s">
        <v>1022</v>
      </c>
      <c r="B308" s="23">
        <v>87369</v>
      </c>
      <c r="C308" s="23" t="str">
        <f>VLOOKUP(B308,IF(A308="COMPOSICAO",S!$A:$E,I!$A:$E),2,FALSE)</f>
        <v>SINAPI</v>
      </c>
      <c r="D308" s="24" t="str">
        <f>VLOOKUP(B308,IF(A308="COMPOSICAO",S!$A:$E,I!$A:$E),3,FALSE)</f>
        <v>ARGAMASSA TRAÇO 1:2:8 (EM VOLUME DE CIMENTO, CAL E AREIA MÉDIA ÚMIDA) PARA EMBOÇO/MASSA ÚNICA/ASSENTAMENTO DE ALVENARIA DE VEDAÇÃO, PREPARO MANUAL. AF_08/2019</v>
      </c>
      <c r="E308" s="23" t="str">
        <f>VLOOKUP(B308,IF(A308="COMPOSICAO",S!$A:$E,I!$A:$E),4,FALSE)</f>
        <v>M3</v>
      </c>
      <c r="F308" s="23">
        <v>1.83E-2</v>
      </c>
      <c r="G308" s="71">
        <f>IF(A308="COMPOSICAO",VLOOKUP("TOTAL SEM BDI - "&amp;B308,CPUAUX1!$A:$J,9,FALSE),VLOOKUP(B308,I!$A:$E,5,FALSE))</f>
        <v>754</v>
      </c>
      <c r="H308" s="72"/>
      <c r="I308" s="71">
        <f t="shared" si="16"/>
        <v>13.79</v>
      </c>
      <c r="J308" s="72"/>
      <c r="M308" s="23">
        <f t="shared" si="17"/>
        <v>87369</v>
      </c>
      <c r="N308" s="5">
        <f>SUMIF(ORCAMENTO!B:B,B305,ORCAMENTO!F:F)</f>
        <v>8.6000000000000014</v>
      </c>
      <c r="O308" s="23">
        <f t="shared" si="18"/>
        <v>0.15738000000000002</v>
      </c>
      <c r="Q308" s="23">
        <f ca="1">IFERROR(SUMIF(CO!B:B,B305,OFFSET(CO!F:F,0,(4+MATCH(ETAPA,CO!$J$6:$P$6,0)))),0)</f>
        <v>3.4400000000000004</v>
      </c>
      <c r="R308" s="23">
        <f t="shared" ca="1" si="19"/>
        <v>6.2952000000000008E-2</v>
      </c>
    </row>
    <row r="309" spans="1:18" ht="30" customHeight="1" x14ac:dyDescent="0.3">
      <c r="A309" s="23" t="s">
        <v>1025</v>
      </c>
      <c r="B309" s="23">
        <v>37395</v>
      </c>
      <c r="C309" s="23" t="str">
        <f>VLOOKUP(B309,IF(A309="COMPOSICAO",S!$A:$E,I!$A:$E),2,FALSE)</f>
        <v>SINAPI</v>
      </c>
      <c r="D309" s="24" t="str">
        <f>VLOOKUP(B309,IF(A309="COMPOSICAO",S!$A:$E,I!$A:$E),3,FALSE)</f>
        <v>PINO DE ACO COM FURO, HASTE = 27 MM (ACAO DIRETA)</v>
      </c>
      <c r="E309" s="23" t="str">
        <f>VLOOKUP(B309,IF(A309="COMPOSICAO",S!$A:$E,I!$A:$E),4,FALSE)</f>
        <v>CENTO</v>
      </c>
      <c r="F309" s="23">
        <v>1.9300000000000001E-2</v>
      </c>
      <c r="G309" s="71">
        <f>IF(A309="COMPOSICAO",VLOOKUP("TOTAL SEM BDI - "&amp;B309,CPUAUX1!$A:$J,9,FALSE),VLOOKUP(B309,I!$A:$E,5,FALSE))</f>
        <v>44.82</v>
      </c>
      <c r="H309" s="72"/>
      <c r="I309" s="71">
        <f t="shared" si="16"/>
        <v>0.86</v>
      </c>
      <c r="J309" s="72"/>
      <c r="M309" s="23">
        <f t="shared" si="17"/>
        <v>37395</v>
      </c>
      <c r="N309" s="5">
        <f>SUMIF(ORCAMENTO!B:B,B305,ORCAMENTO!F:F)</f>
        <v>8.6000000000000014</v>
      </c>
      <c r="O309" s="23">
        <f t="shared" si="18"/>
        <v>0.16598000000000004</v>
      </c>
      <c r="Q309" s="23">
        <f ca="1">IFERROR(SUMIF(CO!B:B,B305,OFFSET(CO!F:F,0,(4+MATCH(ETAPA,CO!$J$6:$P$6,0)))),0)</f>
        <v>3.4400000000000004</v>
      </c>
      <c r="R309" s="23">
        <f t="shared" ca="1" si="19"/>
        <v>6.6392000000000007E-2</v>
      </c>
    </row>
    <row r="310" spans="1:18" ht="45" customHeight="1" x14ac:dyDescent="0.3">
      <c r="A310" s="23" t="s">
        <v>1025</v>
      </c>
      <c r="B310" s="23">
        <v>34547</v>
      </c>
      <c r="C310" s="23" t="str">
        <f>VLOOKUP(B310,IF(A310="COMPOSICAO",S!$A:$E,I!$A:$E),2,FALSE)</f>
        <v>SINAPI</v>
      </c>
      <c r="D310" s="24" t="str">
        <f>VLOOKUP(B310,IF(A310="COMPOSICAO",S!$A:$E,I!$A:$E),3,FALSE)</f>
        <v>TELA DE ACO SOLDADA GALVANIZADA/ZINCADA PARA ALVENARIA, FIO D = *1,20 A 1,70* MM, MALHA 15 X 15 MM, (C X L) *50 X 12* CM</v>
      </c>
      <c r="E310" s="23" t="str">
        <f>VLOOKUP(B310,IF(A310="COMPOSICAO",S!$A:$E,I!$A:$E),4,FALSE)</f>
        <v>M</v>
      </c>
      <c r="F310" s="23">
        <v>0.80500000000000005</v>
      </c>
      <c r="G310" s="71">
        <f>IF(A310="COMPOSICAO",VLOOKUP("TOTAL SEM BDI - "&amp;B310,CPUAUX1!$A:$J,9,FALSE),VLOOKUP(B310,I!$A:$E,5,FALSE))</f>
        <v>3.66</v>
      </c>
      <c r="H310" s="72"/>
      <c r="I310" s="71">
        <f t="shared" si="16"/>
        <v>2.94</v>
      </c>
      <c r="J310" s="72"/>
      <c r="M310" s="23">
        <f t="shared" si="17"/>
        <v>34547</v>
      </c>
      <c r="N310" s="5">
        <f>SUMIF(ORCAMENTO!B:B,B305,ORCAMENTO!F:F)</f>
        <v>8.6000000000000014</v>
      </c>
      <c r="O310" s="23">
        <f t="shared" si="18"/>
        <v>6.9230000000000018</v>
      </c>
      <c r="Q310" s="23">
        <f ca="1">IFERROR(SUMIF(CO!B:B,B305,OFFSET(CO!F:F,0,(4+MATCH(ETAPA,CO!$J$6:$P$6,0)))),0)</f>
        <v>3.4400000000000004</v>
      </c>
      <c r="R310" s="23">
        <f t="shared" ca="1" si="19"/>
        <v>2.7692000000000005</v>
      </c>
    </row>
    <row r="311" spans="1:18" ht="45" customHeight="1" x14ac:dyDescent="0.3">
      <c r="A311" s="23" t="s">
        <v>1025</v>
      </c>
      <c r="B311" s="23">
        <v>7267</v>
      </c>
      <c r="C311" s="23" t="str">
        <f>VLOOKUP(B311,IF(A311="COMPOSICAO",S!$A:$E,I!$A:$E),2,FALSE)</f>
        <v>SINAPI</v>
      </c>
      <c r="D311" s="24" t="str">
        <f>VLOOKUP(B311,IF(A311="COMPOSICAO",S!$A:$E,I!$A:$E),3,FALSE)</f>
        <v>BLOCO CERAMICO / TIJOLO VAZADO PARA ALVENARIA DE VEDACAO, 6 FUROS NA HORIZONTAL DE 9 X 14 X 19 CM (L X A X C)</v>
      </c>
      <c r="E311" s="23" t="str">
        <f>VLOOKUP(B311,IF(A311="COMPOSICAO",S!$A:$E,I!$A:$E),4,FALSE)</f>
        <v>UN</v>
      </c>
      <c r="F311" s="23">
        <v>56.62</v>
      </c>
      <c r="G311" s="71">
        <f>IF(A311="COMPOSICAO",VLOOKUP("TOTAL SEM BDI - "&amp;B311,CPUAUX1!$A:$J,9,FALSE),VLOOKUP(B311,I!$A:$E,5,FALSE))</f>
        <v>0.71</v>
      </c>
      <c r="H311" s="72"/>
      <c r="I311" s="71">
        <f t="shared" si="16"/>
        <v>40.200000000000003</v>
      </c>
      <c r="J311" s="72"/>
      <c r="M311" s="23">
        <f t="shared" si="17"/>
        <v>7267</v>
      </c>
      <c r="N311" s="5">
        <f>SUMIF(ORCAMENTO!B:B,B305,ORCAMENTO!F:F)</f>
        <v>8.6000000000000014</v>
      </c>
      <c r="O311" s="23">
        <f t="shared" si="18"/>
        <v>486.93200000000007</v>
      </c>
      <c r="Q311" s="23">
        <f ca="1">IFERROR(SUMIF(CO!B:B,B305,OFFSET(CO!F:F,0,(4+MATCH(ETAPA,CO!$J$6:$P$6,0)))),0)</f>
        <v>3.4400000000000004</v>
      </c>
      <c r="R311" s="23">
        <f t="shared" ca="1" si="19"/>
        <v>194.77280000000002</v>
      </c>
    </row>
    <row r="312" spans="1:18" x14ac:dyDescent="0.3">
      <c r="A312" s="68" t="str">
        <f>"TOTAL SEM BDI - "&amp;B305</f>
        <v>TOTAL SEM BDI - 103335</v>
      </c>
      <c r="B312" s="69"/>
      <c r="C312" s="69"/>
      <c r="D312" s="69"/>
      <c r="E312" s="69"/>
      <c r="F312" s="69"/>
      <c r="G312" s="69"/>
      <c r="H312" s="70"/>
      <c r="I312" s="71">
        <f>SUM(I305:I311)</f>
        <v>146.51</v>
      </c>
      <c r="J312" s="72"/>
    </row>
    <row r="313" spans="1:18" x14ac:dyDescent="0.3">
      <c r="A313" s="68" t="str">
        <f>"TAXA DE BDI ("&amp;TEXT(BDI,"00,00")&amp;" %)"</f>
        <v>TAXA DE BDI (24,84 %)</v>
      </c>
      <c r="B313" s="69"/>
      <c r="C313" s="69"/>
      <c r="D313" s="69"/>
      <c r="E313" s="69"/>
      <c r="F313" s="69"/>
      <c r="G313" s="69"/>
      <c r="H313" s="70"/>
      <c r="I313" s="71">
        <f>ROUND(I312*(BDI/100),2)</f>
        <v>36.39</v>
      </c>
      <c r="J313" s="72"/>
    </row>
    <row r="314" spans="1:18" x14ac:dyDescent="0.3">
      <c r="A314" s="68" t="str">
        <f>"TOTAL COM BDI - "&amp;B305</f>
        <v>TOTAL COM BDI - 103335</v>
      </c>
      <c r="B314" s="69"/>
      <c r="C314" s="69"/>
      <c r="D314" s="69"/>
      <c r="E314" s="69"/>
      <c r="F314" s="69"/>
      <c r="G314" s="69"/>
      <c r="H314" s="70"/>
      <c r="I314" s="71">
        <f>SUM(I312:I313)</f>
        <v>182.89999999999998</v>
      </c>
      <c r="J314" s="72"/>
    </row>
    <row r="316" spans="1:18" x14ac:dyDescent="0.3">
      <c r="A316" s="4" t="s">
        <v>1018</v>
      </c>
      <c r="B316" s="4" t="s">
        <v>138</v>
      </c>
      <c r="C316" s="4" t="s">
        <v>139</v>
      </c>
      <c r="D316" s="4" t="s">
        <v>21</v>
      </c>
      <c r="E316" s="4" t="s">
        <v>140</v>
      </c>
      <c r="F316" s="4" t="s">
        <v>506</v>
      </c>
      <c r="G316" s="34" t="s">
        <v>1019</v>
      </c>
      <c r="H316" s="35"/>
      <c r="I316" s="34" t="s">
        <v>15</v>
      </c>
      <c r="J316" s="35"/>
    </row>
    <row r="317" spans="1:18" ht="30" customHeight="1" x14ac:dyDescent="0.3">
      <c r="A317" s="15" t="s">
        <v>1031</v>
      </c>
      <c r="B317" s="15" t="s">
        <v>584</v>
      </c>
      <c r="C317" s="15" t="str">
        <f>VLOOKUP(B317,S!$A:$G,2,FALSE)</f>
        <v>PRÓPRIA</v>
      </c>
      <c r="D317" s="22" t="str">
        <f>VLOOKUP(B317,S!$A:$G,3,FALSE)</f>
        <v>CINTA DE AMARRAÇÃO DE ALVENARIA MOLDADA IN LOCO EM CONCRETO</v>
      </c>
      <c r="E317" s="15" t="str">
        <f>VLOOKUP(B317,S!$A:$G,4,FALSE)</f>
        <v>M</v>
      </c>
      <c r="F317" s="15"/>
      <c r="G317" s="73">
        <f>I325</f>
        <v>81.56</v>
      </c>
      <c r="H317" s="74"/>
      <c r="I317" s="73"/>
      <c r="J317" s="74"/>
      <c r="K317" s="16">
        <f>VLOOKUP(B317,S!A:G,5,FALSE)</f>
        <v>0</v>
      </c>
      <c r="L317" s="15" t="s">
        <v>1021</v>
      </c>
    </row>
    <row r="318" spans="1:18" ht="30" customHeight="1" x14ac:dyDescent="0.3">
      <c r="A318" s="23" t="s">
        <v>1025</v>
      </c>
      <c r="B318" s="23">
        <v>2692</v>
      </c>
      <c r="C318" s="23" t="str">
        <f>VLOOKUP(B318,IF(A318="COMPOSICAO",S!$A:$E,I!$A:$E),2,FALSE)</f>
        <v>SINAPI</v>
      </c>
      <c r="D318" s="24" t="str">
        <f>VLOOKUP(B318,IF(A318="COMPOSICAO",S!$A:$E,I!$A:$E),3,FALSE)</f>
        <v>DESMOLDANTE PROTETOR PARA FORMAS DE MADEIRA, DE BASE OLEOSA EMULSIONADA EM AGUA</v>
      </c>
      <c r="E318" s="23" t="str">
        <f>VLOOKUP(B318,IF(A318="COMPOSICAO",S!$A:$E,I!$A:$E),4,FALSE)</f>
        <v>L</v>
      </c>
      <c r="F318" s="23">
        <v>3.5000000000000001E-3</v>
      </c>
      <c r="G318" s="71">
        <f>IF(A318="COMPOSICAO",VLOOKUP("TOTAL SEM BDI - "&amp;B318,CPUAUX1!$A:$J,9,FALSE),VLOOKUP(B318,I!$A:$E,5,FALSE))</f>
        <v>10.75</v>
      </c>
      <c r="H318" s="72"/>
      <c r="I318" s="71">
        <f t="shared" ref="I318:I324" si="20">TRUNC(F318*G318,2)</f>
        <v>0.03</v>
      </c>
      <c r="J318" s="72"/>
      <c r="M318" s="23">
        <f t="shared" ref="M318:M324" si="21">B318</f>
        <v>2692</v>
      </c>
      <c r="N318" s="5">
        <f>SUMIF(ORCAMENTO!B:B,B317,ORCAMENTO!F:F)</f>
        <v>43</v>
      </c>
      <c r="O318" s="23">
        <f t="shared" ref="O318:O324" si="22">F318*N318</f>
        <v>0.15049999999999999</v>
      </c>
      <c r="Q318" s="23">
        <f ca="1">IFERROR(SUMIF(CO!B:B,B317,OFFSET(CO!F:F,0,(4+MATCH(ETAPA,CO!$J$6:$P$6,0)))),0)</f>
        <v>17.2</v>
      </c>
      <c r="R318" s="23">
        <f t="shared" ref="R318:R324" ca="1" si="23">F318*Q318</f>
        <v>6.0199999999999997E-2</v>
      </c>
    </row>
    <row r="319" spans="1:18" ht="45" customHeight="1" x14ac:dyDescent="0.3">
      <c r="A319" s="23" t="s">
        <v>1025</v>
      </c>
      <c r="B319" s="23">
        <v>39017</v>
      </c>
      <c r="C319" s="23" t="str">
        <f>VLOOKUP(B319,IF(A319="COMPOSICAO",S!$A:$E,I!$A:$E),2,FALSE)</f>
        <v>SINAPI</v>
      </c>
      <c r="D319" s="24" t="str">
        <f>VLOOKUP(B319,IF(A319="COMPOSICAO",S!$A:$E,I!$A:$E),3,FALSE)</f>
        <v>ESPACADOR / DISTANCIADOR CIRCULAR COM ENTRADA LATERAL, EM PLASTICO, PARA VERGALHAO *4,2 A 12,5* MM, COBRIMENTO 20 MM</v>
      </c>
      <c r="E319" s="23" t="str">
        <f>VLOOKUP(B319,IF(A319="COMPOSICAO",S!$A:$E,I!$A:$E),4,FALSE)</f>
        <v>UN</v>
      </c>
      <c r="F319" s="23">
        <v>6</v>
      </c>
      <c r="G319" s="71">
        <f>IF(A319="COMPOSICAO",VLOOKUP("TOTAL SEM BDI - "&amp;B319,CPUAUX1!$A:$J,9,FALSE),VLOOKUP(B319,I!$A:$E,5,FALSE))</f>
        <v>0.22</v>
      </c>
      <c r="H319" s="72"/>
      <c r="I319" s="71">
        <f t="shared" si="20"/>
        <v>1.32</v>
      </c>
      <c r="J319" s="72"/>
      <c r="M319" s="23">
        <f t="shared" si="21"/>
        <v>39017</v>
      </c>
      <c r="N319" s="5">
        <f>SUMIF(ORCAMENTO!B:B,B317,ORCAMENTO!F:F)</f>
        <v>43</v>
      </c>
      <c r="O319" s="23">
        <f t="shared" si="22"/>
        <v>258</v>
      </c>
      <c r="Q319" s="23">
        <f ca="1">IFERROR(SUMIF(CO!B:B,B317,OFFSET(CO!F:F,0,(4+MATCH(ETAPA,CO!$J$6:$P$6,0)))),0)</f>
        <v>17.2</v>
      </c>
      <c r="R319" s="23">
        <f t="shared" ca="1" si="23"/>
        <v>103.19999999999999</v>
      </c>
    </row>
    <row r="320" spans="1:18" x14ac:dyDescent="0.3">
      <c r="A320" s="23" t="s">
        <v>1022</v>
      </c>
      <c r="B320" s="23">
        <v>88309</v>
      </c>
      <c r="C320" s="23" t="str">
        <f>VLOOKUP(B320,IF(A320="COMPOSICAO",S!$A:$E,I!$A:$E),2,FALSE)</f>
        <v>SINAPI</v>
      </c>
      <c r="D320" s="24" t="str">
        <f>VLOOKUP(B320,IF(A320="COMPOSICAO",S!$A:$E,I!$A:$E),3,FALSE)</f>
        <v>PEDREIRO COM ENCARGOS COMPLEMENTARES</v>
      </c>
      <c r="E320" s="23" t="str">
        <f>VLOOKUP(B320,IF(A320="COMPOSICAO",S!$A:$E,I!$A:$E),4,FALSE)</f>
        <v>H</v>
      </c>
      <c r="F320" s="23">
        <f>0.36/pcf</f>
        <v>0.36</v>
      </c>
      <c r="G320" s="71">
        <f>IF(A320="COMPOSICAO",VLOOKUP("TOTAL SEM BDI - "&amp;B320,CPUAUX1!$A:$J,9,FALSE),VLOOKUP(B320,I!$A:$E,5,FALSE))</f>
        <v>27.39</v>
      </c>
      <c r="H320" s="72"/>
      <c r="I320" s="71">
        <f t="shared" si="20"/>
        <v>9.86</v>
      </c>
      <c r="J320" s="72"/>
      <c r="M320" s="23">
        <f t="shared" si="21"/>
        <v>88309</v>
      </c>
      <c r="N320" s="5">
        <f>SUMIF(ORCAMENTO!B:B,B317,ORCAMENTO!F:F)</f>
        <v>43</v>
      </c>
      <c r="O320" s="23">
        <f t="shared" si="22"/>
        <v>15.479999999999999</v>
      </c>
      <c r="Q320" s="23">
        <f ca="1">IFERROR(SUMIF(CO!B:B,B317,OFFSET(CO!F:F,0,(4+MATCH(ETAPA,CO!$J$6:$P$6,0)))),0)</f>
        <v>17.2</v>
      </c>
      <c r="R320" s="23">
        <f t="shared" ca="1" si="23"/>
        <v>6.1919999999999993</v>
      </c>
    </row>
    <row r="321" spans="1:18" x14ac:dyDescent="0.3">
      <c r="A321" s="23" t="s">
        <v>1022</v>
      </c>
      <c r="B321" s="23">
        <v>88316</v>
      </c>
      <c r="C321" s="23" t="str">
        <f>VLOOKUP(B321,IF(A321="COMPOSICAO",S!$A:$E,I!$A:$E),2,FALSE)</f>
        <v>SINAPI</v>
      </c>
      <c r="D321" s="24" t="str">
        <f>VLOOKUP(B321,IF(A321="COMPOSICAO",S!$A:$E,I!$A:$E),3,FALSE)</f>
        <v>SERVENTE COM ENCARGOS COMPLEMENTARES</v>
      </c>
      <c r="E321" s="23" t="str">
        <f>VLOOKUP(B321,IF(A321="COMPOSICAO",S!$A:$E,I!$A:$E),4,FALSE)</f>
        <v>H</v>
      </c>
      <c r="F321" s="23">
        <f>0.18/pcf</f>
        <v>0.18</v>
      </c>
      <c r="G321" s="71">
        <f>IF(A321="COMPOSICAO",VLOOKUP("TOTAL SEM BDI - "&amp;B321,CPUAUX1!$A:$J,9,FALSE),VLOOKUP(B321,I!$A:$E,5,FALSE))</f>
        <v>21.71</v>
      </c>
      <c r="H321" s="72"/>
      <c r="I321" s="71">
        <f t="shared" si="20"/>
        <v>3.9</v>
      </c>
      <c r="J321" s="72"/>
      <c r="M321" s="23">
        <f t="shared" si="21"/>
        <v>88316</v>
      </c>
      <c r="N321" s="5">
        <f>SUMIF(ORCAMENTO!B:B,B317,ORCAMENTO!F:F)</f>
        <v>43</v>
      </c>
      <c r="O321" s="23">
        <f t="shared" si="22"/>
        <v>7.7399999999999993</v>
      </c>
      <c r="Q321" s="23">
        <f ca="1">IFERROR(SUMIF(CO!B:B,B317,OFFSET(CO!F:F,0,(4+MATCH(ETAPA,CO!$J$6:$P$6,0)))),0)</f>
        <v>17.2</v>
      </c>
      <c r="R321" s="23">
        <f t="shared" ca="1" si="23"/>
        <v>3.0959999999999996</v>
      </c>
    </row>
    <row r="322" spans="1:18" ht="30" customHeight="1" x14ac:dyDescent="0.3">
      <c r="A322" s="23" t="s">
        <v>1022</v>
      </c>
      <c r="B322" s="23">
        <v>92270</v>
      </c>
      <c r="C322" s="23" t="str">
        <f>VLOOKUP(B322,IF(A322="COMPOSICAO",S!$A:$E,I!$A:$E),2,FALSE)</f>
        <v>SINAPI</v>
      </c>
      <c r="D322" s="24" t="str">
        <f>VLOOKUP(B322,IF(A322="COMPOSICAO",S!$A:$E,I!$A:$E),3,FALSE)</f>
        <v>FABRICAÇÃO DE FÔRMA PARA VIGAS, COM MADEIRA SERRADA, E = 25 MM. AF_09/2020</v>
      </c>
      <c r="E322" s="23" t="str">
        <f>VLOOKUP(B322,IF(A322="COMPOSICAO",S!$A:$E,I!$A:$E),4,FALSE)</f>
        <v>M2</v>
      </c>
      <c r="F322" s="23">
        <v>0.36</v>
      </c>
      <c r="G322" s="71">
        <f>IF(A322="COMPOSICAO",VLOOKUP("TOTAL SEM BDI - "&amp;B322,CPUAUX1!$A:$J,9,FALSE),VLOOKUP(B322,I!$A:$E,5,FALSE))</f>
        <v>142.23999999999998</v>
      </c>
      <c r="H322" s="72"/>
      <c r="I322" s="71">
        <f t="shared" si="20"/>
        <v>51.2</v>
      </c>
      <c r="J322" s="72"/>
      <c r="M322" s="23">
        <f t="shared" si="21"/>
        <v>92270</v>
      </c>
      <c r="N322" s="5">
        <f>SUMIF(ORCAMENTO!B:B,B317,ORCAMENTO!F:F)</f>
        <v>43</v>
      </c>
      <c r="O322" s="23">
        <f t="shared" si="22"/>
        <v>15.479999999999999</v>
      </c>
      <c r="Q322" s="23">
        <f ca="1">IFERROR(SUMIF(CO!B:B,B317,OFFSET(CO!F:F,0,(4+MATCH(ETAPA,CO!$J$6:$P$6,0)))),0)</f>
        <v>17.2</v>
      </c>
      <c r="R322" s="23">
        <f t="shared" ca="1" si="23"/>
        <v>6.1919999999999993</v>
      </c>
    </row>
    <row r="323" spans="1:18" ht="30" customHeight="1" x14ac:dyDescent="0.3">
      <c r="A323" s="23" t="s">
        <v>1022</v>
      </c>
      <c r="B323" s="23">
        <v>92802</v>
      </c>
      <c r="C323" s="23" t="str">
        <f>VLOOKUP(B323,IF(A323="COMPOSICAO",S!$A:$E,I!$A:$E),2,FALSE)</f>
        <v>SINAPI</v>
      </c>
      <c r="D323" s="24" t="str">
        <f>VLOOKUP(B323,IF(A323="COMPOSICAO",S!$A:$E,I!$A:$E),3,FALSE)</f>
        <v>CORTE E DOBRA DE AÇO CA-50, DIÂMETRO DE 8,0 MM. AF_06/2022</v>
      </c>
      <c r="E323" s="23" t="str">
        <f>VLOOKUP(B323,IF(A323="COMPOSICAO",S!$A:$E,I!$A:$E),4,FALSE)</f>
        <v>KG</v>
      </c>
      <c r="F323" s="23">
        <v>0.79</v>
      </c>
      <c r="G323" s="71">
        <f>IF(A323="COMPOSICAO",VLOOKUP("TOTAL SEM BDI - "&amp;B323,CPUAUX1!$A:$J,9,FALSE),VLOOKUP(B323,I!$A:$E,5,FALSE))</f>
        <v>10</v>
      </c>
      <c r="H323" s="72"/>
      <c r="I323" s="71">
        <f t="shared" si="20"/>
        <v>7.9</v>
      </c>
      <c r="J323" s="72"/>
      <c r="M323" s="23">
        <f t="shared" si="21"/>
        <v>92802</v>
      </c>
      <c r="N323" s="5">
        <f>SUMIF(ORCAMENTO!B:B,B317,ORCAMENTO!F:F)</f>
        <v>43</v>
      </c>
      <c r="O323" s="23">
        <f t="shared" si="22"/>
        <v>33.97</v>
      </c>
      <c r="Q323" s="23">
        <f ca="1">IFERROR(SUMIF(CO!B:B,B317,OFFSET(CO!F:F,0,(4+MATCH(ETAPA,CO!$J$6:$P$6,0)))),0)</f>
        <v>17.2</v>
      </c>
      <c r="R323" s="23">
        <f t="shared" ca="1" si="23"/>
        <v>13.587999999999999</v>
      </c>
    </row>
    <row r="324" spans="1:18" ht="60" customHeight="1" x14ac:dyDescent="0.3">
      <c r="A324" s="23" t="s">
        <v>1022</v>
      </c>
      <c r="B324" s="23">
        <v>94970</v>
      </c>
      <c r="C324" s="23" t="str">
        <f>VLOOKUP(B324,IF(A324="COMPOSICAO",S!$A:$E,I!$A:$E),2,FALSE)</f>
        <v>SINAPI</v>
      </c>
      <c r="D324" s="24" t="str">
        <f>VLOOKUP(B324,IF(A324="COMPOSICAO",S!$A:$E,I!$A:$E),3,FALSE)</f>
        <v>CONCRETO FCK = 20MPA, TRAÇO 1:2,7:3 (EM MASSA SECA DE CIMENTO/ AREIA MÉDIA/ BRITA 1) - PREPARO MECÂNICO COM BETONEIRA 600 L. AF_05/2021</v>
      </c>
      <c r="E324" s="23" t="str">
        <f>VLOOKUP(B324,IF(A324="COMPOSICAO",S!$A:$E,I!$A:$E),4,FALSE)</f>
        <v>M3</v>
      </c>
      <c r="F324" s="23">
        <v>1.17E-2</v>
      </c>
      <c r="G324" s="71">
        <f>IF(A324="COMPOSICAO",VLOOKUP("TOTAL SEM BDI - "&amp;B324,CPUAUX1!$A:$J,9,FALSE),VLOOKUP(B324,I!$A:$E,5,FALSE))</f>
        <v>628.76</v>
      </c>
      <c r="H324" s="72"/>
      <c r="I324" s="71">
        <f t="shared" si="20"/>
        <v>7.35</v>
      </c>
      <c r="J324" s="72"/>
      <c r="M324" s="23">
        <f t="shared" si="21"/>
        <v>94970</v>
      </c>
      <c r="N324" s="5">
        <f>SUMIF(ORCAMENTO!B:B,B317,ORCAMENTO!F:F)</f>
        <v>43</v>
      </c>
      <c r="O324" s="23">
        <f t="shared" si="22"/>
        <v>0.50309999999999999</v>
      </c>
      <c r="Q324" s="23">
        <f ca="1">IFERROR(SUMIF(CO!B:B,B317,OFFSET(CO!F:F,0,(4+MATCH(ETAPA,CO!$J$6:$P$6,0)))),0)</f>
        <v>17.2</v>
      </c>
      <c r="R324" s="23">
        <f t="shared" ca="1" si="23"/>
        <v>0.20124</v>
      </c>
    </row>
    <row r="325" spans="1:18" x14ac:dyDescent="0.3">
      <c r="A325" s="68" t="str">
        <f>"TOTAL SEM BDI - "&amp;B317</f>
        <v>TOTAL SEM BDI - COMPCOM01</v>
      </c>
      <c r="B325" s="69"/>
      <c r="C325" s="69"/>
      <c r="D325" s="69"/>
      <c r="E325" s="69"/>
      <c r="F325" s="69"/>
      <c r="G325" s="69"/>
      <c r="H325" s="70"/>
      <c r="I325" s="71">
        <f>SUM(I317:I324)</f>
        <v>81.56</v>
      </c>
      <c r="J325" s="72"/>
    </row>
    <row r="326" spans="1:18" x14ac:dyDescent="0.3">
      <c r="A326" s="68" t="str">
        <f>"TAXA DE BDI ("&amp;TEXT(BDI,"00,00")&amp;" %)"</f>
        <v>TAXA DE BDI (24,84 %)</v>
      </c>
      <c r="B326" s="69"/>
      <c r="C326" s="69"/>
      <c r="D326" s="69"/>
      <c r="E326" s="69"/>
      <c r="F326" s="69"/>
      <c r="G326" s="69"/>
      <c r="H326" s="70"/>
      <c r="I326" s="71">
        <f>ROUND(I325*(BDI/100),2)</f>
        <v>20.260000000000002</v>
      </c>
      <c r="J326" s="72"/>
    </row>
    <row r="327" spans="1:18" x14ac:dyDescent="0.3">
      <c r="A327" s="68" t="str">
        <f>"TOTAL COM BDI - "&amp;B317</f>
        <v>TOTAL COM BDI - COMPCOM01</v>
      </c>
      <c r="B327" s="69"/>
      <c r="C327" s="69"/>
      <c r="D327" s="69"/>
      <c r="E327" s="69"/>
      <c r="F327" s="69"/>
      <c r="G327" s="69"/>
      <c r="H327" s="70"/>
      <c r="I327" s="71">
        <f>SUM(I325:I326)</f>
        <v>101.82000000000001</v>
      </c>
      <c r="J327" s="72"/>
    </row>
    <row r="329" spans="1:18" x14ac:dyDescent="0.3">
      <c r="A329" s="4" t="s">
        <v>1018</v>
      </c>
      <c r="B329" s="4" t="s">
        <v>138</v>
      </c>
      <c r="C329" s="4" t="s">
        <v>139</v>
      </c>
      <c r="D329" s="4" t="s">
        <v>21</v>
      </c>
      <c r="E329" s="4" t="s">
        <v>140</v>
      </c>
      <c r="F329" s="4" t="s">
        <v>506</v>
      </c>
      <c r="G329" s="34" t="s">
        <v>1019</v>
      </c>
      <c r="H329" s="35"/>
      <c r="I329" s="34" t="s">
        <v>15</v>
      </c>
      <c r="J329" s="35"/>
    </row>
    <row r="330" spans="1:18" ht="45" customHeight="1" x14ac:dyDescent="0.3">
      <c r="A330" s="15" t="s">
        <v>1031</v>
      </c>
      <c r="B330" s="15" t="s">
        <v>587</v>
      </c>
      <c r="C330" s="15" t="str">
        <f>VLOOKUP(B330,S!$A:$G,2,FALSE)</f>
        <v>PRÓPRIA</v>
      </c>
      <c r="D330" s="22" t="str">
        <f>VLOOKUP(B330,S!$A:$G,3,FALSE)</f>
        <v>(COMPOSIÇÃO REPRESENTATIVA) EXECUÇÃO DE ESTRUTURAS DE CONCRETO ARMADO, PARA EDIFICAÇÃO INSTITUCIONAL TÉRREA, FCK = 25 MPA</v>
      </c>
      <c r="E330" s="15" t="str">
        <f>VLOOKUP(B330,S!$A:$G,4,FALSE)</f>
        <v>M³</v>
      </c>
      <c r="F330" s="15"/>
      <c r="G330" s="73">
        <f>I346</f>
        <v>1260.97</v>
      </c>
      <c r="H330" s="74"/>
      <c r="I330" s="73"/>
      <c r="J330" s="74"/>
      <c r="K330" s="16">
        <f>VLOOKUP(B330,S!A:G,5,FALSE)</f>
        <v>0</v>
      </c>
      <c r="L330" s="15" t="s">
        <v>1021</v>
      </c>
    </row>
    <row r="331" spans="1:18" ht="45" customHeight="1" x14ac:dyDescent="0.3">
      <c r="A331" s="23" t="s">
        <v>1022</v>
      </c>
      <c r="B331" s="23">
        <v>103672</v>
      </c>
      <c r="C331" s="23" t="str">
        <f>VLOOKUP(B331,IF(A331="COMPOSICAO",S!$A:$E,I!$A:$E),2,FALSE)</f>
        <v>SINAPI</v>
      </c>
      <c r="D331" s="24" t="str">
        <f>VLOOKUP(B331,IF(A331="COMPOSICAO",S!$A:$E,I!$A:$E),3,FALSE)</f>
        <v>CONCRETAGEM DE PILARES, FCK = 25 MPA, COM USO DE BOMBA - LANÇAMENTO, ADENSAMENTO E ACABAMENTO. AF_02/2022_PS</v>
      </c>
      <c r="E331" s="23" t="str">
        <f>VLOOKUP(B331,IF(A331="COMPOSICAO",S!$A:$E,I!$A:$E),4,FALSE)</f>
        <v>M3</v>
      </c>
      <c r="F331" s="23">
        <v>0.1235</v>
      </c>
      <c r="G331" s="71">
        <f>IF(A331="COMPOSICAO",VLOOKUP("TOTAL SEM BDI - "&amp;B331,CPUAUX1!$A:$J,9,FALSE),VLOOKUP(B331,I!$A:$E,5,FALSE))</f>
        <v>704.98</v>
      </c>
      <c r="H331" s="72"/>
      <c r="I331" s="71">
        <f t="shared" ref="I331:I345" si="24">TRUNC(F331*G331,2)</f>
        <v>87.06</v>
      </c>
      <c r="J331" s="72"/>
      <c r="M331" s="23">
        <f t="shared" ref="M331:M345" si="25">B331</f>
        <v>103672</v>
      </c>
      <c r="N331" s="5">
        <f>SUMIF(ORCAMENTO!B:B,B330,ORCAMENTO!F:F)</f>
        <v>1.5000000000000002</v>
      </c>
      <c r="O331" s="23">
        <f t="shared" ref="O331:O345" si="26">F331*N331</f>
        <v>0.18525000000000003</v>
      </c>
      <c r="Q331" s="23">
        <f ca="1">IFERROR(SUMIF(CO!B:B,B330,OFFSET(CO!F:F,0,(4+MATCH(ETAPA,CO!$J$6:$P$6,0)))),0)</f>
        <v>0.60000000000000009</v>
      </c>
      <c r="R331" s="23">
        <f t="shared" ref="R331:R345" ca="1" si="27">F331*Q331</f>
        <v>7.4100000000000013E-2</v>
      </c>
    </row>
    <row r="332" spans="1:18" ht="60" customHeight="1" x14ac:dyDescent="0.3">
      <c r="A332" s="23" t="s">
        <v>1022</v>
      </c>
      <c r="B332" s="23">
        <v>92415</v>
      </c>
      <c r="C332" s="23" t="str">
        <f>VLOOKUP(B332,IF(A332="COMPOSICAO",S!$A:$E,I!$A:$E),2,FALSE)</f>
        <v>SINAPI</v>
      </c>
      <c r="D332" s="24" t="str">
        <f>VLOOKUP(B332,IF(A332="COMPOSICAO",S!$A:$E,I!$A:$E),3,FALSE)</f>
        <v>MONTAGEM E DESMONTAGEM DE FÔRMA DE PILARES RETANGULARES E ESTRUTURAS SIMILARES, PÉ-DIREITO SIMPLES, EM CHAPA DE MADEIRA COMPENSADA RESINADA, 2 UTILIZAÇÕES. AF_09/2020</v>
      </c>
      <c r="E332" s="23" t="str">
        <f>VLOOKUP(B332,IF(A332="COMPOSICAO",S!$A:$E,I!$A:$E),4,FALSE)</f>
        <v>M2</v>
      </c>
      <c r="F332" s="23">
        <v>0.77429999999999999</v>
      </c>
      <c r="G332" s="71">
        <f>IF(A332="COMPOSICAO",VLOOKUP("TOTAL SEM BDI - "&amp;B332,CPUAUX1!$A:$J,9,FALSE),VLOOKUP(B332,I!$A:$E,5,FALSE))</f>
        <v>149.22</v>
      </c>
      <c r="H332" s="72"/>
      <c r="I332" s="71">
        <f t="shared" si="24"/>
        <v>115.54</v>
      </c>
      <c r="J332" s="72"/>
      <c r="M332" s="23">
        <f t="shared" si="25"/>
        <v>92415</v>
      </c>
      <c r="N332" s="5">
        <f>SUMIF(ORCAMENTO!B:B,B330,ORCAMENTO!F:F)</f>
        <v>1.5000000000000002</v>
      </c>
      <c r="O332" s="23">
        <f t="shared" si="26"/>
        <v>1.1614500000000001</v>
      </c>
      <c r="Q332" s="23">
        <f ca="1">IFERROR(SUMIF(CO!B:B,B330,OFFSET(CO!F:F,0,(4+MATCH(ETAPA,CO!$J$6:$P$6,0)))),0)</f>
        <v>0.60000000000000009</v>
      </c>
      <c r="R332" s="23">
        <f t="shared" ca="1" si="27"/>
        <v>0.46458000000000005</v>
      </c>
    </row>
    <row r="333" spans="1:18" ht="60" customHeight="1" x14ac:dyDescent="0.3">
      <c r="A333" s="23" t="s">
        <v>1022</v>
      </c>
      <c r="B333" s="23">
        <v>92451</v>
      </c>
      <c r="C333" s="23" t="str">
        <f>VLOOKUP(B333,IF(A333="COMPOSICAO",S!$A:$E,I!$A:$E),2,FALSE)</f>
        <v>SINAPI</v>
      </c>
      <c r="D333" s="24" t="str">
        <f>VLOOKUP(B333,IF(A333="COMPOSICAO",S!$A:$E,I!$A:$E),3,FALSE)</f>
        <v>MONTAGEM E DESMONTAGEM DE FÔRMA DE VIGA, ESCORAMENTO COM GARFO DE MADEIRA, PÉ-DIREITO SIMPLES, EM CHAPA DE MADEIRA RESINADA, 2 UTILIZAÇÕES. AF_09/2020</v>
      </c>
      <c r="E333" s="23" t="str">
        <f>VLOOKUP(B333,IF(A333="COMPOSICAO",S!$A:$E,I!$A:$E),4,FALSE)</f>
        <v>M2</v>
      </c>
      <c r="F333" s="23">
        <v>2.5817999999999999</v>
      </c>
      <c r="G333" s="71">
        <f>IF(A333="COMPOSICAO",VLOOKUP("TOTAL SEM BDI - "&amp;B333,CPUAUX1!$A:$J,9,FALSE),VLOOKUP(B333,I!$A:$E,5,FALSE))</f>
        <v>209.76999999999998</v>
      </c>
      <c r="H333" s="72"/>
      <c r="I333" s="71">
        <f t="shared" si="24"/>
        <v>541.58000000000004</v>
      </c>
      <c r="J333" s="72"/>
      <c r="M333" s="23">
        <f t="shared" si="25"/>
        <v>92451</v>
      </c>
      <c r="N333" s="5">
        <f>SUMIF(ORCAMENTO!B:B,B330,ORCAMENTO!F:F)</f>
        <v>1.5000000000000002</v>
      </c>
      <c r="O333" s="23">
        <f t="shared" si="26"/>
        <v>3.8727000000000005</v>
      </c>
      <c r="Q333" s="23">
        <f ca="1">IFERROR(SUMIF(CO!B:B,B330,OFFSET(CO!F:F,0,(4+MATCH(ETAPA,CO!$J$6:$P$6,0)))),0)</f>
        <v>0.60000000000000009</v>
      </c>
      <c r="R333" s="23">
        <f t="shared" ca="1" si="27"/>
        <v>1.5490800000000002</v>
      </c>
    </row>
    <row r="334" spans="1:18" ht="45" customHeight="1" x14ac:dyDescent="0.3">
      <c r="A334" s="23" t="s">
        <v>1022</v>
      </c>
      <c r="B334" s="23">
        <v>92759</v>
      </c>
      <c r="C334" s="23" t="str">
        <f>VLOOKUP(B334,IF(A334="COMPOSICAO",S!$A:$E,I!$A:$E),2,FALSE)</f>
        <v>SINAPI</v>
      </c>
      <c r="D334" s="24" t="str">
        <f>VLOOKUP(B334,IF(A334="COMPOSICAO",S!$A:$E,I!$A:$E),3,FALSE)</f>
        <v>ARMAÇÃO DE PILAR OU VIGA DE ESTRUTURA CONVENCIONAL DE CONCRETO ARMADO UTILIZANDO AÇO CA-60 DE 5,0 MM - MONTAGEM. AF_06/2022</v>
      </c>
      <c r="E334" s="23" t="str">
        <f>VLOOKUP(B334,IF(A334="COMPOSICAO",S!$A:$E,I!$A:$E),4,FALSE)</f>
        <v>KG</v>
      </c>
      <c r="F334" s="23">
        <v>2.7682000000000002</v>
      </c>
      <c r="G334" s="71">
        <f>IF(A334="COMPOSICAO",VLOOKUP("TOTAL SEM BDI - "&amp;B334,CPUAUX1!$A:$J,9,FALSE),VLOOKUP(B334,I!$A:$E,5,FALSE))</f>
        <v>14.040000000000001</v>
      </c>
      <c r="H334" s="72"/>
      <c r="I334" s="71">
        <f t="shared" si="24"/>
        <v>38.86</v>
      </c>
      <c r="J334" s="72"/>
      <c r="M334" s="23">
        <f t="shared" si="25"/>
        <v>92759</v>
      </c>
      <c r="N334" s="5">
        <f>SUMIF(ORCAMENTO!B:B,B330,ORCAMENTO!F:F)</f>
        <v>1.5000000000000002</v>
      </c>
      <c r="O334" s="23">
        <f t="shared" si="26"/>
        <v>4.1523000000000012</v>
      </c>
      <c r="Q334" s="23">
        <f ca="1">IFERROR(SUMIF(CO!B:B,B330,OFFSET(CO!F:F,0,(4+MATCH(ETAPA,CO!$J$6:$P$6,0)))),0)</f>
        <v>0.60000000000000009</v>
      </c>
      <c r="R334" s="23">
        <f t="shared" ca="1" si="27"/>
        <v>1.6609200000000004</v>
      </c>
    </row>
    <row r="335" spans="1:18" ht="45" customHeight="1" x14ac:dyDescent="0.3">
      <c r="A335" s="23" t="s">
        <v>1022</v>
      </c>
      <c r="B335" s="23">
        <v>92760</v>
      </c>
      <c r="C335" s="23" t="str">
        <f>VLOOKUP(B335,IF(A335="COMPOSICAO",S!$A:$E,I!$A:$E),2,FALSE)</f>
        <v>SINAPI</v>
      </c>
      <c r="D335" s="24" t="str">
        <f>VLOOKUP(B335,IF(A335="COMPOSICAO",S!$A:$E,I!$A:$E),3,FALSE)</f>
        <v>ARMAÇÃO DE PILAR OU VIGA DE ESTRUTURA CONVENCIONAL DE CONCRETO ARMADO UTILIZANDO AÇO CA-50 DE 6,3 MM - MONTAGEM. AF_06/2022</v>
      </c>
      <c r="E335" s="23" t="str">
        <f>VLOOKUP(B335,IF(A335="COMPOSICAO",S!$A:$E,I!$A:$E),4,FALSE)</f>
        <v>KG</v>
      </c>
      <c r="F335" s="23">
        <v>2.6901999999999999</v>
      </c>
      <c r="G335" s="71">
        <f>IF(A335="COMPOSICAO",VLOOKUP("TOTAL SEM BDI - "&amp;B335,CPUAUX1!$A:$J,9,FALSE),VLOOKUP(B335,I!$A:$E,5,FALSE))</f>
        <v>13.22</v>
      </c>
      <c r="H335" s="72"/>
      <c r="I335" s="71">
        <f t="shared" si="24"/>
        <v>35.56</v>
      </c>
      <c r="J335" s="72"/>
      <c r="M335" s="23">
        <f t="shared" si="25"/>
        <v>92760</v>
      </c>
      <c r="N335" s="5">
        <f>SUMIF(ORCAMENTO!B:B,B330,ORCAMENTO!F:F)</f>
        <v>1.5000000000000002</v>
      </c>
      <c r="O335" s="23">
        <f t="shared" si="26"/>
        <v>4.0353000000000003</v>
      </c>
      <c r="Q335" s="23">
        <f ca="1">IFERROR(SUMIF(CO!B:B,B330,OFFSET(CO!F:F,0,(4+MATCH(ETAPA,CO!$J$6:$P$6,0)))),0)</f>
        <v>0.60000000000000009</v>
      </c>
      <c r="R335" s="23">
        <f t="shared" ca="1" si="27"/>
        <v>1.6141200000000002</v>
      </c>
    </row>
    <row r="336" spans="1:18" ht="45" customHeight="1" x14ac:dyDescent="0.3">
      <c r="A336" s="23" t="s">
        <v>1022</v>
      </c>
      <c r="B336" s="23">
        <v>92761</v>
      </c>
      <c r="C336" s="23" t="str">
        <f>VLOOKUP(B336,IF(A336="COMPOSICAO",S!$A:$E,I!$A:$E),2,FALSE)</f>
        <v>SINAPI</v>
      </c>
      <c r="D336" s="24" t="str">
        <f>VLOOKUP(B336,IF(A336="COMPOSICAO",S!$A:$E,I!$A:$E),3,FALSE)</f>
        <v>ARMAÇÃO DE PILAR OU VIGA DE ESTRUTURA CONVENCIONAL DE CONCRETO ARMADO UTILIZANDO AÇO CA-50 DE 8,0 MM - MONTAGEM. AF_06/2022</v>
      </c>
      <c r="E336" s="23" t="str">
        <f>VLOOKUP(B336,IF(A336="COMPOSICAO",S!$A:$E,I!$A:$E),4,FALSE)</f>
        <v>KG</v>
      </c>
      <c r="F336" s="23">
        <v>0.97760000000000002</v>
      </c>
      <c r="G336" s="71">
        <f>IF(A336="COMPOSICAO",VLOOKUP("TOTAL SEM BDI - "&amp;B336,CPUAUX1!$A:$J,9,FALSE),VLOOKUP(B336,I!$A:$E,5,FALSE))</f>
        <v>12.409999999999998</v>
      </c>
      <c r="H336" s="72"/>
      <c r="I336" s="71">
        <f t="shared" si="24"/>
        <v>12.13</v>
      </c>
      <c r="J336" s="72"/>
      <c r="M336" s="23">
        <f t="shared" si="25"/>
        <v>92761</v>
      </c>
      <c r="N336" s="5">
        <f>SUMIF(ORCAMENTO!B:B,B330,ORCAMENTO!F:F)</f>
        <v>1.5000000000000002</v>
      </c>
      <c r="O336" s="23">
        <f t="shared" si="26"/>
        <v>1.4664000000000001</v>
      </c>
      <c r="Q336" s="23">
        <f ca="1">IFERROR(SUMIF(CO!B:B,B330,OFFSET(CO!F:F,0,(4+MATCH(ETAPA,CO!$J$6:$P$6,0)))),0)</f>
        <v>0.60000000000000009</v>
      </c>
      <c r="R336" s="23">
        <f t="shared" ca="1" si="27"/>
        <v>0.58656000000000008</v>
      </c>
    </row>
    <row r="337" spans="1:18" ht="45" customHeight="1" x14ac:dyDescent="0.3">
      <c r="A337" s="23" t="s">
        <v>1022</v>
      </c>
      <c r="B337" s="23">
        <v>92762</v>
      </c>
      <c r="C337" s="23" t="str">
        <f>VLOOKUP(B337,IF(A337="COMPOSICAO",S!$A:$E,I!$A:$E),2,FALSE)</f>
        <v>SINAPI</v>
      </c>
      <c r="D337" s="24" t="str">
        <f>VLOOKUP(B337,IF(A337="COMPOSICAO",S!$A:$E,I!$A:$E),3,FALSE)</f>
        <v>ARMAÇÃO DE PILAR OU VIGA DE ESTRUTURA CONVENCIONAL DE CONCRETO ARMADO UTILIZANDO AÇO CA-50 DE 10,0 MM - MONTAGEM. AF_06/2022</v>
      </c>
      <c r="E337" s="23" t="str">
        <f>VLOOKUP(B337,IF(A337="COMPOSICAO",S!$A:$E,I!$A:$E),4,FALSE)</f>
        <v>KG</v>
      </c>
      <c r="F337" s="23">
        <v>20.357600000000001</v>
      </c>
      <c r="G337" s="71">
        <f>IF(A337="COMPOSICAO",VLOOKUP("TOTAL SEM BDI - "&amp;B337,CPUAUX1!$A:$J,9,FALSE),VLOOKUP(B337,I!$A:$E,5,FALSE))</f>
        <v>11.06</v>
      </c>
      <c r="H337" s="72"/>
      <c r="I337" s="71">
        <f t="shared" si="24"/>
        <v>225.15</v>
      </c>
      <c r="J337" s="72"/>
      <c r="M337" s="23">
        <f t="shared" si="25"/>
        <v>92762</v>
      </c>
      <c r="N337" s="5">
        <f>SUMIF(ORCAMENTO!B:B,B330,ORCAMENTO!F:F)</f>
        <v>1.5000000000000002</v>
      </c>
      <c r="O337" s="23">
        <f t="shared" si="26"/>
        <v>30.536400000000008</v>
      </c>
      <c r="Q337" s="23">
        <f ca="1">IFERROR(SUMIF(CO!B:B,B330,OFFSET(CO!F:F,0,(4+MATCH(ETAPA,CO!$J$6:$P$6,0)))),0)</f>
        <v>0.60000000000000009</v>
      </c>
      <c r="R337" s="23">
        <f t="shared" ca="1" si="27"/>
        <v>12.214560000000002</v>
      </c>
    </row>
    <row r="338" spans="1:18" ht="45" customHeight="1" x14ac:dyDescent="0.3">
      <c r="A338" s="23" t="s">
        <v>1022</v>
      </c>
      <c r="B338" s="23">
        <v>92763</v>
      </c>
      <c r="C338" s="23" t="str">
        <f>VLOOKUP(B338,IF(A338="COMPOSICAO",S!$A:$E,I!$A:$E),2,FALSE)</f>
        <v>SINAPI</v>
      </c>
      <c r="D338" s="24" t="str">
        <f>VLOOKUP(B338,IF(A338="COMPOSICAO",S!$A:$E,I!$A:$E),3,FALSE)</f>
        <v>ARMAÇÃO DE PILAR OU VIGA DE ESTRUTURA CONVENCIONAL DE CONCRETO ARMADO UTILIZANDO AÇO CA-50 DE 12,5 MM - MONTAGEM. AF_06/2022</v>
      </c>
      <c r="E338" s="23" t="str">
        <f>VLOOKUP(B338,IF(A338="COMPOSICAO",S!$A:$E,I!$A:$E),4,FALSE)</f>
        <v>KG</v>
      </c>
      <c r="F338" s="23">
        <v>7.9741999999999997</v>
      </c>
      <c r="G338" s="71">
        <f>IF(A338="COMPOSICAO",VLOOKUP("TOTAL SEM BDI - "&amp;B338,CPUAUX1!$A:$J,9,FALSE),VLOOKUP(B338,I!$A:$E,5,FALSE))</f>
        <v>9.2999999999999989</v>
      </c>
      <c r="H338" s="72"/>
      <c r="I338" s="71">
        <f t="shared" si="24"/>
        <v>74.16</v>
      </c>
      <c r="J338" s="72"/>
      <c r="M338" s="23">
        <f t="shared" si="25"/>
        <v>92763</v>
      </c>
      <c r="N338" s="5">
        <f>SUMIF(ORCAMENTO!B:B,B330,ORCAMENTO!F:F)</f>
        <v>1.5000000000000002</v>
      </c>
      <c r="O338" s="23">
        <f t="shared" si="26"/>
        <v>11.961300000000001</v>
      </c>
      <c r="Q338" s="23">
        <f ca="1">IFERROR(SUMIF(CO!B:B,B330,OFFSET(CO!F:F,0,(4+MATCH(ETAPA,CO!$J$6:$P$6,0)))),0)</f>
        <v>0.60000000000000009</v>
      </c>
      <c r="R338" s="23">
        <f t="shared" ca="1" si="27"/>
        <v>4.7845200000000006</v>
      </c>
    </row>
    <row r="339" spans="1:18" ht="45" customHeight="1" x14ac:dyDescent="0.3">
      <c r="A339" s="23" t="s">
        <v>1022</v>
      </c>
      <c r="B339" s="23">
        <v>92764</v>
      </c>
      <c r="C339" s="23" t="str">
        <f>VLOOKUP(B339,IF(A339="COMPOSICAO",S!$A:$E,I!$A:$E),2,FALSE)</f>
        <v>SINAPI</v>
      </c>
      <c r="D339" s="24" t="str">
        <f>VLOOKUP(B339,IF(A339="COMPOSICAO",S!$A:$E,I!$A:$E),3,FALSE)</f>
        <v>ARMAÇÃO DE PILAR OU VIGA DE ESTRUTURA CONVENCIONAL DE CONCRETO ARMADO UTILIZANDO AÇO CA-50 DE 16,0 MM - MONTAGEM. AF_06/2022</v>
      </c>
      <c r="E339" s="23" t="str">
        <f>VLOOKUP(B339,IF(A339="COMPOSICAO",S!$A:$E,I!$A:$E),4,FALSE)</f>
        <v>KG</v>
      </c>
      <c r="F339" s="23">
        <v>2.4283000000000001</v>
      </c>
      <c r="G339" s="71">
        <f>IF(A339="COMPOSICAO",VLOOKUP("TOTAL SEM BDI - "&amp;B339,CPUAUX1!$A:$J,9,FALSE),VLOOKUP(B339,I!$A:$E,5,FALSE))</f>
        <v>8.9899999999999984</v>
      </c>
      <c r="H339" s="72"/>
      <c r="I339" s="71">
        <f t="shared" si="24"/>
        <v>21.83</v>
      </c>
      <c r="J339" s="72"/>
      <c r="M339" s="23">
        <f t="shared" si="25"/>
        <v>92764</v>
      </c>
      <c r="N339" s="5">
        <f>SUMIF(ORCAMENTO!B:B,B330,ORCAMENTO!F:F)</f>
        <v>1.5000000000000002</v>
      </c>
      <c r="O339" s="23">
        <f t="shared" si="26"/>
        <v>3.6424500000000006</v>
      </c>
      <c r="Q339" s="23">
        <f ca="1">IFERROR(SUMIF(CO!B:B,B330,OFFSET(CO!F:F,0,(4+MATCH(ETAPA,CO!$J$6:$P$6,0)))),0)</f>
        <v>0.60000000000000009</v>
      </c>
      <c r="R339" s="23">
        <f t="shared" ca="1" si="27"/>
        <v>1.4569800000000004</v>
      </c>
    </row>
    <row r="340" spans="1:18" ht="45" customHeight="1" x14ac:dyDescent="0.3">
      <c r="A340" s="23" t="s">
        <v>1022</v>
      </c>
      <c r="B340" s="23">
        <v>92765</v>
      </c>
      <c r="C340" s="23" t="str">
        <f>VLOOKUP(B340,IF(A340="COMPOSICAO",S!$A:$E,I!$A:$E),2,FALSE)</f>
        <v>SINAPI</v>
      </c>
      <c r="D340" s="24" t="str">
        <f>VLOOKUP(B340,IF(A340="COMPOSICAO",S!$A:$E,I!$A:$E),3,FALSE)</f>
        <v>ARMAÇÃO DE PILAR OU VIGA DE ESTRUTURA CONVENCIONAL DE CONCRETO ARMADO UTILIZANDO AÇO CA-50 DE 20,0 MM - MONTAGEM. AF_06/2022</v>
      </c>
      <c r="E340" s="23" t="str">
        <f>VLOOKUP(B340,IF(A340="COMPOSICAO",S!$A:$E,I!$A:$E),4,FALSE)</f>
        <v>KG</v>
      </c>
      <c r="F340" s="23">
        <v>4.2644000000000002</v>
      </c>
      <c r="G340" s="71">
        <f>IF(A340="COMPOSICAO",VLOOKUP("TOTAL SEM BDI - "&amp;B340,CPUAUX1!$A:$J,9,FALSE),VLOOKUP(B340,I!$A:$E,5,FALSE))</f>
        <v>10.23</v>
      </c>
      <c r="H340" s="72"/>
      <c r="I340" s="71">
        <f t="shared" si="24"/>
        <v>43.62</v>
      </c>
      <c r="J340" s="72"/>
      <c r="M340" s="23">
        <f t="shared" si="25"/>
        <v>92765</v>
      </c>
      <c r="N340" s="5">
        <f>SUMIF(ORCAMENTO!B:B,B330,ORCAMENTO!F:F)</f>
        <v>1.5000000000000002</v>
      </c>
      <c r="O340" s="23">
        <f t="shared" si="26"/>
        <v>6.3966000000000012</v>
      </c>
      <c r="Q340" s="23">
        <f ca="1">IFERROR(SUMIF(CO!B:B,B330,OFFSET(CO!F:F,0,(4+MATCH(ETAPA,CO!$J$6:$P$6,0)))),0)</f>
        <v>0.60000000000000009</v>
      </c>
      <c r="R340" s="23">
        <f t="shared" ca="1" si="27"/>
        <v>2.5586400000000005</v>
      </c>
    </row>
    <row r="341" spans="1:18" ht="30" customHeight="1" x14ac:dyDescent="0.3">
      <c r="A341" s="23" t="s">
        <v>1022</v>
      </c>
      <c r="B341" s="23">
        <v>96543</v>
      </c>
      <c r="C341" s="23" t="str">
        <f>VLOOKUP(B341,IF(A341="COMPOSICAO",S!$A:$E,I!$A:$E),2,FALSE)</f>
        <v>SINAPI</v>
      </c>
      <c r="D341" s="24" t="str">
        <f>VLOOKUP(B341,IF(A341="COMPOSICAO",S!$A:$E,I!$A:$E),3,FALSE)</f>
        <v>ARMAÇÃO DE BLOCO UTILIZANDO AÇO CA-60 DE 5 MM - MONTAGEM. AF_01/2024</v>
      </c>
      <c r="E341" s="23" t="str">
        <f>VLOOKUP(B341,IF(A341="COMPOSICAO",S!$A:$E,I!$A:$E),4,FALSE)</f>
        <v>KG</v>
      </c>
      <c r="F341" s="23">
        <v>0.19270000000000001</v>
      </c>
      <c r="G341" s="71">
        <f>IF(A341="COMPOSICAO",VLOOKUP("TOTAL SEM BDI - "&amp;B341,CPUAUX1!$A:$J,9,FALSE),VLOOKUP(B341,I!$A:$E,5,FALSE))</f>
        <v>19.750000000000004</v>
      </c>
      <c r="H341" s="72"/>
      <c r="I341" s="71">
        <f t="shared" si="24"/>
        <v>3.8</v>
      </c>
      <c r="J341" s="72"/>
      <c r="M341" s="23">
        <f t="shared" si="25"/>
        <v>96543</v>
      </c>
      <c r="N341" s="5">
        <f>SUMIF(ORCAMENTO!B:B,B330,ORCAMENTO!F:F)</f>
        <v>1.5000000000000002</v>
      </c>
      <c r="O341" s="23">
        <f t="shared" si="26"/>
        <v>0.28905000000000008</v>
      </c>
      <c r="Q341" s="23">
        <f ca="1">IFERROR(SUMIF(CO!B:B,B330,OFFSET(CO!F:F,0,(4+MATCH(ETAPA,CO!$J$6:$P$6,0)))),0)</f>
        <v>0.60000000000000009</v>
      </c>
      <c r="R341" s="23">
        <f t="shared" ca="1" si="27"/>
        <v>0.11562000000000003</v>
      </c>
    </row>
    <row r="342" spans="1:18" ht="30" customHeight="1" x14ac:dyDescent="0.3">
      <c r="A342" s="23" t="s">
        <v>1022</v>
      </c>
      <c r="B342" s="23">
        <v>96544</v>
      </c>
      <c r="C342" s="23" t="str">
        <f>VLOOKUP(B342,IF(A342="COMPOSICAO",S!$A:$E,I!$A:$E),2,FALSE)</f>
        <v>SINAPI</v>
      </c>
      <c r="D342" s="24" t="str">
        <f>VLOOKUP(B342,IF(A342="COMPOSICAO",S!$A:$E,I!$A:$E),3,FALSE)</f>
        <v>ARMAÇÃO DE BLOCO UTILIZANDO AÇO CA-50 DE 6,3 MM - MONTAGEM. AF_01/2024</v>
      </c>
      <c r="E342" s="23" t="str">
        <f>VLOOKUP(B342,IF(A342="COMPOSICAO",S!$A:$E,I!$A:$E),4,FALSE)</f>
        <v>KG</v>
      </c>
      <c r="F342" s="23">
        <v>0.33239999999999997</v>
      </c>
      <c r="G342" s="71">
        <f>IF(A342="COMPOSICAO",VLOOKUP("TOTAL SEM BDI - "&amp;B342,CPUAUX1!$A:$J,9,FALSE),VLOOKUP(B342,I!$A:$E,5,FALSE))</f>
        <v>17.760000000000002</v>
      </c>
      <c r="H342" s="72"/>
      <c r="I342" s="71">
        <f t="shared" si="24"/>
        <v>5.9</v>
      </c>
      <c r="J342" s="72"/>
      <c r="M342" s="23">
        <f t="shared" si="25"/>
        <v>96544</v>
      </c>
      <c r="N342" s="5">
        <f>SUMIF(ORCAMENTO!B:B,B330,ORCAMENTO!F:F)</f>
        <v>1.5000000000000002</v>
      </c>
      <c r="O342" s="23">
        <f t="shared" si="26"/>
        <v>0.49860000000000004</v>
      </c>
      <c r="Q342" s="23">
        <f ca="1">IFERROR(SUMIF(CO!B:B,B330,OFFSET(CO!F:F,0,(4+MATCH(ETAPA,CO!$J$6:$P$6,0)))),0)</f>
        <v>0.60000000000000009</v>
      </c>
      <c r="R342" s="23">
        <f t="shared" ca="1" si="27"/>
        <v>0.19944000000000001</v>
      </c>
    </row>
    <row r="343" spans="1:18" ht="30" customHeight="1" x14ac:dyDescent="0.3">
      <c r="A343" s="23" t="s">
        <v>1022</v>
      </c>
      <c r="B343" s="23">
        <v>96545</v>
      </c>
      <c r="C343" s="23" t="str">
        <f>VLOOKUP(B343,IF(A343="COMPOSICAO",S!$A:$E,I!$A:$E),2,FALSE)</f>
        <v>SINAPI</v>
      </c>
      <c r="D343" s="24" t="str">
        <f>VLOOKUP(B343,IF(A343="COMPOSICAO",S!$A:$E,I!$A:$E),3,FALSE)</f>
        <v>ARMAÇÃO DE BLOCO UTILIZANDO AÇO CA-50 DE 8 MM - MONTAGEM. AF_01/2024</v>
      </c>
      <c r="E343" s="23" t="str">
        <f>VLOOKUP(B343,IF(A343="COMPOSICAO",S!$A:$E,I!$A:$E),4,FALSE)</f>
        <v>KG</v>
      </c>
      <c r="F343" s="23">
        <v>0.17530000000000001</v>
      </c>
      <c r="G343" s="71">
        <f>IF(A343="COMPOSICAO",VLOOKUP("TOTAL SEM BDI - "&amp;B343,CPUAUX1!$A:$J,9,FALSE),VLOOKUP(B343,I!$A:$E,5,FALSE))</f>
        <v>16</v>
      </c>
      <c r="H343" s="72"/>
      <c r="I343" s="71">
        <f t="shared" si="24"/>
        <v>2.8</v>
      </c>
      <c r="J343" s="72"/>
      <c r="M343" s="23">
        <f t="shared" si="25"/>
        <v>96545</v>
      </c>
      <c r="N343" s="5">
        <f>SUMIF(ORCAMENTO!B:B,B330,ORCAMENTO!F:F)</f>
        <v>1.5000000000000002</v>
      </c>
      <c r="O343" s="23">
        <f t="shared" si="26"/>
        <v>0.26295000000000007</v>
      </c>
      <c r="Q343" s="23">
        <f ca="1">IFERROR(SUMIF(CO!B:B,B330,OFFSET(CO!F:F,0,(4+MATCH(ETAPA,CO!$J$6:$P$6,0)))),0)</f>
        <v>0.60000000000000009</v>
      </c>
      <c r="R343" s="23">
        <f t="shared" ca="1" si="27"/>
        <v>0.10518000000000002</v>
      </c>
    </row>
    <row r="344" spans="1:18" ht="30" customHeight="1" x14ac:dyDescent="0.3">
      <c r="A344" s="23" t="s">
        <v>1022</v>
      </c>
      <c r="B344" s="23">
        <v>96546</v>
      </c>
      <c r="C344" s="23" t="str">
        <f>VLOOKUP(B344,IF(A344="COMPOSICAO",S!$A:$E,I!$A:$E),2,FALSE)</f>
        <v>SINAPI</v>
      </c>
      <c r="D344" s="24" t="str">
        <f>VLOOKUP(B344,IF(A344="COMPOSICAO",S!$A:$E,I!$A:$E),3,FALSE)</f>
        <v>ARMAÇÃO DE BLOCO UTILIZANDO AÇO CA-50 DE 10 MM - MONTAGEM. AF_01/2024</v>
      </c>
      <c r="E344" s="23" t="str">
        <f>VLOOKUP(B344,IF(A344="COMPOSICAO",S!$A:$E,I!$A:$E),4,FALSE)</f>
        <v>KG</v>
      </c>
      <c r="F344" s="23">
        <v>2.6637</v>
      </c>
      <c r="G344" s="71">
        <f>IF(A344="COMPOSICAO",VLOOKUP("TOTAL SEM BDI - "&amp;B344,CPUAUX1!$A:$J,9,FALSE),VLOOKUP(B344,I!$A:$E,5,FALSE))</f>
        <v>13.98</v>
      </c>
      <c r="H344" s="72"/>
      <c r="I344" s="71">
        <f t="shared" si="24"/>
        <v>37.229999999999997</v>
      </c>
      <c r="J344" s="72"/>
      <c r="M344" s="23">
        <f t="shared" si="25"/>
        <v>96546</v>
      </c>
      <c r="N344" s="5">
        <f>SUMIF(ORCAMENTO!B:B,B330,ORCAMENTO!F:F)</f>
        <v>1.5000000000000002</v>
      </c>
      <c r="O344" s="23">
        <f t="shared" si="26"/>
        <v>3.9955500000000006</v>
      </c>
      <c r="Q344" s="23">
        <f ca="1">IFERROR(SUMIF(CO!B:B,B330,OFFSET(CO!F:F,0,(4+MATCH(ETAPA,CO!$J$6:$P$6,0)))),0)</f>
        <v>0.60000000000000009</v>
      </c>
      <c r="R344" s="23">
        <f t="shared" ca="1" si="27"/>
        <v>1.5982200000000002</v>
      </c>
    </row>
    <row r="345" spans="1:18" ht="45" customHeight="1" x14ac:dyDescent="0.3">
      <c r="A345" s="23" t="s">
        <v>1022</v>
      </c>
      <c r="B345" s="23">
        <v>104920</v>
      </c>
      <c r="C345" s="23" t="str">
        <f>VLOOKUP(B345,IF(A345="COMPOSICAO",S!$A:$E,I!$A:$E),2,FALSE)</f>
        <v>SINAPI</v>
      </c>
      <c r="D345" s="24" t="str">
        <f>VLOOKUP(B345,IF(A345="COMPOSICAO",S!$A:$E,I!$A:$E),3,FALSE)</f>
        <v>ARMAÇÃO DE BLOCO, SAPATA ISOLADA, VIGA BALDRAME E SAPATA CORRIDA UTILIZANDO AÇO CA-50 DE 12,5 MM - MONTAGEM. AF_01/2024</v>
      </c>
      <c r="E345" s="23" t="str">
        <f>VLOOKUP(B345,IF(A345="COMPOSICAO",S!$A:$E,I!$A:$E),4,FALSE)</f>
        <v>KG</v>
      </c>
      <c r="F345" s="23">
        <v>1.4605999999999999</v>
      </c>
      <c r="G345" s="71">
        <f>IF(A345="COMPOSICAO",VLOOKUP("TOTAL SEM BDI - "&amp;B345,CPUAUX1!$A:$J,9,FALSE),VLOOKUP(B345,I!$A:$E,5,FALSE))</f>
        <v>10.790000000000001</v>
      </c>
      <c r="H345" s="72"/>
      <c r="I345" s="71">
        <f t="shared" si="24"/>
        <v>15.75</v>
      </c>
      <c r="J345" s="72"/>
      <c r="M345" s="23">
        <f t="shared" si="25"/>
        <v>104920</v>
      </c>
      <c r="N345" s="5">
        <f>SUMIF(ORCAMENTO!B:B,B330,ORCAMENTO!F:F)</f>
        <v>1.5000000000000002</v>
      </c>
      <c r="O345" s="23">
        <f t="shared" si="26"/>
        <v>2.1909000000000001</v>
      </c>
      <c r="Q345" s="23">
        <f ca="1">IFERROR(SUMIF(CO!B:B,B330,OFFSET(CO!F:F,0,(4+MATCH(ETAPA,CO!$J$6:$P$6,0)))),0)</f>
        <v>0.60000000000000009</v>
      </c>
      <c r="R345" s="23">
        <f t="shared" ca="1" si="27"/>
        <v>0.87636000000000003</v>
      </c>
    </row>
    <row r="346" spans="1:18" x14ac:dyDescent="0.3">
      <c r="A346" s="68" t="str">
        <f>"TOTAL SEM BDI - "&amp;B330</f>
        <v>TOTAL SEM BDI - COMPCOM02</v>
      </c>
      <c r="B346" s="69"/>
      <c r="C346" s="69"/>
      <c r="D346" s="69"/>
      <c r="E346" s="69"/>
      <c r="F346" s="69"/>
      <c r="G346" s="69"/>
      <c r="H346" s="70"/>
      <c r="I346" s="71">
        <f>SUM(I330:I345)</f>
        <v>1260.97</v>
      </c>
      <c r="J346" s="72"/>
    </row>
    <row r="347" spans="1:18" x14ac:dyDescent="0.3">
      <c r="A347" s="68" t="str">
        <f>"TAXA DE BDI ("&amp;TEXT(BDI,"00,00")&amp;" %)"</f>
        <v>TAXA DE BDI (24,84 %)</v>
      </c>
      <c r="B347" s="69"/>
      <c r="C347" s="69"/>
      <c r="D347" s="69"/>
      <c r="E347" s="69"/>
      <c r="F347" s="69"/>
      <c r="G347" s="69"/>
      <c r="H347" s="70"/>
      <c r="I347" s="71">
        <f>ROUND(I346*(BDI/100),2)</f>
        <v>313.22000000000003</v>
      </c>
      <c r="J347" s="72"/>
    </row>
    <row r="348" spans="1:18" x14ac:dyDescent="0.3">
      <c r="A348" s="68" t="str">
        <f>"TOTAL COM BDI - "&amp;B330</f>
        <v>TOTAL COM BDI - COMPCOM02</v>
      </c>
      <c r="B348" s="69"/>
      <c r="C348" s="69"/>
      <c r="D348" s="69"/>
      <c r="E348" s="69"/>
      <c r="F348" s="69"/>
      <c r="G348" s="69"/>
      <c r="H348" s="70"/>
      <c r="I348" s="71">
        <f>SUM(I346:I347)</f>
        <v>1574.19</v>
      </c>
      <c r="J348" s="72"/>
    </row>
    <row r="350" spans="1:18" x14ac:dyDescent="0.3">
      <c r="A350" s="4" t="s">
        <v>1018</v>
      </c>
      <c r="B350" s="4" t="s">
        <v>138</v>
      </c>
      <c r="C350" s="4" t="s">
        <v>139</v>
      </c>
      <c r="D350" s="4" t="s">
        <v>21</v>
      </c>
      <c r="E350" s="4" t="s">
        <v>140</v>
      </c>
      <c r="F350" s="4" t="s">
        <v>506</v>
      </c>
      <c r="G350" s="34" t="s">
        <v>1019</v>
      </c>
      <c r="H350" s="35"/>
      <c r="I350" s="34" t="s">
        <v>15</v>
      </c>
      <c r="J350" s="35"/>
    </row>
    <row r="351" spans="1:18" ht="60" customHeight="1" x14ac:dyDescent="0.3">
      <c r="A351" s="15" t="s">
        <v>1057</v>
      </c>
      <c r="B351" s="15">
        <v>103329</v>
      </c>
      <c r="C351" s="15" t="str">
        <f>VLOOKUP(B351,S!$A:$G,2,FALSE)</f>
        <v>SINAPI</v>
      </c>
      <c r="D351" s="22" t="str">
        <f>VLOOKUP(B351,S!$A:$G,3,FALSE)</f>
        <v>ALVENARIA DE VEDAÇÃO DE BLOCOS CERÂMICOS FURADOS NA HORIZONTAL DE 9X19X19 CM (ESPESSURA 9 CM) E ARGAMASSA DE ASSENTAMENTO COM PREPARO MANUAL. AF_12/2021</v>
      </c>
      <c r="E351" s="15" t="str">
        <f>VLOOKUP(B351,S!$A:$G,4,FALSE)</f>
        <v>M2</v>
      </c>
      <c r="F351" s="15"/>
      <c r="G351" s="73">
        <f>I358</f>
        <v>95.08</v>
      </c>
      <c r="H351" s="74"/>
      <c r="I351" s="73"/>
      <c r="J351" s="74"/>
      <c r="K351" s="16">
        <f>VLOOKUP(B351,S!A:G,5,FALSE)</f>
        <v>95.08</v>
      </c>
      <c r="L351" s="15" t="str">
        <f>IF(K351=G351,"OK, CONFORME TABELA",IF(G351&gt;K351,"ACIMA DA TABELA: ","ABAIXO DA TABELA: ")&amp;TRUNC((G351*100)/K351,2)&amp;" %")</f>
        <v>OK, CONFORME TABELA</v>
      </c>
    </row>
    <row r="352" spans="1:18" x14ac:dyDescent="0.3">
      <c r="A352" s="23" t="s">
        <v>1022</v>
      </c>
      <c r="B352" s="23">
        <v>88316</v>
      </c>
      <c r="C352" s="23" t="str">
        <f>VLOOKUP(B352,IF(A352="COMPOSICAO",S!$A:$E,I!$A:$E),2,FALSE)</f>
        <v>SINAPI</v>
      </c>
      <c r="D352" s="24" t="str">
        <f>VLOOKUP(B352,IF(A352="COMPOSICAO",S!$A:$E,I!$A:$E),3,FALSE)</f>
        <v>SERVENTE COM ENCARGOS COMPLEMENTARES</v>
      </c>
      <c r="E352" s="23" t="str">
        <f>VLOOKUP(B352,IF(A352="COMPOSICAO",S!$A:$E,I!$A:$E),4,FALSE)</f>
        <v>H</v>
      </c>
      <c r="F352" s="23">
        <f>0.805/pcf</f>
        <v>0.80500000000000005</v>
      </c>
      <c r="G352" s="71">
        <f>IF(A352="COMPOSICAO",VLOOKUP("TOTAL SEM BDI - "&amp;B352,CPUAUX1!$A:$J,9,FALSE),VLOOKUP(B352,I!$A:$E,5,FALSE))</f>
        <v>21.71</v>
      </c>
      <c r="H352" s="72"/>
      <c r="I352" s="71">
        <f t="shared" ref="I352:I357" si="28">TRUNC(F352*G352,2)</f>
        <v>17.47</v>
      </c>
      <c r="J352" s="72"/>
      <c r="M352" s="23">
        <f t="shared" ref="M352:M357" si="29">B352</f>
        <v>88316</v>
      </c>
      <c r="N352" s="5">
        <f>SUMIF(ORCAMENTO!B:B,B351,ORCAMENTO!F:F)</f>
        <v>96.550000000000011</v>
      </c>
      <c r="O352" s="23">
        <f t="shared" ref="O352:O357" si="30">F352*N352</f>
        <v>77.722750000000019</v>
      </c>
      <c r="Q352" s="23">
        <f ca="1">IFERROR(SUMIF(CO!B:B,B351,OFFSET(CO!F:F,0,(4+MATCH(ETAPA,CO!$J$6:$P$6,0)))),0)</f>
        <v>38.620000000000005</v>
      </c>
      <c r="R352" s="23">
        <f t="shared" ref="R352:R357" ca="1" si="31">F352*Q352</f>
        <v>31.089100000000006</v>
      </c>
    </row>
    <row r="353" spans="1:18" x14ac:dyDescent="0.3">
      <c r="A353" s="23" t="s">
        <v>1022</v>
      </c>
      <c r="B353" s="23">
        <v>88309</v>
      </c>
      <c r="C353" s="23" t="str">
        <f>VLOOKUP(B353,IF(A353="COMPOSICAO",S!$A:$E,I!$A:$E),2,FALSE)</f>
        <v>SINAPI</v>
      </c>
      <c r="D353" s="24" t="str">
        <f>VLOOKUP(B353,IF(A353="COMPOSICAO",S!$A:$E,I!$A:$E),3,FALSE)</f>
        <v>PEDREIRO COM ENCARGOS COMPLEMENTARES</v>
      </c>
      <c r="E353" s="23" t="str">
        <f>VLOOKUP(B353,IF(A353="COMPOSICAO",S!$A:$E,I!$A:$E),4,FALSE)</f>
        <v>H</v>
      </c>
      <c r="F353" s="23">
        <f>1.61/pcf</f>
        <v>1.61</v>
      </c>
      <c r="G353" s="71">
        <f>IF(A353="COMPOSICAO",VLOOKUP("TOTAL SEM BDI - "&amp;B353,CPUAUX1!$A:$J,9,FALSE),VLOOKUP(B353,I!$A:$E,5,FALSE))</f>
        <v>27.39</v>
      </c>
      <c r="H353" s="72"/>
      <c r="I353" s="71">
        <f t="shared" si="28"/>
        <v>44.09</v>
      </c>
      <c r="J353" s="72"/>
      <c r="M353" s="23">
        <f t="shared" si="29"/>
        <v>88309</v>
      </c>
      <c r="N353" s="5">
        <f>SUMIF(ORCAMENTO!B:B,B351,ORCAMENTO!F:F)</f>
        <v>96.550000000000011</v>
      </c>
      <c r="O353" s="23">
        <f t="shared" si="30"/>
        <v>155.44550000000004</v>
      </c>
      <c r="Q353" s="23">
        <f ca="1">IFERROR(SUMIF(CO!B:B,B351,OFFSET(CO!F:F,0,(4+MATCH(ETAPA,CO!$J$6:$P$6,0)))),0)</f>
        <v>38.620000000000005</v>
      </c>
      <c r="R353" s="23">
        <f t="shared" ca="1" si="31"/>
        <v>62.178200000000011</v>
      </c>
    </row>
    <row r="354" spans="1:18" ht="60" customHeight="1" x14ac:dyDescent="0.3">
      <c r="A354" s="23" t="s">
        <v>1022</v>
      </c>
      <c r="B354" s="23">
        <v>87369</v>
      </c>
      <c r="C354" s="23" t="str">
        <f>VLOOKUP(B354,IF(A354="COMPOSICAO",S!$A:$E,I!$A:$E),2,FALSE)</f>
        <v>SINAPI</v>
      </c>
      <c r="D354" s="24" t="str">
        <f>VLOOKUP(B354,IF(A354="COMPOSICAO",S!$A:$E,I!$A:$E),3,FALSE)</f>
        <v>ARGAMASSA TRAÇO 1:2:8 (EM VOLUME DE CIMENTO, CAL E AREIA MÉDIA ÚMIDA) PARA EMBOÇO/MASSA ÚNICA/ASSENTAMENTO DE ALVENARIA DE VEDAÇÃO, PREPARO MANUAL. AF_08/2019</v>
      </c>
      <c r="E354" s="23" t="str">
        <f>VLOOKUP(B354,IF(A354="COMPOSICAO",S!$A:$E,I!$A:$E),4,FALSE)</f>
        <v>M3</v>
      </c>
      <c r="F354" s="23">
        <v>9.1000000000000004E-3</v>
      </c>
      <c r="G354" s="71">
        <f>IF(A354="COMPOSICAO",VLOOKUP("TOTAL SEM BDI - "&amp;B354,CPUAUX1!$A:$J,9,FALSE),VLOOKUP(B354,I!$A:$E,5,FALSE))</f>
        <v>754</v>
      </c>
      <c r="H354" s="72"/>
      <c r="I354" s="71">
        <f t="shared" si="28"/>
        <v>6.86</v>
      </c>
      <c r="J354" s="72"/>
      <c r="M354" s="23">
        <f t="shared" si="29"/>
        <v>87369</v>
      </c>
      <c r="N354" s="5">
        <f>SUMIF(ORCAMENTO!B:B,B351,ORCAMENTO!F:F)</f>
        <v>96.550000000000011</v>
      </c>
      <c r="O354" s="23">
        <f t="shared" si="30"/>
        <v>0.87860500000000019</v>
      </c>
      <c r="Q354" s="23">
        <f ca="1">IFERROR(SUMIF(CO!B:B,B351,OFFSET(CO!F:F,0,(4+MATCH(ETAPA,CO!$J$6:$P$6,0)))),0)</f>
        <v>38.620000000000005</v>
      </c>
      <c r="R354" s="23">
        <f t="shared" ca="1" si="31"/>
        <v>0.35144200000000003</v>
      </c>
    </row>
    <row r="355" spans="1:18" ht="30" customHeight="1" x14ac:dyDescent="0.3">
      <c r="A355" s="23" t="s">
        <v>1025</v>
      </c>
      <c r="B355" s="23">
        <v>37395</v>
      </c>
      <c r="C355" s="23" t="str">
        <f>VLOOKUP(B355,IF(A355="COMPOSICAO",S!$A:$E,I!$A:$E),2,FALSE)</f>
        <v>SINAPI</v>
      </c>
      <c r="D355" s="24" t="str">
        <f>VLOOKUP(B355,IF(A355="COMPOSICAO",S!$A:$E,I!$A:$E),3,FALSE)</f>
        <v>PINO DE ACO COM FURO, HASTE = 27 MM (ACAO DIRETA)</v>
      </c>
      <c r="E355" s="23" t="str">
        <f>VLOOKUP(B355,IF(A355="COMPOSICAO",S!$A:$E,I!$A:$E),4,FALSE)</f>
        <v>CENTO</v>
      </c>
      <c r="F355" s="23">
        <v>5.0000000000000001E-3</v>
      </c>
      <c r="G355" s="71">
        <f>IF(A355="COMPOSICAO",VLOOKUP("TOTAL SEM BDI - "&amp;B355,CPUAUX1!$A:$J,9,FALSE),VLOOKUP(B355,I!$A:$E,5,FALSE))</f>
        <v>44.82</v>
      </c>
      <c r="H355" s="72"/>
      <c r="I355" s="71">
        <f t="shared" si="28"/>
        <v>0.22</v>
      </c>
      <c r="J355" s="72"/>
      <c r="M355" s="23">
        <f t="shared" si="29"/>
        <v>37395</v>
      </c>
      <c r="N355" s="5">
        <f>SUMIF(ORCAMENTO!B:B,B351,ORCAMENTO!F:F)</f>
        <v>96.550000000000011</v>
      </c>
      <c r="O355" s="23">
        <f t="shared" si="30"/>
        <v>0.48275000000000007</v>
      </c>
      <c r="Q355" s="23">
        <f ca="1">IFERROR(SUMIF(CO!B:B,B351,OFFSET(CO!F:F,0,(4+MATCH(ETAPA,CO!$J$6:$P$6,0)))),0)</f>
        <v>38.620000000000005</v>
      </c>
      <c r="R355" s="23">
        <f t="shared" ca="1" si="31"/>
        <v>0.19310000000000002</v>
      </c>
    </row>
    <row r="356" spans="1:18" ht="45" customHeight="1" x14ac:dyDescent="0.3">
      <c r="A356" s="23" t="s">
        <v>1025</v>
      </c>
      <c r="B356" s="23">
        <v>34557</v>
      </c>
      <c r="C356" s="23" t="str">
        <f>VLOOKUP(B356,IF(A356="COMPOSICAO",S!$A:$E,I!$A:$E),2,FALSE)</f>
        <v>SINAPI</v>
      </c>
      <c r="D356" s="24" t="str">
        <f>VLOOKUP(B356,IF(A356="COMPOSICAO",S!$A:$E,I!$A:$E),3,FALSE)</f>
        <v>TELA DE ACO SOLDADA GALVANIZADA/ZINCADA PARA ALVENARIA, FIO D = *1,20 A 1,70* MM, MALHA 15 X 15 MM, (C X L) *50 X 7,5* CM</v>
      </c>
      <c r="E356" s="23" t="str">
        <f>VLOOKUP(B356,IF(A356="COMPOSICAO",S!$A:$E,I!$A:$E),4,FALSE)</f>
        <v>M</v>
      </c>
      <c r="F356" s="23">
        <v>0.42</v>
      </c>
      <c r="G356" s="71">
        <f>IF(A356="COMPOSICAO",VLOOKUP("TOTAL SEM BDI - "&amp;B356,CPUAUX1!$A:$J,9,FALSE),VLOOKUP(B356,I!$A:$E,5,FALSE))</f>
        <v>2.3199999999999998</v>
      </c>
      <c r="H356" s="72"/>
      <c r="I356" s="71">
        <f t="shared" si="28"/>
        <v>0.97</v>
      </c>
      <c r="J356" s="72"/>
      <c r="M356" s="23">
        <f t="shared" si="29"/>
        <v>34557</v>
      </c>
      <c r="N356" s="5">
        <f>SUMIF(ORCAMENTO!B:B,B351,ORCAMENTO!F:F)</f>
        <v>96.550000000000011</v>
      </c>
      <c r="O356" s="23">
        <f t="shared" si="30"/>
        <v>40.551000000000002</v>
      </c>
      <c r="Q356" s="23">
        <f ca="1">IFERROR(SUMIF(CO!B:B,B351,OFFSET(CO!F:F,0,(4+MATCH(ETAPA,CO!$J$6:$P$6,0)))),0)</f>
        <v>38.620000000000005</v>
      </c>
      <c r="R356" s="23">
        <f t="shared" ca="1" si="31"/>
        <v>16.220400000000001</v>
      </c>
    </row>
    <row r="357" spans="1:18" ht="45" customHeight="1" x14ac:dyDescent="0.3">
      <c r="A357" s="23" t="s">
        <v>1025</v>
      </c>
      <c r="B357" s="23">
        <v>7271</v>
      </c>
      <c r="C357" s="23" t="str">
        <f>VLOOKUP(B357,IF(A357="COMPOSICAO",S!$A:$E,I!$A:$E),2,FALSE)</f>
        <v>SINAPI</v>
      </c>
      <c r="D357" s="24" t="str">
        <f>VLOOKUP(B357,IF(A357="COMPOSICAO",S!$A:$E,I!$A:$E),3,FALSE)</f>
        <v>BLOCO CERAMICO / TIJOLO VAZADO PARA ALVENARIA DE VEDACAO, 8 FUROS NA HORIZONTAL DE 9 X 19 X 19 CM (L X A X C)</v>
      </c>
      <c r="E357" s="23" t="str">
        <f>VLOOKUP(B357,IF(A357="COMPOSICAO",S!$A:$E,I!$A:$E),4,FALSE)</f>
        <v>UN</v>
      </c>
      <c r="F357" s="23">
        <v>28.31</v>
      </c>
      <c r="G357" s="71">
        <f>IF(A357="COMPOSICAO",VLOOKUP("TOTAL SEM BDI - "&amp;B357,CPUAUX1!$A:$J,9,FALSE),VLOOKUP(B357,I!$A:$E,5,FALSE))</f>
        <v>0.9</v>
      </c>
      <c r="H357" s="72"/>
      <c r="I357" s="71">
        <f t="shared" si="28"/>
        <v>25.47</v>
      </c>
      <c r="J357" s="72"/>
      <c r="M357" s="23">
        <f t="shared" si="29"/>
        <v>7271</v>
      </c>
      <c r="N357" s="5">
        <f>SUMIF(ORCAMENTO!B:B,B351,ORCAMENTO!F:F)</f>
        <v>96.550000000000011</v>
      </c>
      <c r="O357" s="23">
        <f t="shared" si="30"/>
        <v>2733.3305</v>
      </c>
      <c r="Q357" s="23">
        <f ca="1">IFERROR(SUMIF(CO!B:B,B351,OFFSET(CO!F:F,0,(4+MATCH(ETAPA,CO!$J$6:$P$6,0)))),0)</f>
        <v>38.620000000000005</v>
      </c>
      <c r="R357" s="23">
        <f t="shared" ca="1" si="31"/>
        <v>1093.3322000000001</v>
      </c>
    </row>
    <row r="358" spans="1:18" x14ac:dyDescent="0.3">
      <c r="A358" s="68" t="str">
        <f>"TOTAL SEM BDI - "&amp;B351</f>
        <v>TOTAL SEM BDI - 103329</v>
      </c>
      <c r="B358" s="69"/>
      <c r="C358" s="69"/>
      <c r="D358" s="69"/>
      <c r="E358" s="69"/>
      <c r="F358" s="69"/>
      <c r="G358" s="69"/>
      <c r="H358" s="70"/>
      <c r="I358" s="71">
        <f>SUM(I351:I357)</f>
        <v>95.08</v>
      </c>
      <c r="J358" s="72"/>
    </row>
    <row r="359" spans="1:18" x14ac:dyDescent="0.3">
      <c r="A359" s="68" t="str">
        <f>"TAXA DE BDI ("&amp;TEXT(BDI,"00,00")&amp;" %)"</f>
        <v>TAXA DE BDI (24,84 %)</v>
      </c>
      <c r="B359" s="69"/>
      <c r="C359" s="69"/>
      <c r="D359" s="69"/>
      <c r="E359" s="69"/>
      <c r="F359" s="69"/>
      <c r="G359" s="69"/>
      <c r="H359" s="70"/>
      <c r="I359" s="71">
        <f>ROUND(I358*(BDI/100),2)</f>
        <v>23.62</v>
      </c>
      <c r="J359" s="72"/>
    </row>
    <row r="360" spans="1:18" x14ac:dyDescent="0.3">
      <c r="A360" s="68" t="str">
        <f>"TOTAL COM BDI - "&amp;B351</f>
        <v>TOTAL COM BDI - 103329</v>
      </c>
      <c r="B360" s="69"/>
      <c r="C360" s="69"/>
      <c r="D360" s="69"/>
      <c r="E360" s="69"/>
      <c r="F360" s="69"/>
      <c r="G360" s="69"/>
      <c r="H360" s="70"/>
      <c r="I360" s="71">
        <f>SUM(I358:I359)</f>
        <v>118.7</v>
      </c>
      <c r="J360" s="72"/>
    </row>
    <row r="362" spans="1:18" x14ac:dyDescent="0.3">
      <c r="A362" s="4" t="s">
        <v>1018</v>
      </c>
      <c r="B362" s="4" t="s">
        <v>138</v>
      </c>
      <c r="C362" s="4" t="s">
        <v>139</v>
      </c>
      <c r="D362" s="4" t="s">
        <v>21</v>
      </c>
      <c r="E362" s="4" t="s">
        <v>140</v>
      </c>
      <c r="F362" s="4" t="s">
        <v>506</v>
      </c>
      <c r="G362" s="34" t="s">
        <v>1019</v>
      </c>
      <c r="H362" s="35"/>
      <c r="I362" s="34" t="s">
        <v>15</v>
      </c>
      <c r="J362" s="35"/>
    </row>
    <row r="363" spans="1:18" ht="60" customHeight="1" x14ac:dyDescent="0.3">
      <c r="A363" s="15" t="s">
        <v>1058</v>
      </c>
      <c r="B363" s="15">
        <v>101161</v>
      </c>
      <c r="C363" s="15" t="str">
        <f>VLOOKUP(B363,S!$A:$G,2,FALSE)</f>
        <v>SINAPI</v>
      </c>
      <c r="D363" s="22" t="str">
        <f>VLOOKUP(B363,S!$A:$G,3,FALSE)</f>
        <v>ALVENARIA DE VEDAÇÃO COM ELEMENTO VAZADO DE CONCRETO (COBOGÓ) DE 7X50X50CM E ARGAMASSA DE ASSENTAMENTO COM PREPARO EM BETONEIRA. AF_05/2020</v>
      </c>
      <c r="E363" s="15" t="str">
        <f>VLOOKUP(B363,S!$A:$G,4,FALSE)</f>
        <v>M2</v>
      </c>
      <c r="F363" s="15"/>
      <c r="G363" s="73">
        <f>I368</f>
        <v>204.43</v>
      </c>
      <c r="H363" s="74"/>
      <c r="I363" s="73"/>
      <c r="J363" s="74"/>
      <c r="K363" s="16">
        <f>VLOOKUP(B363,S!A:G,5,FALSE)</f>
        <v>204.43</v>
      </c>
      <c r="L363" s="15" t="str">
        <f>IF(K363=G363,"OK, CONFORME TABELA",IF(G363&gt;K363,"ACIMA DA TABELA: ","ABAIXO DA TABELA: ")&amp;TRUNC((G363*100)/K363,2)&amp;" %")</f>
        <v>OK, CONFORME TABELA</v>
      </c>
    </row>
    <row r="364" spans="1:18" ht="45" customHeight="1" x14ac:dyDescent="0.3">
      <c r="A364" s="23" t="s">
        <v>1022</v>
      </c>
      <c r="B364" s="23">
        <v>100489</v>
      </c>
      <c r="C364" s="23" t="str">
        <f>VLOOKUP(B364,IF(A364="COMPOSICAO",S!$A:$E,I!$A:$E),2,FALSE)</f>
        <v>SINAPI</v>
      </c>
      <c r="D364" s="24" t="str">
        <f>VLOOKUP(B364,IF(A364="COMPOSICAO",S!$A:$E,I!$A:$E),3,FALSE)</f>
        <v>ARGAMASSA TRAÇO 1:3 (EM VOLUME DE CIMENTO E AREIA MÉDIA ÚMIDA), PREPARO MECÂNICO COM BETONEIRA 600 L. AF_08/2019</v>
      </c>
      <c r="E364" s="23" t="str">
        <f>VLOOKUP(B364,IF(A364="COMPOSICAO",S!$A:$E,I!$A:$E),4,FALSE)</f>
        <v>M3</v>
      </c>
      <c r="F364" s="23">
        <v>0.01</v>
      </c>
      <c r="G364" s="71">
        <f>IF(A364="COMPOSICAO",VLOOKUP("TOTAL SEM BDI - "&amp;B364,CPUAUX1!$A:$J,9,FALSE),VLOOKUP(B364,I!$A:$E,5,FALSE))</f>
        <v>675.34</v>
      </c>
      <c r="H364" s="72"/>
      <c r="I364" s="71">
        <f>TRUNC(F364*G364,2)</f>
        <v>6.75</v>
      </c>
      <c r="J364" s="72"/>
      <c r="M364" s="23">
        <f>B364</f>
        <v>100489</v>
      </c>
      <c r="N364" s="5">
        <f>SUMIF(ORCAMENTO!B:B,B363,ORCAMENTO!F:F)</f>
        <v>7.5</v>
      </c>
      <c r="O364" s="23">
        <f>F364*N364</f>
        <v>7.4999999999999997E-2</v>
      </c>
      <c r="Q364" s="23">
        <f ca="1">IFERROR(SUMIF(CO!B:B,B363,OFFSET(CO!F:F,0,(4+MATCH(ETAPA,CO!$J$6:$P$6,0)))),0)</f>
        <v>3</v>
      </c>
      <c r="R364" s="23">
        <f ca="1">F364*Q364</f>
        <v>0.03</v>
      </c>
    </row>
    <row r="365" spans="1:18" x14ac:dyDescent="0.3">
      <c r="A365" s="23" t="s">
        <v>1022</v>
      </c>
      <c r="B365" s="23">
        <v>88316</v>
      </c>
      <c r="C365" s="23" t="str">
        <f>VLOOKUP(B365,IF(A365="COMPOSICAO",S!$A:$E,I!$A:$E),2,FALSE)</f>
        <v>SINAPI</v>
      </c>
      <c r="D365" s="24" t="str">
        <f>VLOOKUP(B365,IF(A365="COMPOSICAO",S!$A:$E,I!$A:$E),3,FALSE)</f>
        <v>SERVENTE COM ENCARGOS COMPLEMENTARES</v>
      </c>
      <c r="E365" s="23" t="str">
        <f>VLOOKUP(B365,IF(A365="COMPOSICAO",S!$A:$E,I!$A:$E),4,FALSE)</f>
        <v>H</v>
      </c>
      <c r="F365" s="23">
        <f>1.028/pcf</f>
        <v>1.028</v>
      </c>
      <c r="G365" s="71">
        <f>IF(A365="COMPOSICAO",VLOOKUP("TOTAL SEM BDI - "&amp;B365,CPUAUX1!$A:$J,9,FALSE),VLOOKUP(B365,I!$A:$E,5,FALSE))</f>
        <v>21.71</v>
      </c>
      <c r="H365" s="72"/>
      <c r="I365" s="71">
        <f>TRUNC(F365*G365,2)</f>
        <v>22.31</v>
      </c>
      <c r="J365" s="72"/>
      <c r="M365" s="23">
        <f>B365</f>
        <v>88316</v>
      </c>
      <c r="N365" s="5">
        <f>SUMIF(ORCAMENTO!B:B,B363,ORCAMENTO!F:F)</f>
        <v>7.5</v>
      </c>
      <c r="O365" s="23">
        <f>F365*N365</f>
        <v>7.71</v>
      </c>
      <c r="Q365" s="23">
        <f ca="1">IFERROR(SUMIF(CO!B:B,B363,OFFSET(CO!F:F,0,(4+MATCH(ETAPA,CO!$J$6:$P$6,0)))),0)</f>
        <v>3</v>
      </c>
      <c r="R365" s="23">
        <f ca="1">F365*Q365</f>
        <v>3.0840000000000001</v>
      </c>
    </row>
    <row r="366" spans="1:18" x14ac:dyDescent="0.3">
      <c r="A366" s="23" t="s">
        <v>1022</v>
      </c>
      <c r="B366" s="23">
        <v>88309</v>
      </c>
      <c r="C366" s="23" t="str">
        <f>VLOOKUP(B366,IF(A366="COMPOSICAO",S!$A:$E,I!$A:$E),2,FALSE)</f>
        <v>SINAPI</v>
      </c>
      <c r="D366" s="24" t="str">
        <f>VLOOKUP(B366,IF(A366="COMPOSICAO",S!$A:$E,I!$A:$E),3,FALSE)</f>
        <v>PEDREIRO COM ENCARGOS COMPLEMENTARES</v>
      </c>
      <c r="E366" s="23" t="str">
        <f>VLOOKUP(B366,IF(A366="COMPOSICAO",S!$A:$E,I!$A:$E),4,FALSE)</f>
        <v>H</v>
      </c>
      <c r="F366" s="23">
        <f>2.055/pcf</f>
        <v>2.0550000000000002</v>
      </c>
      <c r="G366" s="71">
        <f>IF(A366="COMPOSICAO",VLOOKUP("TOTAL SEM BDI - "&amp;B366,CPUAUX1!$A:$J,9,FALSE),VLOOKUP(B366,I!$A:$E,5,FALSE))</f>
        <v>27.39</v>
      </c>
      <c r="H366" s="72"/>
      <c r="I366" s="71">
        <f>TRUNC(F366*G366,2)</f>
        <v>56.28</v>
      </c>
      <c r="J366" s="72"/>
      <c r="M366" s="23">
        <f>B366</f>
        <v>88309</v>
      </c>
      <c r="N366" s="5">
        <f>SUMIF(ORCAMENTO!B:B,B363,ORCAMENTO!F:F)</f>
        <v>7.5</v>
      </c>
      <c r="O366" s="23">
        <f>F366*N366</f>
        <v>15.412500000000001</v>
      </c>
      <c r="Q366" s="23">
        <f ca="1">IFERROR(SUMIF(CO!B:B,B363,OFFSET(CO!F:F,0,(4+MATCH(ETAPA,CO!$J$6:$P$6,0)))),0)</f>
        <v>3</v>
      </c>
      <c r="R366" s="23">
        <f ca="1">F366*Q366</f>
        <v>6.1650000000000009</v>
      </c>
    </row>
    <row r="367" spans="1:18" ht="30" customHeight="1" x14ac:dyDescent="0.3">
      <c r="A367" s="23" t="s">
        <v>1025</v>
      </c>
      <c r="B367" s="23">
        <v>665</v>
      </c>
      <c r="C367" s="23" t="str">
        <f>VLOOKUP(B367,IF(A367="COMPOSICAO",S!$A:$E,I!$A:$E),2,FALSE)</f>
        <v>SINAPI</v>
      </c>
      <c r="D367" s="24" t="str">
        <f>VLOOKUP(B367,IF(A367="COMPOSICAO",S!$A:$E,I!$A:$E),3,FALSE)</f>
        <v>ELEMENTO VAZADO DE CONCRETO, QUADRICULADO, 16 FUROS *50 X 50 X 7* CM</v>
      </c>
      <c r="E367" s="23" t="str">
        <f>VLOOKUP(B367,IF(A367="COMPOSICAO",S!$A:$E,I!$A:$E),4,FALSE)</f>
        <v>UN</v>
      </c>
      <c r="F367" s="23">
        <v>3.95</v>
      </c>
      <c r="G367" s="71">
        <f>IF(A367="COMPOSICAO",VLOOKUP("TOTAL SEM BDI - "&amp;B367,CPUAUX1!$A:$J,9,FALSE),VLOOKUP(B367,I!$A:$E,5,FALSE))</f>
        <v>30.15</v>
      </c>
      <c r="H367" s="72"/>
      <c r="I367" s="71">
        <f>TRUNC(F367*G367,2)</f>
        <v>119.09</v>
      </c>
      <c r="J367" s="72"/>
      <c r="M367" s="23">
        <f>B367</f>
        <v>665</v>
      </c>
      <c r="N367" s="5">
        <f>SUMIF(ORCAMENTO!B:B,B363,ORCAMENTO!F:F)</f>
        <v>7.5</v>
      </c>
      <c r="O367" s="23">
        <f>F367*N367</f>
        <v>29.625</v>
      </c>
      <c r="Q367" s="23">
        <f ca="1">IFERROR(SUMIF(CO!B:B,B363,OFFSET(CO!F:F,0,(4+MATCH(ETAPA,CO!$J$6:$P$6,0)))),0)</f>
        <v>3</v>
      </c>
      <c r="R367" s="23">
        <f ca="1">F367*Q367</f>
        <v>11.850000000000001</v>
      </c>
    </row>
    <row r="368" spans="1:18" x14ac:dyDescent="0.3">
      <c r="A368" s="68" t="str">
        <f>"TOTAL SEM BDI - "&amp;B363</f>
        <v>TOTAL SEM BDI - 101161</v>
      </c>
      <c r="B368" s="69"/>
      <c r="C368" s="69"/>
      <c r="D368" s="69"/>
      <c r="E368" s="69"/>
      <c r="F368" s="69"/>
      <c r="G368" s="69"/>
      <c r="H368" s="70"/>
      <c r="I368" s="71">
        <f>SUM(I363:I367)</f>
        <v>204.43</v>
      </c>
      <c r="J368" s="72"/>
    </row>
    <row r="369" spans="1:18" x14ac:dyDescent="0.3">
      <c r="A369" s="68" t="str">
        <f>"TAXA DE BDI ("&amp;TEXT(BDI,"00,00")&amp;" %)"</f>
        <v>TAXA DE BDI (24,84 %)</v>
      </c>
      <c r="B369" s="69"/>
      <c r="C369" s="69"/>
      <c r="D369" s="69"/>
      <c r="E369" s="69"/>
      <c r="F369" s="69"/>
      <c r="G369" s="69"/>
      <c r="H369" s="70"/>
      <c r="I369" s="71">
        <f>ROUND(I368*(BDI/100),2)</f>
        <v>50.78</v>
      </c>
      <c r="J369" s="72"/>
    </row>
    <row r="370" spans="1:18" x14ac:dyDescent="0.3">
      <c r="A370" s="68" t="str">
        <f>"TOTAL COM BDI - "&amp;B363</f>
        <v>TOTAL COM BDI - 101161</v>
      </c>
      <c r="B370" s="69"/>
      <c r="C370" s="69"/>
      <c r="D370" s="69"/>
      <c r="E370" s="69"/>
      <c r="F370" s="69"/>
      <c r="G370" s="69"/>
      <c r="H370" s="70"/>
      <c r="I370" s="71">
        <f>SUM(I368:I369)</f>
        <v>255.21</v>
      </c>
      <c r="J370" s="72"/>
    </row>
    <row r="372" spans="1:18" x14ac:dyDescent="0.3">
      <c r="A372" s="4" t="s">
        <v>1018</v>
      </c>
      <c r="B372" s="4" t="s">
        <v>138</v>
      </c>
      <c r="C372" s="4" t="s">
        <v>139</v>
      </c>
      <c r="D372" s="4" t="s">
        <v>21</v>
      </c>
      <c r="E372" s="4" t="s">
        <v>140</v>
      </c>
      <c r="F372" s="4" t="s">
        <v>506</v>
      </c>
      <c r="G372" s="34" t="s">
        <v>1019</v>
      </c>
      <c r="H372" s="35"/>
      <c r="I372" s="34" t="s">
        <v>15</v>
      </c>
      <c r="J372" s="35"/>
    </row>
    <row r="373" spans="1:18" ht="45" customHeight="1" x14ac:dyDescent="0.3">
      <c r="A373" s="15" t="s">
        <v>1031</v>
      </c>
      <c r="B373" s="15" t="s">
        <v>599</v>
      </c>
      <c r="C373" s="15" t="str">
        <f>VLOOKUP(B373,S!$A:$G,2,FALSE)</f>
        <v>PRÓPRIA</v>
      </c>
      <c r="D373" s="22" t="str">
        <f>VLOOKUP(B373,S!$A:$G,3,FALSE)</f>
        <v>TELHAMENTO COM TELHA CERÂMICA CAPA-CANAL, TIPO COLONIAL, COM ATÉ 2 ÁGUAS, INCLUSO TRANSPORTE VERTICAL</v>
      </c>
      <c r="E373" s="15" t="str">
        <f>VLOOKUP(B373,S!$A:$G,4,FALSE)</f>
        <v>M²</v>
      </c>
      <c r="F373" s="15"/>
      <c r="G373" s="73">
        <f>I377</f>
        <v>37.64</v>
      </c>
      <c r="H373" s="74"/>
      <c r="I373" s="73"/>
      <c r="J373" s="74"/>
      <c r="K373" s="16">
        <f>VLOOKUP(B373,S!A:G,5,FALSE)</f>
        <v>0</v>
      </c>
      <c r="L373" s="15" t="s">
        <v>1021</v>
      </c>
    </row>
    <row r="374" spans="1:18" ht="60" customHeight="1" x14ac:dyDescent="0.3">
      <c r="A374" s="23" t="s">
        <v>1025</v>
      </c>
      <c r="B374" s="23">
        <v>7173</v>
      </c>
      <c r="C374" s="23" t="str">
        <f>VLOOKUP(B374,IF(A374="COMPOSICAO",S!$A:$E,I!$A:$E),2,FALSE)</f>
        <v>SINAPI</v>
      </c>
      <c r="D374" s="24" t="str">
        <f>VLOOKUP(B374,IF(A374="COMPOSICAO",S!$A:$E,I!$A:$E),3,FALSE)</f>
        <v>TELHA DE BARRO / CERAMICA, NAO ESMALTADA, TIPO COLONIAL, CANAL, PLAN, PAULISTA, COMPRIMENTO DE *44 A 50* CM, RENDIMENTO DE COBERTURA DE *26* TELHAS/M2</v>
      </c>
      <c r="E374" s="23" t="str">
        <f>VLOOKUP(B374,IF(A374="COMPOSICAO",S!$A:$E,I!$A:$E),4,FALSE)</f>
        <v>MIL</v>
      </c>
      <c r="F374" s="23">
        <v>2.75E-2</v>
      </c>
      <c r="G374" s="71">
        <f>IF(A374="COMPOSICAO",VLOOKUP("TOTAL SEM BDI - "&amp;B374,CPUAUX1!$A:$J,9,FALSE),VLOOKUP(B374,I!$A:$E,5,FALSE))</f>
        <v>925</v>
      </c>
      <c r="H374" s="72"/>
      <c r="I374" s="71">
        <f>TRUNC(F374*G374,2)</f>
        <v>25.43</v>
      </c>
      <c r="J374" s="72"/>
      <c r="M374" s="23">
        <f>B374</f>
        <v>7173</v>
      </c>
      <c r="N374" s="5">
        <f>SUMIF(ORCAMENTO!B:B,B373,ORCAMENTO!F:F)</f>
        <v>51.150000000000006</v>
      </c>
      <c r="O374" s="23">
        <f>F374*N374</f>
        <v>1.4066250000000002</v>
      </c>
      <c r="Q374" s="23">
        <f ca="1">IFERROR(SUMIF(CO!B:B,B373,OFFSET(CO!F:F,0,(4+MATCH(ETAPA,CO!$J$6:$P$6,0)))),0)</f>
        <v>20.46</v>
      </c>
      <c r="R374" s="23">
        <f ca="1">F374*Q374</f>
        <v>0.56264999999999998</v>
      </c>
    </row>
    <row r="375" spans="1:18" x14ac:dyDescent="0.3">
      <c r="A375" s="23" t="s">
        <v>1022</v>
      </c>
      <c r="B375" s="23">
        <v>88316</v>
      </c>
      <c r="C375" s="23" t="str">
        <f>VLOOKUP(B375,IF(A375="COMPOSICAO",S!$A:$E,I!$A:$E),2,FALSE)</f>
        <v>SINAPI</v>
      </c>
      <c r="D375" s="24" t="str">
        <f>VLOOKUP(B375,IF(A375="COMPOSICAO",S!$A:$E,I!$A:$E),3,FALSE)</f>
        <v>SERVENTE COM ENCARGOS COMPLEMENTARES</v>
      </c>
      <c r="E375" s="23" t="str">
        <f>VLOOKUP(B375,IF(A375="COMPOSICAO",S!$A:$E,I!$A:$E),4,FALSE)</f>
        <v>H</v>
      </c>
      <c r="F375" s="23">
        <f>0.399/pcf</f>
        <v>0.39900000000000002</v>
      </c>
      <c r="G375" s="71">
        <f>IF(A375="COMPOSICAO",VLOOKUP("TOTAL SEM BDI - "&amp;B375,CPUAUX1!$A:$J,9,FALSE),VLOOKUP(B375,I!$A:$E,5,FALSE))</f>
        <v>21.71</v>
      </c>
      <c r="H375" s="72"/>
      <c r="I375" s="71">
        <f>TRUNC(F375*G375,2)</f>
        <v>8.66</v>
      </c>
      <c r="J375" s="72"/>
      <c r="M375" s="23">
        <f>B375</f>
        <v>88316</v>
      </c>
      <c r="N375" s="5">
        <f>SUMIF(ORCAMENTO!B:B,B373,ORCAMENTO!F:F)</f>
        <v>51.150000000000006</v>
      </c>
      <c r="O375" s="23">
        <f>F375*N375</f>
        <v>20.408850000000005</v>
      </c>
      <c r="Q375" s="23">
        <f ca="1">IFERROR(SUMIF(CO!B:B,B373,OFFSET(CO!F:F,0,(4+MATCH(ETAPA,CO!$J$6:$P$6,0)))),0)</f>
        <v>20.46</v>
      </c>
      <c r="R375" s="23">
        <f ca="1">F375*Q375</f>
        <v>8.1635400000000011</v>
      </c>
    </row>
    <row r="376" spans="1:18" x14ac:dyDescent="0.3">
      <c r="A376" s="23" t="s">
        <v>1022</v>
      </c>
      <c r="B376" s="23">
        <v>88323</v>
      </c>
      <c r="C376" s="23" t="str">
        <f>VLOOKUP(B376,IF(A376="COMPOSICAO",S!$A:$E,I!$A:$E),2,FALSE)</f>
        <v>SINAPI</v>
      </c>
      <c r="D376" s="24" t="str">
        <f>VLOOKUP(B376,IF(A376="COMPOSICAO",S!$A:$E,I!$A:$E),3,FALSE)</f>
        <v>TELHADISTA COM ENCARGOS COMPLEMENTARES</v>
      </c>
      <c r="E376" s="23" t="str">
        <f>VLOOKUP(B376,IF(A376="COMPOSICAO",S!$A:$E,I!$A:$E),4,FALSE)</f>
        <v>H</v>
      </c>
      <c r="F376" s="23">
        <f>0.133/pcf</f>
        <v>0.13300000000000001</v>
      </c>
      <c r="G376" s="71">
        <f>IF(A376="COMPOSICAO",VLOOKUP("TOTAL SEM BDI - "&amp;B376,CPUAUX1!$A:$J,9,FALSE),VLOOKUP(B376,I!$A:$E,5,FALSE))</f>
        <v>26.71</v>
      </c>
      <c r="H376" s="72"/>
      <c r="I376" s="71">
        <f>TRUNC(F376*G376,2)</f>
        <v>3.55</v>
      </c>
      <c r="J376" s="72"/>
      <c r="M376" s="23">
        <f>B376</f>
        <v>88323</v>
      </c>
      <c r="N376" s="5">
        <f>SUMIF(ORCAMENTO!B:B,B373,ORCAMENTO!F:F)</f>
        <v>51.150000000000006</v>
      </c>
      <c r="O376" s="23">
        <f>F376*N376</f>
        <v>6.8029500000000009</v>
      </c>
      <c r="Q376" s="23">
        <f ca="1">IFERROR(SUMIF(CO!B:B,B373,OFFSET(CO!F:F,0,(4+MATCH(ETAPA,CO!$J$6:$P$6,0)))),0)</f>
        <v>20.46</v>
      </c>
      <c r="R376" s="23">
        <f ca="1">F376*Q376</f>
        <v>2.7211800000000004</v>
      </c>
    </row>
    <row r="377" spans="1:18" x14ac:dyDescent="0.3">
      <c r="A377" s="68" t="str">
        <f>"TOTAL SEM BDI - "&amp;B373</f>
        <v>TOTAL SEM BDI - COMPCOM03</v>
      </c>
      <c r="B377" s="69"/>
      <c r="C377" s="69"/>
      <c r="D377" s="69"/>
      <c r="E377" s="69"/>
      <c r="F377" s="69"/>
      <c r="G377" s="69"/>
      <c r="H377" s="70"/>
      <c r="I377" s="71">
        <f>SUM(I373:I376)</f>
        <v>37.64</v>
      </c>
      <c r="J377" s="72"/>
    </row>
    <row r="378" spans="1:18" x14ac:dyDescent="0.3">
      <c r="A378" s="68" t="str">
        <f>"TAXA DE BDI ("&amp;TEXT(BDI,"00,00")&amp;" %)"</f>
        <v>TAXA DE BDI (24,84 %)</v>
      </c>
      <c r="B378" s="69"/>
      <c r="C378" s="69"/>
      <c r="D378" s="69"/>
      <c r="E378" s="69"/>
      <c r="F378" s="69"/>
      <c r="G378" s="69"/>
      <c r="H378" s="70"/>
      <c r="I378" s="71">
        <f>ROUND(I377*(BDI/100),2)</f>
        <v>9.35</v>
      </c>
      <c r="J378" s="72"/>
    </row>
    <row r="379" spans="1:18" x14ac:dyDescent="0.3">
      <c r="A379" s="68" t="str">
        <f>"TOTAL COM BDI - "&amp;B373</f>
        <v>TOTAL COM BDI - COMPCOM03</v>
      </c>
      <c r="B379" s="69"/>
      <c r="C379" s="69"/>
      <c r="D379" s="69"/>
      <c r="E379" s="69"/>
      <c r="F379" s="69"/>
      <c r="G379" s="69"/>
      <c r="H379" s="70"/>
      <c r="I379" s="71">
        <f>SUM(I377:I378)</f>
        <v>46.99</v>
      </c>
      <c r="J379" s="72"/>
    </row>
    <row r="381" spans="1:18" x14ac:dyDescent="0.3">
      <c r="A381" s="4" t="s">
        <v>1018</v>
      </c>
      <c r="B381" s="4" t="s">
        <v>138</v>
      </c>
      <c r="C381" s="4" t="s">
        <v>139</v>
      </c>
      <c r="D381" s="4" t="s">
        <v>21</v>
      </c>
      <c r="E381" s="4" t="s">
        <v>140</v>
      </c>
      <c r="F381" s="4" t="s">
        <v>506</v>
      </c>
      <c r="G381" s="34" t="s">
        <v>1019</v>
      </c>
      <c r="H381" s="35"/>
      <c r="I381" s="34" t="s">
        <v>15</v>
      </c>
      <c r="J381" s="35"/>
    </row>
    <row r="382" spans="1:18" ht="60" customHeight="1" x14ac:dyDescent="0.3">
      <c r="A382" s="15" t="s">
        <v>1031</v>
      </c>
      <c r="B382" s="15" t="s">
        <v>601</v>
      </c>
      <c r="C382" s="15" t="str">
        <f>VLOOKUP(B382,S!$A:$G,2,FALSE)</f>
        <v>PRÓPRIA</v>
      </c>
      <c r="D382" s="22" t="str">
        <f>VLOOKUP(B382,S!$A:$G,3,FALSE)</f>
        <v>TRAMA DE MADEIRA COMPOSTA POR RIPAS, CAIBROS E TERÇAS PARA TELHADOS DE ATÉ 2 ÁGUAS PARA TELHA CERÂMICA CAPA-CANAL, INCLUSO TRANSPORTE VERTICAL</v>
      </c>
      <c r="E382" s="15" t="str">
        <f>VLOOKUP(B382,S!$A:$G,4,FALSE)</f>
        <v>M²</v>
      </c>
      <c r="F382" s="15"/>
      <c r="G382" s="73">
        <f>I391</f>
        <v>66.67</v>
      </c>
      <c r="H382" s="74"/>
      <c r="I382" s="73"/>
      <c r="J382" s="74"/>
      <c r="K382" s="16">
        <f>VLOOKUP(B382,S!A:G,5,FALSE)</f>
        <v>0</v>
      </c>
      <c r="L382" s="15" t="s">
        <v>1021</v>
      </c>
    </row>
    <row r="383" spans="1:18" ht="45" customHeight="1" x14ac:dyDescent="0.3">
      <c r="A383" s="23" t="s">
        <v>1025</v>
      </c>
      <c r="B383" s="23">
        <v>4408</v>
      </c>
      <c r="C383" s="23" t="str">
        <f>VLOOKUP(B383,IF(A383="COMPOSICAO",S!$A:$E,I!$A:$E),2,FALSE)</f>
        <v>SINAPI</v>
      </c>
      <c r="D383" s="24" t="str">
        <f>VLOOKUP(B383,IF(A383="COMPOSICAO",S!$A:$E,I!$A:$E),3,FALSE)</f>
        <v>RIPA NAO APARELHADA, *1,5 X 5* CM, EM MACARANDUBA/MASSARANDUBA, ANGELIM OU EQUIVALENTE DA REGIAO - BRUTA</v>
      </c>
      <c r="E383" s="23" t="str">
        <f>VLOOKUP(B383,IF(A383="COMPOSICAO",S!$A:$E,I!$A:$E),4,FALSE)</f>
        <v>M</v>
      </c>
      <c r="F383" s="23">
        <v>2.573</v>
      </c>
      <c r="G383" s="71">
        <f>IF(A383="COMPOSICAO",VLOOKUP("TOTAL SEM BDI - "&amp;B383,CPUAUX1!$A:$J,9,FALSE),VLOOKUP(B383,I!$A:$E,5,FALSE))</f>
        <v>1.9</v>
      </c>
      <c r="H383" s="72"/>
      <c r="I383" s="71">
        <f t="shared" ref="I383:I390" si="32">TRUNC(F383*G383,2)</f>
        <v>4.88</v>
      </c>
      <c r="J383" s="72"/>
      <c r="M383" s="23">
        <f t="shared" ref="M383:M390" si="33">B383</f>
        <v>4408</v>
      </c>
      <c r="N383" s="5">
        <f>SUMIF(ORCAMENTO!B:B,B382,ORCAMENTO!F:F)</f>
        <v>51.150000000000006</v>
      </c>
      <c r="O383" s="23">
        <f t="shared" ref="O383:O390" si="34">F383*N383</f>
        <v>131.60895000000002</v>
      </c>
      <c r="Q383" s="23">
        <f ca="1">IFERROR(SUMIF(CO!B:B,B382,OFFSET(CO!F:F,0,(4+MATCH(ETAPA,CO!$J$6:$P$6,0)))),0)</f>
        <v>20.46</v>
      </c>
      <c r="R383" s="23">
        <f t="shared" ref="R383:R390" ca="1" si="35">F383*Q383</f>
        <v>52.64358</v>
      </c>
    </row>
    <row r="384" spans="1:18" ht="45" customHeight="1" x14ac:dyDescent="0.3">
      <c r="A384" s="23" t="s">
        <v>1025</v>
      </c>
      <c r="B384" s="23">
        <v>4425</v>
      </c>
      <c r="C384" s="23" t="str">
        <f>VLOOKUP(B384,IF(A384="COMPOSICAO",S!$A:$E,I!$A:$E),2,FALSE)</f>
        <v>SINAPI</v>
      </c>
      <c r="D384" s="24" t="str">
        <f>VLOOKUP(B384,IF(A384="COMPOSICAO",S!$A:$E,I!$A:$E),3,FALSE)</f>
        <v>VIGA NAO APARELHADA *6 X 12* CM, EM MACARANDUBA/MASSARANDUBA, ANGELIM OU EQUIVALENTE DA REGIAO - BRUTA</v>
      </c>
      <c r="E384" s="23" t="str">
        <f>VLOOKUP(B384,IF(A384="COMPOSICAO",S!$A:$E,I!$A:$E),4,FALSE)</f>
        <v>M</v>
      </c>
      <c r="F384" s="23">
        <v>0.73499999999999999</v>
      </c>
      <c r="G384" s="71">
        <f>IF(A384="COMPOSICAO",VLOOKUP("TOTAL SEM BDI - "&amp;B384,CPUAUX1!$A:$J,9,FALSE),VLOOKUP(B384,I!$A:$E,5,FALSE))</f>
        <v>21.15</v>
      </c>
      <c r="H384" s="72"/>
      <c r="I384" s="71">
        <f t="shared" si="32"/>
        <v>15.54</v>
      </c>
      <c r="J384" s="72"/>
      <c r="M384" s="23">
        <f t="shared" si="33"/>
        <v>4425</v>
      </c>
      <c r="N384" s="5">
        <f>SUMIF(ORCAMENTO!B:B,B382,ORCAMENTO!F:F)</f>
        <v>51.150000000000006</v>
      </c>
      <c r="O384" s="23">
        <f t="shared" si="34"/>
        <v>37.59525</v>
      </c>
      <c r="Q384" s="23">
        <f ca="1">IFERROR(SUMIF(CO!B:B,B382,OFFSET(CO!F:F,0,(4+MATCH(ETAPA,CO!$J$6:$P$6,0)))),0)</f>
        <v>20.46</v>
      </c>
      <c r="R384" s="23">
        <f t="shared" ca="1" si="35"/>
        <v>15.0381</v>
      </c>
    </row>
    <row r="385" spans="1:18" ht="45" customHeight="1" x14ac:dyDescent="0.3">
      <c r="A385" s="23" t="s">
        <v>1025</v>
      </c>
      <c r="B385" s="23">
        <v>4430</v>
      </c>
      <c r="C385" s="23" t="str">
        <f>VLOOKUP(B385,IF(A385="COMPOSICAO",S!$A:$E,I!$A:$E),2,FALSE)</f>
        <v>SINAPI</v>
      </c>
      <c r="D385" s="24" t="str">
        <f>VLOOKUP(B385,IF(A385="COMPOSICAO",S!$A:$E,I!$A:$E),3,FALSE)</f>
        <v>CAIBRO NAO APARELHADO *5 X 6* CM, EM MACARANDUBA/MASSARANDUBA, ANGELIM OU EQUIVALENTE DA REGIAO - BRUTA</v>
      </c>
      <c r="E385" s="23" t="str">
        <f>VLOOKUP(B385,IF(A385="COMPOSICAO",S!$A:$E,I!$A:$E),4,FALSE)</f>
        <v>M</v>
      </c>
      <c r="F385" s="23">
        <v>2.3359999999999999</v>
      </c>
      <c r="G385" s="71">
        <f>IF(A385="COMPOSICAO",VLOOKUP("TOTAL SEM BDI - "&amp;B385,CPUAUX1!$A:$J,9,FALSE),VLOOKUP(B385,I!$A:$E,5,FALSE))</f>
        <v>10</v>
      </c>
      <c r="H385" s="72"/>
      <c r="I385" s="71">
        <f t="shared" si="32"/>
        <v>23.36</v>
      </c>
      <c r="J385" s="72"/>
      <c r="M385" s="23">
        <f t="shared" si="33"/>
        <v>4430</v>
      </c>
      <c r="N385" s="5">
        <f>SUMIF(ORCAMENTO!B:B,B382,ORCAMENTO!F:F)</f>
        <v>51.150000000000006</v>
      </c>
      <c r="O385" s="23">
        <f t="shared" si="34"/>
        <v>119.4864</v>
      </c>
      <c r="Q385" s="23">
        <f ca="1">IFERROR(SUMIF(CO!B:B,B382,OFFSET(CO!F:F,0,(4+MATCH(ETAPA,CO!$J$6:$P$6,0)))),0)</f>
        <v>20.46</v>
      </c>
      <c r="R385" s="23">
        <f t="shared" ca="1" si="35"/>
        <v>47.794559999999997</v>
      </c>
    </row>
    <row r="386" spans="1:18" ht="30" customHeight="1" x14ac:dyDescent="0.3">
      <c r="A386" s="23" t="s">
        <v>1025</v>
      </c>
      <c r="B386" s="23">
        <v>20247</v>
      </c>
      <c r="C386" s="23" t="str">
        <f>VLOOKUP(B386,IF(A386="COMPOSICAO",S!$A:$E,I!$A:$E),2,FALSE)</f>
        <v>SINAPI</v>
      </c>
      <c r="D386" s="24" t="str">
        <f>VLOOKUP(B386,IF(A386="COMPOSICAO",S!$A:$E,I!$A:$E),3,FALSE)</f>
        <v>PREGO DE ACO POLIDO COM CABECA 15 X 15 (1 1/4 X 13)</v>
      </c>
      <c r="E386" s="23" t="str">
        <f>VLOOKUP(B386,IF(A386="COMPOSICAO",S!$A:$E,I!$A:$E),4,FALSE)</f>
        <v>KG</v>
      </c>
      <c r="F386" s="23">
        <v>7.0000000000000007E-2</v>
      </c>
      <c r="G386" s="71">
        <f>IF(A386="COMPOSICAO",VLOOKUP("TOTAL SEM BDI - "&amp;B386,CPUAUX1!$A:$J,9,FALSE),VLOOKUP(B386,I!$A:$E,5,FALSE))</f>
        <v>22.53</v>
      </c>
      <c r="H386" s="72"/>
      <c r="I386" s="71">
        <f t="shared" si="32"/>
        <v>1.57</v>
      </c>
      <c r="J386" s="72"/>
      <c r="M386" s="23">
        <f t="shared" si="33"/>
        <v>20247</v>
      </c>
      <c r="N386" s="5">
        <f>SUMIF(ORCAMENTO!B:B,B382,ORCAMENTO!F:F)</f>
        <v>51.150000000000006</v>
      </c>
      <c r="O386" s="23">
        <f t="shared" si="34"/>
        <v>3.5805000000000007</v>
      </c>
      <c r="Q386" s="23">
        <f ca="1">IFERROR(SUMIF(CO!B:B,B382,OFFSET(CO!F:F,0,(4+MATCH(ETAPA,CO!$J$6:$P$6,0)))),0)</f>
        <v>20.46</v>
      </c>
      <c r="R386" s="23">
        <f t="shared" ca="1" si="35"/>
        <v>1.4322000000000001</v>
      </c>
    </row>
    <row r="387" spans="1:18" ht="30" customHeight="1" x14ac:dyDescent="0.3">
      <c r="A387" s="23" t="s">
        <v>1025</v>
      </c>
      <c r="B387" s="23">
        <v>39027</v>
      </c>
      <c r="C387" s="23" t="str">
        <f>VLOOKUP(B387,IF(A387="COMPOSICAO",S!$A:$E,I!$A:$E),2,FALSE)</f>
        <v>SINAPI</v>
      </c>
      <c r="D387" s="24" t="str">
        <f>VLOOKUP(B387,IF(A387="COMPOSICAO",S!$A:$E,I!$A:$E),3,FALSE)</f>
        <v>PREGO DE ACO POLIDO COM CABECA 19 X 36 (3 1/4 X 9)</v>
      </c>
      <c r="E387" s="23" t="str">
        <f>VLOOKUP(B387,IF(A387="COMPOSICAO",S!$A:$E,I!$A:$E),4,FALSE)</f>
        <v>KG</v>
      </c>
      <c r="F387" s="23">
        <v>0.05</v>
      </c>
      <c r="G387" s="71">
        <f>IF(A387="COMPOSICAO",VLOOKUP("TOTAL SEM BDI - "&amp;B387,CPUAUX1!$A:$J,9,FALSE),VLOOKUP(B387,I!$A:$E,5,FALSE))</f>
        <v>20.32</v>
      </c>
      <c r="H387" s="72"/>
      <c r="I387" s="71">
        <f t="shared" si="32"/>
        <v>1.01</v>
      </c>
      <c r="J387" s="72"/>
      <c r="M387" s="23">
        <f t="shared" si="33"/>
        <v>39027</v>
      </c>
      <c r="N387" s="5">
        <f>SUMIF(ORCAMENTO!B:B,B382,ORCAMENTO!F:F)</f>
        <v>51.150000000000006</v>
      </c>
      <c r="O387" s="23">
        <f t="shared" si="34"/>
        <v>2.5575000000000006</v>
      </c>
      <c r="Q387" s="23">
        <f ca="1">IFERROR(SUMIF(CO!B:B,B382,OFFSET(CO!F:F,0,(4+MATCH(ETAPA,CO!$J$6:$P$6,0)))),0)</f>
        <v>20.46</v>
      </c>
      <c r="R387" s="23">
        <f t="shared" ca="1" si="35"/>
        <v>1.0230000000000001</v>
      </c>
    </row>
    <row r="388" spans="1:18" ht="30" customHeight="1" x14ac:dyDescent="0.3">
      <c r="A388" s="23" t="s">
        <v>1025</v>
      </c>
      <c r="B388" s="23">
        <v>40568</v>
      </c>
      <c r="C388" s="23" t="str">
        <f>VLOOKUP(B388,IF(A388="COMPOSICAO",S!$A:$E,I!$A:$E),2,FALSE)</f>
        <v>SINAPI</v>
      </c>
      <c r="D388" s="24" t="str">
        <f>VLOOKUP(B388,IF(A388="COMPOSICAO",S!$A:$E,I!$A:$E),3,FALSE)</f>
        <v>PREGO DE ACO POLIDO COM CABECA 22 X 48 (4 1/4 X 5)</v>
      </c>
      <c r="E388" s="23" t="str">
        <f>VLOOKUP(B388,IF(A388="COMPOSICAO",S!$A:$E,I!$A:$E),4,FALSE)</f>
        <v>KG</v>
      </c>
      <c r="F388" s="23">
        <v>0.03</v>
      </c>
      <c r="G388" s="71">
        <f>IF(A388="COMPOSICAO",VLOOKUP("TOTAL SEM BDI - "&amp;B388,CPUAUX1!$A:$J,9,FALSE),VLOOKUP(B388,I!$A:$E,5,FALSE))</f>
        <v>20.5</v>
      </c>
      <c r="H388" s="72"/>
      <c r="I388" s="71">
        <f t="shared" si="32"/>
        <v>0.61</v>
      </c>
      <c r="J388" s="72"/>
      <c r="M388" s="23">
        <f t="shared" si="33"/>
        <v>40568</v>
      </c>
      <c r="N388" s="5">
        <f>SUMIF(ORCAMENTO!B:B,B382,ORCAMENTO!F:F)</f>
        <v>51.150000000000006</v>
      </c>
      <c r="O388" s="23">
        <f t="shared" si="34"/>
        <v>1.5345000000000002</v>
      </c>
      <c r="Q388" s="23">
        <f ca="1">IFERROR(SUMIF(CO!B:B,B382,OFFSET(CO!F:F,0,(4+MATCH(ETAPA,CO!$J$6:$P$6,0)))),0)</f>
        <v>20.46</v>
      </c>
      <c r="R388" s="23">
        <f t="shared" ca="1" si="35"/>
        <v>0.61380000000000001</v>
      </c>
    </row>
    <row r="389" spans="1:18" ht="30" customHeight="1" x14ac:dyDescent="0.3">
      <c r="A389" s="23" t="s">
        <v>1022</v>
      </c>
      <c r="B389" s="23">
        <v>88239</v>
      </c>
      <c r="C389" s="23" t="str">
        <f>VLOOKUP(B389,IF(A389="COMPOSICAO",S!$A:$E,I!$A:$E),2,FALSE)</f>
        <v>SINAPI</v>
      </c>
      <c r="D389" s="24" t="str">
        <f>VLOOKUP(B389,IF(A389="COMPOSICAO",S!$A:$E,I!$A:$E),3,FALSE)</f>
        <v>AJUDANTE DE CARPINTEIRO COM ENCARGOS COMPLEMENTARES</v>
      </c>
      <c r="E389" s="23" t="str">
        <f>VLOOKUP(B389,IF(A389="COMPOSICAO",S!$A:$E,I!$A:$E),4,FALSE)</f>
        <v>H</v>
      </c>
      <c r="F389" s="23">
        <f>0.402/pcf</f>
        <v>0.40200000000000002</v>
      </c>
      <c r="G389" s="71">
        <f>IF(A389="COMPOSICAO",VLOOKUP("TOTAL SEM BDI - "&amp;B389,CPUAUX1!$A:$J,9,FALSE),VLOOKUP(B389,I!$A:$E,5,FALSE))</f>
        <v>22.2</v>
      </c>
      <c r="H389" s="72"/>
      <c r="I389" s="71">
        <f t="shared" si="32"/>
        <v>8.92</v>
      </c>
      <c r="J389" s="72"/>
      <c r="M389" s="23">
        <f t="shared" si="33"/>
        <v>88239</v>
      </c>
      <c r="N389" s="5">
        <f>SUMIF(ORCAMENTO!B:B,B382,ORCAMENTO!F:F)</f>
        <v>51.150000000000006</v>
      </c>
      <c r="O389" s="23">
        <f t="shared" si="34"/>
        <v>20.562300000000004</v>
      </c>
      <c r="Q389" s="23">
        <f ca="1">IFERROR(SUMIF(CO!B:B,B382,OFFSET(CO!F:F,0,(4+MATCH(ETAPA,CO!$J$6:$P$6,0)))),0)</f>
        <v>20.46</v>
      </c>
      <c r="R389" s="23">
        <f t="shared" ca="1" si="35"/>
        <v>8.2249200000000009</v>
      </c>
    </row>
    <row r="390" spans="1:18" ht="30" customHeight="1" x14ac:dyDescent="0.3">
      <c r="A390" s="23" t="s">
        <v>1022</v>
      </c>
      <c r="B390" s="23">
        <v>88262</v>
      </c>
      <c r="C390" s="23" t="str">
        <f>VLOOKUP(B390,IF(A390="COMPOSICAO",S!$A:$E,I!$A:$E),2,FALSE)</f>
        <v>SINAPI</v>
      </c>
      <c r="D390" s="24" t="str">
        <f>VLOOKUP(B390,IF(A390="COMPOSICAO",S!$A:$E,I!$A:$E),3,FALSE)</f>
        <v>CARPINTEIRO DE FORMAS COM ENCARGOS COMPLEMENTARES</v>
      </c>
      <c r="E390" s="23" t="str">
        <f>VLOOKUP(B390,IF(A390="COMPOSICAO",S!$A:$E,I!$A:$E),4,FALSE)</f>
        <v>H</v>
      </c>
      <c r="F390" s="23">
        <f>0.4/pcf</f>
        <v>0.4</v>
      </c>
      <c r="G390" s="71">
        <f>IF(A390="COMPOSICAO",VLOOKUP("TOTAL SEM BDI - "&amp;B390,CPUAUX1!$A:$J,9,FALSE),VLOOKUP(B390,I!$A:$E,5,FALSE))</f>
        <v>26.97</v>
      </c>
      <c r="H390" s="72"/>
      <c r="I390" s="71">
        <f t="shared" si="32"/>
        <v>10.78</v>
      </c>
      <c r="J390" s="72"/>
      <c r="M390" s="23">
        <f t="shared" si="33"/>
        <v>88262</v>
      </c>
      <c r="N390" s="5">
        <f>SUMIF(ORCAMENTO!B:B,B382,ORCAMENTO!F:F)</f>
        <v>51.150000000000006</v>
      </c>
      <c r="O390" s="23">
        <f t="shared" si="34"/>
        <v>20.460000000000004</v>
      </c>
      <c r="Q390" s="23">
        <f ca="1">IFERROR(SUMIF(CO!B:B,B382,OFFSET(CO!F:F,0,(4+MATCH(ETAPA,CO!$J$6:$P$6,0)))),0)</f>
        <v>20.46</v>
      </c>
      <c r="R390" s="23">
        <f t="shared" ca="1" si="35"/>
        <v>8.1840000000000011</v>
      </c>
    </row>
    <row r="391" spans="1:18" x14ac:dyDescent="0.3">
      <c r="A391" s="68" t="str">
        <f>"TOTAL SEM BDI - "&amp;B382</f>
        <v>TOTAL SEM BDI - COMPCOM04</v>
      </c>
      <c r="B391" s="69"/>
      <c r="C391" s="69"/>
      <c r="D391" s="69"/>
      <c r="E391" s="69"/>
      <c r="F391" s="69"/>
      <c r="G391" s="69"/>
      <c r="H391" s="70"/>
      <c r="I391" s="71">
        <f>SUM(I382:I390)</f>
        <v>66.67</v>
      </c>
      <c r="J391" s="72"/>
    </row>
    <row r="392" spans="1:18" x14ac:dyDescent="0.3">
      <c r="A392" s="68" t="str">
        <f>"TAXA DE BDI ("&amp;TEXT(BDI,"00,00")&amp;" %)"</f>
        <v>TAXA DE BDI (24,84 %)</v>
      </c>
      <c r="B392" s="69"/>
      <c r="C392" s="69"/>
      <c r="D392" s="69"/>
      <c r="E392" s="69"/>
      <c r="F392" s="69"/>
      <c r="G392" s="69"/>
      <c r="H392" s="70"/>
      <c r="I392" s="71">
        <f>ROUND(I391*(BDI/100),2)</f>
        <v>16.559999999999999</v>
      </c>
      <c r="J392" s="72"/>
    </row>
    <row r="393" spans="1:18" x14ac:dyDescent="0.3">
      <c r="A393" s="68" t="str">
        <f>"TOTAL COM BDI - "&amp;B382</f>
        <v>TOTAL COM BDI - COMPCOM04</v>
      </c>
      <c r="B393" s="69"/>
      <c r="C393" s="69"/>
      <c r="D393" s="69"/>
      <c r="E393" s="69"/>
      <c r="F393" s="69"/>
      <c r="G393" s="69"/>
      <c r="H393" s="70"/>
      <c r="I393" s="71">
        <f>SUM(I391:I392)</f>
        <v>83.23</v>
      </c>
      <c r="J393" s="72"/>
    </row>
    <row r="395" spans="1:18" x14ac:dyDescent="0.3">
      <c r="A395" s="4" t="s">
        <v>1018</v>
      </c>
      <c r="B395" s="4" t="s">
        <v>138</v>
      </c>
      <c r="C395" s="4" t="s">
        <v>139</v>
      </c>
      <c r="D395" s="4" t="s">
        <v>21</v>
      </c>
      <c r="E395" s="4" t="s">
        <v>140</v>
      </c>
      <c r="F395" s="4" t="s">
        <v>506</v>
      </c>
      <c r="G395" s="34" t="s">
        <v>1019</v>
      </c>
      <c r="H395" s="35"/>
      <c r="I395" s="34" t="s">
        <v>15</v>
      </c>
      <c r="J395" s="35"/>
    </row>
    <row r="396" spans="1:18" ht="45" customHeight="1" x14ac:dyDescent="0.3">
      <c r="A396" s="15" t="s">
        <v>1059</v>
      </c>
      <c r="B396" s="15">
        <v>101749</v>
      </c>
      <c r="C396" s="15" t="str">
        <f>VLOOKUP(B396,S!$A:$G,2,FALSE)</f>
        <v>SINAPI</v>
      </c>
      <c r="D396" s="22" t="str">
        <f>VLOOKUP(B396,S!$A:$G,3,FALSE)</f>
        <v>PISO CIMENTADO, TRAÇO 1:3 (CIMENTO E AREIA), ACABAMENTO LISO, ESPESSURA 4,0 CM, PREPARO MECÂNICO DA ARGAMASSA. AF_09/2020</v>
      </c>
      <c r="E396" s="15" t="str">
        <f>VLOOKUP(B396,S!$A:$G,4,FALSE)</f>
        <v>M2</v>
      </c>
      <c r="F396" s="15"/>
      <c r="G396" s="73">
        <f>I402</f>
        <v>64.739999999999995</v>
      </c>
      <c r="H396" s="74"/>
      <c r="I396" s="73"/>
      <c r="J396" s="74"/>
      <c r="K396" s="16">
        <f>VLOOKUP(B396,S!A:G,5,FALSE)</f>
        <v>64.739999999999995</v>
      </c>
      <c r="L396" s="15" t="str">
        <f>IF(K396=G396,"OK, CONFORME TABELA",IF(G396&gt;K396,"ACIMA DA TABELA: ","ABAIXO DA TABELA: ")&amp;TRUNC((G396*100)/K396,2)&amp;" %")</f>
        <v>OK, CONFORME TABELA</v>
      </c>
    </row>
    <row r="397" spans="1:18" x14ac:dyDescent="0.3">
      <c r="A397" s="23" t="s">
        <v>1022</v>
      </c>
      <c r="B397" s="23">
        <v>88316</v>
      </c>
      <c r="C397" s="23" t="str">
        <f>VLOOKUP(B397,IF(A397="COMPOSICAO",S!$A:$E,I!$A:$E),2,FALSE)</f>
        <v>SINAPI</v>
      </c>
      <c r="D397" s="24" t="str">
        <f>VLOOKUP(B397,IF(A397="COMPOSICAO",S!$A:$E,I!$A:$E),3,FALSE)</f>
        <v>SERVENTE COM ENCARGOS COMPLEMENTARES</v>
      </c>
      <c r="E397" s="23" t="str">
        <f>VLOOKUP(B397,IF(A397="COMPOSICAO",S!$A:$E,I!$A:$E),4,FALSE)</f>
        <v>H</v>
      </c>
      <c r="F397" s="23">
        <f>0.209/pcf</f>
        <v>0.20899999999999999</v>
      </c>
      <c r="G397" s="71">
        <f>IF(A397="COMPOSICAO",VLOOKUP("TOTAL SEM BDI - "&amp;B397,CPUAUX1!$A:$J,9,FALSE),VLOOKUP(B397,I!$A:$E,5,FALSE))</f>
        <v>21.71</v>
      </c>
      <c r="H397" s="72"/>
      <c r="I397" s="71">
        <f>TRUNC(F397*G397,2)</f>
        <v>4.53</v>
      </c>
      <c r="J397" s="72"/>
      <c r="M397" s="23">
        <f>B397</f>
        <v>88316</v>
      </c>
      <c r="N397" s="5">
        <f>SUMIF(ORCAMENTO!B:B,B396,ORCAMENTO!F:F)</f>
        <v>20</v>
      </c>
      <c r="O397" s="23">
        <f>F397*N397</f>
        <v>4.18</v>
      </c>
      <c r="Q397" s="23">
        <f ca="1">IFERROR(SUMIF(CO!B:B,B396,OFFSET(CO!F:F,0,(4+MATCH(ETAPA,CO!$J$6:$P$6,0)))),0)</f>
        <v>8</v>
      </c>
      <c r="R397" s="23">
        <f ca="1">F397*Q397</f>
        <v>1.6719999999999999</v>
      </c>
    </row>
    <row r="398" spans="1:18" x14ac:dyDescent="0.3">
      <c r="A398" s="23" t="s">
        <v>1022</v>
      </c>
      <c r="B398" s="23">
        <v>88309</v>
      </c>
      <c r="C398" s="23" t="str">
        <f>VLOOKUP(B398,IF(A398="COMPOSICAO",S!$A:$E,I!$A:$E),2,FALSE)</f>
        <v>SINAPI</v>
      </c>
      <c r="D398" s="24" t="str">
        <f>VLOOKUP(B398,IF(A398="COMPOSICAO",S!$A:$E,I!$A:$E),3,FALSE)</f>
        <v>PEDREIRO COM ENCARGOS COMPLEMENTARES</v>
      </c>
      <c r="E398" s="23" t="str">
        <f>VLOOKUP(B398,IF(A398="COMPOSICAO",S!$A:$E,I!$A:$E),4,FALSE)</f>
        <v>H</v>
      </c>
      <c r="F398" s="23">
        <f>0.418/pcf</f>
        <v>0.41799999999999998</v>
      </c>
      <c r="G398" s="71">
        <f>IF(A398="COMPOSICAO",VLOOKUP("TOTAL SEM BDI - "&amp;B398,CPUAUX1!$A:$J,9,FALSE),VLOOKUP(B398,I!$A:$E,5,FALSE))</f>
        <v>27.39</v>
      </c>
      <c r="H398" s="72"/>
      <c r="I398" s="71">
        <f>TRUNC(F398*G398,2)</f>
        <v>11.44</v>
      </c>
      <c r="J398" s="72"/>
      <c r="M398" s="23">
        <f>B398</f>
        <v>88309</v>
      </c>
      <c r="N398" s="5">
        <f>SUMIF(ORCAMENTO!B:B,B396,ORCAMENTO!F:F)</f>
        <v>20</v>
      </c>
      <c r="O398" s="23">
        <f>F398*N398</f>
        <v>8.36</v>
      </c>
      <c r="Q398" s="23">
        <f ca="1">IFERROR(SUMIF(CO!B:B,B396,OFFSET(CO!F:F,0,(4+MATCH(ETAPA,CO!$J$6:$P$6,0)))),0)</f>
        <v>8</v>
      </c>
      <c r="R398" s="23">
        <f ca="1">F398*Q398</f>
        <v>3.3439999999999999</v>
      </c>
    </row>
    <row r="399" spans="1:18" ht="45" customHeight="1" x14ac:dyDescent="0.3">
      <c r="A399" s="23" t="s">
        <v>1022</v>
      </c>
      <c r="B399" s="23">
        <v>87298</v>
      </c>
      <c r="C399" s="23" t="str">
        <f>VLOOKUP(B399,IF(A399="COMPOSICAO",S!$A:$E,I!$A:$E),2,FALSE)</f>
        <v>SINAPI</v>
      </c>
      <c r="D399" s="24" t="str">
        <f>VLOOKUP(B399,IF(A399="COMPOSICAO",S!$A:$E,I!$A:$E),3,FALSE)</f>
        <v>ARGAMASSA TRAÇO 1:3 (EM VOLUME DE CIMENTO E AREIA MÉDIA ÚMIDA) PARA CONTRAPISO, PREPARO MECÂNICO COM BETONEIRA 400 L. AF_08/2019</v>
      </c>
      <c r="E399" s="23" t="str">
        <f>VLOOKUP(B399,IF(A399="COMPOSICAO",S!$A:$E,I!$A:$E),4,FALSE)</f>
        <v>M3</v>
      </c>
      <c r="F399" s="23">
        <v>5.2999999999999999E-2</v>
      </c>
      <c r="G399" s="71">
        <f>IF(A399="COMPOSICAO",VLOOKUP("TOTAL SEM BDI - "&amp;B399,CPUAUX1!$A:$J,9,FALSE),VLOOKUP(B399,I!$A:$E,5,FALSE))</f>
        <v>818.06000000000006</v>
      </c>
      <c r="H399" s="72"/>
      <c r="I399" s="71">
        <f>TRUNC(F399*G399,2)</f>
        <v>43.35</v>
      </c>
      <c r="J399" s="72"/>
      <c r="M399" s="23">
        <f>B399</f>
        <v>87298</v>
      </c>
      <c r="N399" s="5">
        <f>SUMIF(ORCAMENTO!B:B,B396,ORCAMENTO!F:F)</f>
        <v>20</v>
      </c>
      <c r="O399" s="23">
        <f>F399*N399</f>
        <v>1.06</v>
      </c>
      <c r="Q399" s="23">
        <f ca="1">IFERROR(SUMIF(CO!B:B,B396,OFFSET(CO!F:F,0,(4+MATCH(ETAPA,CO!$J$6:$P$6,0)))),0)</f>
        <v>8</v>
      </c>
      <c r="R399" s="23">
        <f ca="1">F399*Q399</f>
        <v>0.42399999999999999</v>
      </c>
    </row>
    <row r="400" spans="1:18" ht="30" customHeight="1" x14ac:dyDescent="0.3">
      <c r="A400" s="23" t="s">
        <v>1025</v>
      </c>
      <c r="B400" s="23">
        <v>3671</v>
      </c>
      <c r="C400" s="23" t="str">
        <f>VLOOKUP(B400,IF(A400="COMPOSICAO",S!$A:$E,I!$A:$E),2,FALSE)</f>
        <v>SINAPI</v>
      </c>
      <c r="D400" s="24" t="str">
        <f>VLOOKUP(B400,IF(A400="COMPOSICAO",S!$A:$E,I!$A:$E),3,FALSE)</f>
        <v>JUNTA PLASTICA DE DILATACAO PARA PISOS, COR CINZA, 17 X 3 MM (ALTURA X ESPESSURA)</v>
      </c>
      <c r="E400" s="23" t="str">
        <f>VLOOKUP(B400,IF(A400="COMPOSICAO",S!$A:$E,I!$A:$E),4,FALSE)</f>
        <v>M</v>
      </c>
      <c r="F400" s="23">
        <v>1.67</v>
      </c>
      <c r="G400" s="71">
        <f>IF(A400="COMPOSICAO",VLOOKUP("TOTAL SEM BDI - "&amp;B400,CPUAUX1!$A:$J,9,FALSE),VLOOKUP(B400,I!$A:$E,5,FALSE))</f>
        <v>2.95</v>
      </c>
      <c r="H400" s="72"/>
      <c r="I400" s="71">
        <f>TRUNC(F400*G400,2)</f>
        <v>4.92</v>
      </c>
      <c r="J400" s="72"/>
      <c r="M400" s="23">
        <f>B400</f>
        <v>3671</v>
      </c>
      <c r="N400" s="5">
        <f>SUMIF(ORCAMENTO!B:B,B396,ORCAMENTO!F:F)</f>
        <v>20</v>
      </c>
      <c r="O400" s="23">
        <f>F400*N400</f>
        <v>33.4</v>
      </c>
      <c r="Q400" s="23">
        <f ca="1">IFERROR(SUMIF(CO!B:B,B396,OFFSET(CO!F:F,0,(4+MATCH(ETAPA,CO!$J$6:$P$6,0)))),0)</f>
        <v>8</v>
      </c>
      <c r="R400" s="23">
        <f ca="1">F400*Q400</f>
        <v>13.36</v>
      </c>
    </row>
    <row r="401" spans="1:18" x14ac:dyDescent="0.3">
      <c r="A401" s="23" t="s">
        <v>1025</v>
      </c>
      <c r="B401" s="23">
        <v>1379</v>
      </c>
      <c r="C401" s="23" t="str">
        <f>VLOOKUP(B401,IF(A401="COMPOSICAO",S!$A:$E,I!$A:$E),2,FALSE)</f>
        <v>SINAPI</v>
      </c>
      <c r="D401" s="24" t="str">
        <f>VLOOKUP(B401,IF(A401="COMPOSICAO",S!$A:$E,I!$A:$E),3,FALSE)</f>
        <v>CIMENTO PORTLAND COMPOSTO CP II-32</v>
      </c>
      <c r="E401" s="23" t="str">
        <f>VLOOKUP(B401,IF(A401="COMPOSICAO",S!$A:$E,I!$A:$E),4,FALSE)</f>
        <v>KG</v>
      </c>
      <c r="F401" s="23">
        <v>0.5</v>
      </c>
      <c r="G401" s="71">
        <f>IF(A401="COMPOSICAO",VLOOKUP("TOTAL SEM BDI - "&amp;B401,CPUAUX1!$A:$J,9,FALSE),VLOOKUP(B401,I!$A:$E,5,FALSE))</f>
        <v>1</v>
      </c>
      <c r="H401" s="72"/>
      <c r="I401" s="71">
        <f>TRUNC(F401*G401,2)</f>
        <v>0.5</v>
      </c>
      <c r="J401" s="72"/>
      <c r="M401" s="23">
        <f>B401</f>
        <v>1379</v>
      </c>
      <c r="N401" s="5">
        <f>SUMIF(ORCAMENTO!B:B,B396,ORCAMENTO!F:F)</f>
        <v>20</v>
      </c>
      <c r="O401" s="23">
        <f>F401*N401</f>
        <v>10</v>
      </c>
      <c r="Q401" s="23">
        <f ca="1">IFERROR(SUMIF(CO!B:B,B396,OFFSET(CO!F:F,0,(4+MATCH(ETAPA,CO!$J$6:$P$6,0)))),0)</f>
        <v>8</v>
      </c>
      <c r="R401" s="23">
        <f ca="1">F401*Q401</f>
        <v>4</v>
      </c>
    </row>
    <row r="402" spans="1:18" x14ac:dyDescent="0.3">
      <c r="A402" s="68" t="str">
        <f>"TOTAL SEM BDI - "&amp;B396</f>
        <v>TOTAL SEM BDI - 101749</v>
      </c>
      <c r="B402" s="69"/>
      <c r="C402" s="69"/>
      <c r="D402" s="69"/>
      <c r="E402" s="69"/>
      <c r="F402" s="69"/>
      <c r="G402" s="69"/>
      <c r="H402" s="70"/>
      <c r="I402" s="71">
        <f>SUM(I396:I401)</f>
        <v>64.739999999999995</v>
      </c>
      <c r="J402" s="72"/>
    </row>
    <row r="403" spans="1:18" x14ac:dyDescent="0.3">
      <c r="A403" s="68" t="str">
        <f>"TAXA DE BDI ("&amp;TEXT(BDI,"00,00")&amp;" %)"</f>
        <v>TAXA DE BDI (24,84 %)</v>
      </c>
      <c r="B403" s="69"/>
      <c r="C403" s="69"/>
      <c r="D403" s="69"/>
      <c r="E403" s="69"/>
      <c r="F403" s="69"/>
      <c r="G403" s="69"/>
      <c r="H403" s="70"/>
      <c r="I403" s="71">
        <f>ROUND(I402*(BDI/100),2)</f>
        <v>16.079999999999998</v>
      </c>
      <c r="J403" s="72"/>
    </row>
    <row r="404" spans="1:18" x14ac:dyDescent="0.3">
      <c r="A404" s="68" t="str">
        <f>"TOTAL COM BDI - "&amp;B396</f>
        <v>TOTAL COM BDI - 101749</v>
      </c>
      <c r="B404" s="69"/>
      <c r="C404" s="69"/>
      <c r="D404" s="69"/>
      <c r="E404" s="69"/>
      <c r="F404" s="69"/>
      <c r="G404" s="69"/>
      <c r="H404" s="70"/>
      <c r="I404" s="71">
        <f>SUM(I402:I403)</f>
        <v>80.819999999999993</v>
      </c>
      <c r="J404" s="72"/>
    </row>
    <row r="406" spans="1:18" x14ac:dyDescent="0.3">
      <c r="A406" s="4" t="s">
        <v>1018</v>
      </c>
      <c r="B406" s="4" t="s">
        <v>138</v>
      </c>
      <c r="C406" s="4" t="s">
        <v>139</v>
      </c>
      <c r="D406" s="4" t="s">
        <v>21</v>
      </c>
      <c r="E406" s="4" t="s">
        <v>140</v>
      </c>
      <c r="F406" s="4" t="s">
        <v>506</v>
      </c>
      <c r="G406" s="34" t="s">
        <v>1019</v>
      </c>
      <c r="H406" s="35"/>
      <c r="I406" s="34" t="s">
        <v>15</v>
      </c>
      <c r="J406" s="35"/>
    </row>
    <row r="407" spans="1:18" ht="60" customHeight="1" x14ac:dyDescent="0.3">
      <c r="A407" s="15" t="s">
        <v>1060</v>
      </c>
      <c r="B407" s="15">
        <v>94994</v>
      </c>
      <c r="C407" s="15" t="str">
        <f>VLOOKUP(B407,S!$A:$G,2,FALSE)</f>
        <v>SINAPI</v>
      </c>
      <c r="D407" s="22" t="str">
        <f>VLOOKUP(B407,S!$A:$G,3,FALSE)</f>
        <v>EXECUÇÃO DE PASSEIO (CALÇADA) OU PISO DE CONCRETO COM CONCRETO MOLDADO IN LOCO, FEITO EM OBRA, ACABAMENTO CONVENCIONAL, ESPESSURA 8 CM, ARMADO. AF_08/2022</v>
      </c>
      <c r="E407" s="15" t="str">
        <f>VLOOKUP(B407,S!$A:$G,4,FALSE)</f>
        <v>M2</v>
      </c>
      <c r="F407" s="15"/>
      <c r="G407" s="73">
        <f>I417</f>
        <v>109.53000000000002</v>
      </c>
      <c r="H407" s="74"/>
      <c r="I407" s="73"/>
      <c r="J407" s="74"/>
      <c r="K407" s="16">
        <f>VLOOKUP(B407,S!A:G,5,FALSE)</f>
        <v>109.53</v>
      </c>
      <c r="L407" s="15" t="str">
        <f>IF(K407=G407,"OK, CONFORME TABELA",IF(G407&gt;K407,"ACIMA DA TABELA: ","ABAIXO DA TABELA: ")&amp;TRUNC((G407*100)/K407,2)&amp;" %")</f>
        <v>OK, CONFORME TABELA</v>
      </c>
    </row>
    <row r="408" spans="1:18" ht="60" customHeight="1" x14ac:dyDescent="0.3">
      <c r="A408" s="23" t="s">
        <v>1022</v>
      </c>
      <c r="B408" s="23">
        <v>94964</v>
      </c>
      <c r="C408" s="23" t="str">
        <f>VLOOKUP(B408,IF(A408="COMPOSICAO",S!$A:$E,I!$A:$E),2,FALSE)</f>
        <v>SINAPI</v>
      </c>
      <c r="D408" s="24" t="str">
        <f>VLOOKUP(B408,IF(A408="COMPOSICAO",S!$A:$E,I!$A:$E),3,FALSE)</f>
        <v>CONCRETO FCK = 20MPA, TRAÇO 1:2,7:3 (EM MASSA SECA DE CIMENTO/ AREIA MÉDIA/ BRITA 1) - PREPARO MECÂNICO COM BETONEIRA 400 L. AF_05/2021</v>
      </c>
      <c r="E408" s="23" t="str">
        <f>VLOOKUP(B408,IF(A408="COMPOSICAO",S!$A:$E,I!$A:$E),4,FALSE)</f>
        <v>M3</v>
      </c>
      <c r="F408" s="23">
        <v>9.8500000000000004E-2</v>
      </c>
      <c r="G408" s="71">
        <f>IF(A408="COMPOSICAO",VLOOKUP("TOTAL SEM BDI - "&amp;B408,CPUAUX1!$A:$J,9,FALSE),VLOOKUP(B408,I!$A:$E,5,FALSE))</f>
        <v>641.65</v>
      </c>
      <c r="H408" s="72"/>
      <c r="I408" s="71">
        <f t="shared" ref="I408:I416" si="36">TRUNC(F408*G408,2)</f>
        <v>63.2</v>
      </c>
      <c r="J408" s="72"/>
      <c r="M408" s="23">
        <f t="shared" ref="M408:M416" si="37">B408</f>
        <v>94964</v>
      </c>
      <c r="N408" s="5">
        <f>SUMIF(ORCAMENTO!B:B,B407,ORCAMENTO!F:F)</f>
        <v>28</v>
      </c>
      <c r="O408" s="23">
        <f t="shared" ref="O408:O416" si="38">F408*N408</f>
        <v>2.758</v>
      </c>
      <c r="Q408" s="23">
        <f ca="1">IFERROR(SUMIF(CO!B:B,B407,OFFSET(CO!F:F,0,(4+MATCH(ETAPA,CO!$J$6:$P$6,0)))),0)</f>
        <v>11.2</v>
      </c>
      <c r="R408" s="23">
        <f t="shared" ref="R408:R416" ca="1" si="39">F408*Q408</f>
        <v>1.1032</v>
      </c>
    </row>
    <row r="409" spans="1:18" x14ac:dyDescent="0.3">
      <c r="A409" s="23" t="s">
        <v>1022</v>
      </c>
      <c r="B409" s="23">
        <v>88316</v>
      </c>
      <c r="C409" s="23" t="str">
        <f>VLOOKUP(B409,IF(A409="COMPOSICAO",S!$A:$E,I!$A:$E),2,FALSE)</f>
        <v>SINAPI</v>
      </c>
      <c r="D409" s="24" t="str">
        <f>VLOOKUP(B409,IF(A409="COMPOSICAO",S!$A:$E,I!$A:$E),3,FALSE)</f>
        <v>SERVENTE COM ENCARGOS COMPLEMENTARES</v>
      </c>
      <c r="E409" s="23" t="str">
        <f>VLOOKUP(B409,IF(A409="COMPOSICAO",S!$A:$E,I!$A:$E),4,FALSE)</f>
        <v>H</v>
      </c>
      <c r="F409" s="23">
        <f>0.3183/pcf</f>
        <v>0.31830000000000003</v>
      </c>
      <c r="G409" s="71">
        <f>IF(A409="COMPOSICAO",VLOOKUP("TOTAL SEM BDI - "&amp;B409,CPUAUX1!$A:$J,9,FALSE),VLOOKUP(B409,I!$A:$E,5,FALSE))</f>
        <v>21.71</v>
      </c>
      <c r="H409" s="72"/>
      <c r="I409" s="71">
        <f t="shared" si="36"/>
        <v>6.91</v>
      </c>
      <c r="J409" s="72"/>
      <c r="M409" s="23">
        <f t="shared" si="37"/>
        <v>88316</v>
      </c>
      <c r="N409" s="5">
        <f>SUMIF(ORCAMENTO!B:B,B407,ORCAMENTO!F:F)</f>
        <v>28</v>
      </c>
      <c r="O409" s="23">
        <f t="shared" si="38"/>
        <v>8.9124000000000017</v>
      </c>
      <c r="Q409" s="23">
        <f ca="1">IFERROR(SUMIF(CO!B:B,B407,OFFSET(CO!F:F,0,(4+MATCH(ETAPA,CO!$J$6:$P$6,0)))),0)</f>
        <v>11.2</v>
      </c>
      <c r="R409" s="23">
        <f t="shared" ca="1" si="39"/>
        <v>3.5649600000000001</v>
      </c>
    </row>
    <row r="410" spans="1:18" x14ac:dyDescent="0.3">
      <c r="A410" s="23" t="s">
        <v>1022</v>
      </c>
      <c r="B410" s="23">
        <v>88309</v>
      </c>
      <c r="C410" s="23" t="str">
        <f>VLOOKUP(B410,IF(A410="COMPOSICAO",S!$A:$E,I!$A:$E),2,FALSE)</f>
        <v>SINAPI</v>
      </c>
      <c r="D410" s="24" t="str">
        <f>VLOOKUP(B410,IF(A410="COMPOSICAO",S!$A:$E,I!$A:$E),3,FALSE)</f>
        <v>PEDREIRO COM ENCARGOS COMPLEMENTARES</v>
      </c>
      <c r="E410" s="23" t="str">
        <f>VLOOKUP(B410,IF(A410="COMPOSICAO",S!$A:$E,I!$A:$E),4,FALSE)</f>
        <v>H</v>
      </c>
      <c r="F410" s="23">
        <f>0.1882/pcf</f>
        <v>0.18820000000000001</v>
      </c>
      <c r="G410" s="71">
        <f>IF(A410="COMPOSICAO",VLOOKUP("TOTAL SEM BDI - "&amp;B410,CPUAUX1!$A:$J,9,FALSE),VLOOKUP(B410,I!$A:$E,5,FALSE))</f>
        <v>27.39</v>
      </c>
      <c r="H410" s="72"/>
      <c r="I410" s="71">
        <f t="shared" si="36"/>
        <v>5.15</v>
      </c>
      <c r="J410" s="72"/>
      <c r="M410" s="23">
        <f t="shared" si="37"/>
        <v>88309</v>
      </c>
      <c r="N410" s="5">
        <f>SUMIF(ORCAMENTO!B:B,B407,ORCAMENTO!F:F)</f>
        <v>28</v>
      </c>
      <c r="O410" s="23">
        <f t="shared" si="38"/>
        <v>5.2696000000000005</v>
      </c>
      <c r="Q410" s="23">
        <f ca="1">IFERROR(SUMIF(CO!B:B,B407,OFFSET(CO!F:F,0,(4+MATCH(ETAPA,CO!$J$6:$P$6,0)))),0)</f>
        <v>11.2</v>
      </c>
      <c r="R410" s="23">
        <f t="shared" ca="1" si="39"/>
        <v>2.1078399999999999</v>
      </c>
    </row>
    <row r="411" spans="1:18" ht="30" customHeight="1" x14ac:dyDescent="0.3">
      <c r="A411" s="23" t="s">
        <v>1022</v>
      </c>
      <c r="B411" s="23">
        <v>88262</v>
      </c>
      <c r="C411" s="23" t="str">
        <f>VLOOKUP(B411,IF(A411="COMPOSICAO",S!$A:$E,I!$A:$E),2,FALSE)</f>
        <v>SINAPI</v>
      </c>
      <c r="D411" s="24" t="str">
        <f>VLOOKUP(B411,IF(A411="COMPOSICAO",S!$A:$E,I!$A:$E),3,FALSE)</f>
        <v>CARPINTEIRO DE FORMAS COM ENCARGOS COMPLEMENTARES</v>
      </c>
      <c r="E411" s="23" t="str">
        <f>VLOOKUP(B411,IF(A411="COMPOSICAO",S!$A:$E,I!$A:$E),4,FALSE)</f>
        <v>H</v>
      </c>
      <c r="F411" s="23">
        <f>0.1301/pcf</f>
        <v>0.13009999999999999</v>
      </c>
      <c r="G411" s="71">
        <f>IF(A411="COMPOSICAO",VLOOKUP("TOTAL SEM BDI - "&amp;B411,CPUAUX1!$A:$J,9,FALSE),VLOOKUP(B411,I!$A:$E,5,FALSE))</f>
        <v>26.97</v>
      </c>
      <c r="H411" s="72"/>
      <c r="I411" s="71">
        <f t="shared" si="36"/>
        <v>3.5</v>
      </c>
      <c r="J411" s="72"/>
      <c r="M411" s="23">
        <f t="shared" si="37"/>
        <v>88262</v>
      </c>
      <c r="N411" s="5">
        <f>SUMIF(ORCAMENTO!B:B,B407,ORCAMENTO!F:F)</f>
        <v>28</v>
      </c>
      <c r="O411" s="23">
        <f t="shared" si="38"/>
        <v>3.6427999999999998</v>
      </c>
      <c r="Q411" s="23">
        <f ca="1">IFERROR(SUMIF(CO!B:B,B407,OFFSET(CO!F:F,0,(4+MATCH(ETAPA,CO!$J$6:$P$6,0)))),0)</f>
        <v>11.2</v>
      </c>
      <c r="R411" s="23">
        <f t="shared" ca="1" si="39"/>
        <v>1.4571199999999997</v>
      </c>
    </row>
    <row r="412" spans="1:18" ht="60" customHeight="1" x14ac:dyDescent="0.3">
      <c r="A412" s="23" t="s">
        <v>1025</v>
      </c>
      <c r="B412" s="23">
        <v>7156</v>
      </c>
      <c r="C412" s="23" t="str">
        <f>VLOOKUP(B412,IF(A412="COMPOSICAO",S!$A:$E,I!$A:$E),2,FALSE)</f>
        <v>SINAPI</v>
      </c>
      <c r="D412" s="24" t="str">
        <f>VLOOKUP(B412,IF(A412="COMPOSICAO",S!$A:$E,I!$A:$E),3,FALSE)</f>
        <v>TELA DE ACO SOLDADA NERVURADA, CA-60, Q-196, (3,11 KG/M2), DIAMETRO DO FIO = 5,0 MM, LARGURA = 2,45 M, ESPACAMENTO DA MALHA = 10 X 10 CM</v>
      </c>
      <c r="E412" s="23" t="str">
        <f>VLOOKUP(B412,IF(A412="COMPOSICAO",S!$A:$E,I!$A:$E),4,FALSE)</f>
        <v>M2</v>
      </c>
      <c r="F412" s="23">
        <v>1.0815999999999999</v>
      </c>
      <c r="G412" s="71">
        <f>IF(A412="COMPOSICAO",VLOOKUP("TOTAL SEM BDI - "&amp;B412,CPUAUX1!$A:$J,9,FALSE),VLOOKUP(B412,I!$A:$E,5,FALSE))</f>
        <v>26.18</v>
      </c>
      <c r="H412" s="72"/>
      <c r="I412" s="71">
        <f t="shared" si="36"/>
        <v>28.31</v>
      </c>
      <c r="J412" s="72"/>
      <c r="M412" s="23">
        <f t="shared" si="37"/>
        <v>7156</v>
      </c>
      <c r="N412" s="5">
        <f>SUMIF(ORCAMENTO!B:B,B407,ORCAMENTO!F:F)</f>
        <v>28</v>
      </c>
      <c r="O412" s="23">
        <f t="shared" si="38"/>
        <v>30.284799999999997</v>
      </c>
      <c r="Q412" s="23">
        <f ca="1">IFERROR(SUMIF(CO!B:B,B407,OFFSET(CO!F:F,0,(4+MATCH(ETAPA,CO!$J$6:$P$6,0)))),0)</f>
        <v>11.2</v>
      </c>
      <c r="R412" s="23">
        <f t="shared" ca="1" si="39"/>
        <v>12.113919999999998</v>
      </c>
    </row>
    <row r="413" spans="1:18" ht="30" customHeight="1" x14ac:dyDescent="0.3">
      <c r="A413" s="23" t="s">
        <v>1025</v>
      </c>
      <c r="B413" s="23">
        <v>5068</v>
      </c>
      <c r="C413" s="23" t="str">
        <f>VLOOKUP(B413,IF(A413="COMPOSICAO",S!$A:$E,I!$A:$E),2,FALSE)</f>
        <v>SINAPI</v>
      </c>
      <c r="D413" s="24" t="str">
        <f>VLOOKUP(B413,IF(A413="COMPOSICAO",S!$A:$E,I!$A:$E),3,FALSE)</f>
        <v>PREGO DE ACO POLIDO COM CABECA 17 X 21 (2 X 11)</v>
      </c>
      <c r="E413" s="23" t="str">
        <f>VLOOKUP(B413,IF(A413="COMPOSICAO",S!$A:$E,I!$A:$E),4,FALSE)</f>
        <v>KG</v>
      </c>
      <c r="F413" s="23">
        <v>2.4E-2</v>
      </c>
      <c r="G413" s="71">
        <f>IF(A413="COMPOSICAO",VLOOKUP("TOTAL SEM BDI - "&amp;B413,CPUAUX1!$A:$J,9,FALSE),VLOOKUP(B413,I!$A:$E,5,FALSE))</f>
        <v>20.34</v>
      </c>
      <c r="H413" s="72"/>
      <c r="I413" s="71">
        <f t="shared" si="36"/>
        <v>0.48</v>
      </c>
      <c r="J413" s="72"/>
      <c r="M413" s="23">
        <f t="shared" si="37"/>
        <v>5068</v>
      </c>
      <c r="N413" s="5">
        <f>SUMIF(ORCAMENTO!B:B,B407,ORCAMENTO!F:F)</f>
        <v>28</v>
      </c>
      <c r="O413" s="23">
        <f t="shared" si="38"/>
        <v>0.67200000000000004</v>
      </c>
      <c r="Q413" s="23">
        <f ca="1">IFERROR(SUMIF(CO!B:B,B407,OFFSET(CO!F:F,0,(4+MATCH(ETAPA,CO!$J$6:$P$6,0)))),0)</f>
        <v>11.2</v>
      </c>
      <c r="R413" s="23">
        <f t="shared" ca="1" si="39"/>
        <v>0.26879999999999998</v>
      </c>
    </row>
    <row r="414" spans="1:18" ht="30" customHeight="1" x14ac:dyDescent="0.3">
      <c r="A414" s="23" t="s">
        <v>1025</v>
      </c>
      <c r="B414" s="23">
        <v>4517</v>
      </c>
      <c r="C414" s="23" t="str">
        <f>VLOOKUP(B414,IF(A414="COMPOSICAO",S!$A:$E,I!$A:$E),2,FALSE)</f>
        <v>SINAPI</v>
      </c>
      <c r="D414" s="24" t="str">
        <f>VLOOKUP(B414,IF(A414="COMPOSICAO",S!$A:$E,I!$A:$E),3,FALSE)</f>
        <v>SARRAFO *2,5 X 7,5* CM EM PINUS, MISTA OU EQUIVALENTE DA REGIAO - BRUTA</v>
      </c>
      <c r="E414" s="23" t="str">
        <f>VLOOKUP(B414,IF(A414="COMPOSICAO",S!$A:$E,I!$A:$E),4,FALSE)</f>
        <v>M</v>
      </c>
      <c r="F414" s="23">
        <v>0.2</v>
      </c>
      <c r="G414" s="71">
        <f>IF(A414="COMPOSICAO",VLOOKUP("TOTAL SEM BDI - "&amp;B414,CPUAUX1!$A:$J,9,FALSE),VLOOKUP(B414,I!$A:$E,5,FALSE))</f>
        <v>3.52</v>
      </c>
      <c r="H414" s="72"/>
      <c r="I414" s="71">
        <f t="shared" si="36"/>
        <v>0.7</v>
      </c>
      <c r="J414" s="72"/>
      <c r="M414" s="23">
        <f t="shared" si="37"/>
        <v>4517</v>
      </c>
      <c r="N414" s="5">
        <f>SUMIF(ORCAMENTO!B:B,B407,ORCAMENTO!F:F)</f>
        <v>28</v>
      </c>
      <c r="O414" s="23">
        <f t="shared" si="38"/>
        <v>5.6000000000000005</v>
      </c>
      <c r="Q414" s="23">
        <f ca="1">IFERROR(SUMIF(CO!B:B,B407,OFFSET(CO!F:F,0,(4+MATCH(ETAPA,CO!$J$6:$P$6,0)))),0)</f>
        <v>11.2</v>
      </c>
      <c r="R414" s="23">
        <f t="shared" ca="1" si="39"/>
        <v>2.2399999999999998</v>
      </c>
    </row>
    <row r="415" spans="1:18" ht="30" customHeight="1" x14ac:dyDescent="0.3">
      <c r="A415" s="23" t="s">
        <v>1025</v>
      </c>
      <c r="B415" s="23">
        <v>4509</v>
      </c>
      <c r="C415" s="23" t="str">
        <f>VLOOKUP(B415,IF(A415="COMPOSICAO",S!$A:$E,I!$A:$E),2,FALSE)</f>
        <v>SINAPI</v>
      </c>
      <c r="D415" s="24" t="str">
        <f>VLOOKUP(B415,IF(A415="COMPOSICAO",S!$A:$E,I!$A:$E),3,FALSE)</f>
        <v>SARRAFO *2,5 X 10* CM EM PINUS, MISTA OU EQUIVALENTE DA REGIAO - BRUTA</v>
      </c>
      <c r="E415" s="23" t="str">
        <f>VLOOKUP(B415,IF(A415="COMPOSICAO",S!$A:$E,I!$A:$E),4,FALSE)</f>
        <v>M</v>
      </c>
      <c r="F415" s="23">
        <v>0.25</v>
      </c>
      <c r="G415" s="71">
        <f>IF(A415="COMPOSICAO",VLOOKUP("TOTAL SEM BDI - "&amp;B415,CPUAUX1!$A:$J,9,FALSE),VLOOKUP(B415,I!$A:$E,5,FALSE))</f>
        <v>5.0999999999999996</v>
      </c>
      <c r="H415" s="72"/>
      <c r="I415" s="71">
        <f t="shared" si="36"/>
        <v>1.27</v>
      </c>
      <c r="J415" s="72"/>
      <c r="M415" s="23">
        <f t="shared" si="37"/>
        <v>4509</v>
      </c>
      <c r="N415" s="5">
        <f>SUMIF(ORCAMENTO!B:B,B407,ORCAMENTO!F:F)</f>
        <v>28</v>
      </c>
      <c r="O415" s="23">
        <f t="shared" si="38"/>
        <v>7</v>
      </c>
      <c r="Q415" s="23">
        <f ca="1">IFERROR(SUMIF(CO!B:B,B407,OFFSET(CO!F:F,0,(4+MATCH(ETAPA,CO!$J$6:$P$6,0)))),0)</f>
        <v>11.2</v>
      </c>
      <c r="R415" s="23">
        <f t="shared" ca="1" si="39"/>
        <v>2.8</v>
      </c>
    </row>
    <row r="416" spans="1:18" ht="30" customHeight="1" x14ac:dyDescent="0.3">
      <c r="A416" s="23" t="s">
        <v>1025</v>
      </c>
      <c r="B416" s="23">
        <v>2692</v>
      </c>
      <c r="C416" s="23" t="str">
        <f>VLOOKUP(B416,IF(A416="COMPOSICAO",S!$A:$E,I!$A:$E),2,FALSE)</f>
        <v>SINAPI</v>
      </c>
      <c r="D416" s="24" t="str">
        <f>VLOOKUP(B416,IF(A416="COMPOSICAO",S!$A:$E,I!$A:$E),3,FALSE)</f>
        <v>DESMOLDANTE PROTETOR PARA FORMAS DE MADEIRA, DE BASE OLEOSA EMULSIONADA EM AGUA</v>
      </c>
      <c r="E416" s="23" t="str">
        <f>VLOOKUP(B416,IF(A416="COMPOSICAO",S!$A:$E,I!$A:$E),4,FALSE)</f>
        <v>L</v>
      </c>
      <c r="F416" s="23">
        <v>1.6999999999999999E-3</v>
      </c>
      <c r="G416" s="71">
        <f>IF(A416="COMPOSICAO",VLOOKUP("TOTAL SEM BDI - "&amp;B416,CPUAUX1!$A:$J,9,FALSE),VLOOKUP(B416,I!$A:$E,5,FALSE))</f>
        <v>10.75</v>
      </c>
      <c r="H416" s="72"/>
      <c r="I416" s="71">
        <f t="shared" si="36"/>
        <v>0.01</v>
      </c>
      <c r="J416" s="72"/>
      <c r="M416" s="23">
        <f t="shared" si="37"/>
        <v>2692</v>
      </c>
      <c r="N416" s="5">
        <f>SUMIF(ORCAMENTO!B:B,B407,ORCAMENTO!F:F)</f>
        <v>28</v>
      </c>
      <c r="O416" s="23">
        <f t="shared" si="38"/>
        <v>4.7599999999999996E-2</v>
      </c>
      <c r="Q416" s="23">
        <f ca="1">IFERROR(SUMIF(CO!B:B,B407,OFFSET(CO!F:F,0,(4+MATCH(ETAPA,CO!$J$6:$P$6,0)))),0)</f>
        <v>11.2</v>
      </c>
      <c r="R416" s="23">
        <f t="shared" ca="1" si="39"/>
        <v>1.9039999999999998E-2</v>
      </c>
    </row>
    <row r="417" spans="1:18" x14ac:dyDescent="0.3">
      <c r="A417" s="68" t="str">
        <f>"TOTAL SEM BDI - "&amp;B407</f>
        <v>TOTAL SEM BDI - 94994</v>
      </c>
      <c r="B417" s="69"/>
      <c r="C417" s="69"/>
      <c r="D417" s="69"/>
      <c r="E417" s="69"/>
      <c r="F417" s="69"/>
      <c r="G417" s="69"/>
      <c r="H417" s="70"/>
      <c r="I417" s="71">
        <f>SUM(I407:I416)</f>
        <v>109.53000000000002</v>
      </c>
      <c r="J417" s="72"/>
    </row>
    <row r="418" spans="1:18" x14ac:dyDescent="0.3">
      <c r="A418" s="68" t="str">
        <f>"TAXA DE BDI ("&amp;TEXT(BDI,"00,00")&amp;" %)"</f>
        <v>TAXA DE BDI (24,84 %)</v>
      </c>
      <c r="B418" s="69"/>
      <c r="C418" s="69"/>
      <c r="D418" s="69"/>
      <c r="E418" s="69"/>
      <c r="F418" s="69"/>
      <c r="G418" s="69"/>
      <c r="H418" s="70"/>
      <c r="I418" s="71">
        <f>ROUND(I417*(BDI/100),2)</f>
        <v>27.21</v>
      </c>
      <c r="J418" s="72"/>
    </row>
    <row r="419" spans="1:18" x14ac:dyDescent="0.3">
      <c r="A419" s="68" t="str">
        <f>"TOTAL COM BDI - "&amp;B407</f>
        <v>TOTAL COM BDI - 94994</v>
      </c>
      <c r="B419" s="69"/>
      <c r="C419" s="69"/>
      <c r="D419" s="69"/>
      <c r="E419" s="69"/>
      <c r="F419" s="69"/>
      <c r="G419" s="69"/>
      <c r="H419" s="70"/>
      <c r="I419" s="71">
        <f>SUM(I417:I418)</f>
        <v>136.74</v>
      </c>
      <c r="J419" s="72"/>
    </row>
    <row r="421" spans="1:18" x14ac:dyDescent="0.3">
      <c r="A421" s="4" t="s">
        <v>1018</v>
      </c>
      <c r="B421" s="4" t="s">
        <v>138</v>
      </c>
      <c r="C421" s="4" t="s">
        <v>139</v>
      </c>
      <c r="D421" s="4" t="s">
        <v>21</v>
      </c>
      <c r="E421" s="4" t="s">
        <v>140</v>
      </c>
      <c r="F421" s="4" t="s">
        <v>506</v>
      </c>
      <c r="G421" s="34" t="s">
        <v>1019</v>
      </c>
      <c r="H421" s="35"/>
      <c r="I421" s="34" t="s">
        <v>15</v>
      </c>
      <c r="J421" s="35"/>
    </row>
    <row r="422" spans="1:18" ht="60" customHeight="1" x14ac:dyDescent="0.3">
      <c r="A422" s="15" t="s">
        <v>1061</v>
      </c>
      <c r="B422" s="15">
        <v>87904</v>
      </c>
      <c r="C422" s="15" t="str">
        <f>VLOOKUP(B422,S!$A:$G,2,FALSE)</f>
        <v>SINAPI</v>
      </c>
      <c r="D422" s="22" t="str">
        <f>VLOOKUP(B422,S!$A:$G,3,FALSE)</f>
        <v>CHAPISCO APLICADO EM ALVENARIA (COM PRESENÇA DE VÃOS) E ESTRUTURAS DE CONCRETO DE FACHADA, COM COLHER DE PEDREIRO. ARGAMASSA TRAÇO 1:3 COM PREPARO MANUAL. AF_10/2022</v>
      </c>
      <c r="E422" s="15" t="str">
        <f>VLOOKUP(B422,S!$A:$G,4,FALSE)</f>
        <v>M2</v>
      </c>
      <c r="F422" s="15"/>
      <c r="G422" s="73">
        <f>I426</f>
        <v>8.74</v>
      </c>
      <c r="H422" s="74"/>
      <c r="I422" s="73"/>
      <c r="J422" s="74"/>
      <c r="K422" s="16">
        <f>VLOOKUP(B422,S!A:G,5,FALSE)</f>
        <v>8.74</v>
      </c>
      <c r="L422" s="15" t="str">
        <f>IF(K422=G422,"OK, CONFORME TABELA",IF(G422&gt;K422,"ACIMA DA TABELA: ","ABAIXO DA TABELA: ")&amp;TRUNC((G422*100)/K422,2)&amp;" %")</f>
        <v>OK, CONFORME TABELA</v>
      </c>
    </row>
    <row r="423" spans="1:18" x14ac:dyDescent="0.3">
      <c r="A423" s="23" t="s">
        <v>1022</v>
      </c>
      <c r="B423" s="23">
        <v>88316</v>
      </c>
      <c r="C423" s="23" t="str">
        <f>VLOOKUP(B423,IF(A423="COMPOSICAO",S!$A:$E,I!$A:$E),2,FALSE)</f>
        <v>SINAPI</v>
      </c>
      <c r="D423" s="24" t="str">
        <f>VLOOKUP(B423,IF(A423="COMPOSICAO",S!$A:$E,I!$A:$E),3,FALSE)</f>
        <v>SERVENTE COM ENCARGOS COMPLEMENTARES</v>
      </c>
      <c r="E423" s="23" t="str">
        <f>VLOOKUP(B423,IF(A423="COMPOSICAO",S!$A:$E,I!$A:$E),4,FALSE)</f>
        <v>H</v>
      </c>
      <c r="F423" s="23">
        <f>0.0575/pcf</f>
        <v>5.7500000000000002E-2</v>
      </c>
      <c r="G423" s="71">
        <f>IF(A423="COMPOSICAO",VLOOKUP("TOTAL SEM BDI - "&amp;B423,CPUAUX1!$A:$J,9,FALSE),VLOOKUP(B423,I!$A:$E,5,FALSE))</f>
        <v>21.71</v>
      </c>
      <c r="H423" s="72"/>
      <c r="I423" s="71">
        <f>TRUNC(F423*G423,2)</f>
        <v>1.24</v>
      </c>
      <c r="J423" s="72"/>
      <c r="M423" s="23">
        <f>B423</f>
        <v>88316</v>
      </c>
      <c r="N423" s="5">
        <f>SUMIF(ORCAMENTO!B:B,B422,ORCAMENTO!F:F)</f>
        <v>193.1</v>
      </c>
      <c r="O423" s="23">
        <f>F423*N423</f>
        <v>11.103250000000001</v>
      </c>
      <c r="Q423" s="23">
        <f ca="1">IFERROR(SUMIF(CO!B:B,B422,OFFSET(CO!F:F,0,(4+MATCH(ETAPA,CO!$J$6:$P$6,0)))),0)</f>
        <v>77.239999999999995</v>
      </c>
      <c r="R423" s="23">
        <f ca="1">F423*Q423</f>
        <v>4.4413</v>
      </c>
    </row>
    <row r="424" spans="1:18" x14ac:dyDescent="0.3">
      <c r="A424" s="23" t="s">
        <v>1022</v>
      </c>
      <c r="B424" s="23">
        <v>88309</v>
      </c>
      <c r="C424" s="23" t="str">
        <f>VLOOKUP(B424,IF(A424="COMPOSICAO",S!$A:$E,I!$A:$E),2,FALSE)</f>
        <v>SINAPI</v>
      </c>
      <c r="D424" s="24" t="str">
        <f>VLOOKUP(B424,IF(A424="COMPOSICAO",S!$A:$E,I!$A:$E),3,FALSE)</f>
        <v>PEDREIRO COM ENCARGOS COMPLEMENTARES</v>
      </c>
      <c r="E424" s="23" t="str">
        <f>VLOOKUP(B424,IF(A424="COMPOSICAO",S!$A:$E,I!$A:$E),4,FALSE)</f>
        <v>H</v>
      </c>
      <c r="F424" s="23">
        <f>0.1724/pcf</f>
        <v>0.1724</v>
      </c>
      <c r="G424" s="71">
        <f>IF(A424="COMPOSICAO",VLOOKUP("TOTAL SEM BDI - "&amp;B424,CPUAUX1!$A:$J,9,FALSE),VLOOKUP(B424,I!$A:$E,5,FALSE))</f>
        <v>27.39</v>
      </c>
      <c r="H424" s="72"/>
      <c r="I424" s="71">
        <f>TRUNC(F424*G424,2)</f>
        <v>4.72</v>
      </c>
      <c r="J424" s="72"/>
      <c r="M424" s="23">
        <f>B424</f>
        <v>88309</v>
      </c>
      <c r="N424" s="5">
        <f>SUMIF(ORCAMENTO!B:B,B422,ORCAMENTO!F:F)</f>
        <v>193.1</v>
      </c>
      <c r="O424" s="23">
        <f>F424*N424</f>
        <v>33.290439999999997</v>
      </c>
      <c r="Q424" s="23">
        <f ca="1">IFERROR(SUMIF(CO!B:B,B422,OFFSET(CO!F:F,0,(4+MATCH(ETAPA,CO!$J$6:$P$6,0)))),0)</f>
        <v>77.239999999999995</v>
      </c>
      <c r="R424" s="23">
        <f ca="1">F424*Q424</f>
        <v>13.316175999999999</v>
      </c>
    </row>
    <row r="425" spans="1:18" ht="45" customHeight="1" x14ac:dyDescent="0.3">
      <c r="A425" s="23" t="s">
        <v>1022</v>
      </c>
      <c r="B425" s="23">
        <v>87377</v>
      </c>
      <c r="C425" s="23" t="str">
        <f>VLOOKUP(B425,IF(A425="COMPOSICAO",S!$A:$E,I!$A:$E),2,FALSE)</f>
        <v>SINAPI</v>
      </c>
      <c r="D425" s="24" t="str">
        <f>VLOOKUP(B425,IF(A425="COMPOSICAO",S!$A:$E,I!$A:$E),3,FALSE)</f>
        <v>ARGAMASSA TRAÇO 1:3 (EM VOLUME DE CIMENTO E AREIA GROSSA ÚMIDA) PARA CHAPISCO CONVENCIONAL, PREPARO MANUAL. AF_08/2019</v>
      </c>
      <c r="E425" s="23" t="str">
        <f>VLOOKUP(B425,IF(A425="COMPOSICAO",S!$A:$E,I!$A:$E),4,FALSE)</f>
        <v>M3</v>
      </c>
      <c r="F425" s="23">
        <v>3.7000000000000002E-3</v>
      </c>
      <c r="G425" s="71">
        <f>IF(A425="COMPOSICAO",VLOOKUP("TOTAL SEM BDI - "&amp;B425,CPUAUX1!$A:$J,9,FALSE),VLOOKUP(B425,I!$A:$E,5,FALSE))</f>
        <v>752.33</v>
      </c>
      <c r="H425" s="72"/>
      <c r="I425" s="71">
        <f>TRUNC(F425*G425,2)</f>
        <v>2.78</v>
      </c>
      <c r="J425" s="72"/>
      <c r="M425" s="23">
        <f>B425</f>
        <v>87377</v>
      </c>
      <c r="N425" s="5">
        <f>SUMIF(ORCAMENTO!B:B,B422,ORCAMENTO!F:F)</f>
        <v>193.1</v>
      </c>
      <c r="O425" s="23">
        <f>F425*N425</f>
        <v>0.71447000000000005</v>
      </c>
      <c r="Q425" s="23">
        <f ca="1">IFERROR(SUMIF(CO!B:B,B422,OFFSET(CO!F:F,0,(4+MATCH(ETAPA,CO!$J$6:$P$6,0)))),0)</f>
        <v>77.239999999999995</v>
      </c>
      <c r="R425" s="23">
        <f ca="1">F425*Q425</f>
        <v>0.28578799999999999</v>
      </c>
    </row>
    <row r="426" spans="1:18" x14ac:dyDescent="0.3">
      <c r="A426" s="68" t="str">
        <f>"TOTAL SEM BDI - "&amp;B422</f>
        <v>TOTAL SEM BDI - 87904</v>
      </c>
      <c r="B426" s="69"/>
      <c r="C426" s="69"/>
      <c r="D426" s="69"/>
      <c r="E426" s="69"/>
      <c r="F426" s="69"/>
      <c r="G426" s="69"/>
      <c r="H426" s="70"/>
      <c r="I426" s="71">
        <f>SUM(I422:I425)</f>
        <v>8.74</v>
      </c>
      <c r="J426" s="72"/>
    </row>
    <row r="427" spans="1:18" x14ac:dyDescent="0.3">
      <c r="A427" s="68" t="str">
        <f>"TAXA DE BDI ("&amp;TEXT(BDI,"00,00")&amp;" %)"</f>
        <v>TAXA DE BDI (24,84 %)</v>
      </c>
      <c r="B427" s="69"/>
      <c r="C427" s="69"/>
      <c r="D427" s="69"/>
      <c r="E427" s="69"/>
      <c r="F427" s="69"/>
      <c r="G427" s="69"/>
      <c r="H427" s="70"/>
      <c r="I427" s="71">
        <f>ROUND(I426*(BDI/100),2)</f>
        <v>2.17</v>
      </c>
      <c r="J427" s="72"/>
    </row>
    <row r="428" spans="1:18" x14ac:dyDescent="0.3">
      <c r="A428" s="68" t="str">
        <f>"TOTAL COM BDI - "&amp;B422</f>
        <v>TOTAL COM BDI - 87904</v>
      </c>
      <c r="B428" s="69"/>
      <c r="C428" s="69"/>
      <c r="D428" s="69"/>
      <c r="E428" s="69"/>
      <c r="F428" s="69"/>
      <c r="G428" s="69"/>
      <c r="H428" s="70"/>
      <c r="I428" s="71">
        <f>SUM(I426:I427)</f>
        <v>10.91</v>
      </c>
      <c r="J428" s="72"/>
    </row>
    <row r="430" spans="1:18" x14ac:dyDescent="0.3">
      <c r="A430" s="4" t="s">
        <v>1018</v>
      </c>
      <c r="B430" s="4" t="s">
        <v>138</v>
      </c>
      <c r="C430" s="4" t="s">
        <v>139</v>
      </c>
      <c r="D430" s="4" t="s">
        <v>21</v>
      </c>
      <c r="E430" s="4" t="s">
        <v>140</v>
      </c>
      <c r="F430" s="4" t="s">
        <v>506</v>
      </c>
      <c r="G430" s="34" t="s">
        <v>1019</v>
      </c>
      <c r="H430" s="35"/>
      <c r="I430" s="34" t="s">
        <v>15</v>
      </c>
      <c r="J430" s="35"/>
    </row>
    <row r="431" spans="1:18" ht="60" customHeight="1" x14ac:dyDescent="0.3">
      <c r="A431" s="15" t="s">
        <v>1062</v>
      </c>
      <c r="B431" s="15">
        <v>87530</v>
      </c>
      <c r="C431" s="15" t="str">
        <f>VLOOKUP(B431,S!$A:$G,2,FALSE)</f>
        <v>SINAPI</v>
      </c>
      <c r="D431" s="22" t="str">
        <f>VLOOKUP(B431,S!$A:$G,3,FALSE)</f>
        <v>MASSA ÚNICA, EM ARGAMASSA TRAÇO 1:2:8, PREPARO MANUAL, APLICADA MANUALMENTE EM PAREDES INTERNAS DE AMBIENTES COM ÁREA ENTRE 5M² E 10M², E = 17,5MM, COM TALISCAS. AF_03/2024</v>
      </c>
      <c r="E431" s="15" t="str">
        <f>VLOOKUP(B431,S!$A:$G,4,FALSE)</f>
        <v>M2</v>
      </c>
      <c r="F431" s="15"/>
      <c r="G431" s="73">
        <f>I435</f>
        <v>40.97</v>
      </c>
      <c r="H431" s="74"/>
      <c r="I431" s="73"/>
      <c r="J431" s="74"/>
      <c r="K431" s="16">
        <f>VLOOKUP(B431,S!A:G,5,FALSE)</f>
        <v>40.97</v>
      </c>
      <c r="L431" s="15" t="str">
        <f>IF(K431=G431,"OK, CONFORME TABELA",IF(G431&gt;K431,"ACIMA DA TABELA: ","ABAIXO DA TABELA: ")&amp;TRUNC((G431*100)/K431,2)&amp;" %")</f>
        <v>OK, CONFORME TABELA</v>
      </c>
    </row>
    <row r="432" spans="1:18" x14ac:dyDescent="0.3">
      <c r="A432" s="23" t="s">
        <v>1022</v>
      </c>
      <c r="B432" s="23">
        <v>88316</v>
      </c>
      <c r="C432" s="23" t="str">
        <f>VLOOKUP(B432,IF(A432="COMPOSICAO",S!$A:$E,I!$A:$E),2,FALSE)</f>
        <v>SINAPI</v>
      </c>
      <c r="D432" s="24" t="str">
        <f>VLOOKUP(B432,IF(A432="COMPOSICAO",S!$A:$E,I!$A:$E),3,FALSE)</f>
        <v>SERVENTE COM ENCARGOS COMPLEMENTARES</v>
      </c>
      <c r="E432" s="23" t="str">
        <f>VLOOKUP(B432,IF(A432="COMPOSICAO",S!$A:$E,I!$A:$E),4,FALSE)</f>
        <v>H</v>
      </c>
      <c r="F432" s="23">
        <f>0.2362/pcf</f>
        <v>0.23619999999999999</v>
      </c>
      <c r="G432" s="71">
        <f>IF(A432="COMPOSICAO",VLOOKUP("TOTAL SEM BDI - "&amp;B432,CPUAUX1!$A:$J,9,FALSE),VLOOKUP(B432,I!$A:$E,5,FALSE))</f>
        <v>21.71</v>
      </c>
      <c r="H432" s="72"/>
      <c r="I432" s="71">
        <f>TRUNC(F432*G432,2)</f>
        <v>5.12</v>
      </c>
      <c r="J432" s="72"/>
      <c r="M432" s="23">
        <f>B432</f>
        <v>88316</v>
      </c>
      <c r="N432" s="5">
        <f>SUMIF(ORCAMENTO!B:B,B431,ORCAMENTO!F:F)</f>
        <v>193.1</v>
      </c>
      <c r="O432" s="23">
        <f>F432*N432</f>
        <v>45.610219999999998</v>
      </c>
      <c r="Q432" s="23">
        <f ca="1">IFERROR(SUMIF(CO!B:B,B431,OFFSET(CO!F:F,0,(4+MATCH(ETAPA,CO!$J$6:$P$6,0)))),0)</f>
        <v>77.239999999999995</v>
      </c>
      <c r="R432" s="23">
        <f ca="1">F432*Q432</f>
        <v>18.244087999999998</v>
      </c>
    </row>
    <row r="433" spans="1:18" x14ac:dyDescent="0.3">
      <c r="A433" s="23" t="s">
        <v>1022</v>
      </c>
      <c r="B433" s="23">
        <v>88309</v>
      </c>
      <c r="C433" s="23" t="str">
        <f>VLOOKUP(B433,IF(A433="COMPOSICAO",S!$A:$E,I!$A:$E),2,FALSE)</f>
        <v>SINAPI</v>
      </c>
      <c r="D433" s="24" t="str">
        <f>VLOOKUP(B433,IF(A433="COMPOSICAO",S!$A:$E,I!$A:$E),3,FALSE)</f>
        <v>PEDREIRO COM ENCARGOS COMPLEMENTARES</v>
      </c>
      <c r="E433" s="23" t="str">
        <f>VLOOKUP(B433,IF(A433="COMPOSICAO",S!$A:$E,I!$A:$E),4,FALSE)</f>
        <v>H</v>
      </c>
      <c r="F433" s="23">
        <f>0.4724/pcf</f>
        <v>0.47239999999999999</v>
      </c>
      <c r="G433" s="71">
        <f>IF(A433="COMPOSICAO",VLOOKUP("TOTAL SEM BDI - "&amp;B433,CPUAUX1!$A:$J,9,FALSE),VLOOKUP(B433,I!$A:$E,5,FALSE))</f>
        <v>27.39</v>
      </c>
      <c r="H433" s="72"/>
      <c r="I433" s="71">
        <f>TRUNC(F433*G433,2)</f>
        <v>12.93</v>
      </c>
      <c r="J433" s="72"/>
      <c r="M433" s="23">
        <f>B433</f>
        <v>88309</v>
      </c>
      <c r="N433" s="5">
        <f>SUMIF(ORCAMENTO!B:B,B431,ORCAMENTO!F:F)</f>
        <v>193.1</v>
      </c>
      <c r="O433" s="23">
        <f>F433*N433</f>
        <v>91.220439999999996</v>
      </c>
      <c r="Q433" s="23">
        <f ca="1">IFERROR(SUMIF(CO!B:B,B431,OFFSET(CO!F:F,0,(4+MATCH(ETAPA,CO!$J$6:$P$6,0)))),0)</f>
        <v>77.239999999999995</v>
      </c>
      <c r="R433" s="23">
        <f ca="1">F433*Q433</f>
        <v>36.488175999999996</v>
      </c>
    </row>
    <row r="434" spans="1:18" ht="60" customHeight="1" x14ac:dyDescent="0.3">
      <c r="A434" s="23" t="s">
        <v>1022</v>
      </c>
      <c r="B434" s="23">
        <v>87369</v>
      </c>
      <c r="C434" s="23" t="str">
        <f>VLOOKUP(B434,IF(A434="COMPOSICAO",S!$A:$E,I!$A:$E),2,FALSE)</f>
        <v>SINAPI</v>
      </c>
      <c r="D434" s="24" t="str">
        <f>VLOOKUP(B434,IF(A434="COMPOSICAO",S!$A:$E,I!$A:$E),3,FALSE)</f>
        <v>ARGAMASSA TRAÇO 1:2:8 (EM VOLUME DE CIMENTO, CAL E AREIA MÉDIA ÚMIDA) PARA EMBOÇO/MASSA ÚNICA/ASSENTAMENTO DE ALVENARIA DE VEDAÇÃO, PREPARO MANUAL. AF_08/2019</v>
      </c>
      <c r="E434" s="23" t="str">
        <f>VLOOKUP(B434,IF(A434="COMPOSICAO",S!$A:$E,I!$A:$E),4,FALSE)</f>
        <v>M3</v>
      </c>
      <c r="F434" s="23">
        <v>3.04E-2</v>
      </c>
      <c r="G434" s="71">
        <f>IF(A434="COMPOSICAO",VLOOKUP("TOTAL SEM BDI - "&amp;B434,CPUAUX1!$A:$J,9,FALSE),VLOOKUP(B434,I!$A:$E,5,FALSE))</f>
        <v>754</v>
      </c>
      <c r="H434" s="72"/>
      <c r="I434" s="71">
        <f>TRUNC(F434*G434,2)</f>
        <v>22.92</v>
      </c>
      <c r="J434" s="72"/>
      <c r="M434" s="23">
        <f>B434</f>
        <v>87369</v>
      </c>
      <c r="N434" s="5">
        <f>SUMIF(ORCAMENTO!B:B,B431,ORCAMENTO!F:F)</f>
        <v>193.1</v>
      </c>
      <c r="O434" s="23">
        <f>F434*N434</f>
        <v>5.8702399999999999</v>
      </c>
      <c r="Q434" s="23">
        <f ca="1">IFERROR(SUMIF(CO!B:B,B431,OFFSET(CO!F:F,0,(4+MATCH(ETAPA,CO!$J$6:$P$6,0)))),0)</f>
        <v>77.239999999999995</v>
      </c>
      <c r="R434" s="23">
        <f ca="1">F434*Q434</f>
        <v>2.348096</v>
      </c>
    </row>
    <row r="435" spans="1:18" x14ac:dyDescent="0.3">
      <c r="A435" s="68" t="str">
        <f>"TOTAL SEM BDI - "&amp;B431</f>
        <v>TOTAL SEM BDI - 87530</v>
      </c>
      <c r="B435" s="69"/>
      <c r="C435" s="69"/>
      <c r="D435" s="69"/>
      <c r="E435" s="69"/>
      <c r="F435" s="69"/>
      <c r="G435" s="69"/>
      <c r="H435" s="70"/>
      <c r="I435" s="71">
        <f>SUM(I431:I434)</f>
        <v>40.97</v>
      </c>
      <c r="J435" s="72"/>
    </row>
    <row r="436" spans="1:18" x14ac:dyDescent="0.3">
      <c r="A436" s="68" t="str">
        <f>"TAXA DE BDI ("&amp;TEXT(BDI,"00,00")&amp;" %)"</f>
        <v>TAXA DE BDI (24,84 %)</v>
      </c>
      <c r="B436" s="69"/>
      <c r="C436" s="69"/>
      <c r="D436" s="69"/>
      <c r="E436" s="69"/>
      <c r="F436" s="69"/>
      <c r="G436" s="69"/>
      <c r="H436" s="70"/>
      <c r="I436" s="71">
        <f>ROUND(I435*(BDI/100),2)</f>
        <v>10.18</v>
      </c>
      <c r="J436" s="72"/>
    </row>
    <row r="437" spans="1:18" x14ac:dyDescent="0.3">
      <c r="A437" s="68" t="str">
        <f>"TOTAL COM BDI - "&amp;B431</f>
        <v>TOTAL COM BDI - 87530</v>
      </c>
      <c r="B437" s="69"/>
      <c r="C437" s="69"/>
      <c r="D437" s="69"/>
      <c r="E437" s="69"/>
      <c r="F437" s="69"/>
      <c r="G437" s="69"/>
      <c r="H437" s="70"/>
      <c r="I437" s="71">
        <f>SUM(I435:I436)</f>
        <v>51.15</v>
      </c>
      <c r="J437" s="72"/>
    </row>
    <row r="439" spans="1:18" x14ac:dyDescent="0.3">
      <c r="A439" s="4" t="s">
        <v>1018</v>
      </c>
      <c r="B439" s="4" t="s">
        <v>138</v>
      </c>
      <c r="C439" s="4" t="s">
        <v>139</v>
      </c>
      <c r="D439" s="4" t="s">
        <v>21</v>
      </c>
      <c r="E439" s="4" t="s">
        <v>140</v>
      </c>
      <c r="F439" s="4" t="s">
        <v>506</v>
      </c>
      <c r="G439" s="34" t="s">
        <v>1019</v>
      </c>
      <c r="H439" s="35"/>
      <c r="I439" s="34" t="s">
        <v>15</v>
      </c>
      <c r="J439" s="35"/>
    </row>
    <row r="440" spans="1:18" ht="30" customHeight="1" x14ac:dyDescent="0.3">
      <c r="A440" s="15" t="s">
        <v>1063</v>
      </c>
      <c r="B440" s="15">
        <v>100701</v>
      </c>
      <c r="C440" s="15" t="str">
        <f>VLOOKUP(B440,S!$A:$G,2,FALSE)</f>
        <v>SINAPI</v>
      </c>
      <c r="D440" s="22" t="str">
        <f>VLOOKUP(B440,S!$A:$G,3,FALSE)</f>
        <v>PORTA DE FERRO, DE ABRIR, TIPO GRADE COM CHAPA, COM GUARNIÇÕES. AF_12/2019</v>
      </c>
      <c r="E440" s="15" t="str">
        <f>VLOOKUP(B440,S!$A:$G,4,FALSE)</f>
        <v>M2</v>
      </c>
      <c r="F440" s="15"/>
      <c r="G440" s="73">
        <f>I445</f>
        <v>415.3</v>
      </c>
      <c r="H440" s="74"/>
      <c r="I440" s="73"/>
      <c r="J440" s="74"/>
      <c r="K440" s="16">
        <f>VLOOKUP(B440,S!A:G,5,FALSE)</f>
        <v>415.3</v>
      </c>
      <c r="L440" s="15" t="str">
        <f>IF(K440=G440,"OK, CONFORME TABELA",IF(G440&gt;K440,"ACIMA DA TABELA: ","ABAIXO DA TABELA: ")&amp;TRUNC((G440*100)/K440,2)&amp;" %")</f>
        <v>OK, CONFORME TABELA</v>
      </c>
    </row>
    <row r="441" spans="1:18" ht="45" customHeight="1" x14ac:dyDescent="0.3">
      <c r="A441" s="23" t="s">
        <v>1022</v>
      </c>
      <c r="B441" s="23">
        <v>88627</v>
      </c>
      <c r="C441" s="23" t="str">
        <f>VLOOKUP(B441,IF(A441="COMPOSICAO",S!$A:$E,I!$A:$E),2,FALSE)</f>
        <v>SINAPI</v>
      </c>
      <c r="D441" s="24" t="str">
        <f>VLOOKUP(B441,IF(A441="COMPOSICAO",S!$A:$E,I!$A:$E),3,FALSE)</f>
        <v>ARGAMASSA TRAÇO 1:0,5:4,5 (EM VOLUME DE CIMENTO, CAL E AREIA MÉDIA ÚMIDA) PARA ASSENTAMENTO DE ALVENARIA, PREPARO MANUAL. AF_08/2019</v>
      </c>
      <c r="E441" s="23" t="str">
        <f>VLOOKUP(B441,IF(A441="COMPOSICAO",S!$A:$E,I!$A:$E),4,FALSE)</f>
        <v>M3</v>
      </c>
      <c r="F441" s="23">
        <v>1.2E-2</v>
      </c>
      <c r="G441" s="71">
        <f>IF(A441="COMPOSICAO",VLOOKUP("TOTAL SEM BDI - "&amp;B441,CPUAUX1!$A:$J,9,FALSE),VLOOKUP(B441,I!$A:$E,5,FALSE))</f>
        <v>731.16000000000008</v>
      </c>
      <c r="H441" s="72"/>
      <c r="I441" s="71">
        <f>TRUNC(F441*G441,2)</f>
        <v>8.77</v>
      </c>
      <c r="J441" s="72"/>
      <c r="M441" s="23">
        <f>B441</f>
        <v>88627</v>
      </c>
      <c r="N441" s="5">
        <f>SUMIF(ORCAMENTO!B:B,B440,ORCAMENTO!F:F)</f>
        <v>8.4</v>
      </c>
      <c r="O441" s="23">
        <f>F441*N441</f>
        <v>0.1008</v>
      </c>
      <c r="Q441" s="23">
        <f ca="1">IFERROR(SUMIF(CO!B:B,B440,OFFSET(CO!F:F,0,(4+MATCH(ETAPA,CO!$J$6:$P$6,0)))),0)</f>
        <v>3.36</v>
      </c>
      <c r="R441" s="23">
        <f ca="1">F441*Q441</f>
        <v>4.0320000000000002E-2</v>
      </c>
    </row>
    <row r="442" spans="1:18" x14ac:dyDescent="0.3">
      <c r="A442" s="23" t="s">
        <v>1022</v>
      </c>
      <c r="B442" s="23">
        <v>88316</v>
      </c>
      <c r="C442" s="23" t="str">
        <f>VLOOKUP(B442,IF(A442="COMPOSICAO",S!$A:$E,I!$A:$E),2,FALSE)</f>
        <v>SINAPI</v>
      </c>
      <c r="D442" s="24" t="str">
        <f>VLOOKUP(B442,IF(A442="COMPOSICAO",S!$A:$E,I!$A:$E),3,FALSE)</f>
        <v>SERVENTE COM ENCARGOS COMPLEMENTARES</v>
      </c>
      <c r="E442" s="23" t="str">
        <f>VLOOKUP(B442,IF(A442="COMPOSICAO",S!$A:$E,I!$A:$E),4,FALSE)</f>
        <v>H</v>
      </c>
      <c r="F442" s="23">
        <f>0.229/pcf</f>
        <v>0.22900000000000001</v>
      </c>
      <c r="G442" s="71">
        <f>IF(A442="COMPOSICAO",VLOOKUP("TOTAL SEM BDI - "&amp;B442,CPUAUX1!$A:$J,9,FALSE),VLOOKUP(B442,I!$A:$E,5,FALSE))</f>
        <v>21.71</v>
      </c>
      <c r="H442" s="72"/>
      <c r="I442" s="71">
        <f>TRUNC(F442*G442,2)</f>
        <v>4.97</v>
      </c>
      <c r="J442" s="72"/>
      <c r="M442" s="23">
        <f>B442</f>
        <v>88316</v>
      </c>
      <c r="N442" s="5">
        <f>SUMIF(ORCAMENTO!B:B,B440,ORCAMENTO!F:F)</f>
        <v>8.4</v>
      </c>
      <c r="O442" s="23">
        <f>F442*N442</f>
        <v>1.9236000000000002</v>
      </c>
      <c r="Q442" s="23">
        <f ca="1">IFERROR(SUMIF(CO!B:B,B440,OFFSET(CO!F:F,0,(4+MATCH(ETAPA,CO!$J$6:$P$6,0)))),0)</f>
        <v>3.36</v>
      </c>
      <c r="R442" s="23">
        <f ca="1">F442*Q442</f>
        <v>0.76944000000000001</v>
      </c>
    </row>
    <row r="443" spans="1:18" x14ac:dyDescent="0.3">
      <c r="A443" s="23" t="s">
        <v>1022</v>
      </c>
      <c r="B443" s="23">
        <v>88309</v>
      </c>
      <c r="C443" s="23" t="str">
        <f>VLOOKUP(B443,IF(A443="COMPOSICAO",S!$A:$E,I!$A:$E),2,FALSE)</f>
        <v>SINAPI</v>
      </c>
      <c r="D443" s="24" t="str">
        <f>VLOOKUP(B443,IF(A443="COMPOSICAO",S!$A:$E,I!$A:$E),3,FALSE)</f>
        <v>PEDREIRO COM ENCARGOS COMPLEMENTARES</v>
      </c>
      <c r="E443" s="23" t="str">
        <f>VLOOKUP(B443,IF(A443="COMPOSICAO",S!$A:$E,I!$A:$E),4,FALSE)</f>
        <v>H</v>
      </c>
      <c r="F443" s="23">
        <f>0.457/pcf</f>
        <v>0.45700000000000002</v>
      </c>
      <c r="G443" s="71">
        <f>IF(A443="COMPOSICAO",VLOOKUP("TOTAL SEM BDI - "&amp;B443,CPUAUX1!$A:$J,9,FALSE),VLOOKUP(B443,I!$A:$E,5,FALSE))</f>
        <v>27.39</v>
      </c>
      <c r="H443" s="72"/>
      <c r="I443" s="71">
        <f>TRUNC(F443*G443,2)</f>
        <v>12.51</v>
      </c>
      <c r="J443" s="72"/>
      <c r="M443" s="23">
        <f>B443</f>
        <v>88309</v>
      </c>
      <c r="N443" s="5">
        <f>SUMIF(ORCAMENTO!B:B,B440,ORCAMENTO!F:F)</f>
        <v>8.4</v>
      </c>
      <c r="O443" s="23">
        <f>F443*N443</f>
        <v>3.8388000000000004</v>
      </c>
      <c r="Q443" s="23">
        <f ca="1">IFERROR(SUMIF(CO!B:B,B440,OFFSET(CO!F:F,0,(4+MATCH(ETAPA,CO!$J$6:$P$6,0)))),0)</f>
        <v>3.36</v>
      </c>
      <c r="R443" s="23">
        <f ca="1">F443*Q443</f>
        <v>1.53552</v>
      </c>
    </row>
    <row r="444" spans="1:18" ht="45" customHeight="1" x14ac:dyDescent="0.3">
      <c r="A444" s="23" t="s">
        <v>1025</v>
      </c>
      <c r="B444" s="23">
        <v>4930</v>
      </c>
      <c r="C444" s="23" t="str">
        <f>VLOOKUP(B444,IF(A444="COMPOSICAO",S!$A:$E,I!$A:$E),2,FALSE)</f>
        <v>SINAPI</v>
      </c>
      <c r="D444" s="24" t="str">
        <f>VLOOKUP(B444,IF(A444="COMPOSICAO",S!$A:$E,I!$A:$E),3,FALSE)</f>
        <v>PORTA DE ABRIR / GIRO, EM GRADIL FERRO, COM BARRA CHATA 3 CM X 1/4", COM REQUADRO E GUARNICAO - COMPLETO - ACABAMENTO NATURAL</v>
      </c>
      <c r="E444" s="23" t="str">
        <f>VLOOKUP(B444,IF(A444="COMPOSICAO",S!$A:$E,I!$A:$E),4,FALSE)</f>
        <v>M2</v>
      </c>
      <c r="F444" s="23">
        <v>1</v>
      </c>
      <c r="G444" s="71">
        <f>IF(A444="COMPOSICAO",VLOOKUP("TOTAL SEM BDI - "&amp;B444,CPUAUX1!$A:$J,9,FALSE),VLOOKUP(B444,I!$A:$E,5,FALSE))</f>
        <v>389.05</v>
      </c>
      <c r="H444" s="72"/>
      <c r="I444" s="71">
        <f>TRUNC(F444*G444,2)</f>
        <v>389.05</v>
      </c>
      <c r="J444" s="72"/>
      <c r="M444" s="23">
        <f>B444</f>
        <v>4930</v>
      </c>
      <c r="N444" s="5">
        <f>SUMIF(ORCAMENTO!B:B,B440,ORCAMENTO!F:F)</f>
        <v>8.4</v>
      </c>
      <c r="O444" s="23">
        <f>F444*N444</f>
        <v>8.4</v>
      </c>
      <c r="Q444" s="23">
        <f ca="1">IFERROR(SUMIF(CO!B:B,B440,OFFSET(CO!F:F,0,(4+MATCH(ETAPA,CO!$J$6:$P$6,0)))),0)</f>
        <v>3.36</v>
      </c>
      <c r="R444" s="23">
        <f ca="1">F444*Q444</f>
        <v>3.36</v>
      </c>
    </row>
    <row r="445" spans="1:18" x14ac:dyDescent="0.3">
      <c r="A445" s="68" t="str">
        <f>"TOTAL SEM BDI - "&amp;B440</f>
        <v>TOTAL SEM BDI - 100701</v>
      </c>
      <c r="B445" s="69"/>
      <c r="C445" s="69"/>
      <c r="D445" s="69"/>
      <c r="E445" s="69"/>
      <c r="F445" s="69"/>
      <c r="G445" s="69"/>
      <c r="H445" s="70"/>
      <c r="I445" s="71">
        <f>SUM(I440:I444)</f>
        <v>415.3</v>
      </c>
      <c r="J445" s="72"/>
    </row>
    <row r="446" spans="1:18" x14ac:dyDescent="0.3">
      <c r="A446" s="68" t="str">
        <f>"TAXA DE BDI ("&amp;TEXT(BDI,"00,00")&amp;" %)"</f>
        <v>TAXA DE BDI (24,84 %)</v>
      </c>
      <c r="B446" s="69"/>
      <c r="C446" s="69"/>
      <c r="D446" s="69"/>
      <c r="E446" s="69"/>
      <c r="F446" s="69"/>
      <c r="G446" s="69"/>
      <c r="H446" s="70"/>
      <c r="I446" s="71">
        <f>ROUND(I445*(BDI/100),2)</f>
        <v>103.16</v>
      </c>
      <c r="J446" s="72"/>
    </row>
    <row r="447" spans="1:18" x14ac:dyDescent="0.3">
      <c r="A447" s="68" t="str">
        <f>"TOTAL COM BDI - "&amp;B440</f>
        <v>TOTAL COM BDI - 100701</v>
      </c>
      <c r="B447" s="69"/>
      <c r="C447" s="69"/>
      <c r="D447" s="69"/>
      <c r="E447" s="69"/>
      <c r="F447" s="69"/>
      <c r="G447" s="69"/>
      <c r="H447" s="70"/>
      <c r="I447" s="71">
        <f>SUM(I445:I446)</f>
        <v>518.46</v>
      </c>
      <c r="J447" s="72"/>
    </row>
    <row r="449" spans="1:18" x14ac:dyDescent="0.3">
      <c r="A449" s="4" t="s">
        <v>1018</v>
      </c>
      <c r="B449" s="4" t="s">
        <v>138</v>
      </c>
      <c r="C449" s="4" t="s">
        <v>139</v>
      </c>
      <c r="D449" s="4" t="s">
        <v>21</v>
      </c>
      <c r="E449" s="4" t="s">
        <v>140</v>
      </c>
      <c r="F449" s="4" t="s">
        <v>506</v>
      </c>
      <c r="G449" s="34" t="s">
        <v>1019</v>
      </c>
      <c r="H449" s="35"/>
      <c r="I449" s="34" t="s">
        <v>15</v>
      </c>
      <c r="J449" s="35"/>
    </row>
    <row r="450" spans="1:18" ht="45" customHeight="1" x14ac:dyDescent="0.3">
      <c r="A450" s="15" t="s">
        <v>516</v>
      </c>
      <c r="B450" s="15" t="s">
        <v>614</v>
      </c>
      <c r="C450" s="15" t="str">
        <f>VLOOKUP(B450,S!$A:$G,2,FALSE)</f>
        <v>SEINFRA</v>
      </c>
      <c r="D450" s="22" t="str">
        <f>VLOOKUP(B450,S!$A:$G,3,FALSE)</f>
        <v>PORTÃO DE METALON E BARRA CHATA DE FERRO C/FECHADURA E DOBRADIÇA, INCLUS. PINTURA ESMALTE SINTÉTICO</v>
      </c>
      <c r="E450" s="15" t="str">
        <f>VLOOKUP(B450,S!$A:$G,4,FALSE)</f>
        <v>M2</v>
      </c>
      <c r="F450" s="15"/>
      <c r="G450" s="73">
        <f>I457</f>
        <v>491.19000000000005</v>
      </c>
      <c r="H450" s="74"/>
      <c r="I450" s="73"/>
      <c r="J450" s="74"/>
      <c r="K450" s="16">
        <f>VLOOKUP(B450,S!A:G,5,FALSE)</f>
        <v>491.21</v>
      </c>
      <c r="L450" s="15" t="str">
        <f>IF(K450=G450,"OK, CONFORME TABELA",IF(G450&gt;K450,"ACIMA DA TABELA: ","ABAIXO DA TABELA: ")&amp;TRUNC((G450*100)/K450,2)&amp;" %")</f>
        <v>ABAIXO DA TABELA: 99,99 %</v>
      </c>
    </row>
    <row r="451" spans="1:18" x14ac:dyDescent="0.3">
      <c r="A451" s="23" t="s">
        <v>1025</v>
      </c>
      <c r="B451" s="23" t="s">
        <v>1064</v>
      </c>
      <c r="C451" s="23" t="str">
        <f>VLOOKUP(B451,IF(A451="COMPOSICAO",S!$A:$E,I!$A:$E),2,FALSE)</f>
        <v>SEINFRA</v>
      </c>
      <c r="D451" s="24" t="str">
        <f>VLOOKUP(B451,IF(A451="COMPOSICAO",S!$A:$E,I!$A:$E),3,FALSE)</f>
        <v>MONTADOR</v>
      </c>
      <c r="E451" s="23" t="str">
        <f>VLOOKUP(B451,IF(A451="COMPOSICAO",S!$A:$E,I!$A:$E),4,FALSE)</f>
        <v>H</v>
      </c>
      <c r="F451" s="23">
        <f>1/pcf</f>
        <v>1</v>
      </c>
      <c r="G451" s="71">
        <f>IF(A451="COMPOSICAO",VLOOKUP("TOTAL SEM BDI - "&amp;B451,CPUAUX1!$A:$J,9,FALSE),VLOOKUP(B451,I!$A:$E,5,FALSE))</f>
        <v>26.86</v>
      </c>
      <c r="H451" s="72"/>
      <c r="I451" s="71">
        <f t="shared" ref="I451:I456" si="40">TRUNC(F451*G451,2)</f>
        <v>26.86</v>
      </c>
      <c r="J451" s="72"/>
      <c r="M451" s="23" t="str">
        <f t="shared" ref="M451:M456" si="41">B451</f>
        <v>I1530</v>
      </c>
      <c r="N451" s="5">
        <f>SUMIF(ORCAMENTO!B:B,B450,ORCAMENTO!F:F)</f>
        <v>30</v>
      </c>
      <c r="O451" s="23">
        <f t="shared" ref="O451:O456" si="42">F451*N451</f>
        <v>30</v>
      </c>
      <c r="Q451" s="23">
        <f ca="1">IFERROR(SUMIF(CO!B:B,B450,OFFSET(CO!F:F,0,(4+MATCH(ETAPA,CO!$J$6:$P$6,0)))),0)</f>
        <v>12</v>
      </c>
      <c r="R451" s="23">
        <f t="shared" ref="R451:R456" ca="1" si="43">F451*Q451</f>
        <v>12</v>
      </c>
    </row>
    <row r="452" spans="1:18" x14ac:dyDescent="0.3">
      <c r="A452" s="23" t="s">
        <v>1025</v>
      </c>
      <c r="B452" s="23" t="s">
        <v>1065</v>
      </c>
      <c r="C452" s="23" t="str">
        <f>VLOOKUP(B452,IF(A452="COMPOSICAO",S!$A:$E,I!$A:$E),2,FALSE)</f>
        <v>SEINFRA</v>
      </c>
      <c r="D452" s="24" t="str">
        <f>VLOOKUP(B452,IF(A452="COMPOSICAO",S!$A:$E,I!$A:$E),3,FALSE)</f>
        <v>PEDREIRO</v>
      </c>
      <c r="E452" s="23" t="str">
        <f>VLOOKUP(B452,IF(A452="COMPOSICAO",S!$A:$E,I!$A:$E),4,FALSE)</f>
        <v>H</v>
      </c>
      <c r="F452" s="23">
        <f>0.35/pcf</f>
        <v>0.35</v>
      </c>
      <c r="G452" s="71">
        <f>IF(A452="COMPOSICAO",VLOOKUP("TOTAL SEM BDI - "&amp;B452,CPUAUX1!$A:$J,9,FALSE),VLOOKUP(B452,I!$A:$E,5,FALSE))</f>
        <v>26.86</v>
      </c>
      <c r="H452" s="72"/>
      <c r="I452" s="71">
        <f t="shared" si="40"/>
        <v>9.4</v>
      </c>
      <c r="J452" s="72"/>
      <c r="M452" s="23" t="str">
        <f t="shared" si="41"/>
        <v>I2391</v>
      </c>
      <c r="N452" s="5">
        <f>SUMIF(ORCAMENTO!B:B,B450,ORCAMENTO!F:F)</f>
        <v>30</v>
      </c>
      <c r="O452" s="23">
        <f t="shared" si="42"/>
        <v>10.5</v>
      </c>
      <c r="Q452" s="23">
        <f ca="1">IFERROR(SUMIF(CO!B:B,B450,OFFSET(CO!F:F,0,(4+MATCH(ETAPA,CO!$J$6:$P$6,0)))),0)</f>
        <v>12</v>
      </c>
      <c r="R452" s="23">
        <f t="shared" ca="1" si="43"/>
        <v>4.1999999999999993</v>
      </c>
    </row>
    <row r="453" spans="1:18" x14ac:dyDescent="0.3">
      <c r="A453" s="23" t="s">
        <v>1025</v>
      </c>
      <c r="B453" s="23" t="s">
        <v>1066</v>
      </c>
      <c r="C453" s="23" t="str">
        <f>VLOOKUP(B453,IF(A453="COMPOSICAO",S!$A:$E,I!$A:$E),2,FALSE)</f>
        <v>SEINFRA</v>
      </c>
      <c r="D453" s="24" t="str">
        <f>VLOOKUP(B453,IF(A453="COMPOSICAO",S!$A:$E,I!$A:$E),3,FALSE)</f>
        <v>SERVENTE</v>
      </c>
      <c r="E453" s="23" t="str">
        <f>VLOOKUP(B453,IF(A453="COMPOSICAO",S!$A:$E,I!$A:$E),4,FALSE)</f>
        <v>H</v>
      </c>
      <c r="F453" s="23">
        <f>0.25/pcf</f>
        <v>0.25</v>
      </c>
      <c r="G453" s="71">
        <f>IF(A453="COMPOSICAO",VLOOKUP("TOTAL SEM BDI - "&amp;B453,CPUAUX1!$A:$J,9,FALSE),VLOOKUP(B453,I!$A:$E,5,FALSE))</f>
        <v>20.260000000000002</v>
      </c>
      <c r="H453" s="72"/>
      <c r="I453" s="71">
        <f t="shared" si="40"/>
        <v>5.0599999999999996</v>
      </c>
      <c r="J453" s="72"/>
      <c r="M453" s="23" t="str">
        <f t="shared" si="41"/>
        <v>I2543</v>
      </c>
      <c r="N453" s="5">
        <f>SUMIF(ORCAMENTO!B:B,B450,ORCAMENTO!F:F)</f>
        <v>30</v>
      </c>
      <c r="O453" s="23">
        <f t="shared" si="42"/>
        <v>7.5</v>
      </c>
      <c r="Q453" s="23">
        <f ca="1">IFERROR(SUMIF(CO!B:B,B450,OFFSET(CO!F:F,0,(4+MATCH(ETAPA,CO!$J$6:$P$6,0)))),0)</f>
        <v>12</v>
      </c>
      <c r="R453" s="23">
        <f t="shared" ca="1" si="43"/>
        <v>3</v>
      </c>
    </row>
    <row r="454" spans="1:18" x14ac:dyDescent="0.3">
      <c r="A454" s="23" t="s">
        <v>1025</v>
      </c>
      <c r="B454" s="23" t="s">
        <v>1067</v>
      </c>
      <c r="C454" s="23" t="str">
        <f>VLOOKUP(B454,IF(A454="COMPOSICAO",S!$A:$E,I!$A:$E),2,FALSE)</f>
        <v>SEINFRA</v>
      </c>
      <c r="D454" s="24" t="str">
        <f>VLOOKUP(B454,IF(A454="COMPOSICAO",S!$A:$E,I!$A:$E),3,FALSE)</f>
        <v>AREIA GROSSA</v>
      </c>
      <c r="E454" s="23" t="str">
        <f>VLOOKUP(B454,IF(A454="COMPOSICAO",S!$A:$E,I!$A:$E),4,FALSE)</f>
        <v>M3</v>
      </c>
      <c r="F454" s="23">
        <v>1E-3</v>
      </c>
      <c r="G454" s="71">
        <f>IF(A454="COMPOSICAO",VLOOKUP("TOTAL SEM BDI - "&amp;B454,CPUAUX1!$A:$J,9,FALSE),VLOOKUP(B454,I!$A:$E,5,FALSE))</f>
        <v>119.58</v>
      </c>
      <c r="H454" s="72"/>
      <c r="I454" s="71">
        <f t="shared" si="40"/>
        <v>0.11</v>
      </c>
      <c r="J454" s="72"/>
      <c r="M454" s="23" t="str">
        <f t="shared" si="41"/>
        <v>I0108</v>
      </c>
      <c r="N454" s="5">
        <f>SUMIF(ORCAMENTO!B:B,B450,ORCAMENTO!F:F)</f>
        <v>30</v>
      </c>
      <c r="O454" s="23">
        <f t="shared" si="42"/>
        <v>0.03</v>
      </c>
      <c r="Q454" s="23">
        <f ca="1">IFERROR(SUMIF(CO!B:B,B450,OFFSET(CO!F:F,0,(4+MATCH(ETAPA,CO!$J$6:$P$6,0)))),0)</f>
        <v>12</v>
      </c>
      <c r="R454" s="23">
        <f t="shared" ca="1" si="43"/>
        <v>1.2E-2</v>
      </c>
    </row>
    <row r="455" spans="1:18" x14ac:dyDescent="0.3">
      <c r="A455" s="23" t="s">
        <v>1025</v>
      </c>
      <c r="B455" s="23" t="s">
        <v>1068</v>
      </c>
      <c r="C455" s="23" t="str">
        <f>VLOOKUP(B455,IF(A455="COMPOSICAO",S!$A:$E,I!$A:$E),2,FALSE)</f>
        <v>SEINFRA</v>
      </c>
      <c r="D455" s="24" t="str">
        <f>VLOOKUP(B455,IF(A455="COMPOSICAO",S!$A:$E,I!$A:$E),3,FALSE)</f>
        <v>CIMENTO PORTLAND</v>
      </c>
      <c r="E455" s="23" t="str">
        <f>VLOOKUP(B455,IF(A455="COMPOSICAO",S!$A:$E,I!$A:$E),4,FALSE)</f>
        <v>KG</v>
      </c>
      <c r="F455" s="23">
        <v>0.15</v>
      </c>
      <c r="G455" s="71">
        <f>IF(A455="COMPOSICAO",VLOOKUP("TOTAL SEM BDI - "&amp;B455,CPUAUX1!$A:$J,9,FALSE),VLOOKUP(B455,I!$A:$E,5,FALSE))</f>
        <v>0.71</v>
      </c>
      <c r="H455" s="72"/>
      <c r="I455" s="71">
        <f t="shared" si="40"/>
        <v>0.1</v>
      </c>
      <c r="J455" s="72"/>
      <c r="M455" s="23" t="str">
        <f t="shared" si="41"/>
        <v>I0805</v>
      </c>
      <c r="N455" s="5">
        <f>SUMIF(ORCAMENTO!B:B,B450,ORCAMENTO!F:F)</f>
        <v>30</v>
      </c>
      <c r="O455" s="23">
        <f t="shared" si="42"/>
        <v>4.5</v>
      </c>
      <c r="Q455" s="23">
        <f ca="1">IFERROR(SUMIF(CO!B:B,B450,OFFSET(CO!F:F,0,(4+MATCH(ETAPA,CO!$J$6:$P$6,0)))),0)</f>
        <v>12</v>
      </c>
      <c r="R455" s="23">
        <f t="shared" ca="1" si="43"/>
        <v>1.7999999999999998</v>
      </c>
    </row>
    <row r="456" spans="1:18" ht="45" customHeight="1" x14ac:dyDescent="0.3">
      <c r="A456" s="23" t="s">
        <v>1025</v>
      </c>
      <c r="B456" s="23" t="s">
        <v>1069</v>
      </c>
      <c r="C456" s="23" t="str">
        <f>VLOOKUP(B456,IF(A456="COMPOSICAO",S!$A:$E,I!$A:$E),2,FALSE)</f>
        <v>SEINFRA</v>
      </c>
      <c r="D456" s="24" t="str">
        <f>VLOOKUP(B456,IF(A456="COMPOSICAO",S!$A:$E,I!$A:$E),3,FALSE)</f>
        <v>PORTÃO EM METALON E BARRA CHATA DE FERRO C/FECHADURA E DOBRADIÇAS, INCLUS. PINTURA ESMALTE SINTÉTICO (=1M2)</v>
      </c>
      <c r="E456" s="23" t="str">
        <f>VLOOKUP(B456,IF(A456="COMPOSICAO",S!$A:$E,I!$A:$E),4,FALSE)</f>
        <v>UN</v>
      </c>
      <c r="F456" s="23">
        <v>1</v>
      </c>
      <c r="G456" s="71">
        <f>IF(A456="COMPOSICAO",VLOOKUP("TOTAL SEM BDI - "&amp;B456,CPUAUX1!$A:$J,9,FALSE),VLOOKUP(B456,I!$A:$E,5,FALSE))</f>
        <v>449.66</v>
      </c>
      <c r="H456" s="72"/>
      <c r="I456" s="71">
        <f t="shared" si="40"/>
        <v>449.66</v>
      </c>
      <c r="J456" s="72"/>
      <c r="M456" s="23" t="str">
        <f t="shared" si="41"/>
        <v>I6727</v>
      </c>
      <c r="N456" s="5">
        <f>SUMIF(ORCAMENTO!B:B,B450,ORCAMENTO!F:F)</f>
        <v>30</v>
      </c>
      <c r="O456" s="23">
        <f t="shared" si="42"/>
        <v>30</v>
      </c>
      <c r="Q456" s="23">
        <f ca="1">IFERROR(SUMIF(CO!B:B,B450,OFFSET(CO!F:F,0,(4+MATCH(ETAPA,CO!$J$6:$P$6,0)))),0)</f>
        <v>12</v>
      </c>
      <c r="R456" s="23">
        <f t="shared" ca="1" si="43"/>
        <v>12</v>
      </c>
    </row>
    <row r="457" spans="1:18" x14ac:dyDescent="0.3">
      <c r="A457" s="68" t="str">
        <f>"TOTAL SEM BDI - "&amp;B450</f>
        <v>TOTAL SEM BDI - C3659</v>
      </c>
      <c r="B457" s="69"/>
      <c r="C457" s="69"/>
      <c r="D457" s="69"/>
      <c r="E457" s="69"/>
      <c r="F457" s="69"/>
      <c r="G457" s="69"/>
      <c r="H457" s="70"/>
      <c r="I457" s="71">
        <f>SUM(I450:I456)</f>
        <v>491.19000000000005</v>
      </c>
      <c r="J457" s="72"/>
    </row>
    <row r="458" spans="1:18" x14ac:dyDescent="0.3">
      <c r="A458" s="68" t="str">
        <f>"TAXA DE BDI ("&amp;TEXT(BDI,"00,00")&amp;" %)"</f>
        <v>TAXA DE BDI (24,84 %)</v>
      </c>
      <c r="B458" s="69"/>
      <c r="C458" s="69"/>
      <c r="D458" s="69"/>
      <c r="E458" s="69"/>
      <c r="F458" s="69"/>
      <c r="G458" s="69"/>
      <c r="H458" s="70"/>
      <c r="I458" s="71">
        <f>ROUND(I457*(BDI/100),2)</f>
        <v>122.01</v>
      </c>
      <c r="J458" s="72"/>
    </row>
    <row r="459" spans="1:18" x14ac:dyDescent="0.3">
      <c r="A459" s="68" t="str">
        <f>"TOTAL COM BDI - "&amp;B450</f>
        <v>TOTAL COM BDI - C3659</v>
      </c>
      <c r="B459" s="69"/>
      <c r="C459" s="69"/>
      <c r="D459" s="69"/>
      <c r="E459" s="69"/>
      <c r="F459" s="69"/>
      <c r="G459" s="69"/>
      <c r="H459" s="70"/>
      <c r="I459" s="71">
        <f>SUM(I457:I458)</f>
        <v>613.20000000000005</v>
      </c>
      <c r="J459" s="72"/>
    </row>
    <row r="461" spans="1:18" x14ac:dyDescent="0.3">
      <c r="A461" s="4" t="s">
        <v>1018</v>
      </c>
      <c r="B461" s="4" t="s">
        <v>138</v>
      </c>
      <c r="C461" s="4" t="s">
        <v>139</v>
      </c>
      <c r="D461" s="4" t="s">
        <v>21</v>
      </c>
      <c r="E461" s="4" t="s">
        <v>140</v>
      </c>
      <c r="F461" s="4" t="s">
        <v>506</v>
      </c>
      <c r="G461" s="34" t="s">
        <v>1019</v>
      </c>
      <c r="H461" s="35"/>
      <c r="I461" s="34" t="s">
        <v>15</v>
      </c>
      <c r="J461" s="35"/>
    </row>
    <row r="462" spans="1:18" ht="30" customHeight="1" x14ac:dyDescent="0.3">
      <c r="A462" s="15" t="s">
        <v>516</v>
      </c>
      <c r="B462" s="15" t="s">
        <v>617</v>
      </c>
      <c r="C462" s="15" t="str">
        <f>VLOOKUP(B462,S!$A:$G,2,FALSE)</f>
        <v>PRÓPRIA</v>
      </c>
      <c r="D462" s="22" t="str">
        <f>VLOOKUP(B462,S!$A:$G,3,FALSE)</f>
        <v>CAIAÇÃO EM TRES DEMÃOS EM PAREDES (REF: C0589-SEINFRA 28)</v>
      </c>
      <c r="E462" s="15" t="str">
        <f>VLOOKUP(B462,S!$A:$G,4,FALSE)</f>
        <v>M2</v>
      </c>
      <c r="F462" s="15"/>
      <c r="G462" s="73">
        <f>I465</f>
        <v>9.3800000000000008</v>
      </c>
      <c r="H462" s="74"/>
      <c r="I462" s="73"/>
      <c r="J462" s="74"/>
      <c r="K462" s="16">
        <f>VLOOKUP(B462,S!A:G,5,FALSE)</f>
        <v>0</v>
      </c>
      <c r="L462" s="15" t="s">
        <v>1021</v>
      </c>
    </row>
    <row r="463" spans="1:18" x14ac:dyDescent="0.3">
      <c r="A463" s="23" t="s">
        <v>1025</v>
      </c>
      <c r="B463" s="23" t="s">
        <v>1070</v>
      </c>
      <c r="C463" s="23" t="str">
        <f>VLOOKUP(B463,IF(A463="COMPOSICAO",S!$A:$E,I!$A:$E),2,FALSE)</f>
        <v>SEINFRA</v>
      </c>
      <c r="D463" s="24" t="str">
        <f>VLOOKUP(B463,IF(A463="COMPOSICAO",S!$A:$E,I!$A:$E),3,FALSE)</f>
        <v>SUPERCAL</v>
      </c>
      <c r="E463" s="23" t="str">
        <f>VLOOKUP(B463,IF(A463="COMPOSICAO",S!$A:$E,I!$A:$E),4,FALSE)</f>
        <v>KG</v>
      </c>
      <c r="F463" s="23">
        <v>0.45</v>
      </c>
      <c r="G463" s="71">
        <f>IF(A463="COMPOSICAO",VLOOKUP("TOTAL SEM BDI - "&amp;B463,CPUAUX1!$A:$J,9,FALSE),VLOOKUP(B463,I!$A:$E,5,FALSE))</f>
        <v>1.47</v>
      </c>
      <c r="H463" s="72"/>
      <c r="I463" s="71">
        <f>TRUNC(F463*G463,2)</f>
        <v>0.66</v>
      </c>
      <c r="J463" s="72"/>
      <c r="M463" s="23" t="str">
        <f>B463</f>
        <v>I2496</v>
      </c>
      <c r="N463" s="5">
        <f>SUMIF(ORCAMENTO!B:B,B462,ORCAMENTO!F:F)</f>
        <v>193.1</v>
      </c>
      <c r="O463" s="23">
        <f>F463*N463</f>
        <v>86.894999999999996</v>
      </c>
      <c r="Q463" s="23">
        <f ca="1">IFERROR(SUMIF(CO!B:B,B462,OFFSET(CO!F:F,0,(4+MATCH(ETAPA,CO!$J$6:$P$6,0)))),0)</f>
        <v>77.239999999999995</v>
      </c>
      <c r="R463" s="23">
        <f ca="1">F463*Q463</f>
        <v>34.757999999999996</v>
      </c>
    </row>
    <row r="464" spans="1:18" x14ac:dyDescent="0.3">
      <c r="A464" s="23" t="s">
        <v>1022</v>
      </c>
      <c r="B464" s="23">
        <v>88310</v>
      </c>
      <c r="C464" s="23" t="str">
        <f>VLOOKUP(B464,IF(A464="COMPOSICAO",S!$A:$E,I!$A:$E),2,FALSE)</f>
        <v>SINAPI</v>
      </c>
      <c r="D464" s="24" t="str">
        <f>VLOOKUP(B464,IF(A464="COMPOSICAO",S!$A:$E,I!$A:$E),3,FALSE)</f>
        <v>PINTOR COM ENCARGOS COMPLEMENTARES</v>
      </c>
      <c r="E464" s="23" t="str">
        <f>VLOOKUP(B464,IF(A464="COMPOSICAO",S!$A:$E,I!$A:$E),4,FALSE)</f>
        <v>H</v>
      </c>
      <c r="F464" s="23">
        <f>0.3/pcf</f>
        <v>0.3</v>
      </c>
      <c r="G464" s="71">
        <f>IF(A464="COMPOSICAO",VLOOKUP("TOTAL SEM BDI - "&amp;B464,CPUAUX1!$A:$J,9,FALSE),VLOOKUP(B464,I!$A:$E,5,FALSE))</f>
        <v>29.069999999999997</v>
      </c>
      <c r="H464" s="72"/>
      <c r="I464" s="71">
        <f>TRUNC(F464*G464,2)</f>
        <v>8.7200000000000006</v>
      </c>
      <c r="J464" s="72"/>
      <c r="M464" s="23">
        <f>B464</f>
        <v>88310</v>
      </c>
      <c r="N464" s="5">
        <f>SUMIF(ORCAMENTO!B:B,B462,ORCAMENTO!F:F)</f>
        <v>193.1</v>
      </c>
      <c r="O464" s="23">
        <f>F464*N464</f>
        <v>57.929999999999993</v>
      </c>
      <c r="Q464" s="23">
        <f ca="1">IFERROR(SUMIF(CO!B:B,B462,OFFSET(CO!F:F,0,(4+MATCH(ETAPA,CO!$J$6:$P$6,0)))),0)</f>
        <v>77.239999999999995</v>
      </c>
      <c r="R464" s="23">
        <f ca="1">F464*Q464</f>
        <v>23.171999999999997</v>
      </c>
    </row>
    <row r="465" spans="1:18" x14ac:dyDescent="0.3">
      <c r="A465" s="68" t="str">
        <f>"TOTAL SEM BDI - "&amp;B462</f>
        <v>TOTAL SEM BDI - COMP205</v>
      </c>
      <c r="B465" s="69"/>
      <c r="C465" s="69"/>
      <c r="D465" s="69"/>
      <c r="E465" s="69"/>
      <c r="F465" s="69"/>
      <c r="G465" s="69"/>
      <c r="H465" s="70"/>
      <c r="I465" s="71">
        <f>SUM(I462:I464)</f>
        <v>9.3800000000000008</v>
      </c>
      <c r="J465" s="72"/>
    </row>
    <row r="466" spans="1:18" x14ac:dyDescent="0.3">
      <c r="A466" s="68" t="str">
        <f>"TAXA DE BDI ("&amp;TEXT(BDI,"00,00")&amp;" %)"</f>
        <v>TAXA DE BDI (24,84 %)</v>
      </c>
      <c r="B466" s="69"/>
      <c r="C466" s="69"/>
      <c r="D466" s="69"/>
      <c r="E466" s="69"/>
      <c r="F466" s="69"/>
      <c r="G466" s="69"/>
      <c r="H466" s="70"/>
      <c r="I466" s="71">
        <f>ROUND(I465*(BDI/100),2)</f>
        <v>2.33</v>
      </c>
      <c r="J466" s="72"/>
    </row>
    <row r="467" spans="1:18" x14ac:dyDescent="0.3">
      <c r="A467" s="68" t="str">
        <f>"TOTAL COM BDI - "&amp;B462</f>
        <v>TOTAL COM BDI - COMP205</v>
      </c>
      <c r="B467" s="69"/>
      <c r="C467" s="69"/>
      <c r="D467" s="69"/>
      <c r="E467" s="69"/>
      <c r="F467" s="69"/>
      <c r="G467" s="69"/>
      <c r="H467" s="70"/>
      <c r="I467" s="71">
        <f>SUM(I465:I466)</f>
        <v>11.71</v>
      </c>
      <c r="J467" s="72"/>
    </row>
    <row r="469" spans="1:18" x14ac:dyDescent="0.3">
      <c r="A469" s="4" t="s">
        <v>1018</v>
      </c>
      <c r="B469" s="4" t="s">
        <v>138</v>
      </c>
      <c r="C469" s="4" t="s">
        <v>139</v>
      </c>
      <c r="D469" s="4" t="s">
        <v>21</v>
      </c>
      <c r="E469" s="4" t="s">
        <v>140</v>
      </c>
      <c r="F469" s="4" t="s">
        <v>506</v>
      </c>
      <c r="G469" s="34" t="s">
        <v>1019</v>
      </c>
      <c r="H469" s="35"/>
      <c r="I469" s="34" t="s">
        <v>15</v>
      </c>
      <c r="J469" s="35"/>
    </row>
    <row r="470" spans="1:18" ht="75" customHeight="1" x14ac:dyDescent="0.3">
      <c r="A470" s="15" t="s">
        <v>1071</v>
      </c>
      <c r="B470" s="15">
        <v>100758</v>
      </c>
      <c r="C470" s="15" t="str">
        <f>VLOOKUP(B470,S!$A:$G,2,FALSE)</f>
        <v>SINAPI</v>
      </c>
      <c r="D470" s="22" t="str">
        <f>VLOOKUP(B470,S!$A:$G,3,FALSE)</f>
        <v>PINTURA COM TINTA ALQUÍDICA DE ACABAMENTO (ESMALTE SINTÉTICO ACETINADO) APLICADA A ROLO OU PINCEL SOBRE SUPERFÍCIES METÁLICAS (EXCETO PERFIL) EXECUTADO EM OBRA (02 DEMÃOS). AF_01/2020</v>
      </c>
      <c r="E470" s="15" t="str">
        <f>VLOOKUP(B470,S!$A:$G,4,FALSE)</f>
        <v>M2</v>
      </c>
      <c r="F470" s="15"/>
      <c r="G470" s="73">
        <f>I474</f>
        <v>50.269999999999996</v>
      </c>
      <c r="H470" s="74"/>
      <c r="I470" s="73"/>
      <c r="J470" s="74"/>
      <c r="K470" s="16">
        <f>VLOOKUP(B470,S!A:G,5,FALSE)</f>
        <v>50.27</v>
      </c>
      <c r="L470" s="15" t="str">
        <f>IF(K470=G470,"OK, CONFORME TABELA",IF(G470&gt;K470,"ACIMA DA TABELA: ","ABAIXO DA TABELA: ")&amp;TRUNC((G470*100)/K470,2)&amp;" %")</f>
        <v>OK, CONFORME TABELA</v>
      </c>
    </row>
    <row r="471" spans="1:18" x14ac:dyDescent="0.3">
      <c r="A471" s="23" t="s">
        <v>1022</v>
      </c>
      <c r="B471" s="23">
        <v>88310</v>
      </c>
      <c r="C471" s="23" t="str">
        <f>VLOOKUP(B471,IF(A471="COMPOSICAO",S!$A:$E,I!$A:$E),2,FALSE)</f>
        <v>SINAPI</v>
      </c>
      <c r="D471" s="24" t="str">
        <f>VLOOKUP(B471,IF(A471="COMPOSICAO",S!$A:$E,I!$A:$E),3,FALSE)</f>
        <v>PINTOR COM ENCARGOS COMPLEMENTARES</v>
      </c>
      <c r="E471" s="23" t="str">
        <f>VLOOKUP(B471,IF(A471="COMPOSICAO",S!$A:$E,I!$A:$E),4,FALSE)</f>
        <v>H</v>
      </c>
      <c r="F471" s="23">
        <f>1.3559/pcf</f>
        <v>1.3559000000000001</v>
      </c>
      <c r="G471" s="71">
        <f>IF(A471="COMPOSICAO",VLOOKUP("TOTAL SEM BDI - "&amp;B471,CPUAUX1!$A:$J,9,FALSE),VLOOKUP(B471,I!$A:$E,5,FALSE))</f>
        <v>29.069999999999997</v>
      </c>
      <c r="H471" s="72"/>
      <c r="I471" s="71">
        <f>TRUNC(F471*G471,2)</f>
        <v>39.409999999999997</v>
      </c>
      <c r="J471" s="72"/>
      <c r="M471" s="23">
        <f>B471</f>
        <v>88310</v>
      </c>
      <c r="N471" s="5">
        <f>SUMIF(ORCAMENTO!B:B,B470,ORCAMENTO!F:F)</f>
        <v>16.8</v>
      </c>
      <c r="O471" s="23">
        <f>F471*N471</f>
        <v>22.779120000000002</v>
      </c>
      <c r="Q471" s="23">
        <f ca="1">IFERROR(SUMIF(CO!B:B,B470,OFFSET(CO!F:F,0,(4+MATCH(ETAPA,CO!$J$6:$P$6,0)))),0)</f>
        <v>6.72</v>
      </c>
      <c r="R471" s="23">
        <f ca="1">F471*Q471</f>
        <v>9.1116480000000006</v>
      </c>
    </row>
    <row r="472" spans="1:18" x14ac:dyDescent="0.3">
      <c r="A472" s="23" t="s">
        <v>1025</v>
      </c>
      <c r="B472" s="23">
        <v>7311</v>
      </c>
      <c r="C472" s="23" t="str">
        <f>VLOOKUP(B472,IF(A472="COMPOSICAO",S!$A:$E,I!$A:$E),2,FALSE)</f>
        <v>SINAPI</v>
      </c>
      <c r="D472" s="24" t="str">
        <f>VLOOKUP(B472,IF(A472="COMPOSICAO",S!$A:$E,I!$A:$E),3,FALSE)</f>
        <v>TINTA ESMALTE SINTETICO PREMIUM ACETINADO</v>
      </c>
      <c r="E472" s="23" t="str">
        <f>VLOOKUP(B472,IF(A472="COMPOSICAO",S!$A:$E,I!$A:$E),4,FALSE)</f>
        <v>L</v>
      </c>
      <c r="F472" s="23">
        <v>0.25490000000000002</v>
      </c>
      <c r="G472" s="71">
        <f>IF(A472="COMPOSICAO",VLOOKUP("TOTAL SEM BDI - "&amp;B472,CPUAUX1!$A:$J,9,FALSE),VLOOKUP(B472,I!$A:$E,5,FALSE))</f>
        <v>39.74</v>
      </c>
      <c r="H472" s="72"/>
      <c r="I472" s="71">
        <f>TRUNC(F472*G472,2)</f>
        <v>10.119999999999999</v>
      </c>
      <c r="J472" s="72"/>
      <c r="M472" s="23">
        <f>B472</f>
        <v>7311</v>
      </c>
      <c r="N472" s="5">
        <f>SUMIF(ORCAMENTO!B:B,B470,ORCAMENTO!F:F)</f>
        <v>16.8</v>
      </c>
      <c r="O472" s="23">
        <f>F472*N472</f>
        <v>4.2823200000000003</v>
      </c>
      <c r="Q472" s="23">
        <f ca="1">IFERROR(SUMIF(CO!B:B,B470,OFFSET(CO!F:F,0,(4+MATCH(ETAPA,CO!$J$6:$P$6,0)))),0)</f>
        <v>6.72</v>
      </c>
      <c r="R472" s="23">
        <f ca="1">F472*Q472</f>
        <v>1.712928</v>
      </c>
    </row>
    <row r="473" spans="1:18" x14ac:dyDescent="0.3">
      <c r="A473" s="23" t="s">
        <v>1025</v>
      </c>
      <c r="B473" s="23">
        <v>5318</v>
      </c>
      <c r="C473" s="23" t="str">
        <f>VLOOKUP(B473,IF(A473="COMPOSICAO",S!$A:$E,I!$A:$E),2,FALSE)</f>
        <v>SINAPI</v>
      </c>
      <c r="D473" s="24" t="str">
        <f>VLOOKUP(B473,IF(A473="COMPOSICAO",S!$A:$E,I!$A:$E),3,FALSE)</f>
        <v>DILUENTE AGUARRAS</v>
      </c>
      <c r="E473" s="23" t="str">
        <f>VLOOKUP(B473,IF(A473="COMPOSICAO",S!$A:$E,I!$A:$E),4,FALSE)</f>
        <v>L</v>
      </c>
      <c r="F473" s="23">
        <v>2.5499999999999998E-2</v>
      </c>
      <c r="G473" s="71">
        <f>IF(A473="COMPOSICAO",VLOOKUP("TOTAL SEM BDI - "&amp;B473,CPUAUX1!$A:$J,9,FALSE),VLOOKUP(B473,I!$A:$E,5,FALSE))</f>
        <v>29.16</v>
      </c>
      <c r="H473" s="72"/>
      <c r="I473" s="71">
        <f>TRUNC(F473*G473,2)</f>
        <v>0.74</v>
      </c>
      <c r="J473" s="72"/>
      <c r="M473" s="23">
        <f>B473</f>
        <v>5318</v>
      </c>
      <c r="N473" s="5">
        <f>SUMIF(ORCAMENTO!B:B,B470,ORCAMENTO!F:F)</f>
        <v>16.8</v>
      </c>
      <c r="O473" s="23">
        <f>F473*N473</f>
        <v>0.4284</v>
      </c>
      <c r="Q473" s="23">
        <f ca="1">IFERROR(SUMIF(CO!B:B,B470,OFFSET(CO!F:F,0,(4+MATCH(ETAPA,CO!$J$6:$P$6,0)))),0)</f>
        <v>6.72</v>
      </c>
      <c r="R473" s="23">
        <f ca="1">F473*Q473</f>
        <v>0.17135999999999998</v>
      </c>
    </row>
    <row r="474" spans="1:18" x14ac:dyDescent="0.3">
      <c r="A474" s="68" t="str">
        <f>"TOTAL SEM BDI - "&amp;B470</f>
        <v>TOTAL SEM BDI - 100758</v>
      </c>
      <c r="B474" s="69"/>
      <c r="C474" s="69"/>
      <c r="D474" s="69"/>
      <c r="E474" s="69"/>
      <c r="F474" s="69"/>
      <c r="G474" s="69"/>
      <c r="H474" s="70"/>
      <c r="I474" s="71">
        <f>SUM(I470:I473)</f>
        <v>50.269999999999996</v>
      </c>
      <c r="J474" s="72"/>
    </row>
    <row r="475" spans="1:18" x14ac:dyDescent="0.3">
      <c r="A475" s="68" t="str">
        <f>"TAXA DE BDI ("&amp;TEXT(BDI,"00,00")&amp;" %)"</f>
        <v>TAXA DE BDI (24,84 %)</v>
      </c>
      <c r="B475" s="69"/>
      <c r="C475" s="69"/>
      <c r="D475" s="69"/>
      <c r="E475" s="69"/>
      <c r="F475" s="69"/>
      <c r="G475" s="69"/>
      <c r="H475" s="70"/>
      <c r="I475" s="71">
        <f>ROUND(I474*(BDI/100),2)</f>
        <v>12.49</v>
      </c>
      <c r="J475" s="72"/>
    </row>
    <row r="476" spans="1:18" x14ac:dyDescent="0.3">
      <c r="A476" s="68" t="str">
        <f>"TOTAL COM BDI - "&amp;B470</f>
        <v>TOTAL COM BDI - 100758</v>
      </c>
      <c r="B476" s="69"/>
      <c r="C476" s="69"/>
      <c r="D476" s="69"/>
      <c r="E476" s="69"/>
      <c r="F476" s="69"/>
      <c r="G476" s="69"/>
      <c r="H476" s="70"/>
      <c r="I476" s="71">
        <f>SUM(I474:I475)</f>
        <v>62.76</v>
      </c>
      <c r="J476" s="72"/>
    </row>
    <row r="478" spans="1:18" x14ac:dyDescent="0.3">
      <c r="A478" s="4" t="s">
        <v>1018</v>
      </c>
      <c r="B478" s="4" t="s">
        <v>138</v>
      </c>
      <c r="C478" s="4" t="s">
        <v>139</v>
      </c>
      <c r="D478" s="4" t="s">
        <v>21</v>
      </c>
      <c r="E478" s="4" t="s">
        <v>140</v>
      </c>
      <c r="F478" s="4" t="s">
        <v>506</v>
      </c>
      <c r="G478" s="34" t="s">
        <v>1019</v>
      </c>
      <c r="H478" s="35"/>
      <c r="I478" s="34" t="s">
        <v>15</v>
      </c>
      <c r="J478" s="35"/>
    </row>
    <row r="479" spans="1:18" ht="75" customHeight="1" x14ac:dyDescent="0.3">
      <c r="A479" s="15" t="s">
        <v>1072</v>
      </c>
      <c r="B479" s="15">
        <v>101197</v>
      </c>
      <c r="C479" s="15" t="str">
        <f>VLOOKUP(B479,S!$A:$G,2,FALSE)</f>
        <v>SINAPI</v>
      </c>
      <c r="D479" s="22" t="str">
        <f>VLOOKUP(B479,S!$A:$G,3,FALSE)</f>
        <v>CERCA COM MOURÕES DE CONCRETO, SEÇÃO "T" PONTA INCLINADA, 10X10 CM, ESPAÇAMENTO DE 2,5 M, CRAVADOS 0,5 M, COM 11 FIOS DE ARAME FARPADO Nº 14 - FORNECIMENTO E INSTALAÇÃO. AF_05/2020</v>
      </c>
      <c r="E479" s="15" t="str">
        <f>VLOOKUP(B479,S!$A:$G,4,FALSE)</f>
        <v>M</v>
      </c>
      <c r="F479" s="15"/>
      <c r="G479" s="73">
        <f>I486</f>
        <v>131.28</v>
      </c>
      <c r="H479" s="74"/>
      <c r="I479" s="73"/>
      <c r="J479" s="74"/>
      <c r="K479" s="16">
        <f>VLOOKUP(B479,S!A:G,5,FALSE)</f>
        <v>131.28</v>
      </c>
      <c r="L479" s="15" t="str">
        <f>IF(K479=G479,"OK, CONFORME TABELA",IF(G479&gt;K479,"ACIMA DA TABELA: ","ABAIXO DA TABELA: ")&amp;TRUNC((G479*100)/K479,2)&amp;" %")</f>
        <v>OK, CONFORME TABELA</v>
      </c>
    </row>
    <row r="480" spans="1:18" ht="60" customHeight="1" x14ac:dyDescent="0.3">
      <c r="A480" s="23" t="s">
        <v>1022</v>
      </c>
      <c r="B480" s="23">
        <v>94962</v>
      </c>
      <c r="C480" s="23" t="str">
        <f>VLOOKUP(B480,IF(A480="COMPOSICAO",S!$A:$E,I!$A:$E),2,FALSE)</f>
        <v>SINAPI</v>
      </c>
      <c r="D480" s="24" t="str">
        <f>VLOOKUP(B480,IF(A480="COMPOSICAO",S!$A:$E,I!$A:$E),3,FALSE)</f>
        <v>CONCRETO MAGRO PARA LASTRO, TRAÇO 1:4,5:4,5 (EM MASSA SECA DE CIMENTO/ AREIA MÉDIA/ BRITA 1) - PREPARO MECÂNICO COM BETONEIRA 400 L. AF_05/2021</v>
      </c>
      <c r="E480" s="23" t="str">
        <f>VLOOKUP(B480,IF(A480="COMPOSICAO",S!$A:$E,I!$A:$E),4,FALSE)</f>
        <v>M3</v>
      </c>
      <c r="F480" s="23">
        <v>0.09</v>
      </c>
      <c r="G480" s="71">
        <f>IF(A480="COMPOSICAO",VLOOKUP("TOTAL SEM BDI - "&amp;B480,CPUAUX1!$A:$J,9,FALSE),VLOOKUP(B480,I!$A:$E,5,FALSE))</f>
        <v>527.55999999999995</v>
      </c>
      <c r="H480" s="72"/>
      <c r="I480" s="71">
        <f t="shared" ref="I480:I485" si="44">TRUNC(F480*G480,2)</f>
        <v>47.48</v>
      </c>
      <c r="J480" s="72"/>
      <c r="M480" s="23">
        <f t="shared" ref="M480:M485" si="45">B480</f>
        <v>94962</v>
      </c>
      <c r="N480" s="5">
        <f>SUMIF(ORCAMENTO!B:B,B479,ORCAMENTO!F:F)</f>
        <v>185</v>
      </c>
      <c r="O480" s="23">
        <f t="shared" ref="O480:O485" si="46">F480*N480</f>
        <v>16.649999999999999</v>
      </c>
      <c r="Q480" s="23">
        <f ca="1">IFERROR(SUMIF(CO!B:B,B479,OFFSET(CO!F:F,0,(4+MATCH(ETAPA,CO!$J$6:$P$6,0)))),0)</f>
        <v>74</v>
      </c>
      <c r="R480" s="23">
        <f t="shared" ref="R480:R485" ca="1" si="47">F480*Q480</f>
        <v>6.66</v>
      </c>
    </row>
    <row r="481" spans="1:18" x14ac:dyDescent="0.3">
      <c r="A481" s="23" t="s">
        <v>1022</v>
      </c>
      <c r="B481" s="23">
        <v>88316</v>
      </c>
      <c r="C481" s="23" t="str">
        <f>VLOOKUP(B481,IF(A481="COMPOSICAO",S!$A:$E,I!$A:$E),2,FALSE)</f>
        <v>SINAPI</v>
      </c>
      <c r="D481" s="24" t="str">
        <f>VLOOKUP(B481,IF(A481="COMPOSICAO",S!$A:$E,I!$A:$E),3,FALSE)</f>
        <v>SERVENTE COM ENCARGOS COMPLEMENTARES</v>
      </c>
      <c r="E481" s="23" t="str">
        <f>VLOOKUP(B481,IF(A481="COMPOSICAO",S!$A:$E,I!$A:$E),4,FALSE)</f>
        <v>H</v>
      </c>
      <c r="F481" s="23">
        <f>0.8519/pcf</f>
        <v>0.85189999999999999</v>
      </c>
      <c r="G481" s="71">
        <f>IF(A481="COMPOSICAO",VLOOKUP("TOTAL SEM BDI - "&amp;B481,CPUAUX1!$A:$J,9,FALSE),VLOOKUP(B481,I!$A:$E,5,FALSE))</f>
        <v>21.71</v>
      </c>
      <c r="H481" s="72"/>
      <c r="I481" s="71">
        <f t="shared" si="44"/>
        <v>18.489999999999998</v>
      </c>
      <c r="J481" s="72"/>
      <c r="M481" s="23">
        <f t="shared" si="45"/>
        <v>88316</v>
      </c>
      <c r="N481" s="5">
        <f>SUMIF(ORCAMENTO!B:B,B479,ORCAMENTO!F:F)</f>
        <v>185</v>
      </c>
      <c r="O481" s="23">
        <f t="shared" si="46"/>
        <v>157.60149999999999</v>
      </c>
      <c r="Q481" s="23">
        <f ca="1">IFERROR(SUMIF(CO!B:B,B479,OFFSET(CO!F:F,0,(4+MATCH(ETAPA,CO!$J$6:$P$6,0)))),0)</f>
        <v>74</v>
      </c>
      <c r="R481" s="23">
        <f t="shared" ca="1" si="47"/>
        <v>63.040599999999998</v>
      </c>
    </row>
    <row r="482" spans="1:18" x14ac:dyDescent="0.3">
      <c r="A482" s="23" t="s">
        <v>1022</v>
      </c>
      <c r="B482" s="23">
        <v>88309</v>
      </c>
      <c r="C482" s="23" t="str">
        <f>VLOOKUP(B482,IF(A482="COMPOSICAO",S!$A:$E,I!$A:$E),2,FALSE)</f>
        <v>SINAPI</v>
      </c>
      <c r="D482" s="24" t="str">
        <f>VLOOKUP(B482,IF(A482="COMPOSICAO",S!$A:$E,I!$A:$E),3,FALSE)</f>
        <v>PEDREIRO COM ENCARGOS COMPLEMENTARES</v>
      </c>
      <c r="E482" s="23" t="str">
        <f>VLOOKUP(B482,IF(A482="COMPOSICAO",S!$A:$E,I!$A:$E),4,FALSE)</f>
        <v>H</v>
      </c>
      <c r="F482" s="23">
        <f>0.8519/pcf</f>
        <v>0.85189999999999999</v>
      </c>
      <c r="G482" s="71">
        <f>IF(A482="COMPOSICAO",VLOOKUP("TOTAL SEM BDI - "&amp;B482,CPUAUX1!$A:$J,9,FALSE),VLOOKUP(B482,I!$A:$E,5,FALSE))</f>
        <v>27.39</v>
      </c>
      <c r="H482" s="72"/>
      <c r="I482" s="71">
        <f t="shared" si="44"/>
        <v>23.33</v>
      </c>
      <c r="J482" s="72"/>
      <c r="M482" s="23">
        <f t="shared" si="45"/>
        <v>88309</v>
      </c>
      <c r="N482" s="5">
        <f>SUMIF(ORCAMENTO!B:B,B479,ORCAMENTO!F:F)</f>
        <v>185</v>
      </c>
      <c r="O482" s="23">
        <f t="shared" si="46"/>
        <v>157.60149999999999</v>
      </c>
      <c r="Q482" s="23">
        <f ca="1">IFERROR(SUMIF(CO!B:B,B479,OFFSET(CO!F:F,0,(4+MATCH(ETAPA,CO!$J$6:$P$6,0)))),0)</f>
        <v>74</v>
      </c>
      <c r="R482" s="23">
        <f t="shared" ca="1" si="47"/>
        <v>63.040599999999998</v>
      </c>
    </row>
    <row r="483" spans="1:18" ht="30" customHeight="1" x14ac:dyDescent="0.3">
      <c r="A483" s="23" t="s">
        <v>1025</v>
      </c>
      <c r="B483" s="23">
        <v>43130</v>
      </c>
      <c r="C483" s="23" t="str">
        <f>VLOOKUP(B483,IF(A483="COMPOSICAO",S!$A:$E,I!$A:$E),2,FALSE)</f>
        <v>SINAPI</v>
      </c>
      <c r="D483" s="24" t="str">
        <f>VLOOKUP(B483,IF(A483="COMPOSICAO",S!$A:$E,I!$A:$E),3,FALSE)</f>
        <v>ARAME GALVANIZADO 12 BWG, D = 2,76 MM (0,048 KG/M) OU 14 BWG, D = 2,11 MM (0,026 KG/M)</v>
      </c>
      <c r="E483" s="23" t="str">
        <f>VLOOKUP(B483,IF(A483="COMPOSICAO",S!$A:$E,I!$A:$E),4,FALSE)</f>
        <v>KG</v>
      </c>
      <c r="F483" s="23">
        <v>7.9000000000000001E-2</v>
      </c>
      <c r="G483" s="71">
        <f>IF(A483="COMPOSICAO",VLOOKUP("TOTAL SEM BDI - "&amp;B483,CPUAUX1!$A:$J,9,FALSE),VLOOKUP(B483,I!$A:$E,5,FALSE))</f>
        <v>21.59</v>
      </c>
      <c r="H483" s="72"/>
      <c r="I483" s="71">
        <f t="shared" si="44"/>
        <v>1.7</v>
      </c>
      <c r="J483" s="72"/>
      <c r="M483" s="23">
        <f t="shared" si="45"/>
        <v>43130</v>
      </c>
      <c r="N483" s="5">
        <f>SUMIF(ORCAMENTO!B:B,B479,ORCAMENTO!F:F)</f>
        <v>185</v>
      </c>
      <c r="O483" s="23">
        <f t="shared" si="46"/>
        <v>14.615</v>
      </c>
      <c r="Q483" s="23">
        <f ca="1">IFERROR(SUMIF(CO!B:B,B479,OFFSET(CO!F:F,0,(4+MATCH(ETAPA,CO!$J$6:$P$6,0)))),0)</f>
        <v>74</v>
      </c>
      <c r="R483" s="23">
        <f t="shared" ca="1" si="47"/>
        <v>5.8460000000000001</v>
      </c>
    </row>
    <row r="484" spans="1:18" ht="30" customHeight="1" x14ac:dyDescent="0.3">
      <c r="A484" s="23" t="s">
        <v>1025</v>
      </c>
      <c r="B484" s="23">
        <v>4114</v>
      </c>
      <c r="C484" s="23" t="str">
        <f>VLOOKUP(B484,IF(A484="COMPOSICAO",S!$A:$E,I!$A:$E),2,FALSE)</f>
        <v>SINAPI</v>
      </c>
      <c r="D484" s="24" t="str">
        <f>VLOOKUP(B484,IF(A484="COMPOSICAO",S!$A:$E,I!$A:$E),3,FALSE)</f>
        <v>MOURAO CONCRETO CURVO, SECAO "T", H = 2,80 M + CURVA COM 0,45 M, COM FUROS PARA FIOS</v>
      </c>
      <c r="E484" s="23" t="str">
        <f>VLOOKUP(B484,IF(A484="COMPOSICAO",S!$A:$E,I!$A:$E),4,FALSE)</f>
        <v>UN</v>
      </c>
      <c r="F484" s="23">
        <v>0.4</v>
      </c>
      <c r="G484" s="71">
        <f>IF(A484="COMPOSICAO",VLOOKUP("TOTAL SEM BDI - "&amp;B484,CPUAUX1!$A:$J,9,FALSE),VLOOKUP(B484,I!$A:$E,5,FALSE))</f>
        <v>64.400000000000006</v>
      </c>
      <c r="H484" s="72"/>
      <c r="I484" s="71">
        <f t="shared" si="44"/>
        <v>25.76</v>
      </c>
      <c r="J484" s="72"/>
      <c r="M484" s="23">
        <f t="shared" si="45"/>
        <v>4114</v>
      </c>
      <c r="N484" s="5">
        <f>SUMIF(ORCAMENTO!B:B,B479,ORCAMENTO!F:F)</f>
        <v>185</v>
      </c>
      <c r="O484" s="23">
        <f t="shared" si="46"/>
        <v>74</v>
      </c>
      <c r="Q484" s="23">
        <f ca="1">IFERROR(SUMIF(CO!B:B,B479,OFFSET(CO!F:F,0,(4+MATCH(ETAPA,CO!$J$6:$P$6,0)))),0)</f>
        <v>74</v>
      </c>
      <c r="R484" s="23">
        <f t="shared" ca="1" si="47"/>
        <v>29.6</v>
      </c>
    </row>
    <row r="485" spans="1:18" ht="30" customHeight="1" x14ac:dyDescent="0.3">
      <c r="A485" s="23" t="s">
        <v>1025</v>
      </c>
      <c r="B485" s="23">
        <v>339</v>
      </c>
      <c r="C485" s="23" t="str">
        <f>VLOOKUP(B485,IF(A485="COMPOSICAO",S!$A:$E,I!$A:$E),2,FALSE)</f>
        <v>SINAPI</v>
      </c>
      <c r="D485" s="24" t="str">
        <f>VLOOKUP(B485,IF(A485="COMPOSICAO",S!$A:$E,I!$A:$E),3,FALSE)</f>
        <v>ARAME FARPADO GALVANIZADO, 14 BWG (2,11 MM), CLASSE 250</v>
      </c>
      <c r="E485" s="23" t="str">
        <f>VLOOKUP(B485,IF(A485="COMPOSICAO",S!$A:$E,I!$A:$E),4,FALSE)</f>
        <v>M</v>
      </c>
      <c r="F485" s="23">
        <v>11</v>
      </c>
      <c r="G485" s="71">
        <f>IF(A485="COMPOSICAO",VLOOKUP("TOTAL SEM BDI - "&amp;B485,CPUAUX1!$A:$J,9,FALSE),VLOOKUP(B485,I!$A:$E,5,FALSE))</f>
        <v>1.32</v>
      </c>
      <c r="H485" s="72"/>
      <c r="I485" s="71">
        <f t="shared" si="44"/>
        <v>14.52</v>
      </c>
      <c r="J485" s="72"/>
      <c r="M485" s="23">
        <f t="shared" si="45"/>
        <v>339</v>
      </c>
      <c r="N485" s="5">
        <f>SUMIF(ORCAMENTO!B:B,B479,ORCAMENTO!F:F)</f>
        <v>185</v>
      </c>
      <c r="O485" s="23">
        <f t="shared" si="46"/>
        <v>2035</v>
      </c>
      <c r="Q485" s="23">
        <f ca="1">IFERROR(SUMIF(CO!B:B,B479,OFFSET(CO!F:F,0,(4+MATCH(ETAPA,CO!$J$6:$P$6,0)))),0)</f>
        <v>74</v>
      </c>
      <c r="R485" s="23">
        <f t="shared" ca="1" si="47"/>
        <v>814</v>
      </c>
    </row>
    <row r="486" spans="1:18" x14ac:dyDescent="0.3">
      <c r="A486" s="68" t="str">
        <f>"TOTAL SEM BDI - "&amp;B479</f>
        <v>TOTAL SEM BDI - 101197</v>
      </c>
      <c r="B486" s="69"/>
      <c r="C486" s="69"/>
      <c r="D486" s="69"/>
      <c r="E486" s="69"/>
      <c r="F486" s="69"/>
      <c r="G486" s="69"/>
      <c r="H486" s="70"/>
      <c r="I486" s="71">
        <f>SUM(I479:I485)</f>
        <v>131.28</v>
      </c>
      <c r="J486" s="72"/>
    </row>
    <row r="487" spans="1:18" x14ac:dyDescent="0.3">
      <c r="A487" s="68" t="str">
        <f>"TAXA DE BDI ("&amp;TEXT(BDI,"00,00")&amp;" %)"</f>
        <v>TAXA DE BDI (24,84 %)</v>
      </c>
      <c r="B487" s="69"/>
      <c r="C487" s="69"/>
      <c r="D487" s="69"/>
      <c r="E487" s="69"/>
      <c r="F487" s="69"/>
      <c r="G487" s="69"/>
      <c r="H487" s="70"/>
      <c r="I487" s="71">
        <f>ROUND(I486*(BDI/100),2)</f>
        <v>32.61</v>
      </c>
      <c r="J487" s="72"/>
    </row>
    <row r="488" spans="1:18" x14ac:dyDescent="0.3">
      <c r="A488" s="68" t="str">
        <f>"TOTAL COM BDI - "&amp;B479</f>
        <v>TOTAL COM BDI - 101197</v>
      </c>
      <c r="B488" s="69"/>
      <c r="C488" s="69"/>
      <c r="D488" s="69"/>
      <c r="E488" s="69"/>
      <c r="F488" s="69"/>
      <c r="G488" s="69"/>
      <c r="H488" s="70"/>
      <c r="I488" s="71">
        <f>SUM(I486:I487)</f>
        <v>163.89</v>
      </c>
      <c r="J488" s="72"/>
    </row>
    <row r="490" spans="1:18" x14ac:dyDescent="0.3">
      <c r="A490" s="4" t="s">
        <v>1018</v>
      </c>
      <c r="B490" s="4" t="s">
        <v>138</v>
      </c>
      <c r="C490" s="4" t="s">
        <v>139</v>
      </c>
      <c r="D490" s="4" t="s">
        <v>21</v>
      </c>
      <c r="E490" s="4" t="s">
        <v>140</v>
      </c>
      <c r="F490" s="4" t="s">
        <v>506</v>
      </c>
      <c r="G490" s="34" t="s">
        <v>1019</v>
      </c>
      <c r="H490" s="35"/>
      <c r="I490" s="34" t="s">
        <v>15</v>
      </c>
      <c r="J490" s="35"/>
    </row>
    <row r="491" spans="1:18" ht="75" customHeight="1" x14ac:dyDescent="0.3">
      <c r="A491" s="15" t="s">
        <v>1073</v>
      </c>
      <c r="B491" s="15" t="s">
        <v>626</v>
      </c>
      <c r="C491" s="15" t="str">
        <f>VLOOKUP(B491,S!$A:$G,2,FALSE)</f>
        <v>PRÓPRIA</v>
      </c>
      <c r="D491" s="22" t="str">
        <f>VLOOKUP(B491,S!$A:$G,3,FALSE)</f>
        <v>ENTRADA DE ENERGIA ELÉTRICA, AÉREA, MONOFÁSICA, COM CAIXA DE EMBUTIR, CABO DE 10 MM2 E DISJUNTOR DIN 50A (NÃO INCLUSO O POSTE DE CONCRETO). AF_07/2020_PS (REF: 101493-SINAPI-06/2025)</v>
      </c>
      <c r="E491" s="15" t="str">
        <f>VLOOKUP(B491,S!$A:$G,4,FALSE)</f>
        <v>UN</v>
      </c>
      <c r="F491" s="15"/>
      <c r="G491" s="73">
        <f>I513</f>
        <v>967.24</v>
      </c>
      <c r="H491" s="74"/>
      <c r="I491" s="73"/>
      <c r="J491" s="74"/>
      <c r="K491" s="16">
        <f>VLOOKUP(B491,S!A:G,5,FALSE)</f>
        <v>0</v>
      </c>
      <c r="L491" s="15" t="s">
        <v>1021</v>
      </c>
    </row>
    <row r="492" spans="1:18" x14ac:dyDescent="0.3">
      <c r="A492" s="23" t="s">
        <v>1025</v>
      </c>
      <c r="B492" s="23">
        <v>39997</v>
      </c>
      <c r="C492" s="23" t="str">
        <f>VLOOKUP(B492,IF(A492="COMPOSICAO",S!$A:$E,I!$A:$E),2,FALSE)</f>
        <v>SINAPI</v>
      </c>
      <c r="D492" s="24" t="str">
        <f>VLOOKUP(B492,IF(A492="COMPOSICAO",S!$A:$E,I!$A:$E),3,FALSE)</f>
        <v>PORCA ZINCADA, SEXTAVADA, DIAMETRO 1/4"</v>
      </c>
      <c r="E492" s="23" t="str">
        <f>VLOOKUP(B492,IF(A492="COMPOSICAO",S!$A:$E,I!$A:$E),4,FALSE)</f>
        <v>UN</v>
      </c>
      <c r="F492" s="23">
        <v>2</v>
      </c>
      <c r="G492" s="71">
        <f>IF(A492="COMPOSICAO",VLOOKUP("TOTAL SEM BDI - "&amp;B492,CPUAUX1!$A:$J,9,FALSE),VLOOKUP(B492,I!$A:$E,5,FALSE))</f>
        <v>0.33</v>
      </c>
      <c r="H492" s="72"/>
      <c r="I492" s="71">
        <f t="shared" ref="I492:I512" si="48">TRUNC(F492*G492,2)</f>
        <v>0.66</v>
      </c>
      <c r="J492" s="72"/>
      <c r="M492" s="23">
        <f t="shared" ref="M492:M512" si="49">B492</f>
        <v>39997</v>
      </c>
      <c r="N492" s="5">
        <f>SUMIF(ORCAMENTO!B:B,B491,ORCAMENTO!F:F)</f>
        <v>5</v>
      </c>
      <c r="O492" s="23">
        <f t="shared" ref="O492:O512" si="50">F492*N492</f>
        <v>10</v>
      </c>
      <c r="Q492" s="23">
        <f ca="1">IFERROR(SUMIF(CO!B:B,B491,OFFSET(CO!F:F,0,(4+MATCH(ETAPA,CO!$J$6:$P$6,0)))),0)</f>
        <v>2</v>
      </c>
      <c r="R492" s="23">
        <f t="shared" ref="R492:R512" ca="1" si="51">F492*Q492</f>
        <v>4</v>
      </c>
    </row>
    <row r="493" spans="1:18" x14ac:dyDescent="0.3">
      <c r="A493" s="23" t="s">
        <v>1025</v>
      </c>
      <c r="B493" s="23">
        <v>39996</v>
      </c>
      <c r="C493" s="23" t="str">
        <f>VLOOKUP(B493,IF(A493="COMPOSICAO",S!$A:$E,I!$A:$E),2,FALSE)</f>
        <v>SINAPI</v>
      </c>
      <c r="D493" s="24" t="str">
        <f>VLOOKUP(B493,IF(A493="COMPOSICAO",S!$A:$E,I!$A:$E),3,FALSE)</f>
        <v>VERGALHAO ZINCADO ROSCA TOTAL, 1/4" (6,3 MM)</v>
      </c>
      <c r="E493" s="23" t="str">
        <f>VLOOKUP(B493,IF(A493="COMPOSICAO",S!$A:$E,I!$A:$E),4,FALSE)</f>
        <v>M</v>
      </c>
      <c r="F493" s="23">
        <v>0.16639999999999999</v>
      </c>
      <c r="G493" s="71">
        <f>IF(A493="COMPOSICAO",VLOOKUP("TOTAL SEM BDI - "&amp;B493,CPUAUX1!$A:$J,9,FALSE),VLOOKUP(B493,I!$A:$E,5,FALSE))</f>
        <v>3.62</v>
      </c>
      <c r="H493" s="72"/>
      <c r="I493" s="71">
        <f t="shared" si="48"/>
        <v>0.6</v>
      </c>
      <c r="J493" s="72"/>
      <c r="M493" s="23">
        <f t="shared" si="49"/>
        <v>39996</v>
      </c>
      <c r="N493" s="5">
        <f>SUMIF(ORCAMENTO!B:B,B491,ORCAMENTO!F:F)</f>
        <v>5</v>
      </c>
      <c r="O493" s="23">
        <f t="shared" si="50"/>
        <v>0.83199999999999996</v>
      </c>
      <c r="Q493" s="23">
        <f ca="1">IFERROR(SUMIF(CO!B:B,B491,OFFSET(CO!F:F,0,(4+MATCH(ETAPA,CO!$J$6:$P$6,0)))),0)</f>
        <v>2</v>
      </c>
      <c r="R493" s="23">
        <f t="shared" ca="1" si="51"/>
        <v>0.33279999999999998</v>
      </c>
    </row>
    <row r="494" spans="1:18" ht="45" customHeight="1" x14ac:dyDescent="0.3">
      <c r="A494" s="23" t="s">
        <v>1025</v>
      </c>
      <c r="B494" s="23">
        <v>39808</v>
      </c>
      <c r="C494" s="23" t="str">
        <f>VLOOKUP(B494,IF(A494="COMPOSICAO",S!$A:$E,I!$A:$E),2,FALSE)</f>
        <v>SINAPI</v>
      </c>
      <c r="D494" s="24" t="str">
        <f>VLOOKUP(B494,IF(A494="COMPOSICAO",S!$A:$E,I!$A:$E),3,FALSE)</f>
        <v>CAIXA PARA MEDIDOR MONOFASICO, EM POLICARBONATO / TERMOPLASTICO, PARA ALOJAR 1 DISJUNTOR (PADRAO DA CONCESSIONARIA LOCAL)</v>
      </c>
      <c r="E494" s="23" t="str">
        <f>VLOOKUP(B494,IF(A494="COMPOSICAO",S!$A:$E,I!$A:$E),4,FALSE)</f>
        <v>UN</v>
      </c>
      <c r="F494" s="23">
        <v>1</v>
      </c>
      <c r="G494" s="71">
        <f>IF(A494="COMPOSICAO",VLOOKUP("TOTAL SEM BDI - "&amp;B494,CPUAUX1!$A:$J,9,FALSE),VLOOKUP(B494,I!$A:$E,5,FALSE))</f>
        <v>98.35</v>
      </c>
      <c r="H494" s="72"/>
      <c r="I494" s="71">
        <f t="shared" si="48"/>
        <v>98.35</v>
      </c>
      <c r="J494" s="72"/>
      <c r="M494" s="23">
        <f t="shared" si="49"/>
        <v>39808</v>
      </c>
      <c r="N494" s="5">
        <f>SUMIF(ORCAMENTO!B:B,B491,ORCAMENTO!F:F)</f>
        <v>5</v>
      </c>
      <c r="O494" s="23">
        <f t="shared" si="50"/>
        <v>5</v>
      </c>
      <c r="Q494" s="23">
        <f ca="1">IFERROR(SUMIF(CO!B:B,B491,OFFSET(CO!F:F,0,(4+MATCH(ETAPA,CO!$J$6:$P$6,0)))),0)</f>
        <v>2</v>
      </c>
      <c r="R494" s="23">
        <f t="shared" ca="1" si="51"/>
        <v>2</v>
      </c>
    </row>
    <row r="495" spans="1:18" ht="45" customHeight="1" x14ac:dyDescent="0.3">
      <c r="A495" s="23" t="s">
        <v>1025</v>
      </c>
      <c r="B495" s="23">
        <v>34643</v>
      </c>
      <c r="C495" s="23" t="str">
        <f>VLOOKUP(B495,IF(A495="COMPOSICAO",S!$A:$E,I!$A:$E),2,FALSE)</f>
        <v>SINAPI</v>
      </c>
      <c r="D495" s="24" t="str">
        <f>VLOOKUP(B495,IF(A495="COMPOSICAO",S!$A:$E,I!$A:$E),3,FALSE)</f>
        <v>CAIXA DE INSPECAO PARA ATERRAMENTO E PARA RAIOS, EM POLIPROPILENO, DIAMETRO = 300 MM X ALTURA = 400 MM (INCLUIDA TAMPA SEM ESCOTILHA)</v>
      </c>
      <c r="E495" s="23" t="str">
        <f>VLOOKUP(B495,IF(A495="COMPOSICAO",S!$A:$E,I!$A:$E),4,FALSE)</f>
        <v>UN</v>
      </c>
      <c r="F495" s="23">
        <v>1</v>
      </c>
      <c r="G495" s="71">
        <f>IF(A495="COMPOSICAO",VLOOKUP("TOTAL SEM BDI - "&amp;B495,CPUAUX1!$A:$J,9,FALSE),VLOOKUP(B495,I!$A:$E,5,FALSE))</f>
        <v>41.96</v>
      </c>
      <c r="H495" s="72"/>
      <c r="I495" s="71">
        <f t="shared" si="48"/>
        <v>41.96</v>
      </c>
      <c r="J495" s="72"/>
      <c r="M495" s="23">
        <f t="shared" si="49"/>
        <v>34643</v>
      </c>
      <c r="N495" s="5">
        <f>SUMIF(ORCAMENTO!B:B,B491,ORCAMENTO!F:F)</f>
        <v>5</v>
      </c>
      <c r="O495" s="23">
        <f t="shared" si="50"/>
        <v>5</v>
      </c>
      <c r="Q495" s="23">
        <f ca="1">IFERROR(SUMIF(CO!B:B,B491,OFFSET(CO!F:F,0,(4+MATCH(ETAPA,CO!$J$6:$P$6,0)))),0)</f>
        <v>2</v>
      </c>
      <c r="R495" s="23">
        <f t="shared" ca="1" si="51"/>
        <v>2</v>
      </c>
    </row>
    <row r="496" spans="1:18" ht="30" customHeight="1" x14ac:dyDescent="0.3">
      <c r="A496" s="23" t="s">
        <v>1025</v>
      </c>
      <c r="B496" s="23">
        <v>14153</v>
      </c>
      <c r="C496" s="23" t="str">
        <f>VLOOKUP(B496,IF(A496="COMPOSICAO",S!$A:$E,I!$A:$E),2,FALSE)</f>
        <v>SINAPI</v>
      </c>
      <c r="D496" s="24" t="str">
        <f>VLOOKUP(B496,IF(A496="COMPOSICAO",S!$A:$E,I!$A:$E),3,FALSE)</f>
        <v>FITA METALICA PERFURADA, L = *18* MM, ROLO DE 30 M, CARGA RECOMENDADA = *30* KGF</v>
      </c>
      <c r="E496" s="23" t="str">
        <f>VLOOKUP(B496,IF(A496="COMPOSICAO",S!$A:$E,I!$A:$E),4,FALSE)</f>
        <v>UN</v>
      </c>
      <c r="F496" s="23">
        <v>0.06</v>
      </c>
      <c r="G496" s="71">
        <f>IF(A496="COMPOSICAO",VLOOKUP("TOTAL SEM BDI - "&amp;B496,CPUAUX1!$A:$J,9,FALSE),VLOOKUP(B496,I!$A:$E,5,FALSE))</f>
        <v>61.66</v>
      </c>
      <c r="H496" s="72"/>
      <c r="I496" s="71">
        <f t="shared" si="48"/>
        <v>3.69</v>
      </c>
      <c r="J496" s="72"/>
      <c r="M496" s="23">
        <f t="shared" si="49"/>
        <v>14153</v>
      </c>
      <c r="N496" s="5">
        <f>SUMIF(ORCAMENTO!B:B,B491,ORCAMENTO!F:F)</f>
        <v>5</v>
      </c>
      <c r="O496" s="23">
        <f t="shared" si="50"/>
        <v>0.3</v>
      </c>
      <c r="Q496" s="23">
        <f ca="1">IFERROR(SUMIF(CO!B:B,B491,OFFSET(CO!F:F,0,(4+MATCH(ETAPA,CO!$J$6:$P$6,0)))),0)</f>
        <v>2</v>
      </c>
      <c r="R496" s="23">
        <f t="shared" ca="1" si="51"/>
        <v>0.12</v>
      </c>
    </row>
    <row r="497" spans="1:18" ht="45" customHeight="1" x14ac:dyDescent="0.3">
      <c r="A497" s="23" t="s">
        <v>1025</v>
      </c>
      <c r="B497" s="23">
        <v>11267</v>
      </c>
      <c r="C497" s="23" t="str">
        <f>VLOOKUP(B497,IF(A497="COMPOSICAO",S!$A:$E,I!$A:$E),2,FALSE)</f>
        <v>SINAPI</v>
      </c>
      <c r="D497" s="24" t="str">
        <f>VLOOKUP(B497,IF(A497="COMPOSICAO",S!$A:$E,I!$A:$E),3,FALSE)</f>
        <v>ARRUELA LISA, REDONDA, DE LATAO POLIDO, DIAMETRO NOMINAL 5/8", DIAMETRO EXTERNO = 34 MM, DIAMETRO DO FURO = 17 MM, ESPESSURA = *2,5* MM</v>
      </c>
      <c r="E497" s="23" t="str">
        <f>VLOOKUP(B497,IF(A497="COMPOSICAO",S!$A:$E,I!$A:$E),4,FALSE)</f>
        <v>UN</v>
      </c>
      <c r="F497" s="23">
        <v>2</v>
      </c>
      <c r="G497" s="71">
        <f>IF(A497="COMPOSICAO",VLOOKUP("TOTAL SEM BDI - "&amp;B497,CPUAUX1!$A:$J,9,FALSE),VLOOKUP(B497,I!$A:$E,5,FALSE))</f>
        <v>1.42</v>
      </c>
      <c r="H497" s="72"/>
      <c r="I497" s="71">
        <f t="shared" si="48"/>
        <v>2.84</v>
      </c>
      <c r="J497" s="72"/>
      <c r="M497" s="23">
        <f t="shared" si="49"/>
        <v>11267</v>
      </c>
      <c r="N497" s="5">
        <f>SUMIF(ORCAMENTO!B:B,B491,ORCAMENTO!F:F)</f>
        <v>5</v>
      </c>
      <c r="O497" s="23">
        <f t="shared" si="50"/>
        <v>10</v>
      </c>
      <c r="Q497" s="23">
        <f ca="1">IFERROR(SUMIF(CO!B:B,B491,OFFSET(CO!F:F,0,(4+MATCH(ETAPA,CO!$J$6:$P$6,0)))),0)</f>
        <v>2</v>
      </c>
      <c r="R497" s="23">
        <f t="shared" ca="1" si="51"/>
        <v>4</v>
      </c>
    </row>
    <row r="498" spans="1:18" ht="45" customHeight="1" x14ac:dyDescent="0.3">
      <c r="A498" s="23" t="s">
        <v>1025</v>
      </c>
      <c r="B498" s="23">
        <v>4346</v>
      </c>
      <c r="C498" s="23" t="str">
        <f>VLOOKUP(B498,IF(A498="COMPOSICAO",S!$A:$E,I!$A:$E),2,FALSE)</f>
        <v>SINAPI</v>
      </c>
      <c r="D498" s="24" t="str">
        <f>VLOOKUP(B498,IF(A498="COMPOSICAO",S!$A:$E,I!$A:$E),3,FALSE)</f>
        <v>PARAFUSO DE FERRO POLIDO, SEXTAVADO, COM ROSCA PARCIAL, DIAMETRO 5/8", COMPRIMENTO 6", COM PORCA E ARRUELA DE PRESSAO MEDIA</v>
      </c>
      <c r="E498" s="23" t="str">
        <f>VLOOKUP(B498,IF(A498="COMPOSICAO",S!$A:$E,I!$A:$E),4,FALSE)</f>
        <v>UN</v>
      </c>
      <c r="F498" s="23">
        <v>3</v>
      </c>
      <c r="G498" s="71">
        <f>IF(A498="COMPOSICAO",VLOOKUP("TOTAL SEM BDI - "&amp;B498,CPUAUX1!$A:$J,9,FALSE),VLOOKUP(B498,I!$A:$E,5,FALSE))</f>
        <v>11.24</v>
      </c>
      <c r="H498" s="72"/>
      <c r="I498" s="71">
        <f t="shared" si="48"/>
        <v>33.72</v>
      </c>
      <c r="J498" s="72"/>
      <c r="M498" s="23">
        <f t="shared" si="49"/>
        <v>4346</v>
      </c>
      <c r="N498" s="5">
        <f>SUMIF(ORCAMENTO!B:B,B491,ORCAMENTO!F:F)</f>
        <v>5</v>
      </c>
      <c r="O498" s="23">
        <f t="shared" si="50"/>
        <v>15</v>
      </c>
      <c r="Q498" s="23">
        <f ca="1">IFERROR(SUMIF(CO!B:B,B491,OFFSET(CO!F:F,0,(4+MATCH(ETAPA,CO!$J$6:$P$6,0)))),0)</f>
        <v>2</v>
      </c>
      <c r="R498" s="23">
        <f t="shared" ca="1" si="51"/>
        <v>6</v>
      </c>
    </row>
    <row r="499" spans="1:18" ht="30" customHeight="1" x14ac:dyDescent="0.3">
      <c r="A499" s="23" t="s">
        <v>1025</v>
      </c>
      <c r="B499" s="23">
        <v>3398</v>
      </c>
      <c r="C499" s="23" t="str">
        <f>VLOOKUP(B499,IF(A499="COMPOSICAO",S!$A:$E,I!$A:$E),2,FALSE)</f>
        <v>SINAPI</v>
      </c>
      <c r="D499" s="24" t="str">
        <f>VLOOKUP(B499,IF(A499="COMPOSICAO",S!$A:$E,I!$A:$E),3,FALSE)</f>
        <v>ISOLADOR DE PORCELANA, TIPO ROLDANA, DIMENSOES DE *72* X *72* MM, PARA USO EM BAIXA TENSAO</v>
      </c>
      <c r="E499" s="23" t="str">
        <f>VLOOKUP(B499,IF(A499="COMPOSICAO",S!$A:$E,I!$A:$E),4,FALSE)</f>
        <v>UN</v>
      </c>
      <c r="F499" s="23">
        <v>1</v>
      </c>
      <c r="G499" s="71">
        <f>IF(A499="COMPOSICAO",VLOOKUP("TOTAL SEM BDI - "&amp;B499,CPUAUX1!$A:$J,9,FALSE),VLOOKUP(B499,I!$A:$E,5,FALSE))</f>
        <v>1.69</v>
      </c>
      <c r="H499" s="72"/>
      <c r="I499" s="71">
        <f t="shared" si="48"/>
        <v>1.69</v>
      </c>
      <c r="J499" s="72"/>
      <c r="M499" s="23">
        <f t="shared" si="49"/>
        <v>3398</v>
      </c>
      <c r="N499" s="5">
        <f>SUMIF(ORCAMENTO!B:B,B491,ORCAMENTO!F:F)</f>
        <v>5</v>
      </c>
      <c r="O499" s="23">
        <f t="shared" si="50"/>
        <v>5</v>
      </c>
      <c r="Q499" s="23">
        <f ca="1">IFERROR(SUMIF(CO!B:B,B491,OFFSET(CO!F:F,0,(4+MATCH(ETAPA,CO!$J$6:$P$6,0)))),0)</f>
        <v>2</v>
      </c>
      <c r="R499" s="23">
        <f t="shared" ca="1" si="51"/>
        <v>2</v>
      </c>
    </row>
    <row r="500" spans="1:18" ht="45" customHeight="1" x14ac:dyDescent="0.3">
      <c r="A500" s="23" t="s">
        <v>1025</v>
      </c>
      <c r="B500" s="23">
        <v>1094</v>
      </c>
      <c r="C500" s="23" t="str">
        <f>VLOOKUP(B500,IF(A500="COMPOSICAO",S!$A:$E,I!$A:$E),2,FALSE)</f>
        <v>SINAPI</v>
      </c>
      <c r="D500" s="24" t="str">
        <f>VLOOKUP(B500,IF(A500="COMPOSICAO",S!$A:$E,I!$A:$E),3,FALSE)</f>
        <v>ARMACAO VERTICAL COM HASTE E CONTRA-PINO, EM CHAPA DE ACO GALVANIZADO 3/16", COM 1 ESTRIBO, SEM ISOLADOR</v>
      </c>
      <c r="E500" s="23" t="str">
        <f>VLOOKUP(B500,IF(A500="COMPOSICAO",S!$A:$E,I!$A:$E),4,FALSE)</f>
        <v>UN</v>
      </c>
      <c r="F500" s="23">
        <v>1</v>
      </c>
      <c r="G500" s="71">
        <f>IF(A500="COMPOSICAO",VLOOKUP("TOTAL SEM BDI - "&amp;B500,CPUAUX1!$A:$J,9,FALSE),VLOOKUP(B500,I!$A:$E,5,FALSE))</f>
        <v>25.72</v>
      </c>
      <c r="H500" s="72"/>
      <c r="I500" s="71">
        <f t="shared" si="48"/>
        <v>25.72</v>
      </c>
      <c r="J500" s="72"/>
      <c r="M500" s="23">
        <f t="shared" si="49"/>
        <v>1094</v>
      </c>
      <c r="N500" s="5">
        <f>SUMIF(ORCAMENTO!B:B,B491,ORCAMENTO!F:F)</f>
        <v>5</v>
      </c>
      <c r="O500" s="23">
        <f t="shared" si="50"/>
        <v>5</v>
      </c>
      <c r="Q500" s="23">
        <f ca="1">IFERROR(SUMIF(CO!B:B,B491,OFFSET(CO!F:F,0,(4+MATCH(ETAPA,CO!$J$6:$P$6,0)))),0)</f>
        <v>2</v>
      </c>
      <c r="R500" s="23">
        <f t="shared" ca="1" si="51"/>
        <v>2</v>
      </c>
    </row>
    <row r="501" spans="1:18" ht="60" customHeight="1" x14ac:dyDescent="0.3">
      <c r="A501" s="23" t="s">
        <v>1022</v>
      </c>
      <c r="B501" s="23">
        <v>104749</v>
      </c>
      <c r="C501" s="23" t="str">
        <f>VLOOKUP(B501,IF(A501="COMPOSICAO",S!$A:$E,I!$A:$E),2,FALSE)</f>
        <v>SINAPI</v>
      </c>
      <c r="D501" s="24" t="str">
        <f>VLOOKUP(B501,IF(A501="COMPOSICAO",S!$A:$E,I!$A:$E),3,FALSE)</f>
        <v>CONECTOR GRAMPO METÁLICO TIPO OLHAL, PARA SPDA, PARA HASTE DE ATERRAMENTO DE 3/4" E CABOS DE 10 A 50 MM2 - FORNECIMENTO E INSTALAÇÃO. AF_08/2023</v>
      </c>
      <c r="E501" s="23" t="str">
        <f>VLOOKUP(B501,IF(A501="COMPOSICAO",S!$A:$E,I!$A:$E),4,FALSE)</f>
        <v>UN</v>
      </c>
      <c r="F501" s="23">
        <v>1</v>
      </c>
      <c r="G501" s="71">
        <f>IF(A501="COMPOSICAO",VLOOKUP("TOTAL SEM BDI - "&amp;B501,CPUAUX1!$A:$J,9,FALSE),VLOOKUP(B501,I!$A:$E,5,FALSE))</f>
        <v>21.5</v>
      </c>
      <c r="H501" s="72"/>
      <c r="I501" s="71">
        <f t="shared" si="48"/>
        <v>21.5</v>
      </c>
      <c r="J501" s="72"/>
      <c r="M501" s="23">
        <f t="shared" si="49"/>
        <v>104749</v>
      </c>
      <c r="N501" s="5">
        <f>SUMIF(ORCAMENTO!B:B,B491,ORCAMENTO!F:F)</f>
        <v>5</v>
      </c>
      <c r="O501" s="23">
        <f t="shared" si="50"/>
        <v>5</v>
      </c>
      <c r="Q501" s="23">
        <f ca="1">IFERROR(SUMIF(CO!B:B,B491,OFFSET(CO!F:F,0,(4+MATCH(ETAPA,CO!$J$6:$P$6,0)))),0)</f>
        <v>2</v>
      </c>
      <c r="R501" s="23">
        <f t="shared" ca="1" si="51"/>
        <v>2</v>
      </c>
    </row>
    <row r="502" spans="1:18" ht="45" customHeight="1" x14ac:dyDescent="0.3">
      <c r="A502" s="23" t="s">
        <v>1022</v>
      </c>
      <c r="B502" s="23">
        <v>96986</v>
      </c>
      <c r="C502" s="23" t="str">
        <f>VLOOKUP(B502,IF(A502="COMPOSICAO",S!$A:$E,I!$A:$E),2,FALSE)</f>
        <v>SINAPI</v>
      </c>
      <c r="D502" s="24" t="str">
        <f>VLOOKUP(B502,IF(A502="COMPOSICAO",S!$A:$E,I!$A:$E),3,FALSE)</f>
        <v>HASTE DE ATERRAMENTO, DIÂMETRO 3/4", COM 3 METROS - FORNECIMENTO E INSTALAÇÃO. AF_08/2023</v>
      </c>
      <c r="E502" s="23" t="str">
        <f>VLOOKUP(B502,IF(A502="COMPOSICAO",S!$A:$E,I!$A:$E),4,FALSE)</f>
        <v>UN</v>
      </c>
      <c r="F502" s="23">
        <v>1</v>
      </c>
      <c r="G502" s="71">
        <f>IF(A502="COMPOSICAO",VLOOKUP("TOTAL SEM BDI - "&amp;B502,CPUAUX1!$A:$J,9,FALSE),VLOOKUP(B502,I!$A:$E,5,FALSE))</f>
        <v>136.6</v>
      </c>
      <c r="H502" s="72"/>
      <c r="I502" s="71">
        <f t="shared" si="48"/>
        <v>136.6</v>
      </c>
      <c r="J502" s="72"/>
      <c r="M502" s="23">
        <f t="shared" si="49"/>
        <v>96986</v>
      </c>
      <c r="N502" s="5">
        <f>SUMIF(ORCAMENTO!B:B,B491,ORCAMENTO!F:F)</f>
        <v>5</v>
      </c>
      <c r="O502" s="23">
        <f t="shared" si="50"/>
        <v>5</v>
      </c>
      <c r="Q502" s="23">
        <f ca="1">IFERROR(SUMIF(CO!B:B,B491,OFFSET(CO!F:F,0,(4+MATCH(ETAPA,CO!$J$6:$P$6,0)))),0)</f>
        <v>2</v>
      </c>
      <c r="R502" s="23">
        <f t="shared" ca="1" si="51"/>
        <v>2</v>
      </c>
    </row>
    <row r="503" spans="1:18" ht="30" customHeight="1" x14ac:dyDescent="0.3">
      <c r="A503" s="23" t="s">
        <v>1022</v>
      </c>
      <c r="B503" s="23">
        <v>96977</v>
      </c>
      <c r="C503" s="23" t="str">
        <f>VLOOKUP(B503,IF(A503="COMPOSICAO",S!$A:$E,I!$A:$E),2,FALSE)</f>
        <v>SINAPI</v>
      </c>
      <c r="D503" s="24" t="str">
        <f>VLOOKUP(B503,IF(A503="COMPOSICAO",S!$A:$E,I!$A:$E),3,FALSE)</f>
        <v>CORDOALHA DE COBRE NU 50 MM², ENTERRADA - FORNECIMENTO E INSTALAÇÃO. AF_08/2023</v>
      </c>
      <c r="E503" s="23" t="str">
        <f>VLOOKUP(B503,IF(A503="COMPOSICAO",S!$A:$E,I!$A:$E),4,FALSE)</f>
        <v>M</v>
      </c>
      <c r="F503" s="23">
        <v>1.95</v>
      </c>
      <c r="G503" s="71">
        <f>IF(A503="COMPOSICAO",VLOOKUP("TOTAL SEM BDI - "&amp;B503,CPUAUX1!$A:$J,9,FALSE),VLOOKUP(B503,I!$A:$E,5,FALSE))</f>
        <v>64.17</v>
      </c>
      <c r="H503" s="72"/>
      <c r="I503" s="71">
        <f t="shared" si="48"/>
        <v>125.13</v>
      </c>
      <c r="J503" s="72"/>
      <c r="M503" s="23">
        <f t="shared" si="49"/>
        <v>96977</v>
      </c>
      <c r="N503" s="5">
        <f>SUMIF(ORCAMENTO!B:B,B491,ORCAMENTO!F:F)</f>
        <v>5</v>
      </c>
      <c r="O503" s="23">
        <f t="shared" si="50"/>
        <v>9.75</v>
      </c>
      <c r="Q503" s="23">
        <f ca="1">IFERROR(SUMIF(CO!B:B,B491,OFFSET(CO!F:F,0,(4+MATCH(ETAPA,CO!$J$6:$P$6,0)))),0)</f>
        <v>2</v>
      </c>
      <c r="R503" s="23">
        <f t="shared" ca="1" si="51"/>
        <v>3.9</v>
      </c>
    </row>
    <row r="504" spans="1:18" ht="45" customHeight="1" x14ac:dyDescent="0.3">
      <c r="A504" s="23" t="s">
        <v>1022</v>
      </c>
      <c r="B504" s="23">
        <v>93659</v>
      </c>
      <c r="C504" s="23" t="str">
        <f>VLOOKUP(B504,IF(A504="COMPOSICAO",S!$A:$E,I!$A:$E),2,FALSE)</f>
        <v>SINAPI</v>
      </c>
      <c r="D504" s="24" t="str">
        <f>VLOOKUP(B504,IF(A504="COMPOSICAO",S!$A:$E,I!$A:$E),3,FALSE)</f>
        <v>DISJUNTOR MONOPOLAR TIPO DIN, CORRENTE NOMINAL DE 50A - FORNECIMENTO E INSTALAÇÃO. AF_10/2020</v>
      </c>
      <c r="E504" s="23" t="str">
        <f>VLOOKUP(B504,IF(A504="COMPOSICAO",S!$A:$E,I!$A:$E),4,FALSE)</f>
        <v>UN</v>
      </c>
      <c r="F504" s="23">
        <v>1</v>
      </c>
      <c r="G504" s="71">
        <f>IF(A504="COMPOSICAO",VLOOKUP("TOTAL SEM BDI - "&amp;B504,CPUAUX1!$A:$J,9,FALSE),VLOOKUP(B504,I!$A:$E,5,FALSE))</f>
        <v>24.439999999999998</v>
      </c>
      <c r="H504" s="72"/>
      <c r="I504" s="71">
        <f t="shared" si="48"/>
        <v>24.44</v>
      </c>
      <c r="J504" s="72"/>
      <c r="M504" s="23">
        <f t="shared" si="49"/>
        <v>93659</v>
      </c>
      <c r="N504" s="5">
        <f>SUMIF(ORCAMENTO!B:B,B491,ORCAMENTO!F:F)</f>
        <v>5</v>
      </c>
      <c r="O504" s="23">
        <f t="shared" si="50"/>
        <v>5</v>
      </c>
      <c r="Q504" s="23">
        <f ca="1">IFERROR(SUMIF(CO!B:B,B491,OFFSET(CO!F:F,0,(4+MATCH(ETAPA,CO!$J$6:$P$6,0)))),0)</f>
        <v>2</v>
      </c>
      <c r="R504" s="23">
        <f t="shared" ca="1" si="51"/>
        <v>2</v>
      </c>
    </row>
    <row r="505" spans="1:18" ht="45" customHeight="1" x14ac:dyDescent="0.3">
      <c r="A505" s="23" t="s">
        <v>1022</v>
      </c>
      <c r="B505" s="23">
        <v>91933</v>
      </c>
      <c r="C505" s="23" t="str">
        <f>VLOOKUP(B505,IF(A505="COMPOSICAO",S!$A:$E,I!$A:$E),2,FALSE)</f>
        <v>SINAPI</v>
      </c>
      <c r="D505" s="24" t="str">
        <f>VLOOKUP(B505,IF(A505="COMPOSICAO",S!$A:$E,I!$A:$E),3,FALSE)</f>
        <v>CABO DE COBRE FLEXÍVEL ISOLADO, 10 MM², ANTI-CHAMA 0,6/1,0 KV, PARA CIRCUITOS TERMINAIS - FORNECIMENTO E INSTALAÇÃO. AF_03/2023</v>
      </c>
      <c r="E505" s="23" t="str">
        <f>VLOOKUP(B505,IF(A505="COMPOSICAO",S!$A:$E,I!$A:$E),4,FALSE)</f>
        <v>M</v>
      </c>
      <c r="F505" s="23">
        <v>11</v>
      </c>
      <c r="G505" s="71">
        <f>IF(A505="COMPOSICAO",VLOOKUP("TOTAL SEM BDI - "&amp;B505,CPUAUX1!$A:$J,9,FALSE),VLOOKUP(B505,I!$A:$E,5,FALSE))</f>
        <v>17.5</v>
      </c>
      <c r="H505" s="72"/>
      <c r="I505" s="71">
        <f t="shared" si="48"/>
        <v>192.5</v>
      </c>
      <c r="J505" s="72"/>
      <c r="M505" s="23">
        <f t="shared" si="49"/>
        <v>91933</v>
      </c>
      <c r="N505" s="5">
        <f>SUMIF(ORCAMENTO!B:B,B491,ORCAMENTO!F:F)</f>
        <v>5</v>
      </c>
      <c r="O505" s="23">
        <f t="shared" si="50"/>
        <v>55</v>
      </c>
      <c r="Q505" s="23">
        <f ca="1">IFERROR(SUMIF(CO!B:B,B491,OFFSET(CO!F:F,0,(4+MATCH(ETAPA,CO!$J$6:$P$6,0)))),0)</f>
        <v>2</v>
      </c>
      <c r="R505" s="23">
        <f t="shared" ca="1" si="51"/>
        <v>22</v>
      </c>
    </row>
    <row r="506" spans="1:18" ht="60" customHeight="1" x14ac:dyDescent="0.3">
      <c r="A506" s="23" t="s">
        <v>1022</v>
      </c>
      <c r="B506" s="23">
        <v>91919</v>
      </c>
      <c r="C506" s="23" t="str">
        <f>VLOOKUP(B506,IF(A506="COMPOSICAO",S!$A:$E,I!$A:$E),2,FALSE)</f>
        <v>SINAPI</v>
      </c>
      <c r="D506" s="24" t="str">
        <f>VLOOKUP(B506,IF(A506="COMPOSICAO",S!$A:$E,I!$A:$E),3,FALSE)</f>
        <v>CURVA 180 GRAUS PARA ELETRODUTO, PVC, ROSCÁVEL, DN 32 MM (1"), PARA CIRCUITOS TERMINAIS, INSTALADA EM PAREDE - FORNECIMENTO E INSTALAÇÃO. AF_03/2023</v>
      </c>
      <c r="E506" s="23" t="str">
        <f>VLOOKUP(B506,IF(A506="COMPOSICAO",S!$A:$E,I!$A:$E),4,FALSE)</f>
        <v>UN</v>
      </c>
      <c r="F506" s="23">
        <v>1</v>
      </c>
      <c r="G506" s="71">
        <f>IF(A506="COMPOSICAO",VLOOKUP("TOTAL SEM BDI - "&amp;B506,CPUAUX1!$A:$J,9,FALSE),VLOOKUP(B506,I!$A:$E,5,FALSE))</f>
        <v>22.47</v>
      </c>
      <c r="H506" s="72"/>
      <c r="I506" s="71">
        <f t="shared" si="48"/>
        <v>22.47</v>
      </c>
      <c r="J506" s="72"/>
      <c r="M506" s="23">
        <f t="shared" si="49"/>
        <v>91919</v>
      </c>
      <c r="N506" s="5">
        <f>SUMIF(ORCAMENTO!B:B,B491,ORCAMENTO!F:F)</f>
        <v>5</v>
      </c>
      <c r="O506" s="23">
        <f t="shared" si="50"/>
        <v>5</v>
      </c>
      <c r="Q506" s="23">
        <f ca="1">IFERROR(SUMIF(CO!B:B,B491,OFFSET(CO!F:F,0,(4+MATCH(ETAPA,CO!$J$6:$P$6,0)))),0)</f>
        <v>2</v>
      </c>
      <c r="R506" s="23">
        <f t="shared" ca="1" si="51"/>
        <v>2</v>
      </c>
    </row>
    <row r="507" spans="1:18" ht="60" customHeight="1" x14ac:dyDescent="0.3">
      <c r="A507" s="23" t="s">
        <v>1022</v>
      </c>
      <c r="B507" s="23">
        <v>91917</v>
      </c>
      <c r="C507" s="23" t="str">
        <f>VLOOKUP(B507,IF(A507="COMPOSICAO",S!$A:$E,I!$A:$E),2,FALSE)</f>
        <v>SINAPI</v>
      </c>
      <c r="D507" s="24" t="str">
        <f>VLOOKUP(B507,IF(A507="COMPOSICAO",S!$A:$E,I!$A:$E),3,FALSE)</f>
        <v>CURVA 90 GRAUS PARA ELETRODUTO, PVC, ROSCÁVEL, DN 32 MM (1"), PARA CIRCUITOS TERMINAIS, INSTALADA EM PAREDE - FORNECIMENTO E INSTALAÇÃO. AF_03/2023</v>
      </c>
      <c r="E507" s="23" t="str">
        <f>VLOOKUP(B507,IF(A507="COMPOSICAO",S!$A:$E,I!$A:$E),4,FALSE)</f>
        <v>UN</v>
      </c>
      <c r="F507" s="23">
        <v>1</v>
      </c>
      <c r="G507" s="71">
        <f>IF(A507="COMPOSICAO",VLOOKUP("TOTAL SEM BDI - "&amp;B507,CPUAUX1!$A:$J,9,FALSE),VLOOKUP(B507,I!$A:$E,5,FALSE))</f>
        <v>20.560000000000002</v>
      </c>
      <c r="H507" s="72"/>
      <c r="I507" s="71">
        <f t="shared" si="48"/>
        <v>20.56</v>
      </c>
      <c r="J507" s="72"/>
      <c r="M507" s="23">
        <f t="shared" si="49"/>
        <v>91917</v>
      </c>
      <c r="N507" s="5">
        <f>SUMIF(ORCAMENTO!B:B,B491,ORCAMENTO!F:F)</f>
        <v>5</v>
      </c>
      <c r="O507" s="23">
        <f t="shared" si="50"/>
        <v>5</v>
      </c>
      <c r="Q507" s="23">
        <f ca="1">IFERROR(SUMIF(CO!B:B,B491,OFFSET(CO!F:F,0,(4+MATCH(ETAPA,CO!$J$6:$P$6,0)))),0)</f>
        <v>2</v>
      </c>
      <c r="R507" s="23">
        <f t="shared" ca="1" si="51"/>
        <v>2</v>
      </c>
    </row>
    <row r="508" spans="1:18" ht="60" customHeight="1" x14ac:dyDescent="0.3">
      <c r="A508" s="23" t="s">
        <v>1022</v>
      </c>
      <c r="B508" s="23">
        <v>91885</v>
      </c>
      <c r="C508" s="23" t="str">
        <f>VLOOKUP(B508,IF(A508="COMPOSICAO",S!$A:$E,I!$A:$E),2,FALSE)</f>
        <v>SINAPI</v>
      </c>
      <c r="D508" s="24" t="str">
        <f>VLOOKUP(B508,IF(A508="COMPOSICAO",S!$A:$E,I!$A:$E),3,FALSE)</f>
        <v>LUVA PARA ELETRODUTO, PVC, ROSCÁVEL, DN 32 MM (1"), PARA CIRCUITOS TERMINAIS, INSTALADA EM PAREDE - FORNECIMENTO E INSTALAÇÃO. AF_03/2023</v>
      </c>
      <c r="E508" s="23" t="str">
        <f>VLOOKUP(B508,IF(A508="COMPOSICAO",S!$A:$E,I!$A:$E),4,FALSE)</f>
        <v>UN</v>
      </c>
      <c r="F508" s="23">
        <v>1</v>
      </c>
      <c r="G508" s="71">
        <f>IF(A508="COMPOSICAO",VLOOKUP("TOTAL SEM BDI - "&amp;B508,CPUAUX1!$A:$J,9,FALSE),VLOOKUP(B508,I!$A:$E,5,FALSE))</f>
        <v>12.65</v>
      </c>
      <c r="H508" s="72"/>
      <c r="I508" s="71">
        <f t="shared" si="48"/>
        <v>12.65</v>
      </c>
      <c r="J508" s="72"/>
      <c r="M508" s="23">
        <f t="shared" si="49"/>
        <v>91885</v>
      </c>
      <c r="N508" s="5">
        <f>SUMIF(ORCAMENTO!B:B,B491,ORCAMENTO!F:F)</f>
        <v>5</v>
      </c>
      <c r="O508" s="23">
        <f t="shared" si="50"/>
        <v>5</v>
      </c>
      <c r="Q508" s="23">
        <f ca="1">IFERROR(SUMIF(CO!B:B,B491,OFFSET(CO!F:F,0,(4+MATCH(ETAPA,CO!$J$6:$P$6,0)))),0)</f>
        <v>2</v>
      </c>
      <c r="R508" s="23">
        <f t="shared" ca="1" si="51"/>
        <v>2</v>
      </c>
    </row>
    <row r="509" spans="1:18" ht="60" customHeight="1" x14ac:dyDescent="0.3">
      <c r="A509" s="23" t="s">
        <v>1022</v>
      </c>
      <c r="B509" s="23">
        <v>91872</v>
      </c>
      <c r="C509" s="23" t="str">
        <f>VLOOKUP(B509,IF(A509="COMPOSICAO",S!$A:$E,I!$A:$E),2,FALSE)</f>
        <v>SINAPI</v>
      </c>
      <c r="D509" s="24" t="str">
        <f>VLOOKUP(B509,IF(A509="COMPOSICAO",S!$A:$E,I!$A:$E),3,FALSE)</f>
        <v>ELETRODUTO RÍGIDO ROSCÁVEL, PVC, DN 32 MM (1"), PARA CIRCUITOS TERMINAIS, INSTALADO EM PAREDE - FORNECIMENTO E INSTALAÇÃO. AF_03/2023</v>
      </c>
      <c r="E509" s="23" t="str">
        <f>VLOOKUP(B509,IF(A509="COMPOSICAO",S!$A:$E,I!$A:$E),4,FALSE)</f>
        <v>M</v>
      </c>
      <c r="F509" s="23">
        <v>6.05</v>
      </c>
      <c r="G509" s="71">
        <f>IF(A509="COMPOSICAO",VLOOKUP("TOTAL SEM BDI - "&amp;B509,CPUAUX1!$A:$J,9,FALSE),VLOOKUP(B509,I!$A:$E,5,FALSE))</f>
        <v>18.170000000000002</v>
      </c>
      <c r="H509" s="72"/>
      <c r="I509" s="71">
        <f t="shared" si="48"/>
        <v>109.92</v>
      </c>
      <c r="J509" s="72"/>
      <c r="M509" s="23">
        <f t="shared" si="49"/>
        <v>91872</v>
      </c>
      <c r="N509" s="5">
        <f>SUMIF(ORCAMENTO!B:B,B491,ORCAMENTO!F:F)</f>
        <v>5</v>
      </c>
      <c r="O509" s="23">
        <f t="shared" si="50"/>
        <v>30.25</v>
      </c>
      <c r="Q509" s="23">
        <f ca="1">IFERROR(SUMIF(CO!B:B,B491,OFFSET(CO!F:F,0,(4+MATCH(ETAPA,CO!$J$6:$P$6,0)))),0)</f>
        <v>2</v>
      </c>
      <c r="R509" s="23">
        <f t="shared" ca="1" si="51"/>
        <v>12.1</v>
      </c>
    </row>
    <row r="510" spans="1:18" x14ac:dyDescent="0.3">
      <c r="A510" s="23" t="s">
        <v>1022</v>
      </c>
      <c r="B510" s="23">
        <v>88264</v>
      </c>
      <c r="C510" s="23" t="str">
        <f>VLOOKUP(B510,IF(A510="COMPOSICAO",S!$A:$E,I!$A:$E),2,FALSE)</f>
        <v>SINAPI</v>
      </c>
      <c r="D510" s="24" t="str">
        <f>VLOOKUP(B510,IF(A510="COMPOSICAO",S!$A:$E,I!$A:$E),3,FALSE)</f>
        <v>ELETRICISTA COM ENCARGOS COMPLEMENTARES</v>
      </c>
      <c r="E510" s="23" t="str">
        <f>VLOOKUP(B510,IF(A510="COMPOSICAO",S!$A:$E,I!$A:$E),4,FALSE)</f>
        <v>H</v>
      </c>
      <c r="F510" s="23">
        <f>2.8463/pcf</f>
        <v>2.8462999999999998</v>
      </c>
      <c r="G510" s="71">
        <f>IF(A510="COMPOSICAO",VLOOKUP("TOTAL SEM BDI - "&amp;B510,CPUAUX1!$A:$J,9,FALSE),VLOOKUP(B510,I!$A:$E,5,FALSE))</f>
        <v>27.74</v>
      </c>
      <c r="H510" s="72"/>
      <c r="I510" s="71">
        <f t="shared" si="48"/>
        <v>78.95</v>
      </c>
      <c r="J510" s="72"/>
      <c r="M510" s="23">
        <f t="shared" si="49"/>
        <v>88264</v>
      </c>
      <c r="N510" s="5">
        <f>SUMIF(ORCAMENTO!B:B,B491,ORCAMENTO!F:F)</f>
        <v>5</v>
      </c>
      <c r="O510" s="23">
        <f t="shared" si="50"/>
        <v>14.231499999999999</v>
      </c>
      <c r="Q510" s="23">
        <f ca="1">IFERROR(SUMIF(CO!B:B,B491,OFFSET(CO!F:F,0,(4+MATCH(ETAPA,CO!$J$6:$P$6,0)))),0)</f>
        <v>2</v>
      </c>
      <c r="R510" s="23">
        <f t="shared" ca="1" si="51"/>
        <v>5.6925999999999997</v>
      </c>
    </row>
    <row r="511" spans="1:18" ht="30" customHeight="1" x14ac:dyDescent="0.3">
      <c r="A511" s="23" t="s">
        <v>1022</v>
      </c>
      <c r="B511" s="23">
        <v>88247</v>
      </c>
      <c r="C511" s="23" t="str">
        <f>VLOOKUP(B511,IF(A511="COMPOSICAO",S!$A:$E,I!$A:$E),2,FALSE)</f>
        <v>SINAPI</v>
      </c>
      <c r="D511" s="24" t="str">
        <f>VLOOKUP(B511,IF(A511="COMPOSICAO",S!$A:$E,I!$A:$E),3,FALSE)</f>
        <v>AUXILIAR DE ELETRICISTA COM ENCARGOS COMPLEMENTARES</v>
      </c>
      <c r="E511" s="23" t="str">
        <f>VLOOKUP(B511,IF(A511="COMPOSICAO",S!$A:$E,I!$A:$E),4,FALSE)</f>
        <v>H</v>
      </c>
      <c r="F511" s="23">
        <f>0.3162/pcf</f>
        <v>0.31619999999999998</v>
      </c>
      <c r="G511" s="71">
        <f>IF(A511="COMPOSICAO",VLOOKUP("TOTAL SEM BDI - "&amp;B511,CPUAUX1!$A:$J,9,FALSE),VLOOKUP(B511,I!$A:$E,5,FALSE))</f>
        <v>22.810000000000002</v>
      </c>
      <c r="H511" s="72"/>
      <c r="I511" s="71">
        <f t="shared" si="48"/>
        <v>7.21</v>
      </c>
      <c r="J511" s="72"/>
      <c r="M511" s="23">
        <f t="shared" si="49"/>
        <v>88247</v>
      </c>
      <c r="N511" s="5">
        <f>SUMIF(ORCAMENTO!B:B,B491,ORCAMENTO!F:F)</f>
        <v>5</v>
      </c>
      <c r="O511" s="23">
        <f t="shared" si="50"/>
        <v>1.581</v>
      </c>
      <c r="Q511" s="23">
        <f ca="1">IFERROR(SUMIF(CO!B:B,B491,OFFSET(CO!F:F,0,(4+MATCH(ETAPA,CO!$J$6:$P$6,0)))),0)</f>
        <v>2</v>
      </c>
      <c r="R511" s="23">
        <f t="shared" ca="1" si="51"/>
        <v>0.63239999999999996</v>
      </c>
    </row>
    <row r="512" spans="1:18" ht="60" customHeight="1" x14ac:dyDescent="0.3">
      <c r="A512" s="23" t="s">
        <v>1022</v>
      </c>
      <c r="B512" s="23">
        <v>87367</v>
      </c>
      <c r="C512" s="23" t="str">
        <f>VLOOKUP(B512,IF(A512="COMPOSICAO",S!$A:$E,I!$A:$E),2,FALSE)</f>
        <v>SINAPI</v>
      </c>
      <c r="D512" s="24" t="str">
        <f>VLOOKUP(B512,IF(A512="COMPOSICAO",S!$A:$E,I!$A:$E),3,FALSE)</f>
        <v>ARGAMASSA TRAÇO 1:1:6 (EM VOLUME DE CIMENTO, CAL E AREIA MÉDIA ÚMIDA) PARA EMBOÇO/MASSA ÚNICA/ASSENTAMENTO DE ALVENARIA DE VEDAÇÃO, PREPARO MANUAL. AF_08/2019</v>
      </c>
      <c r="E512" s="23" t="str">
        <f>VLOOKUP(B512,IF(A512="COMPOSICAO",S!$A:$E,I!$A:$E),4,FALSE)</f>
        <v>M3</v>
      </c>
      <c r="F512" s="23">
        <v>8.0000000000000002E-3</v>
      </c>
      <c r="G512" s="71">
        <f>IF(A512="COMPOSICAO",VLOOKUP("TOTAL SEM BDI - "&amp;B512,CPUAUX1!$A:$J,9,FALSE),VLOOKUP(B512,I!$A:$E,5,FALSE))</f>
        <v>760.22</v>
      </c>
      <c r="H512" s="72"/>
      <c r="I512" s="71">
        <f t="shared" si="48"/>
        <v>6.08</v>
      </c>
      <c r="J512" s="72"/>
      <c r="M512" s="23">
        <f t="shared" si="49"/>
        <v>87367</v>
      </c>
      <c r="N512" s="5">
        <f>SUMIF(ORCAMENTO!B:B,B491,ORCAMENTO!F:F)</f>
        <v>5</v>
      </c>
      <c r="O512" s="23">
        <f t="shared" si="50"/>
        <v>0.04</v>
      </c>
      <c r="Q512" s="23">
        <f ca="1">IFERROR(SUMIF(CO!B:B,B491,OFFSET(CO!F:F,0,(4+MATCH(ETAPA,CO!$J$6:$P$6,0)))),0)</f>
        <v>2</v>
      </c>
      <c r="R512" s="23">
        <f t="shared" ca="1" si="51"/>
        <v>1.6E-2</v>
      </c>
    </row>
    <row r="513" spans="1:18" x14ac:dyDescent="0.3">
      <c r="A513" s="68" t="str">
        <f>"TOTAL SEM BDI - "&amp;B491</f>
        <v>TOTAL SEM BDI - COMPINST05</v>
      </c>
      <c r="B513" s="69"/>
      <c r="C513" s="69"/>
      <c r="D513" s="69"/>
      <c r="E513" s="69"/>
      <c r="F513" s="69"/>
      <c r="G513" s="69"/>
      <c r="H513" s="70"/>
      <c r="I513" s="71">
        <f>SUM(I491:I512)</f>
        <v>967.24</v>
      </c>
      <c r="J513" s="72"/>
    </row>
    <row r="514" spans="1:18" x14ac:dyDescent="0.3">
      <c r="A514" s="68" t="str">
        <f>"TAXA DE BDI ("&amp;TEXT(BDI,"00,00")&amp;" %)"</f>
        <v>TAXA DE BDI (24,84 %)</v>
      </c>
      <c r="B514" s="69"/>
      <c r="C514" s="69"/>
      <c r="D514" s="69"/>
      <c r="E514" s="69"/>
      <c r="F514" s="69"/>
      <c r="G514" s="69"/>
      <c r="H514" s="70"/>
      <c r="I514" s="71">
        <f>ROUND(I513*(BDI/100),2)</f>
        <v>240.26</v>
      </c>
      <c r="J514" s="72"/>
    </row>
    <row r="515" spans="1:18" x14ac:dyDescent="0.3">
      <c r="A515" s="68" t="str">
        <f>"TOTAL COM BDI - "&amp;B491</f>
        <v>TOTAL COM BDI - COMPINST05</v>
      </c>
      <c r="B515" s="69"/>
      <c r="C515" s="69"/>
      <c r="D515" s="69"/>
      <c r="E515" s="69"/>
      <c r="F515" s="69"/>
      <c r="G515" s="69"/>
      <c r="H515" s="70"/>
      <c r="I515" s="71">
        <f>SUM(I513:I514)</f>
        <v>1207.5</v>
      </c>
      <c r="J515" s="72"/>
    </row>
    <row r="517" spans="1:18" x14ac:dyDescent="0.3">
      <c r="A517" s="4" t="s">
        <v>1018</v>
      </c>
      <c r="B517" s="4" t="s">
        <v>138</v>
      </c>
      <c r="C517" s="4" t="s">
        <v>139</v>
      </c>
      <c r="D517" s="4" t="s">
        <v>21</v>
      </c>
      <c r="E517" s="4" t="s">
        <v>140</v>
      </c>
      <c r="F517" s="4" t="s">
        <v>506</v>
      </c>
      <c r="G517" s="34" t="s">
        <v>1019</v>
      </c>
      <c r="H517" s="35"/>
      <c r="I517" s="34" t="s">
        <v>15</v>
      </c>
      <c r="J517" s="35"/>
    </row>
    <row r="518" spans="1:18" ht="45" customHeight="1" x14ac:dyDescent="0.3">
      <c r="A518" s="15" t="s">
        <v>1074</v>
      </c>
      <c r="B518" s="15">
        <v>93656</v>
      </c>
      <c r="C518" s="15" t="str">
        <f>VLOOKUP(B518,S!$A:$G,2,FALSE)</f>
        <v>SINAPI</v>
      </c>
      <c r="D518" s="22" t="str">
        <f>VLOOKUP(B518,S!$A:$G,3,FALSE)</f>
        <v>DISJUNTOR MONOPOLAR TIPO DIN, CORRENTE NOMINAL DE 25A - FORNECIMENTO E INSTALAÇÃO. AF_10/2020</v>
      </c>
      <c r="E518" s="15" t="str">
        <f>VLOOKUP(B518,S!$A:$G,4,FALSE)</f>
        <v>UN</v>
      </c>
      <c r="F518" s="15"/>
      <c r="G518" s="73">
        <f>I523</f>
        <v>13.33</v>
      </c>
      <c r="H518" s="74"/>
      <c r="I518" s="73"/>
      <c r="J518" s="74"/>
      <c r="K518" s="16">
        <f>VLOOKUP(B518,S!A:G,5,FALSE)</f>
        <v>13.33</v>
      </c>
      <c r="L518" s="15" t="str">
        <f>IF(K518=G518,"OK, CONFORME TABELA",IF(G518&gt;K518,"ACIMA DA TABELA: ","ABAIXO DA TABELA: ")&amp;TRUNC((G518*100)/K518,2)&amp;" %")</f>
        <v>OK, CONFORME TABELA</v>
      </c>
    </row>
    <row r="519" spans="1:18" x14ac:dyDescent="0.3">
      <c r="A519" s="23" t="s">
        <v>1022</v>
      </c>
      <c r="B519" s="23">
        <v>88264</v>
      </c>
      <c r="C519" s="23" t="str">
        <f>VLOOKUP(B519,IF(A519="COMPOSICAO",S!$A:$E,I!$A:$E),2,FALSE)</f>
        <v>SINAPI</v>
      </c>
      <c r="D519" s="24" t="str">
        <f>VLOOKUP(B519,IF(A519="COMPOSICAO",S!$A:$E,I!$A:$E),3,FALSE)</f>
        <v>ELETRICISTA COM ENCARGOS COMPLEMENTARES</v>
      </c>
      <c r="E519" s="23" t="str">
        <f>VLOOKUP(B519,IF(A519="COMPOSICAO",S!$A:$E,I!$A:$E),4,FALSE)</f>
        <v>H</v>
      </c>
      <c r="F519" s="23">
        <f>0.0663/pcf</f>
        <v>6.6299999999999998E-2</v>
      </c>
      <c r="G519" s="71">
        <f>IF(A519="COMPOSICAO",VLOOKUP("TOTAL SEM BDI - "&amp;B519,CPUAUX1!$A:$J,9,FALSE),VLOOKUP(B519,I!$A:$E,5,FALSE))</f>
        <v>27.74</v>
      </c>
      <c r="H519" s="72"/>
      <c r="I519" s="71">
        <f>TRUNC(F519*G519,2)</f>
        <v>1.83</v>
      </c>
      <c r="J519" s="72"/>
      <c r="M519" s="23">
        <f>B519</f>
        <v>88264</v>
      </c>
      <c r="N519" s="5">
        <f>SUMIF(ORCAMENTO!B:B,B518,ORCAMENTO!F:F)</f>
        <v>5</v>
      </c>
      <c r="O519" s="23">
        <f>F519*N519</f>
        <v>0.33150000000000002</v>
      </c>
      <c r="Q519" s="23">
        <f ca="1">IFERROR(SUMIF(CO!B:B,B518,OFFSET(CO!F:F,0,(4+MATCH(ETAPA,CO!$J$6:$P$6,0)))),0)</f>
        <v>2</v>
      </c>
      <c r="R519" s="23">
        <f ca="1">F519*Q519</f>
        <v>0.1326</v>
      </c>
    </row>
    <row r="520" spans="1:18" ht="30" customHeight="1" x14ac:dyDescent="0.3">
      <c r="A520" s="23" t="s">
        <v>1022</v>
      </c>
      <c r="B520" s="23">
        <v>88247</v>
      </c>
      <c r="C520" s="23" t="str">
        <f>VLOOKUP(B520,IF(A520="COMPOSICAO",S!$A:$E,I!$A:$E),2,FALSE)</f>
        <v>SINAPI</v>
      </c>
      <c r="D520" s="24" t="str">
        <f>VLOOKUP(B520,IF(A520="COMPOSICAO",S!$A:$E,I!$A:$E),3,FALSE)</f>
        <v>AUXILIAR DE ELETRICISTA COM ENCARGOS COMPLEMENTARES</v>
      </c>
      <c r="E520" s="23" t="str">
        <f>VLOOKUP(B520,IF(A520="COMPOSICAO",S!$A:$E,I!$A:$E),4,FALSE)</f>
        <v>H</v>
      </c>
      <c r="F520" s="23">
        <f>0.0663/pcf</f>
        <v>6.6299999999999998E-2</v>
      </c>
      <c r="G520" s="71">
        <f>IF(A520="COMPOSICAO",VLOOKUP("TOTAL SEM BDI - "&amp;B520,CPUAUX1!$A:$J,9,FALSE),VLOOKUP(B520,I!$A:$E,5,FALSE))</f>
        <v>22.810000000000002</v>
      </c>
      <c r="H520" s="72"/>
      <c r="I520" s="71">
        <f>TRUNC(F520*G520,2)</f>
        <v>1.51</v>
      </c>
      <c r="J520" s="72"/>
      <c r="M520" s="23">
        <f>B520</f>
        <v>88247</v>
      </c>
      <c r="N520" s="5">
        <f>SUMIF(ORCAMENTO!B:B,B518,ORCAMENTO!F:F)</f>
        <v>5</v>
      </c>
      <c r="O520" s="23">
        <f>F520*N520</f>
        <v>0.33150000000000002</v>
      </c>
      <c r="Q520" s="23">
        <f ca="1">IFERROR(SUMIF(CO!B:B,B518,OFFSET(CO!F:F,0,(4+MATCH(ETAPA,CO!$J$6:$P$6,0)))),0)</f>
        <v>2</v>
      </c>
      <c r="R520" s="23">
        <f ca="1">F520*Q520</f>
        <v>0.1326</v>
      </c>
    </row>
    <row r="521" spans="1:18" ht="30" customHeight="1" x14ac:dyDescent="0.3">
      <c r="A521" s="23" t="s">
        <v>1025</v>
      </c>
      <c r="B521" s="23">
        <v>34653</v>
      </c>
      <c r="C521" s="23" t="str">
        <f>VLOOKUP(B521,IF(A521="COMPOSICAO",S!$A:$E,I!$A:$E),2,FALSE)</f>
        <v>SINAPI</v>
      </c>
      <c r="D521" s="24" t="str">
        <f>VLOOKUP(B521,IF(A521="COMPOSICAO",S!$A:$E,I!$A:$E),3,FALSE)</f>
        <v>DISJUNTOR TERMOMAGNETICO PARA TRILHO DIN (IEC), MONOPOLAR, 6 - 32 A</v>
      </c>
      <c r="E521" s="23" t="str">
        <f>VLOOKUP(B521,IF(A521="COMPOSICAO",S!$A:$E,I!$A:$E),4,FALSE)</f>
        <v>UN</v>
      </c>
      <c r="F521" s="23">
        <v>1</v>
      </c>
      <c r="G521" s="71">
        <f>IF(A521="COMPOSICAO",VLOOKUP("TOTAL SEM BDI - "&amp;B521,CPUAUX1!$A:$J,9,FALSE),VLOOKUP(B521,I!$A:$E,5,FALSE))</f>
        <v>8.33</v>
      </c>
      <c r="H521" s="72"/>
      <c r="I521" s="71">
        <f>TRUNC(F521*G521,2)</f>
        <v>8.33</v>
      </c>
      <c r="J521" s="72"/>
      <c r="M521" s="23">
        <f>B521</f>
        <v>34653</v>
      </c>
      <c r="N521" s="5">
        <f>SUMIF(ORCAMENTO!B:B,B518,ORCAMENTO!F:F)</f>
        <v>5</v>
      </c>
      <c r="O521" s="23">
        <f>F521*N521</f>
        <v>5</v>
      </c>
      <c r="Q521" s="23">
        <f ca="1">IFERROR(SUMIF(CO!B:B,B518,OFFSET(CO!F:F,0,(4+MATCH(ETAPA,CO!$J$6:$P$6,0)))),0)</f>
        <v>2</v>
      </c>
      <c r="R521" s="23">
        <f ca="1">F521*Q521</f>
        <v>2</v>
      </c>
    </row>
    <row r="522" spans="1:18" ht="45" customHeight="1" x14ac:dyDescent="0.3">
      <c r="A522" s="23" t="s">
        <v>1025</v>
      </c>
      <c r="B522" s="23">
        <v>1571</v>
      </c>
      <c r="C522" s="23" t="str">
        <f>VLOOKUP(B522,IF(A522="COMPOSICAO",S!$A:$E,I!$A:$E),2,FALSE)</f>
        <v>SINAPI</v>
      </c>
      <c r="D522" s="24" t="str">
        <f>VLOOKUP(B522,IF(A522="COMPOSICAO",S!$A:$E,I!$A:$E),3,FALSE)</f>
        <v>TERMINAL A COMPRESSAO EM COBRE ESTANHADO PARA CABO 4 MM2, 1 FURO E 1 COMPRESSAO, PARA PARAFUSO DE FIXACAO M5</v>
      </c>
      <c r="E522" s="23" t="str">
        <f>VLOOKUP(B522,IF(A522="COMPOSICAO",S!$A:$E,I!$A:$E),4,FALSE)</f>
        <v>UN</v>
      </c>
      <c r="F522" s="23">
        <v>1</v>
      </c>
      <c r="G522" s="71">
        <f>IF(A522="COMPOSICAO",VLOOKUP("TOTAL SEM BDI - "&amp;B522,CPUAUX1!$A:$J,9,FALSE),VLOOKUP(B522,I!$A:$E,5,FALSE))</f>
        <v>1.66</v>
      </c>
      <c r="H522" s="72"/>
      <c r="I522" s="71">
        <f>TRUNC(F522*G522,2)</f>
        <v>1.66</v>
      </c>
      <c r="J522" s="72"/>
      <c r="M522" s="23">
        <f>B522</f>
        <v>1571</v>
      </c>
      <c r="N522" s="5">
        <f>SUMIF(ORCAMENTO!B:B,B518,ORCAMENTO!F:F)</f>
        <v>5</v>
      </c>
      <c r="O522" s="23">
        <f>F522*N522</f>
        <v>5</v>
      </c>
      <c r="Q522" s="23">
        <f ca="1">IFERROR(SUMIF(CO!B:B,B518,OFFSET(CO!F:F,0,(4+MATCH(ETAPA,CO!$J$6:$P$6,0)))),0)</f>
        <v>2</v>
      </c>
      <c r="R522" s="23">
        <f ca="1">F522*Q522</f>
        <v>2</v>
      </c>
    </row>
    <row r="523" spans="1:18" x14ac:dyDescent="0.3">
      <c r="A523" s="68" t="str">
        <f>"TOTAL SEM BDI - "&amp;B518</f>
        <v>TOTAL SEM BDI - 93656</v>
      </c>
      <c r="B523" s="69"/>
      <c r="C523" s="69"/>
      <c r="D523" s="69"/>
      <c r="E523" s="69"/>
      <c r="F523" s="69"/>
      <c r="G523" s="69"/>
      <c r="H523" s="70"/>
      <c r="I523" s="71">
        <f>SUM(I518:I522)</f>
        <v>13.33</v>
      </c>
      <c r="J523" s="72"/>
    </row>
    <row r="524" spans="1:18" x14ac:dyDescent="0.3">
      <c r="A524" s="68" t="str">
        <f>"TAXA DE BDI ("&amp;TEXT(BDI,"00,00")&amp;" %)"</f>
        <v>TAXA DE BDI (24,84 %)</v>
      </c>
      <c r="B524" s="69"/>
      <c r="C524" s="69"/>
      <c r="D524" s="69"/>
      <c r="E524" s="69"/>
      <c r="F524" s="69"/>
      <c r="G524" s="69"/>
      <c r="H524" s="70"/>
      <c r="I524" s="71">
        <f>ROUND(I523*(BDI/100),2)</f>
        <v>3.31</v>
      </c>
      <c r="J524" s="72"/>
    </row>
    <row r="525" spans="1:18" x14ac:dyDescent="0.3">
      <c r="A525" s="68" t="str">
        <f>"TOTAL COM BDI - "&amp;B518</f>
        <v>TOTAL COM BDI - 93656</v>
      </c>
      <c r="B525" s="69"/>
      <c r="C525" s="69"/>
      <c r="D525" s="69"/>
      <c r="E525" s="69"/>
      <c r="F525" s="69"/>
      <c r="G525" s="69"/>
      <c r="H525" s="70"/>
      <c r="I525" s="71">
        <f>SUM(I523:I524)</f>
        <v>16.64</v>
      </c>
      <c r="J525" s="72"/>
    </row>
    <row r="527" spans="1:18" x14ac:dyDescent="0.3">
      <c r="A527" s="4" t="s">
        <v>1018</v>
      </c>
      <c r="B527" s="4" t="s">
        <v>138</v>
      </c>
      <c r="C527" s="4" t="s">
        <v>139</v>
      </c>
      <c r="D527" s="4" t="s">
        <v>21</v>
      </c>
      <c r="E527" s="4" t="s">
        <v>140</v>
      </c>
      <c r="F527" s="4" t="s">
        <v>506</v>
      </c>
      <c r="G527" s="34" t="s">
        <v>1019</v>
      </c>
      <c r="H527" s="35"/>
      <c r="I527" s="34" t="s">
        <v>15</v>
      </c>
      <c r="J527" s="35"/>
    </row>
    <row r="528" spans="1:18" ht="45" customHeight="1" x14ac:dyDescent="0.3">
      <c r="A528" s="15" t="s">
        <v>1074</v>
      </c>
      <c r="B528" s="15">
        <v>93653</v>
      </c>
      <c r="C528" s="15" t="str">
        <f>VLOOKUP(B528,S!$A:$G,2,FALSE)</f>
        <v>SINAPI</v>
      </c>
      <c r="D528" s="22" t="str">
        <f>VLOOKUP(B528,S!$A:$G,3,FALSE)</f>
        <v>DISJUNTOR MONOPOLAR TIPO DIN, CORRENTE NOMINAL DE 10A - FORNECIMENTO E INSTALAÇÃO. AF_10/2020</v>
      </c>
      <c r="E528" s="15" t="str">
        <f>VLOOKUP(B528,S!$A:$G,4,FALSE)</f>
        <v>UN</v>
      </c>
      <c r="F528" s="15"/>
      <c r="G528" s="73">
        <f>I533</f>
        <v>11.379999999999999</v>
      </c>
      <c r="H528" s="74"/>
      <c r="I528" s="73"/>
      <c r="J528" s="74"/>
      <c r="K528" s="16">
        <f>VLOOKUP(B528,S!A:G,5,FALSE)</f>
        <v>11.38</v>
      </c>
      <c r="L528" s="15" t="str">
        <f>IF(K528=G528,"OK, CONFORME TABELA",IF(G528&gt;K528,"ACIMA DA TABELA: ","ABAIXO DA TABELA: ")&amp;TRUNC((G528*100)/K528,2)&amp;" %")</f>
        <v>OK, CONFORME TABELA</v>
      </c>
    </row>
    <row r="529" spans="1:18" x14ac:dyDescent="0.3">
      <c r="A529" s="23" t="s">
        <v>1022</v>
      </c>
      <c r="B529" s="23">
        <v>88264</v>
      </c>
      <c r="C529" s="23" t="str">
        <f>VLOOKUP(B529,IF(A529="COMPOSICAO",S!$A:$E,I!$A:$E),2,FALSE)</f>
        <v>SINAPI</v>
      </c>
      <c r="D529" s="24" t="str">
        <f>VLOOKUP(B529,IF(A529="COMPOSICAO",S!$A:$E,I!$A:$E),3,FALSE)</f>
        <v>ELETRICISTA COM ENCARGOS COMPLEMENTARES</v>
      </c>
      <c r="E529" s="23" t="str">
        <f>VLOOKUP(B529,IF(A529="COMPOSICAO",S!$A:$E,I!$A:$E),4,FALSE)</f>
        <v>H</v>
      </c>
      <c r="F529" s="23">
        <f>0.0352/pcf</f>
        <v>3.5200000000000002E-2</v>
      </c>
      <c r="G529" s="71">
        <f>IF(A529="COMPOSICAO",VLOOKUP("TOTAL SEM BDI - "&amp;B529,CPUAUX1!$A:$J,9,FALSE),VLOOKUP(B529,I!$A:$E,5,FALSE))</f>
        <v>27.74</v>
      </c>
      <c r="H529" s="72"/>
      <c r="I529" s="71">
        <f>TRUNC(F529*G529,2)</f>
        <v>0.97</v>
      </c>
      <c r="J529" s="72"/>
      <c r="M529" s="23">
        <f>B529</f>
        <v>88264</v>
      </c>
      <c r="N529" s="5">
        <f>SUMIF(ORCAMENTO!B:B,B528,ORCAMENTO!F:F)</f>
        <v>5</v>
      </c>
      <c r="O529" s="23">
        <f>F529*N529</f>
        <v>0.17600000000000002</v>
      </c>
      <c r="Q529" s="23">
        <f ca="1">IFERROR(SUMIF(CO!B:B,B528,OFFSET(CO!F:F,0,(4+MATCH(ETAPA,CO!$J$6:$P$6,0)))),0)</f>
        <v>2</v>
      </c>
      <c r="R529" s="23">
        <f ca="1">F529*Q529</f>
        <v>7.0400000000000004E-2</v>
      </c>
    </row>
    <row r="530" spans="1:18" ht="30" customHeight="1" x14ac:dyDescent="0.3">
      <c r="A530" s="23" t="s">
        <v>1022</v>
      </c>
      <c r="B530" s="23">
        <v>88247</v>
      </c>
      <c r="C530" s="23" t="str">
        <f>VLOOKUP(B530,IF(A530="COMPOSICAO",S!$A:$E,I!$A:$E),2,FALSE)</f>
        <v>SINAPI</v>
      </c>
      <c r="D530" s="24" t="str">
        <f>VLOOKUP(B530,IF(A530="COMPOSICAO",S!$A:$E,I!$A:$E),3,FALSE)</f>
        <v>AUXILIAR DE ELETRICISTA COM ENCARGOS COMPLEMENTARES</v>
      </c>
      <c r="E530" s="23" t="str">
        <f>VLOOKUP(B530,IF(A530="COMPOSICAO",S!$A:$E,I!$A:$E),4,FALSE)</f>
        <v>H</v>
      </c>
      <c r="F530" s="23">
        <f>0.0352/pcf</f>
        <v>3.5200000000000002E-2</v>
      </c>
      <c r="G530" s="71">
        <f>IF(A530="COMPOSICAO",VLOOKUP("TOTAL SEM BDI - "&amp;B530,CPUAUX1!$A:$J,9,FALSE),VLOOKUP(B530,I!$A:$E,5,FALSE))</f>
        <v>22.810000000000002</v>
      </c>
      <c r="H530" s="72"/>
      <c r="I530" s="71">
        <f>TRUNC(F530*G530,2)</f>
        <v>0.8</v>
      </c>
      <c r="J530" s="72"/>
      <c r="M530" s="23">
        <f>B530</f>
        <v>88247</v>
      </c>
      <c r="N530" s="5">
        <f>SUMIF(ORCAMENTO!B:B,B528,ORCAMENTO!F:F)</f>
        <v>5</v>
      </c>
      <c r="O530" s="23">
        <f>F530*N530</f>
        <v>0.17600000000000002</v>
      </c>
      <c r="Q530" s="23">
        <f ca="1">IFERROR(SUMIF(CO!B:B,B528,OFFSET(CO!F:F,0,(4+MATCH(ETAPA,CO!$J$6:$P$6,0)))),0)</f>
        <v>2</v>
      </c>
      <c r="R530" s="23">
        <f ca="1">F530*Q530</f>
        <v>7.0400000000000004E-2</v>
      </c>
    </row>
    <row r="531" spans="1:18" ht="30" customHeight="1" x14ac:dyDescent="0.3">
      <c r="A531" s="23" t="s">
        <v>1025</v>
      </c>
      <c r="B531" s="23">
        <v>34653</v>
      </c>
      <c r="C531" s="23" t="str">
        <f>VLOOKUP(B531,IF(A531="COMPOSICAO",S!$A:$E,I!$A:$E),2,FALSE)</f>
        <v>SINAPI</v>
      </c>
      <c r="D531" s="24" t="str">
        <f>VLOOKUP(B531,IF(A531="COMPOSICAO",S!$A:$E,I!$A:$E),3,FALSE)</f>
        <v>DISJUNTOR TERMOMAGNETICO PARA TRILHO DIN (IEC), MONOPOLAR, 6 - 32 A</v>
      </c>
      <c r="E531" s="23" t="str">
        <f>VLOOKUP(B531,IF(A531="COMPOSICAO",S!$A:$E,I!$A:$E),4,FALSE)</f>
        <v>UN</v>
      </c>
      <c r="F531" s="23">
        <v>1</v>
      </c>
      <c r="G531" s="71">
        <f>IF(A531="COMPOSICAO",VLOOKUP("TOTAL SEM BDI - "&amp;B531,CPUAUX1!$A:$J,9,FALSE),VLOOKUP(B531,I!$A:$E,5,FALSE))</f>
        <v>8.33</v>
      </c>
      <c r="H531" s="72"/>
      <c r="I531" s="71">
        <f>TRUNC(F531*G531,2)</f>
        <v>8.33</v>
      </c>
      <c r="J531" s="72"/>
      <c r="M531" s="23">
        <f>B531</f>
        <v>34653</v>
      </c>
      <c r="N531" s="5">
        <f>SUMIF(ORCAMENTO!B:B,B528,ORCAMENTO!F:F)</f>
        <v>5</v>
      </c>
      <c r="O531" s="23">
        <f>F531*N531</f>
        <v>5</v>
      </c>
      <c r="Q531" s="23">
        <f ca="1">IFERROR(SUMIF(CO!B:B,B528,OFFSET(CO!F:F,0,(4+MATCH(ETAPA,CO!$J$6:$P$6,0)))),0)</f>
        <v>2</v>
      </c>
      <c r="R531" s="23">
        <f ca="1">F531*Q531</f>
        <v>2</v>
      </c>
    </row>
    <row r="532" spans="1:18" ht="45" customHeight="1" x14ac:dyDescent="0.3">
      <c r="A532" s="23" t="s">
        <v>1025</v>
      </c>
      <c r="B532" s="23">
        <v>1570</v>
      </c>
      <c r="C532" s="23" t="str">
        <f>VLOOKUP(B532,IF(A532="COMPOSICAO",S!$A:$E,I!$A:$E),2,FALSE)</f>
        <v>SINAPI</v>
      </c>
      <c r="D532" s="24" t="str">
        <f>VLOOKUP(B532,IF(A532="COMPOSICAO",S!$A:$E,I!$A:$E),3,FALSE)</f>
        <v>TERMINAL A COMPRESSAO EM COBRE ESTANHADO PARA CABO 2,5 MM2, 1 FURO E 1 COMPRESSAO, PARA PARAFUSO DE FIXACAO M5</v>
      </c>
      <c r="E532" s="23" t="str">
        <f>VLOOKUP(B532,IF(A532="COMPOSICAO",S!$A:$E,I!$A:$E),4,FALSE)</f>
        <v>UN</v>
      </c>
      <c r="F532" s="23">
        <v>1</v>
      </c>
      <c r="G532" s="71">
        <f>IF(A532="COMPOSICAO",VLOOKUP("TOTAL SEM BDI - "&amp;B532,CPUAUX1!$A:$J,9,FALSE),VLOOKUP(B532,I!$A:$E,5,FALSE))</f>
        <v>1.28</v>
      </c>
      <c r="H532" s="72"/>
      <c r="I532" s="71">
        <f>TRUNC(F532*G532,2)</f>
        <v>1.28</v>
      </c>
      <c r="J532" s="72"/>
      <c r="M532" s="23">
        <f>B532</f>
        <v>1570</v>
      </c>
      <c r="N532" s="5">
        <f>SUMIF(ORCAMENTO!B:B,B528,ORCAMENTO!F:F)</f>
        <v>5</v>
      </c>
      <c r="O532" s="23">
        <f>F532*N532</f>
        <v>5</v>
      </c>
      <c r="Q532" s="23">
        <f ca="1">IFERROR(SUMIF(CO!B:B,B528,OFFSET(CO!F:F,0,(4+MATCH(ETAPA,CO!$J$6:$P$6,0)))),0)</f>
        <v>2</v>
      </c>
      <c r="R532" s="23">
        <f ca="1">F532*Q532</f>
        <v>2</v>
      </c>
    </row>
    <row r="533" spans="1:18" x14ac:dyDescent="0.3">
      <c r="A533" s="68" t="str">
        <f>"TOTAL SEM BDI - "&amp;B528</f>
        <v>TOTAL SEM BDI - 93653</v>
      </c>
      <c r="B533" s="69"/>
      <c r="C533" s="69"/>
      <c r="D533" s="69"/>
      <c r="E533" s="69"/>
      <c r="F533" s="69"/>
      <c r="G533" s="69"/>
      <c r="H533" s="70"/>
      <c r="I533" s="71">
        <f>SUM(I528:I532)</f>
        <v>11.379999999999999</v>
      </c>
      <c r="J533" s="72"/>
    </row>
    <row r="534" spans="1:18" x14ac:dyDescent="0.3">
      <c r="A534" s="68" t="str">
        <f>"TAXA DE BDI ("&amp;TEXT(BDI,"00,00")&amp;" %)"</f>
        <v>TAXA DE BDI (24,84 %)</v>
      </c>
      <c r="B534" s="69"/>
      <c r="C534" s="69"/>
      <c r="D534" s="69"/>
      <c r="E534" s="69"/>
      <c r="F534" s="69"/>
      <c r="G534" s="69"/>
      <c r="H534" s="70"/>
      <c r="I534" s="71">
        <f>ROUND(I533*(BDI/100),2)</f>
        <v>2.83</v>
      </c>
      <c r="J534" s="72"/>
    </row>
    <row r="535" spans="1:18" x14ac:dyDescent="0.3">
      <c r="A535" s="68" t="str">
        <f>"TOTAL COM BDI - "&amp;B528</f>
        <v>TOTAL COM BDI - 93653</v>
      </c>
      <c r="B535" s="69"/>
      <c r="C535" s="69"/>
      <c r="D535" s="69"/>
      <c r="E535" s="69"/>
      <c r="F535" s="69"/>
      <c r="G535" s="69"/>
      <c r="H535" s="70"/>
      <c r="I535" s="71">
        <f>SUM(I533:I534)</f>
        <v>14.209999999999999</v>
      </c>
      <c r="J535" s="72"/>
    </row>
    <row r="537" spans="1:18" x14ac:dyDescent="0.3">
      <c r="A537" s="4" t="s">
        <v>1018</v>
      </c>
      <c r="B537" s="4" t="s">
        <v>138</v>
      </c>
      <c r="C537" s="4" t="s">
        <v>139</v>
      </c>
      <c r="D537" s="4" t="s">
        <v>21</v>
      </c>
      <c r="E537" s="4" t="s">
        <v>140</v>
      </c>
      <c r="F537" s="4" t="s">
        <v>506</v>
      </c>
      <c r="G537" s="34" t="s">
        <v>1019</v>
      </c>
      <c r="H537" s="35"/>
      <c r="I537" s="34" t="s">
        <v>15</v>
      </c>
      <c r="J537" s="35"/>
    </row>
    <row r="538" spans="1:18" ht="30" customHeight="1" x14ac:dyDescent="0.3">
      <c r="A538" s="15" t="s">
        <v>516</v>
      </c>
      <c r="B538" s="15" t="s">
        <v>630</v>
      </c>
      <c r="C538" s="15" t="str">
        <f>VLOOKUP(B538,S!$A:$G,2,FALSE)</f>
        <v>ORSE</v>
      </c>
      <c r="D538" s="22" t="str">
        <f>VLOOKUP(B538,S!$A:$G,3,FALSE)</f>
        <v>DISPOSITIVO DE PROTEÇÃO CONTRA SURTO DE TENSÃO DPS 60KA - 275V</v>
      </c>
      <c r="E538" s="15" t="str">
        <f>VLOOKUP(B538,S!$A:$G,4,FALSE)</f>
        <v>UN</v>
      </c>
      <c r="F538" s="15"/>
      <c r="G538" s="73">
        <f>I544</f>
        <v>88.050000000000011</v>
      </c>
      <c r="H538" s="74"/>
      <c r="I538" s="73"/>
      <c r="J538" s="74"/>
      <c r="K538" s="16">
        <f>VLOOKUP(B538,S!A:G,5,FALSE)</f>
        <v>87.62</v>
      </c>
      <c r="L538" s="15" t="str">
        <f>IF(K538=G538,"OK, CONFORME TABELA",IF(G538&gt;K538,"ACIMA DA TABELA: ","ABAIXO DA TABELA: ")&amp;TRUNC((G538*100)/K538,2)&amp;" %")</f>
        <v>ACIMA DA TABELA: 100,49 %</v>
      </c>
    </row>
    <row r="539" spans="1:18" ht="30" customHeight="1" x14ac:dyDescent="0.3">
      <c r="A539" s="23" t="s">
        <v>1025</v>
      </c>
      <c r="B539" s="23" t="s">
        <v>1075</v>
      </c>
      <c r="C539" s="23" t="str">
        <f>VLOOKUP(B539,IF(A539="COMPOSICAO",S!$A:$E,I!$A:$E),2,FALSE)</f>
        <v>ORSE</v>
      </c>
      <c r="D539" s="24" t="str">
        <f>VLOOKUP(B539,IF(A539="COMPOSICAO",S!$A:$E,I!$A:$E),3,FALSE)</f>
        <v>DISPOSITIVO DE PROTEÇÃO CONTRA SURTO DE TENSÃO DPS 60KA - 275V (PARA-RAIO)</v>
      </c>
      <c r="E539" s="23" t="str">
        <f>VLOOKUP(B539,IF(A539="COMPOSICAO",S!$A:$E,I!$A:$E),4,FALSE)</f>
        <v>UN</v>
      </c>
      <c r="F539" s="23">
        <v>1</v>
      </c>
      <c r="G539" s="71">
        <f>IF(A539="COMPOSICAO",VLOOKUP("TOTAL SEM BDI - "&amp;B539,CPUAUX1!$A:$J,9,FALSE),VLOOKUP(B539,I!$A:$E,5,FALSE))</f>
        <v>75.2</v>
      </c>
      <c r="H539" s="72"/>
      <c r="I539" s="71">
        <f>TRUNC(F539*G539,2)</f>
        <v>75.2</v>
      </c>
      <c r="J539" s="72"/>
      <c r="M539" s="23" t="str">
        <f>B539</f>
        <v>09225/ORSE</v>
      </c>
      <c r="N539" s="5">
        <f>SUMIF(ORCAMENTO!B:B,B538,ORCAMENTO!F:F)</f>
        <v>5</v>
      </c>
      <c r="O539" s="23">
        <f>F539*N539</f>
        <v>5</v>
      </c>
      <c r="Q539" s="23">
        <f ca="1">IFERROR(SUMIF(CO!B:B,B538,OFFSET(CO!F:F,0,(4+MATCH(ETAPA,CO!$J$6:$P$6,0)))),0)</f>
        <v>2</v>
      </c>
      <c r="R539" s="23">
        <f ca="1">F539*Q539</f>
        <v>2</v>
      </c>
    </row>
    <row r="540" spans="1:18" x14ac:dyDescent="0.3">
      <c r="A540" s="23" t="s">
        <v>1025</v>
      </c>
      <c r="B540" s="23">
        <v>2436</v>
      </c>
      <c r="C540" s="23" t="str">
        <f>VLOOKUP(B540,IF(A540="COMPOSICAO",S!$A:$E,I!$A:$E),2,FALSE)</f>
        <v>SINAPI</v>
      </c>
      <c r="D540" s="24" t="str">
        <f>VLOOKUP(B540,IF(A540="COMPOSICAO",S!$A:$E,I!$A:$E),3,FALSE)</f>
        <v>ELETRICISTA (HORISTA)</v>
      </c>
      <c r="E540" s="23" t="str">
        <f>VLOOKUP(B540,IF(A540="COMPOSICAO",S!$A:$E,I!$A:$E),4,FALSE)</f>
        <v>H</v>
      </c>
      <c r="F540" s="23">
        <f>0.3/pcf</f>
        <v>0.3</v>
      </c>
      <c r="G540" s="71">
        <f>IF(A540="COMPOSICAO",VLOOKUP("TOTAL SEM BDI - "&amp;B540,CPUAUX1!$A:$J,9,FALSE),VLOOKUP(B540,I!$A:$E,5,FALSE))</f>
        <v>20.329999999999998</v>
      </c>
      <c r="H540" s="72"/>
      <c r="I540" s="71">
        <f>TRUNC(F540*G540,2)</f>
        <v>6.09</v>
      </c>
      <c r="J540" s="72"/>
      <c r="M540" s="23">
        <f>B540</f>
        <v>2436</v>
      </c>
      <c r="N540" s="5">
        <f>SUMIF(ORCAMENTO!B:B,B538,ORCAMENTO!F:F)</f>
        <v>5</v>
      </c>
      <c r="O540" s="23">
        <f>F540*N540</f>
        <v>1.5</v>
      </c>
      <c r="Q540" s="23">
        <f ca="1">IFERROR(SUMIF(CO!B:B,B538,OFFSET(CO!F:F,0,(4+MATCH(ETAPA,CO!$J$6:$P$6,0)))),0)</f>
        <v>2</v>
      </c>
      <c r="R540" s="23">
        <f ca="1">F540*Q540</f>
        <v>0.6</v>
      </c>
    </row>
    <row r="541" spans="1:18" x14ac:dyDescent="0.3">
      <c r="A541" s="23" t="s">
        <v>1025</v>
      </c>
      <c r="B541" s="23">
        <v>6111</v>
      </c>
      <c r="C541" s="23" t="str">
        <f>VLOOKUP(B541,IF(A541="COMPOSICAO",S!$A:$E,I!$A:$E),2,FALSE)</f>
        <v>SINAPI</v>
      </c>
      <c r="D541" s="24" t="str">
        <f>VLOOKUP(B541,IF(A541="COMPOSICAO",S!$A:$E,I!$A:$E),3,FALSE)</f>
        <v>SERVENTE DE OBRAS (HORISTA)</v>
      </c>
      <c r="E541" s="23" t="str">
        <f>VLOOKUP(B541,IF(A541="COMPOSICAO",S!$A:$E,I!$A:$E),4,FALSE)</f>
        <v>H</v>
      </c>
      <c r="F541" s="23">
        <f>0.3/pcf</f>
        <v>0.3</v>
      </c>
      <c r="G541" s="71">
        <f>IF(A541="COMPOSICAO",VLOOKUP("TOTAL SEM BDI - "&amp;B541,CPUAUX1!$A:$J,9,FALSE),VLOOKUP(B541,I!$A:$E,5,FALSE))</f>
        <v>14.86</v>
      </c>
      <c r="H541" s="72"/>
      <c r="I541" s="71">
        <f>TRUNC(F541*G541,2)</f>
        <v>4.45</v>
      </c>
      <c r="J541" s="72"/>
      <c r="M541" s="23">
        <f>B541</f>
        <v>6111</v>
      </c>
      <c r="N541" s="5">
        <f>SUMIF(ORCAMENTO!B:B,B538,ORCAMENTO!F:F)</f>
        <v>5</v>
      </c>
      <c r="O541" s="23">
        <f>F541*N541</f>
        <v>1.5</v>
      </c>
      <c r="Q541" s="23">
        <f ca="1">IFERROR(SUMIF(CO!B:B,B538,OFFSET(CO!F:F,0,(4+MATCH(ETAPA,CO!$J$6:$P$6,0)))),0)</f>
        <v>2</v>
      </c>
      <c r="R541" s="23">
        <f ca="1">F541*Q541</f>
        <v>0.6</v>
      </c>
    </row>
    <row r="542" spans="1:18" x14ac:dyDescent="0.3">
      <c r="A542" s="23" t="s">
        <v>1022</v>
      </c>
      <c r="B542" s="23" t="s">
        <v>1076</v>
      </c>
      <c r="C542" s="23" t="str">
        <f>VLOOKUP(B542,IF(A542="COMPOSICAO",S!$A:$E,I!$A:$E),2,FALSE)</f>
        <v>ORSE</v>
      </c>
      <c r="D542" s="24" t="str">
        <f>VLOOKUP(B542,IF(A542="COMPOSICAO",S!$A:$E,I!$A:$E),3,FALSE)</f>
        <v>ENCARGOS COMPLEMENTARES - SERVENTE</v>
      </c>
      <c r="E542" s="23" t="str">
        <f>VLOOKUP(B542,IF(A542="COMPOSICAO",S!$A:$E,I!$A:$E),4,FALSE)</f>
        <v>H</v>
      </c>
      <c r="F542" s="23">
        <f>0.3/pcf</f>
        <v>0.3</v>
      </c>
      <c r="G542" s="71">
        <f>IF(A542="COMPOSICAO",VLOOKUP("TOTAL SEM BDI - "&amp;B542,CPUAUX1!$A:$J,9,FALSE),VLOOKUP(B542,I!$A:$E,5,FALSE))</f>
        <v>3.9599999999999991</v>
      </c>
      <c r="H542" s="72"/>
      <c r="I542" s="71">
        <f>TRUNC(F542*G542,2)</f>
        <v>1.18</v>
      </c>
      <c r="J542" s="72"/>
      <c r="M542" s="23" t="str">
        <f>B542</f>
        <v>10549/ORSE</v>
      </c>
      <c r="N542" s="5">
        <f>SUMIF(ORCAMENTO!B:B,B538,ORCAMENTO!F:F)</f>
        <v>5</v>
      </c>
      <c r="O542" s="23">
        <f>F542*N542</f>
        <v>1.5</v>
      </c>
      <c r="Q542" s="23">
        <f ca="1">IFERROR(SUMIF(CO!B:B,B538,OFFSET(CO!F:F,0,(4+MATCH(ETAPA,CO!$J$6:$P$6,0)))),0)</f>
        <v>2</v>
      </c>
      <c r="R542" s="23">
        <f ca="1">F542*Q542</f>
        <v>0.6</v>
      </c>
    </row>
    <row r="543" spans="1:18" x14ac:dyDescent="0.3">
      <c r="A543" s="23" t="s">
        <v>1022</v>
      </c>
      <c r="B543" s="23" t="s">
        <v>1077</v>
      </c>
      <c r="C543" s="23" t="str">
        <f>VLOOKUP(B543,IF(A543="COMPOSICAO",S!$A:$E,I!$A:$E),2,FALSE)</f>
        <v>ORSE</v>
      </c>
      <c r="D543" s="24" t="str">
        <f>VLOOKUP(B543,IF(A543="COMPOSICAO",S!$A:$E,I!$A:$E),3,FALSE)</f>
        <v>ENCARGOS COMPLEMENTARES - ELETRICISTA</v>
      </c>
      <c r="E543" s="23" t="str">
        <f>VLOOKUP(B543,IF(A543="COMPOSICAO",S!$A:$E,I!$A:$E),4,FALSE)</f>
        <v>H</v>
      </c>
      <c r="F543" s="23">
        <f>0.3/pcf</f>
        <v>0.3</v>
      </c>
      <c r="G543" s="71">
        <f>IF(A543="COMPOSICAO",VLOOKUP("TOTAL SEM BDI - "&amp;B543,CPUAUX1!$A:$J,9,FALSE),VLOOKUP(B543,I!$A:$E,5,FALSE))</f>
        <v>3.7799999999999989</v>
      </c>
      <c r="H543" s="72"/>
      <c r="I543" s="71">
        <f>TRUNC(F543*G543,2)</f>
        <v>1.1299999999999999</v>
      </c>
      <c r="J543" s="72"/>
      <c r="M543" s="23" t="str">
        <f>B543</f>
        <v>10552/ORSE</v>
      </c>
      <c r="N543" s="5">
        <f>SUMIF(ORCAMENTO!B:B,B538,ORCAMENTO!F:F)</f>
        <v>5</v>
      </c>
      <c r="O543" s="23">
        <f>F543*N543</f>
        <v>1.5</v>
      </c>
      <c r="Q543" s="23">
        <f ca="1">IFERROR(SUMIF(CO!B:B,B538,OFFSET(CO!F:F,0,(4+MATCH(ETAPA,CO!$J$6:$P$6,0)))),0)</f>
        <v>2</v>
      </c>
      <c r="R543" s="23">
        <f ca="1">F543*Q543</f>
        <v>0.6</v>
      </c>
    </row>
    <row r="544" spans="1:18" x14ac:dyDescent="0.3">
      <c r="A544" s="68" t="str">
        <f>"TOTAL SEM BDI - "&amp;B538</f>
        <v>TOTAL SEM BDI - 09041/ORSE</v>
      </c>
      <c r="B544" s="69"/>
      <c r="C544" s="69"/>
      <c r="D544" s="69"/>
      <c r="E544" s="69"/>
      <c r="F544" s="69"/>
      <c r="G544" s="69"/>
      <c r="H544" s="70"/>
      <c r="I544" s="71">
        <f>SUM(I538:I543)</f>
        <v>88.050000000000011</v>
      </c>
      <c r="J544" s="72"/>
    </row>
    <row r="545" spans="1:18" x14ac:dyDescent="0.3">
      <c r="A545" s="68" t="str">
        <f>"TAXA DE BDI ("&amp;TEXT(BDI,"00,00")&amp;" %)"</f>
        <v>TAXA DE BDI (24,84 %)</v>
      </c>
      <c r="B545" s="69"/>
      <c r="C545" s="69"/>
      <c r="D545" s="69"/>
      <c r="E545" s="69"/>
      <c r="F545" s="69"/>
      <c r="G545" s="69"/>
      <c r="H545" s="70"/>
      <c r="I545" s="71">
        <f>ROUND(I544*(BDI/100),2)</f>
        <v>21.87</v>
      </c>
      <c r="J545" s="72"/>
    </row>
    <row r="546" spans="1:18" x14ac:dyDescent="0.3">
      <c r="A546" s="68" t="str">
        <f>"TOTAL COM BDI - "&amp;B538</f>
        <v>TOTAL COM BDI - 09041/ORSE</v>
      </c>
      <c r="B546" s="69"/>
      <c r="C546" s="69"/>
      <c r="D546" s="69"/>
      <c r="E546" s="69"/>
      <c r="F546" s="69"/>
      <c r="G546" s="69"/>
      <c r="H546" s="70"/>
      <c r="I546" s="71">
        <f>SUM(I544:I545)</f>
        <v>109.92000000000002</v>
      </c>
      <c r="J546" s="72"/>
    </row>
    <row r="548" spans="1:18" x14ac:dyDescent="0.3">
      <c r="A548" s="4" t="s">
        <v>1018</v>
      </c>
      <c r="B548" s="4" t="s">
        <v>138</v>
      </c>
      <c r="C548" s="4" t="s">
        <v>139</v>
      </c>
      <c r="D548" s="4" t="s">
        <v>21</v>
      </c>
      <c r="E548" s="4" t="s">
        <v>140</v>
      </c>
      <c r="F548" s="4" t="s">
        <v>506</v>
      </c>
      <c r="G548" s="34" t="s">
        <v>1019</v>
      </c>
      <c r="H548" s="35"/>
      <c r="I548" s="34" t="s">
        <v>15</v>
      </c>
      <c r="J548" s="35"/>
    </row>
    <row r="549" spans="1:18" ht="45" customHeight="1" x14ac:dyDescent="0.3">
      <c r="A549" s="15" t="s">
        <v>1074</v>
      </c>
      <c r="B549" s="15">
        <v>101877</v>
      </c>
      <c r="C549" s="15" t="str">
        <f>VLOOKUP(B549,S!$A:$G,2,FALSE)</f>
        <v>SINAPI</v>
      </c>
      <c r="D549" s="22" t="str">
        <f>VLOOKUP(B549,S!$A:$G,3,FALSE)</f>
        <v>QUADRO DE DISTRIBUIÇÃO DE ENERGIA EM PVC, DE EMBUTIR, SEM BARRAMENTO, PARA 3 DISJUNTORES - FORNECIMENTO E INSTALAÇÃO. AF_10/2020</v>
      </c>
      <c r="E549" s="15" t="str">
        <f>VLOOKUP(B549,S!$A:$G,4,FALSE)</f>
        <v>UN</v>
      </c>
      <c r="F549" s="15"/>
      <c r="G549" s="73">
        <f>I554</f>
        <v>63.51</v>
      </c>
      <c r="H549" s="74"/>
      <c r="I549" s="73"/>
      <c r="J549" s="74"/>
      <c r="K549" s="16">
        <f>VLOOKUP(B549,S!A:G,5,FALSE)</f>
        <v>63.51</v>
      </c>
      <c r="L549" s="15" t="str">
        <f>IF(K549=G549,"OK, CONFORME TABELA",IF(G549&gt;K549,"ACIMA DA TABELA: ","ABAIXO DA TABELA: ")&amp;TRUNC((G549*100)/K549,2)&amp;" %")</f>
        <v>OK, CONFORME TABELA</v>
      </c>
    </row>
    <row r="550" spans="1:18" x14ac:dyDescent="0.3">
      <c r="A550" s="23" t="s">
        <v>1022</v>
      </c>
      <c r="B550" s="23">
        <v>88264</v>
      </c>
      <c r="C550" s="23" t="str">
        <f>VLOOKUP(B550,IF(A550="COMPOSICAO",S!$A:$E,I!$A:$E),2,FALSE)</f>
        <v>SINAPI</v>
      </c>
      <c r="D550" s="24" t="str">
        <f>VLOOKUP(B550,IF(A550="COMPOSICAO",S!$A:$E,I!$A:$E),3,FALSE)</f>
        <v>ELETRICISTA COM ENCARGOS COMPLEMENTARES</v>
      </c>
      <c r="E550" s="23" t="str">
        <f>VLOOKUP(B550,IF(A550="COMPOSICAO",S!$A:$E,I!$A:$E),4,FALSE)</f>
        <v>H</v>
      </c>
      <c r="F550" s="23">
        <f>0.2914/pcf</f>
        <v>0.29139999999999999</v>
      </c>
      <c r="G550" s="71">
        <f>IF(A550="COMPOSICAO",VLOOKUP("TOTAL SEM BDI - "&amp;B550,CPUAUX1!$A:$J,9,FALSE),VLOOKUP(B550,I!$A:$E,5,FALSE))</f>
        <v>27.74</v>
      </c>
      <c r="H550" s="72"/>
      <c r="I550" s="71">
        <f>TRUNC(F550*G550,2)</f>
        <v>8.08</v>
      </c>
      <c r="J550" s="72"/>
      <c r="M550" s="23">
        <f>B550</f>
        <v>88264</v>
      </c>
      <c r="N550" s="5">
        <f>SUMIF(ORCAMENTO!B:B,B549,ORCAMENTO!F:F)</f>
        <v>5</v>
      </c>
      <c r="O550" s="23">
        <f>F550*N550</f>
        <v>1.4569999999999999</v>
      </c>
      <c r="Q550" s="23">
        <f ca="1">IFERROR(SUMIF(CO!B:B,B549,OFFSET(CO!F:F,0,(4+MATCH(ETAPA,CO!$J$6:$P$6,0)))),0)</f>
        <v>2</v>
      </c>
      <c r="R550" s="23">
        <f ca="1">F550*Q550</f>
        <v>0.58279999999999998</v>
      </c>
    </row>
    <row r="551" spans="1:18" ht="30" customHeight="1" x14ac:dyDescent="0.3">
      <c r="A551" s="23" t="s">
        <v>1022</v>
      </c>
      <c r="B551" s="23">
        <v>88247</v>
      </c>
      <c r="C551" s="23" t="str">
        <f>VLOOKUP(B551,IF(A551="COMPOSICAO",S!$A:$E,I!$A:$E),2,FALSE)</f>
        <v>SINAPI</v>
      </c>
      <c r="D551" s="24" t="str">
        <f>VLOOKUP(B551,IF(A551="COMPOSICAO",S!$A:$E,I!$A:$E),3,FALSE)</f>
        <v>AUXILIAR DE ELETRICISTA COM ENCARGOS COMPLEMENTARES</v>
      </c>
      <c r="E551" s="23" t="str">
        <f>VLOOKUP(B551,IF(A551="COMPOSICAO",S!$A:$E,I!$A:$E),4,FALSE)</f>
        <v>H</v>
      </c>
      <c r="F551" s="23">
        <f>0.2914/pcf</f>
        <v>0.29139999999999999</v>
      </c>
      <c r="G551" s="71">
        <f>IF(A551="COMPOSICAO",VLOOKUP("TOTAL SEM BDI - "&amp;B551,CPUAUX1!$A:$J,9,FALSE),VLOOKUP(B551,I!$A:$E,5,FALSE))</f>
        <v>22.810000000000002</v>
      </c>
      <c r="H551" s="72"/>
      <c r="I551" s="71">
        <f>TRUNC(F551*G551,2)</f>
        <v>6.64</v>
      </c>
      <c r="J551" s="72"/>
      <c r="M551" s="23">
        <f>B551</f>
        <v>88247</v>
      </c>
      <c r="N551" s="5">
        <f>SUMIF(ORCAMENTO!B:B,B549,ORCAMENTO!F:F)</f>
        <v>5</v>
      </c>
      <c r="O551" s="23">
        <f>F551*N551</f>
        <v>1.4569999999999999</v>
      </c>
      <c r="Q551" s="23">
        <f ca="1">IFERROR(SUMIF(CO!B:B,B549,OFFSET(CO!F:F,0,(4+MATCH(ETAPA,CO!$J$6:$P$6,0)))),0)</f>
        <v>2</v>
      </c>
      <c r="R551" s="23">
        <f ca="1">F551*Q551</f>
        <v>0.58279999999999998</v>
      </c>
    </row>
    <row r="552" spans="1:18" ht="60" customHeight="1" x14ac:dyDescent="0.3">
      <c r="A552" s="23" t="s">
        <v>1022</v>
      </c>
      <c r="B552" s="23">
        <v>87367</v>
      </c>
      <c r="C552" s="23" t="str">
        <f>VLOOKUP(B552,IF(A552="COMPOSICAO",S!$A:$E,I!$A:$E),2,FALSE)</f>
        <v>SINAPI</v>
      </c>
      <c r="D552" s="24" t="str">
        <f>VLOOKUP(B552,IF(A552="COMPOSICAO",S!$A:$E,I!$A:$E),3,FALSE)</f>
        <v>ARGAMASSA TRAÇO 1:1:6 (EM VOLUME DE CIMENTO, CAL E AREIA MÉDIA ÚMIDA) PARA EMBOÇO/MASSA ÚNICA/ASSENTAMENTO DE ALVENARIA DE VEDAÇÃO, PREPARO MANUAL. AF_08/2019</v>
      </c>
      <c r="E552" s="23" t="str">
        <f>VLOOKUP(B552,IF(A552="COMPOSICAO",S!$A:$E,I!$A:$E),4,FALSE)</f>
        <v>M3</v>
      </c>
      <c r="F552" s="23">
        <v>3.3999999999999998E-3</v>
      </c>
      <c r="G552" s="71">
        <f>IF(A552="COMPOSICAO",VLOOKUP("TOTAL SEM BDI - "&amp;B552,CPUAUX1!$A:$J,9,FALSE),VLOOKUP(B552,I!$A:$E,5,FALSE))</f>
        <v>760.22</v>
      </c>
      <c r="H552" s="72"/>
      <c r="I552" s="71">
        <f>TRUNC(F552*G552,2)</f>
        <v>2.58</v>
      </c>
      <c r="J552" s="72"/>
      <c r="M552" s="23">
        <f>B552</f>
        <v>87367</v>
      </c>
      <c r="N552" s="5">
        <f>SUMIF(ORCAMENTO!B:B,B549,ORCAMENTO!F:F)</f>
        <v>5</v>
      </c>
      <c r="O552" s="23">
        <f>F552*N552</f>
        <v>1.6999999999999998E-2</v>
      </c>
      <c r="Q552" s="23">
        <f ca="1">IFERROR(SUMIF(CO!B:B,B549,OFFSET(CO!F:F,0,(4+MATCH(ETAPA,CO!$J$6:$P$6,0)))),0)</f>
        <v>2</v>
      </c>
      <c r="R552" s="23">
        <f ca="1">F552*Q552</f>
        <v>6.7999999999999996E-3</v>
      </c>
    </row>
    <row r="553" spans="1:18" ht="45" customHeight="1" x14ac:dyDescent="0.3">
      <c r="A553" s="23" t="s">
        <v>1025</v>
      </c>
      <c r="B553" s="23">
        <v>39794</v>
      </c>
      <c r="C553" s="23" t="str">
        <f>VLOOKUP(B553,IF(A553="COMPOSICAO",S!$A:$E,I!$A:$E),2,FALSE)</f>
        <v>SINAPI</v>
      </c>
      <c r="D553" s="24" t="str">
        <f>VLOOKUP(B553,IF(A553="COMPOSICAO",S!$A:$E,I!$A:$E),3,FALSE)</f>
        <v>QUADRO DE DISTRIBUICAO, SEM BARRAMENTO, EM PVC, DE EMBUTIR, PARA 3 DISJUNTORES NEMA OU 4 DISJUNTORES DIN</v>
      </c>
      <c r="E553" s="23" t="str">
        <f>VLOOKUP(B553,IF(A553="COMPOSICAO",S!$A:$E,I!$A:$E),4,FALSE)</f>
        <v>UN</v>
      </c>
      <c r="F553" s="23">
        <v>1</v>
      </c>
      <c r="G553" s="71">
        <f>IF(A553="COMPOSICAO",VLOOKUP("TOTAL SEM BDI - "&amp;B553,CPUAUX1!$A:$J,9,FALSE),VLOOKUP(B553,I!$A:$E,5,FALSE))</f>
        <v>46.21</v>
      </c>
      <c r="H553" s="72"/>
      <c r="I553" s="71">
        <f>TRUNC(F553*G553,2)</f>
        <v>46.21</v>
      </c>
      <c r="J553" s="72"/>
      <c r="M553" s="23">
        <f>B553</f>
        <v>39794</v>
      </c>
      <c r="N553" s="5">
        <f>SUMIF(ORCAMENTO!B:B,B549,ORCAMENTO!F:F)</f>
        <v>5</v>
      </c>
      <c r="O553" s="23">
        <f>F553*N553</f>
        <v>5</v>
      </c>
      <c r="Q553" s="23">
        <f ca="1">IFERROR(SUMIF(CO!B:B,B549,OFFSET(CO!F:F,0,(4+MATCH(ETAPA,CO!$J$6:$P$6,0)))),0)</f>
        <v>2</v>
      </c>
      <c r="R553" s="23">
        <f ca="1">F553*Q553</f>
        <v>2</v>
      </c>
    </row>
    <row r="554" spans="1:18" x14ac:dyDescent="0.3">
      <c r="A554" s="68" t="str">
        <f>"TOTAL SEM BDI - "&amp;B549</f>
        <v>TOTAL SEM BDI - 101877</v>
      </c>
      <c r="B554" s="69"/>
      <c r="C554" s="69"/>
      <c r="D554" s="69"/>
      <c r="E554" s="69"/>
      <c r="F554" s="69"/>
      <c r="G554" s="69"/>
      <c r="H554" s="70"/>
      <c r="I554" s="71">
        <f>SUM(I549:I553)</f>
        <v>63.51</v>
      </c>
      <c r="J554" s="72"/>
    </row>
    <row r="555" spans="1:18" x14ac:dyDescent="0.3">
      <c r="A555" s="68" t="str">
        <f>"TAXA DE BDI ("&amp;TEXT(BDI,"00,00")&amp;" %)"</f>
        <v>TAXA DE BDI (24,84 %)</v>
      </c>
      <c r="B555" s="69"/>
      <c r="C555" s="69"/>
      <c r="D555" s="69"/>
      <c r="E555" s="69"/>
      <c r="F555" s="69"/>
      <c r="G555" s="69"/>
      <c r="H555" s="70"/>
      <c r="I555" s="71">
        <f>ROUND(I554*(BDI/100),2)</f>
        <v>15.78</v>
      </c>
      <c r="J555" s="72"/>
    </row>
    <row r="556" spans="1:18" x14ac:dyDescent="0.3">
      <c r="A556" s="68" t="str">
        <f>"TOTAL COM BDI - "&amp;B549</f>
        <v>TOTAL COM BDI - 101877</v>
      </c>
      <c r="B556" s="69"/>
      <c r="C556" s="69"/>
      <c r="D556" s="69"/>
      <c r="E556" s="69"/>
      <c r="F556" s="69"/>
      <c r="G556" s="69"/>
      <c r="H556" s="70"/>
      <c r="I556" s="71">
        <f>SUM(I554:I555)</f>
        <v>79.289999999999992</v>
      </c>
      <c r="J556" s="72"/>
    </row>
    <row r="558" spans="1:18" x14ac:dyDescent="0.3">
      <c r="A558" s="4" t="s">
        <v>1018</v>
      </c>
      <c r="B558" s="4" t="s">
        <v>138</v>
      </c>
      <c r="C558" s="4" t="s">
        <v>139</v>
      </c>
      <c r="D558" s="4" t="s">
        <v>21</v>
      </c>
      <c r="E558" s="4" t="s">
        <v>140</v>
      </c>
      <c r="F558" s="4" t="s">
        <v>506</v>
      </c>
      <c r="G558" s="34" t="s">
        <v>1019</v>
      </c>
      <c r="H558" s="35"/>
      <c r="I558" s="34" t="s">
        <v>15</v>
      </c>
      <c r="J558" s="35"/>
    </row>
    <row r="559" spans="1:18" ht="75" customHeight="1" x14ac:dyDescent="0.3">
      <c r="A559" s="15" t="s">
        <v>1078</v>
      </c>
      <c r="B559" s="15" t="s">
        <v>633</v>
      </c>
      <c r="C559" s="15" t="str">
        <f>VLOOKUP(B559,S!$A:$G,2,FALSE)</f>
        <v>PRÓPRIA</v>
      </c>
      <c r="D559" s="22" t="str">
        <f>VLOOKUP(B559,S!$A:$G,3,FALSE)</f>
        <v>PONTO DE ILUMINAÇÃO E TOMADA, RESIDENCIAL, INCLUINDO INTERRUPTOR SIMPLES E TOMADA 10A/250V, CAIXA ELÉTRICA, ELETRODUTO, CABO, RASGO, QUEBRA E CHUMBAMENTO (EXCLUINDO LUMINÁRIA E LÂMPADA)</v>
      </c>
      <c r="E559" s="15" t="str">
        <f>VLOOKUP(B559,S!$A:$G,4,FALSE)</f>
        <v>UN</v>
      </c>
      <c r="F559" s="15"/>
      <c r="G559" s="73">
        <f>I567</f>
        <v>244.91000000000003</v>
      </c>
      <c r="H559" s="74"/>
      <c r="I559" s="73"/>
      <c r="J559" s="74"/>
      <c r="K559" s="16">
        <f>VLOOKUP(B559,S!A:G,5,FALSE)</f>
        <v>0</v>
      </c>
      <c r="L559" s="15" t="s">
        <v>1021</v>
      </c>
    </row>
    <row r="560" spans="1:18" ht="45" customHeight="1" x14ac:dyDescent="0.3">
      <c r="A560" s="23" t="s">
        <v>1022</v>
      </c>
      <c r="B560" s="23">
        <v>90447</v>
      </c>
      <c r="C560" s="23" t="str">
        <f>VLOOKUP(B560,IF(A560="COMPOSICAO",S!$A:$E,I!$A:$E),2,FALSE)</f>
        <v>SINAPI</v>
      </c>
      <c r="D560" s="24" t="str">
        <f>VLOOKUP(B560,IF(A560="COMPOSICAO",S!$A:$E,I!$A:$E),3,FALSE)</f>
        <v>RASGO LINEAR MANUAL EM ALVENARIA, PARA ELETRODUTOS, DIÂMETROS MENORES OU IGUAIS A 40 MM. AF_09/2023</v>
      </c>
      <c r="E560" s="23" t="str">
        <f>VLOOKUP(B560,IF(A560="COMPOSICAO",S!$A:$E,I!$A:$E),4,FALSE)</f>
        <v>M</v>
      </c>
      <c r="F560" s="23">
        <v>2.2000000000000002</v>
      </c>
      <c r="G560" s="71">
        <f>IF(A560="COMPOSICAO",VLOOKUP("TOTAL SEM BDI - "&amp;B560,CPUAUX1!$A:$J,9,FALSE),VLOOKUP(B560,I!$A:$E,5,FALSE))</f>
        <v>8.01</v>
      </c>
      <c r="H560" s="72"/>
      <c r="I560" s="71">
        <f t="shared" ref="I560:I566" si="52">TRUNC(F560*G560,2)</f>
        <v>17.62</v>
      </c>
      <c r="J560" s="72"/>
      <c r="M560" s="23">
        <f t="shared" ref="M560:M566" si="53">B560</f>
        <v>90447</v>
      </c>
      <c r="N560" s="5">
        <f>SUMIF(ORCAMENTO!B:B,B559,ORCAMENTO!F:F)</f>
        <v>5</v>
      </c>
      <c r="O560" s="23">
        <f t="shared" ref="O560:O566" si="54">F560*N560</f>
        <v>11</v>
      </c>
      <c r="Q560" s="23">
        <f ca="1">IFERROR(SUMIF(CO!B:B,B559,OFFSET(CO!F:F,0,(4+MATCH(ETAPA,CO!$J$6:$P$6,0)))),0)</f>
        <v>2</v>
      </c>
      <c r="R560" s="23">
        <f t="shared" ref="R560:R566" ca="1" si="55">F560*Q560</f>
        <v>4.4000000000000004</v>
      </c>
    </row>
    <row r="561" spans="1:18" ht="30" customHeight="1" x14ac:dyDescent="0.3">
      <c r="A561" s="23" t="s">
        <v>1022</v>
      </c>
      <c r="B561" s="23">
        <v>90456</v>
      </c>
      <c r="C561" s="23" t="str">
        <f>VLOOKUP(B561,IF(A561="COMPOSICAO",S!$A:$E,I!$A:$E),2,FALSE)</f>
        <v>SINAPI</v>
      </c>
      <c r="D561" s="24" t="str">
        <f>VLOOKUP(B561,IF(A561="COMPOSICAO",S!$A:$E,I!$A:$E),3,FALSE)</f>
        <v>QUEBRA EM ALVENARIA PARA INSTALAÇÃO DE CAIXA DE TOMADA (4X4 OU 4X2). AF_09/2023</v>
      </c>
      <c r="E561" s="23" t="str">
        <f>VLOOKUP(B561,IF(A561="COMPOSICAO",S!$A:$E,I!$A:$E),4,FALSE)</f>
        <v>UN</v>
      </c>
      <c r="F561" s="23">
        <v>1</v>
      </c>
      <c r="G561" s="71">
        <f>IF(A561="COMPOSICAO",VLOOKUP("TOTAL SEM BDI - "&amp;B561,CPUAUX1!$A:$J,9,FALSE),VLOOKUP(B561,I!$A:$E,5,FALSE))</f>
        <v>5.3</v>
      </c>
      <c r="H561" s="72"/>
      <c r="I561" s="71">
        <f t="shared" si="52"/>
        <v>5.3</v>
      </c>
      <c r="J561" s="72"/>
      <c r="M561" s="23">
        <f t="shared" si="53"/>
        <v>90456</v>
      </c>
      <c r="N561" s="5">
        <f>SUMIF(ORCAMENTO!B:B,B559,ORCAMENTO!F:F)</f>
        <v>5</v>
      </c>
      <c r="O561" s="23">
        <f t="shared" si="54"/>
        <v>5</v>
      </c>
      <c r="Q561" s="23">
        <f ca="1">IFERROR(SUMIF(CO!B:B,B559,OFFSET(CO!F:F,0,(4+MATCH(ETAPA,CO!$J$6:$P$6,0)))),0)</f>
        <v>2</v>
      </c>
      <c r="R561" s="23">
        <f t="shared" ca="1" si="55"/>
        <v>2</v>
      </c>
    </row>
    <row r="562" spans="1:18" ht="60" customHeight="1" x14ac:dyDescent="0.3">
      <c r="A562" s="23" t="s">
        <v>1022</v>
      </c>
      <c r="B562" s="23">
        <v>90466</v>
      </c>
      <c r="C562" s="23" t="str">
        <f>VLOOKUP(B562,IF(A562="COMPOSICAO",S!$A:$E,I!$A:$E),2,FALSE)</f>
        <v>SINAPI</v>
      </c>
      <c r="D562" s="24" t="str">
        <f>VLOOKUP(B562,IF(A562="COMPOSICAO",S!$A:$E,I!$A:$E),3,FALSE)</f>
        <v>CHUMBAMENTO LINEAR EM ALVENARIA PARA RAMAIS/DISTRIBUIÇÃO DE INSTALAÇÕES HIDRÁULICAS COM DIÂMETROS MENORES OU IGUAIS A 40 MM. AF_09/2023</v>
      </c>
      <c r="E562" s="23" t="str">
        <f>VLOOKUP(B562,IF(A562="COMPOSICAO",S!$A:$E,I!$A:$E),4,FALSE)</f>
        <v>M</v>
      </c>
      <c r="F562" s="23">
        <v>2.2000000000000002</v>
      </c>
      <c r="G562" s="71">
        <f>IF(A562="COMPOSICAO",VLOOKUP("TOTAL SEM BDI - "&amp;B562,CPUAUX1!$A:$J,9,FALSE),VLOOKUP(B562,I!$A:$E,5,FALSE))</f>
        <v>15.47</v>
      </c>
      <c r="H562" s="72"/>
      <c r="I562" s="71">
        <f t="shared" si="52"/>
        <v>34.03</v>
      </c>
      <c r="J562" s="72"/>
      <c r="M562" s="23">
        <f t="shared" si="53"/>
        <v>90466</v>
      </c>
      <c r="N562" s="5">
        <f>SUMIF(ORCAMENTO!B:B,B559,ORCAMENTO!F:F)</f>
        <v>5</v>
      </c>
      <c r="O562" s="23">
        <f t="shared" si="54"/>
        <v>11</v>
      </c>
      <c r="Q562" s="23">
        <f ca="1">IFERROR(SUMIF(CO!B:B,B559,OFFSET(CO!F:F,0,(4+MATCH(ETAPA,CO!$J$6:$P$6,0)))),0)</f>
        <v>2</v>
      </c>
      <c r="R562" s="23">
        <f t="shared" ca="1" si="55"/>
        <v>4.4000000000000004</v>
      </c>
    </row>
    <row r="563" spans="1:18" ht="60" customHeight="1" x14ac:dyDescent="0.3">
      <c r="A563" s="23" t="s">
        <v>1022</v>
      </c>
      <c r="B563" s="23">
        <v>91852</v>
      </c>
      <c r="C563" s="23" t="str">
        <f>VLOOKUP(B563,IF(A563="COMPOSICAO",S!$A:$E,I!$A:$E),2,FALSE)</f>
        <v>SINAPI</v>
      </c>
      <c r="D563" s="24" t="str">
        <f>VLOOKUP(B563,IF(A563="COMPOSICAO",S!$A:$E,I!$A:$E),3,FALSE)</f>
        <v>ELETRODUTO FLEXÍVEL CORRUGADO, PVC, DN 20 MM (1/2"), PARA CIRCUITOS TERMINAIS, INSTALADO EM PAREDE - FORNECIMENTO E INSTALAÇÃO. AF_03/2023</v>
      </c>
      <c r="E563" s="23" t="str">
        <f>VLOOKUP(B563,IF(A563="COMPOSICAO",S!$A:$E,I!$A:$E),4,FALSE)</f>
        <v>M</v>
      </c>
      <c r="F563" s="23">
        <v>2.2000000000000002</v>
      </c>
      <c r="G563" s="71">
        <f>IF(A563="COMPOSICAO",VLOOKUP("TOTAL SEM BDI - "&amp;B563,CPUAUX1!$A:$J,9,FALSE),VLOOKUP(B563,I!$A:$E,5,FALSE))</f>
        <v>8.8000000000000007</v>
      </c>
      <c r="H563" s="72"/>
      <c r="I563" s="71">
        <f t="shared" si="52"/>
        <v>19.36</v>
      </c>
      <c r="J563" s="72"/>
      <c r="M563" s="23">
        <f t="shared" si="53"/>
        <v>91852</v>
      </c>
      <c r="N563" s="5">
        <f>SUMIF(ORCAMENTO!B:B,B559,ORCAMENTO!F:F)</f>
        <v>5</v>
      </c>
      <c r="O563" s="23">
        <f t="shared" si="54"/>
        <v>11</v>
      </c>
      <c r="Q563" s="23">
        <f ca="1">IFERROR(SUMIF(CO!B:B,B559,OFFSET(CO!F:F,0,(4+MATCH(ETAPA,CO!$J$6:$P$6,0)))),0)</f>
        <v>2</v>
      </c>
      <c r="R563" s="23">
        <f t="shared" ca="1" si="55"/>
        <v>4.4000000000000004</v>
      </c>
    </row>
    <row r="564" spans="1:18" ht="45" customHeight="1" x14ac:dyDescent="0.3">
      <c r="A564" s="23" t="s">
        <v>1022</v>
      </c>
      <c r="B564" s="23">
        <v>91926</v>
      </c>
      <c r="C564" s="23" t="str">
        <f>VLOOKUP(B564,IF(A564="COMPOSICAO",S!$A:$E,I!$A:$E),2,FALSE)</f>
        <v>SINAPI</v>
      </c>
      <c r="D564" s="24" t="str">
        <f>VLOOKUP(B564,IF(A564="COMPOSICAO",S!$A:$E,I!$A:$E),3,FALSE)</f>
        <v>CABO DE COBRE FLEXÍVEL ISOLADO, 2,5 MM², ANTI-CHAMA 450/750 V, PARA CIRCUITOS TERMINAIS - FORNECIMENTO E INSTALAÇÃO. AF_03/2023</v>
      </c>
      <c r="E564" s="23" t="str">
        <f>VLOOKUP(B564,IF(A564="COMPOSICAO",S!$A:$E,I!$A:$E),4,FALSE)</f>
        <v>M</v>
      </c>
      <c r="F564" s="23">
        <v>21</v>
      </c>
      <c r="G564" s="71">
        <f>IF(A564="COMPOSICAO",VLOOKUP("TOTAL SEM BDI - "&amp;B564,CPUAUX1!$A:$J,9,FALSE),VLOOKUP(B564,I!$A:$E,5,FALSE))</f>
        <v>4.63</v>
      </c>
      <c r="H564" s="72"/>
      <c r="I564" s="71">
        <f t="shared" si="52"/>
        <v>97.23</v>
      </c>
      <c r="J564" s="72"/>
      <c r="M564" s="23">
        <f t="shared" si="53"/>
        <v>91926</v>
      </c>
      <c r="N564" s="5">
        <f>SUMIF(ORCAMENTO!B:B,B559,ORCAMENTO!F:F)</f>
        <v>5</v>
      </c>
      <c r="O564" s="23">
        <f t="shared" si="54"/>
        <v>105</v>
      </c>
      <c r="Q564" s="23">
        <f ca="1">IFERROR(SUMIF(CO!B:B,B559,OFFSET(CO!F:F,0,(4+MATCH(ETAPA,CO!$J$6:$P$6,0)))),0)</f>
        <v>2</v>
      </c>
      <c r="R564" s="23">
        <f t="shared" ca="1" si="55"/>
        <v>42</v>
      </c>
    </row>
    <row r="565" spans="1:18" ht="45" customHeight="1" x14ac:dyDescent="0.3">
      <c r="A565" s="23" t="s">
        <v>1022</v>
      </c>
      <c r="B565" s="23">
        <v>91940</v>
      </c>
      <c r="C565" s="23" t="str">
        <f>VLOOKUP(B565,IF(A565="COMPOSICAO",S!$A:$E,I!$A:$E),2,FALSE)</f>
        <v>SINAPI</v>
      </c>
      <c r="D565" s="24" t="str">
        <f>VLOOKUP(B565,IF(A565="COMPOSICAO",S!$A:$E,I!$A:$E),3,FALSE)</f>
        <v>CAIXA RETANGULAR 4" X 2" MÉDIA (1,30 M DO PISO), PVC, INSTALADA EM PAREDE - FORNECIMENTO E INSTALAÇÃO. AF_03/2023</v>
      </c>
      <c r="E565" s="23" t="str">
        <f>VLOOKUP(B565,IF(A565="COMPOSICAO",S!$A:$E,I!$A:$E),4,FALSE)</f>
        <v>UN</v>
      </c>
      <c r="F565" s="23">
        <v>1</v>
      </c>
      <c r="G565" s="71">
        <f>IF(A565="COMPOSICAO",VLOOKUP("TOTAL SEM BDI - "&amp;B565,CPUAUX1!$A:$J,9,FALSE),VLOOKUP(B565,I!$A:$E,5,FALSE))</f>
        <v>17.66</v>
      </c>
      <c r="H565" s="72"/>
      <c r="I565" s="71">
        <f t="shared" si="52"/>
        <v>17.66</v>
      </c>
      <c r="J565" s="72"/>
      <c r="M565" s="23">
        <f t="shared" si="53"/>
        <v>91940</v>
      </c>
      <c r="N565" s="5">
        <f>SUMIF(ORCAMENTO!B:B,B559,ORCAMENTO!F:F)</f>
        <v>5</v>
      </c>
      <c r="O565" s="23">
        <f t="shared" si="54"/>
        <v>5</v>
      </c>
      <c r="Q565" s="23">
        <f ca="1">IFERROR(SUMIF(CO!B:B,B559,OFFSET(CO!F:F,0,(4+MATCH(ETAPA,CO!$J$6:$P$6,0)))),0)</f>
        <v>2</v>
      </c>
      <c r="R565" s="23">
        <f t="shared" ca="1" si="55"/>
        <v>2</v>
      </c>
    </row>
    <row r="566" spans="1:18" ht="45" customHeight="1" x14ac:dyDescent="0.3">
      <c r="A566" s="23" t="s">
        <v>1022</v>
      </c>
      <c r="B566" s="23">
        <v>92023</v>
      </c>
      <c r="C566" s="23" t="str">
        <f>VLOOKUP(B566,IF(A566="COMPOSICAO",S!$A:$E,I!$A:$E),2,FALSE)</f>
        <v>SINAPI</v>
      </c>
      <c r="D566" s="24" t="str">
        <f>VLOOKUP(B566,IF(A566="COMPOSICAO",S!$A:$E,I!$A:$E),3,FALSE)</f>
        <v>INTERRUPTOR SIMPLES (1 MÓDULO) COM 1 TOMADA DE EMBUTIR 2P+T 10 A, INCLUINDO SUPORTE E PLACA - FORNECIMENTO E INSTALAÇÃO. AF_03/2023</v>
      </c>
      <c r="E566" s="23" t="str">
        <f>VLOOKUP(B566,IF(A566="COMPOSICAO",S!$A:$E,I!$A:$E),4,FALSE)</f>
        <v>UN</v>
      </c>
      <c r="F566" s="23">
        <v>1</v>
      </c>
      <c r="G566" s="71">
        <f>IF(A566="COMPOSICAO",VLOOKUP("TOTAL SEM BDI - "&amp;B566,CPUAUX1!$A:$J,9,FALSE),VLOOKUP(B566,I!$A:$E,5,FALSE))</f>
        <v>53.71</v>
      </c>
      <c r="H566" s="72"/>
      <c r="I566" s="71">
        <f t="shared" si="52"/>
        <v>53.71</v>
      </c>
      <c r="J566" s="72"/>
      <c r="M566" s="23">
        <f t="shared" si="53"/>
        <v>92023</v>
      </c>
      <c r="N566" s="5">
        <f>SUMIF(ORCAMENTO!B:B,B559,ORCAMENTO!F:F)</f>
        <v>5</v>
      </c>
      <c r="O566" s="23">
        <f t="shared" si="54"/>
        <v>5</v>
      </c>
      <c r="Q566" s="23">
        <f ca="1">IFERROR(SUMIF(CO!B:B,B559,OFFSET(CO!F:F,0,(4+MATCH(ETAPA,CO!$J$6:$P$6,0)))),0)</f>
        <v>2</v>
      </c>
      <c r="R566" s="23">
        <f t="shared" ca="1" si="55"/>
        <v>2</v>
      </c>
    </row>
    <row r="567" spans="1:18" x14ac:dyDescent="0.3">
      <c r="A567" s="68" t="str">
        <f>"TOTAL SEM BDI - "&amp;B559</f>
        <v>TOTAL SEM BDI - COMPINST02</v>
      </c>
      <c r="B567" s="69"/>
      <c r="C567" s="69"/>
      <c r="D567" s="69"/>
      <c r="E567" s="69"/>
      <c r="F567" s="69"/>
      <c r="G567" s="69"/>
      <c r="H567" s="70"/>
      <c r="I567" s="71">
        <f>SUM(I559:I566)</f>
        <v>244.91000000000003</v>
      </c>
      <c r="J567" s="72"/>
    </row>
    <row r="568" spans="1:18" x14ac:dyDescent="0.3">
      <c r="A568" s="68" t="str">
        <f>"TAXA DE BDI ("&amp;TEXT(BDI,"00,00")&amp;" %)"</f>
        <v>TAXA DE BDI (24,84 %)</v>
      </c>
      <c r="B568" s="69"/>
      <c r="C568" s="69"/>
      <c r="D568" s="69"/>
      <c r="E568" s="69"/>
      <c r="F568" s="69"/>
      <c r="G568" s="69"/>
      <c r="H568" s="70"/>
      <c r="I568" s="71">
        <f>ROUND(I567*(BDI/100),2)</f>
        <v>60.84</v>
      </c>
      <c r="J568" s="72"/>
    </row>
    <row r="569" spans="1:18" x14ac:dyDescent="0.3">
      <c r="A569" s="68" t="str">
        <f>"TOTAL COM BDI - "&amp;B559</f>
        <v>TOTAL COM BDI - COMPINST02</v>
      </c>
      <c r="B569" s="69"/>
      <c r="C569" s="69"/>
      <c r="D569" s="69"/>
      <c r="E569" s="69"/>
      <c r="F569" s="69"/>
      <c r="G569" s="69"/>
      <c r="H569" s="70"/>
      <c r="I569" s="71">
        <f>SUM(I567:I568)</f>
        <v>305.75</v>
      </c>
      <c r="J569" s="72"/>
    </row>
    <row r="571" spans="1:18" x14ac:dyDescent="0.3">
      <c r="A571" s="4" t="s">
        <v>1018</v>
      </c>
      <c r="B571" s="4" t="s">
        <v>138</v>
      </c>
      <c r="C571" s="4" t="s">
        <v>139</v>
      </c>
      <c r="D571" s="4" t="s">
        <v>21</v>
      </c>
      <c r="E571" s="4" t="s">
        <v>140</v>
      </c>
      <c r="F571" s="4" t="s">
        <v>506</v>
      </c>
      <c r="G571" s="34" t="s">
        <v>1019</v>
      </c>
      <c r="H571" s="35"/>
      <c r="I571" s="34" t="s">
        <v>15</v>
      </c>
      <c r="J571" s="35"/>
    </row>
    <row r="572" spans="1:18" ht="30" customHeight="1" x14ac:dyDescent="0.3">
      <c r="A572" s="15" t="s">
        <v>1079</v>
      </c>
      <c r="B572" s="15">
        <v>97610</v>
      </c>
      <c r="C572" s="15" t="str">
        <f>VLOOKUP(B572,S!$A:$G,2,FALSE)</f>
        <v>SINAPI</v>
      </c>
      <c r="D572" s="22" t="str">
        <f>VLOOKUP(B572,S!$A:$G,3,FALSE)</f>
        <v>LÂMPADA COMPACTA DE LED 10 W, BASE E27 - FORNECIMENTO E INSTALAÇÃO. AF_09/2024</v>
      </c>
      <c r="E572" s="15" t="str">
        <f>VLOOKUP(B572,S!$A:$G,4,FALSE)</f>
        <v>UN</v>
      </c>
      <c r="F572" s="15"/>
      <c r="G572" s="73">
        <f>I577</f>
        <v>13.05</v>
      </c>
      <c r="H572" s="74"/>
      <c r="I572" s="73"/>
      <c r="J572" s="74"/>
      <c r="K572" s="16">
        <f>VLOOKUP(B572,S!A:G,5,FALSE)</f>
        <v>13.05</v>
      </c>
      <c r="L572" s="15" t="str">
        <f>IF(K572=G572,"OK, CONFORME TABELA",IF(G572&gt;K572,"ACIMA DA TABELA: ","ABAIXO DA TABELA: ")&amp;TRUNC((G572*100)/K572,2)&amp;" %")</f>
        <v>OK, CONFORME TABELA</v>
      </c>
    </row>
    <row r="573" spans="1:18" x14ac:dyDescent="0.3">
      <c r="A573" s="23" t="s">
        <v>1022</v>
      </c>
      <c r="B573" s="23">
        <v>88264</v>
      </c>
      <c r="C573" s="23" t="str">
        <f>VLOOKUP(B573,IF(A573="COMPOSICAO",S!$A:$E,I!$A:$E),2,FALSE)</f>
        <v>SINAPI</v>
      </c>
      <c r="D573" s="24" t="str">
        <f>VLOOKUP(B573,IF(A573="COMPOSICAO",S!$A:$E,I!$A:$E),3,FALSE)</f>
        <v>ELETRICISTA COM ENCARGOS COMPLEMENTARES</v>
      </c>
      <c r="E573" s="23" t="str">
        <f>VLOOKUP(B573,IF(A573="COMPOSICAO",S!$A:$E,I!$A:$E),4,FALSE)</f>
        <v>H</v>
      </c>
      <c r="F573" s="23">
        <f>0.1628/pcf</f>
        <v>0.1628</v>
      </c>
      <c r="G573" s="71">
        <f>IF(A573="COMPOSICAO",VLOOKUP("TOTAL SEM BDI - "&amp;B573,CPUAUX1!$A:$J,9,FALSE),VLOOKUP(B573,I!$A:$E,5,FALSE))</f>
        <v>27.74</v>
      </c>
      <c r="H573" s="72"/>
      <c r="I573" s="71">
        <f>TRUNC(F573*G573,2)</f>
        <v>4.51</v>
      </c>
      <c r="J573" s="72"/>
      <c r="M573" s="23">
        <f>B573</f>
        <v>88264</v>
      </c>
      <c r="N573" s="5">
        <f>SUMIF(ORCAMENTO!B:B,B572,ORCAMENTO!F:F)</f>
        <v>5</v>
      </c>
      <c r="O573" s="23">
        <f>F573*N573</f>
        <v>0.81400000000000006</v>
      </c>
      <c r="Q573" s="23">
        <f ca="1">IFERROR(SUMIF(CO!B:B,B572,OFFSET(CO!F:F,0,(4+MATCH(ETAPA,CO!$J$6:$P$6,0)))),0)</f>
        <v>2</v>
      </c>
      <c r="R573" s="23">
        <f ca="1">F573*Q573</f>
        <v>0.3256</v>
      </c>
    </row>
    <row r="574" spans="1:18" ht="30" customHeight="1" x14ac:dyDescent="0.3">
      <c r="A574" s="23" t="s">
        <v>1022</v>
      </c>
      <c r="B574" s="23">
        <v>88247</v>
      </c>
      <c r="C574" s="23" t="str">
        <f>VLOOKUP(B574,IF(A574="COMPOSICAO",S!$A:$E,I!$A:$E),2,FALSE)</f>
        <v>SINAPI</v>
      </c>
      <c r="D574" s="24" t="str">
        <f>VLOOKUP(B574,IF(A574="COMPOSICAO",S!$A:$E,I!$A:$E),3,FALSE)</f>
        <v>AUXILIAR DE ELETRICISTA COM ENCARGOS COMPLEMENTARES</v>
      </c>
      <c r="E574" s="23" t="str">
        <f>VLOOKUP(B574,IF(A574="COMPOSICAO",S!$A:$E,I!$A:$E),4,FALSE)</f>
        <v>H</v>
      </c>
      <c r="F574" s="23">
        <f>0.050875/pcf</f>
        <v>5.0874999999999997E-2</v>
      </c>
      <c r="G574" s="71">
        <f>IF(A574="COMPOSICAO",VLOOKUP("TOTAL SEM BDI - "&amp;B574,CPUAUX1!$A:$J,9,FALSE),VLOOKUP(B574,I!$A:$E,5,FALSE))</f>
        <v>22.810000000000002</v>
      </c>
      <c r="H574" s="72"/>
      <c r="I574" s="71">
        <f>TRUNC(F574*G574,2)</f>
        <v>1.1599999999999999</v>
      </c>
      <c r="J574" s="72"/>
      <c r="M574" s="23">
        <f>B574</f>
        <v>88247</v>
      </c>
      <c r="N574" s="5">
        <f>SUMIF(ORCAMENTO!B:B,B572,ORCAMENTO!F:F)</f>
        <v>5</v>
      </c>
      <c r="O574" s="23">
        <f>F574*N574</f>
        <v>0.25437499999999996</v>
      </c>
      <c r="Q574" s="23">
        <f ca="1">IFERROR(SUMIF(CO!B:B,B572,OFFSET(CO!F:F,0,(4+MATCH(ETAPA,CO!$J$6:$P$6,0)))),0)</f>
        <v>2</v>
      </c>
      <c r="R574" s="23">
        <f ca="1">F574*Q574</f>
        <v>0.10174999999999999</v>
      </c>
    </row>
    <row r="575" spans="1:18" ht="30" customHeight="1" x14ac:dyDescent="0.3">
      <c r="A575" s="23" t="s">
        <v>1025</v>
      </c>
      <c r="B575" s="23">
        <v>38194</v>
      </c>
      <c r="C575" s="23" t="str">
        <f>VLOOKUP(B575,IF(A575="COMPOSICAO",S!$A:$E,I!$A:$E),2,FALSE)</f>
        <v>SINAPI</v>
      </c>
      <c r="D575" s="24" t="str">
        <f>VLOOKUP(B575,IF(A575="COMPOSICAO",S!$A:$E,I!$A:$E),3,FALSE)</f>
        <v>LAMPADA LED 10 W BIVOLT BRANCA, FORMATO TRADICIONAL (BASE E27)</v>
      </c>
      <c r="E575" s="23" t="str">
        <f>VLOOKUP(B575,IF(A575="COMPOSICAO",S!$A:$E,I!$A:$E),4,FALSE)</f>
        <v>UN</v>
      </c>
      <c r="F575" s="23">
        <v>1</v>
      </c>
      <c r="G575" s="71">
        <f>IF(A575="COMPOSICAO",VLOOKUP("TOTAL SEM BDI - "&amp;B575,CPUAUX1!$A:$J,9,FALSE),VLOOKUP(B575,I!$A:$E,5,FALSE))</f>
        <v>5.08</v>
      </c>
      <c r="H575" s="72"/>
      <c r="I575" s="71">
        <f>TRUNC(F575*G575,2)</f>
        <v>5.08</v>
      </c>
      <c r="J575" s="72"/>
      <c r="M575" s="23">
        <f>B575</f>
        <v>38194</v>
      </c>
      <c r="N575" s="5">
        <f>SUMIF(ORCAMENTO!B:B,B572,ORCAMENTO!F:F)</f>
        <v>5</v>
      </c>
      <c r="O575" s="23">
        <f>F575*N575</f>
        <v>5</v>
      </c>
      <c r="Q575" s="23">
        <f ca="1">IFERROR(SUMIF(CO!B:B,B572,OFFSET(CO!F:F,0,(4+MATCH(ETAPA,CO!$J$6:$P$6,0)))),0)</f>
        <v>2</v>
      </c>
      <c r="R575" s="23">
        <f ca="1">F575*Q575</f>
        <v>2</v>
      </c>
    </row>
    <row r="576" spans="1:18" x14ac:dyDescent="0.3">
      <c r="A576" s="23" t="s">
        <v>1025</v>
      </c>
      <c r="B576" s="23">
        <v>12295</v>
      </c>
      <c r="C576" s="23" t="str">
        <f>VLOOKUP(B576,IF(A576="COMPOSICAO",S!$A:$E,I!$A:$E),2,FALSE)</f>
        <v>SINAPI</v>
      </c>
      <c r="D576" s="24" t="str">
        <f>VLOOKUP(B576,IF(A576="COMPOSICAO",S!$A:$E,I!$A:$E),3,FALSE)</f>
        <v>SOQUETE DE BAQUELITE BASE E27, PARA LAMPADAS</v>
      </c>
      <c r="E576" s="23" t="str">
        <f>VLOOKUP(B576,IF(A576="COMPOSICAO",S!$A:$E,I!$A:$E),4,FALSE)</f>
        <v>UN</v>
      </c>
      <c r="F576" s="23">
        <v>1</v>
      </c>
      <c r="G576" s="71">
        <f>IF(A576="COMPOSICAO",VLOOKUP("TOTAL SEM BDI - "&amp;B576,CPUAUX1!$A:$J,9,FALSE),VLOOKUP(B576,I!$A:$E,5,FALSE))</f>
        <v>2.2999999999999998</v>
      </c>
      <c r="H576" s="72"/>
      <c r="I576" s="71">
        <f>TRUNC(F576*G576,2)</f>
        <v>2.2999999999999998</v>
      </c>
      <c r="J576" s="72"/>
      <c r="M576" s="23">
        <f>B576</f>
        <v>12295</v>
      </c>
      <c r="N576" s="5">
        <f>SUMIF(ORCAMENTO!B:B,B572,ORCAMENTO!F:F)</f>
        <v>5</v>
      </c>
      <c r="O576" s="23">
        <f>F576*N576</f>
        <v>5</v>
      </c>
      <c r="Q576" s="23">
        <f ca="1">IFERROR(SUMIF(CO!B:B,B572,OFFSET(CO!F:F,0,(4+MATCH(ETAPA,CO!$J$6:$P$6,0)))),0)</f>
        <v>2</v>
      </c>
      <c r="R576" s="23">
        <f ca="1">F576*Q576</f>
        <v>2</v>
      </c>
    </row>
    <row r="577" spans="1:18" x14ac:dyDescent="0.3">
      <c r="A577" s="68" t="str">
        <f>"TOTAL SEM BDI - "&amp;B572</f>
        <v>TOTAL SEM BDI - 97610</v>
      </c>
      <c r="B577" s="69"/>
      <c r="C577" s="69"/>
      <c r="D577" s="69"/>
      <c r="E577" s="69"/>
      <c r="F577" s="69"/>
      <c r="G577" s="69"/>
      <c r="H577" s="70"/>
      <c r="I577" s="71">
        <f>SUM(I572:I576)</f>
        <v>13.05</v>
      </c>
      <c r="J577" s="72"/>
    </row>
    <row r="578" spans="1:18" x14ac:dyDescent="0.3">
      <c r="A578" s="68" t="str">
        <f>"TAXA DE BDI ("&amp;TEXT(BDI,"00,00")&amp;" %)"</f>
        <v>TAXA DE BDI (24,84 %)</v>
      </c>
      <c r="B578" s="69"/>
      <c r="C578" s="69"/>
      <c r="D578" s="69"/>
      <c r="E578" s="69"/>
      <c r="F578" s="69"/>
      <c r="G578" s="69"/>
      <c r="H578" s="70"/>
      <c r="I578" s="71">
        <f>ROUND(I577*(BDI/100),2)</f>
        <v>3.24</v>
      </c>
      <c r="J578" s="72"/>
    </row>
    <row r="579" spans="1:18" x14ac:dyDescent="0.3">
      <c r="A579" s="68" t="str">
        <f>"TOTAL COM BDI - "&amp;B572</f>
        <v>TOTAL COM BDI - 97610</v>
      </c>
      <c r="B579" s="69"/>
      <c r="C579" s="69"/>
      <c r="D579" s="69"/>
      <c r="E579" s="69"/>
      <c r="F579" s="69"/>
      <c r="G579" s="69"/>
      <c r="H579" s="70"/>
      <c r="I579" s="71">
        <f>SUM(I577:I578)</f>
        <v>16.29</v>
      </c>
      <c r="J579" s="72"/>
    </row>
    <row r="581" spans="1:18" x14ac:dyDescent="0.3">
      <c r="A581" s="4" t="s">
        <v>1018</v>
      </c>
      <c r="B581" s="4" t="s">
        <v>138</v>
      </c>
      <c r="C581" s="4" t="s">
        <v>139</v>
      </c>
      <c r="D581" s="4" t="s">
        <v>21</v>
      </c>
      <c r="E581" s="4" t="s">
        <v>140</v>
      </c>
      <c r="F581" s="4" t="s">
        <v>506</v>
      </c>
      <c r="G581" s="34" t="s">
        <v>1019</v>
      </c>
      <c r="H581" s="35"/>
      <c r="I581" s="34" t="s">
        <v>15</v>
      </c>
      <c r="J581" s="35"/>
    </row>
    <row r="582" spans="1:18" ht="45" customHeight="1" x14ac:dyDescent="0.3">
      <c r="A582" s="15" t="s">
        <v>1078</v>
      </c>
      <c r="B582" s="15" t="s">
        <v>636</v>
      </c>
      <c r="C582" s="15" t="str">
        <f>VLOOKUP(B582,S!$A:$G,2,FALSE)</f>
        <v>PRÓPRIA</v>
      </c>
      <c r="D582" s="22" t="str">
        <f>VLOOKUP(B582,S!$A:$G,3,FALSE)</f>
        <v>LUMINÁRIA ARANDELA TIPO MEIA-LUA COM VIDRO FOSCO *30 X 15* CM, PARA 1 LÂMPADA (SINAPI ADAPTADO 97605)</v>
      </c>
      <c r="E582" s="15" t="str">
        <f>VLOOKUP(B582,S!$A:$G,4,FALSE)</f>
        <v>UN</v>
      </c>
      <c r="F582" s="15"/>
      <c r="G582" s="73">
        <f>I587</f>
        <v>83.039999999999992</v>
      </c>
      <c r="H582" s="74"/>
      <c r="I582" s="73"/>
      <c r="J582" s="74"/>
      <c r="K582" s="16">
        <f>VLOOKUP(B582,S!A:G,5,FALSE)</f>
        <v>0</v>
      </c>
      <c r="L582" s="15" t="s">
        <v>1021</v>
      </c>
    </row>
    <row r="583" spans="1:18" ht="45" customHeight="1" x14ac:dyDescent="0.3">
      <c r="A583" s="23" t="s">
        <v>1025</v>
      </c>
      <c r="B583" s="23">
        <v>38769</v>
      </c>
      <c r="C583" s="23" t="str">
        <f>VLOOKUP(B583,IF(A583="COMPOSICAO",S!$A:$E,I!$A:$E),2,FALSE)</f>
        <v>SINAPI</v>
      </c>
      <c r="D583" s="24" t="str">
        <f>VLOOKUP(B583,IF(A583="COMPOSICAO",S!$A:$E,I!$A:$E),3,FALSE)</f>
        <v>LUMINARIA ARANDELA TIPO MEIA-LUA COM VIDRO FOSCO *30 X 15* CM, PARA 1 LAMPADA, BASE E27, POTENCIA MAXIMA 40/60 W (NAO INCLUI LAMPADA)</v>
      </c>
      <c r="E583" s="23" t="str">
        <f>VLOOKUP(B583,IF(A583="COMPOSICAO",S!$A:$E,I!$A:$E),4,FALSE)</f>
        <v>UN</v>
      </c>
      <c r="F583" s="23">
        <v>1</v>
      </c>
      <c r="G583" s="71">
        <f>IF(A583="COMPOSICAO",VLOOKUP("TOTAL SEM BDI - "&amp;B583,CPUAUX1!$A:$J,9,FALSE),VLOOKUP(B583,I!$A:$E,5,FALSE))</f>
        <v>65.27</v>
      </c>
      <c r="H583" s="72"/>
      <c r="I583" s="71">
        <f>TRUNC(F583*G583,2)</f>
        <v>65.27</v>
      </c>
      <c r="J583" s="72"/>
      <c r="M583" s="23">
        <f>B583</f>
        <v>38769</v>
      </c>
      <c r="N583" s="5">
        <f>SUMIF(ORCAMENTO!B:B,B582,ORCAMENTO!F:F)</f>
        <v>5</v>
      </c>
      <c r="O583" s="23">
        <f>F583*N583</f>
        <v>5</v>
      </c>
      <c r="Q583" s="23">
        <f ca="1">IFERROR(SUMIF(CO!B:B,B582,OFFSET(CO!F:F,0,(4+MATCH(ETAPA,CO!$J$6:$P$6,0)))),0)</f>
        <v>2</v>
      </c>
      <c r="R583" s="23">
        <f ca="1">F583*Q583</f>
        <v>2</v>
      </c>
    </row>
    <row r="584" spans="1:18" ht="30" customHeight="1" x14ac:dyDescent="0.3">
      <c r="A584" s="23" t="s">
        <v>1025</v>
      </c>
      <c r="B584" s="23">
        <v>38193</v>
      </c>
      <c r="C584" s="23" t="str">
        <f>VLOOKUP(B584,IF(A584="COMPOSICAO",S!$A:$E,I!$A:$E),2,FALSE)</f>
        <v>SINAPI</v>
      </c>
      <c r="D584" s="24" t="str">
        <f>VLOOKUP(B584,IF(A584="COMPOSICAO",S!$A:$E,I!$A:$E),3,FALSE)</f>
        <v>LAMPADA LED 6 W BIVOLT BRANCA, FORMATO TRADICIONAL (BASE E27)</v>
      </c>
      <c r="E584" s="23" t="str">
        <f>VLOOKUP(B584,IF(A584="COMPOSICAO",S!$A:$E,I!$A:$E),4,FALSE)</f>
        <v>UN</v>
      </c>
      <c r="F584" s="23">
        <v>1</v>
      </c>
      <c r="G584" s="71">
        <f>IF(A584="COMPOSICAO",VLOOKUP("TOTAL SEM BDI - "&amp;B584,CPUAUX1!$A:$J,9,FALSE),VLOOKUP(B584,I!$A:$E,5,FALSE))</f>
        <v>4.41</v>
      </c>
      <c r="H584" s="72"/>
      <c r="I584" s="71">
        <f>TRUNC(F584*G584,2)</f>
        <v>4.41</v>
      </c>
      <c r="J584" s="72"/>
      <c r="M584" s="23">
        <f>B584</f>
        <v>38193</v>
      </c>
      <c r="N584" s="5">
        <f>SUMIF(ORCAMENTO!B:B,B582,ORCAMENTO!F:F)</f>
        <v>5</v>
      </c>
      <c r="O584" s="23">
        <f>F584*N584</f>
        <v>5</v>
      </c>
      <c r="Q584" s="23">
        <f ca="1">IFERROR(SUMIF(CO!B:B,B582,OFFSET(CO!F:F,0,(4+MATCH(ETAPA,CO!$J$6:$P$6,0)))),0)</f>
        <v>2</v>
      </c>
      <c r="R584" s="23">
        <f ca="1">F584*Q584</f>
        <v>2</v>
      </c>
    </row>
    <row r="585" spans="1:18" x14ac:dyDescent="0.3">
      <c r="A585" s="23" t="s">
        <v>1022</v>
      </c>
      <c r="B585" s="23">
        <v>88264</v>
      </c>
      <c r="C585" s="23" t="str">
        <f>VLOOKUP(B585,IF(A585="COMPOSICAO",S!$A:$E,I!$A:$E),2,FALSE)</f>
        <v>SINAPI</v>
      </c>
      <c r="D585" s="24" t="str">
        <f>VLOOKUP(B585,IF(A585="COMPOSICAO",S!$A:$E,I!$A:$E),3,FALSE)</f>
        <v>ELETRICISTA COM ENCARGOS COMPLEMENTARES</v>
      </c>
      <c r="E585" s="23" t="str">
        <f>VLOOKUP(B585,IF(A585="COMPOSICAO",S!$A:$E,I!$A:$E),4,FALSE)</f>
        <v>H</v>
      </c>
      <c r="F585" s="23">
        <f>0.3834/pcf</f>
        <v>0.38340000000000002</v>
      </c>
      <c r="G585" s="71">
        <f>IF(A585="COMPOSICAO",VLOOKUP("TOTAL SEM BDI - "&amp;B585,CPUAUX1!$A:$J,9,FALSE),VLOOKUP(B585,I!$A:$E,5,FALSE))</f>
        <v>27.74</v>
      </c>
      <c r="H585" s="72"/>
      <c r="I585" s="71">
        <f>TRUNC(F585*G585,2)</f>
        <v>10.63</v>
      </c>
      <c r="J585" s="72"/>
      <c r="M585" s="23">
        <f>B585</f>
        <v>88264</v>
      </c>
      <c r="N585" s="5">
        <f>SUMIF(ORCAMENTO!B:B,B582,ORCAMENTO!F:F)</f>
        <v>5</v>
      </c>
      <c r="O585" s="23">
        <f>F585*N585</f>
        <v>1.917</v>
      </c>
      <c r="Q585" s="23">
        <f ca="1">IFERROR(SUMIF(CO!B:B,B582,OFFSET(CO!F:F,0,(4+MATCH(ETAPA,CO!$J$6:$P$6,0)))),0)</f>
        <v>2</v>
      </c>
      <c r="R585" s="23">
        <f ca="1">F585*Q585</f>
        <v>0.76680000000000004</v>
      </c>
    </row>
    <row r="586" spans="1:18" ht="30" customHeight="1" x14ac:dyDescent="0.3">
      <c r="A586" s="23" t="s">
        <v>1022</v>
      </c>
      <c r="B586" s="23">
        <v>88247</v>
      </c>
      <c r="C586" s="23" t="str">
        <f>VLOOKUP(B586,IF(A586="COMPOSICAO",S!$A:$E,I!$A:$E),2,FALSE)</f>
        <v>SINAPI</v>
      </c>
      <c r="D586" s="24" t="str">
        <f>VLOOKUP(B586,IF(A586="COMPOSICAO",S!$A:$E,I!$A:$E),3,FALSE)</f>
        <v>AUXILIAR DE ELETRICISTA COM ENCARGOS COMPLEMENTARES</v>
      </c>
      <c r="E586" s="23" t="str">
        <f>VLOOKUP(B586,IF(A586="COMPOSICAO",S!$A:$E,I!$A:$E),4,FALSE)</f>
        <v>H</v>
      </c>
      <c r="F586" s="23">
        <f>0.1198125/pcf</f>
        <v>0.1198125</v>
      </c>
      <c r="G586" s="71">
        <f>IF(A586="COMPOSICAO",VLOOKUP("TOTAL SEM BDI - "&amp;B586,CPUAUX1!$A:$J,9,FALSE),VLOOKUP(B586,I!$A:$E,5,FALSE))</f>
        <v>22.810000000000002</v>
      </c>
      <c r="H586" s="72"/>
      <c r="I586" s="71">
        <f>TRUNC(F586*G586,2)</f>
        <v>2.73</v>
      </c>
      <c r="J586" s="72"/>
      <c r="M586" s="23">
        <f>B586</f>
        <v>88247</v>
      </c>
      <c r="N586" s="5">
        <f>SUMIF(ORCAMENTO!B:B,B582,ORCAMENTO!F:F)</f>
        <v>5</v>
      </c>
      <c r="O586" s="23">
        <f>F586*N586</f>
        <v>0.59906250000000005</v>
      </c>
      <c r="Q586" s="23">
        <f ca="1">IFERROR(SUMIF(CO!B:B,B582,OFFSET(CO!F:F,0,(4+MATCH(ETAPA,CO!$J$6:$P$6,0)))),0)</f>
        <v>2</v>
      </c>
      <c r="R586" s="23">
        <f ca="1">F586*Q586</f>
        <v>0.239625</v>
      </c>
    </row>
    <row r="587" spans="1:18" x14ac:dyDescent="0.3">
      <c r="A587" s="68" t="str">
        <f>"TOTAL SEM BDI - "&amp;B582</f>
        <v>TOTAL SEM BDI - COMPINST04</v>
      </c>
      <c r="B587" s="69"/>
      <c r="C587" s="69"/>
      <c r="D587" s="69"/>
      <c r="E587" s="69"/>
      <c r="F587" s="69"/>
      <c r="G587" s="69"/>
      <c r="H587" s="70"/>
      <c r="I587" s="71">
        <f>SUM(I582:I586)</f>
        <v>83.039999999999992</v>
      </c>
      <c r="J587" s="72"/>
    </row>
    <row r="588" spans="1:18" x14ac:dyDescent="0.3">
      <c r="A588" s="68" t="str">
        <f>"TAXA DE BDI ("&amp;TEXT(BDI,"00,00")&amp;" %)"</f>
        <v>TAXA DE BDI (24,84 %)</v>
      </c>
      <c r="B588" s="69"/>
      <c r="C588" s="69"/>
      <c r="D588" s="69"/>
      <c r="E588" s="69"/>
      <c r="F588" s="69"/>
      <c r="G588" s="69"/>
      <c r="H588" s="70"/>
      <c r="I588" s="71">
        <f>ROUND(I587*(BDI/100),2)</f>
        <v>20.63</v>
      </c>
      <c r="J588" s="72"/>
    </row>
    <row r="589" spans="1:18" x14ac:dyDescent="0.3">
      <c r="A589" s="68" t="str">
        <f>"TOTAL COM BDI - "&amp;B582</f>
        <v>TOTAL COM BDI - COMPINST04</v>
      </c>
      <c r="B589" s="69"/>
      <c r="C589" s="69"/>
      <c r="D589" s="69"/>
      <c r="E589" s="69"/>
      <c r="F589" s="69"/>
      <c r="G589" s="69"/>
      <c r="H589" s="70"/>
      <c r="I589" s="71">
        <f>SUM(I587:I588)</f>
        <v>103.66999999999999</v>
      </c>
      <c r="J589" s="72"/>
    </row>
    <row r="591" spans="1:18" x14ac:dyDescent="0.3">
      <c r="A591" s="4" t="s">
        <v>1018</v>
      </c>
      <c r="B591" s="4" t="s">
        <v>138</v>
      </c>
      <c r="C591" s="4" t="s">
        <v>139</v>
      </c>
      <c r="D591" s="4" t="s">
        <v>21</v>
      </c>
      <c r="E591" s="4" t="s">
        <v>140</v>
      </c>
      <c r="F591" s="4" t="s">
        <v>506</v>
      </c>
      <c r="G591" s="34" t="s">
        <v>1019</v>
      </c>
      <c r="H591" s="35"/>
      <c r="I591" s="34" t="s">
        <v>15</v>
      </c>
      <c r="J591" s="35"/>
    </row>
    <row r="592" spans="1:18" x14ac:dyDescent="0.3">
      <c r="A592" s="15" t="s">
        <v>1080</v>
      </c>
      <c r="B592" s="15" t="s">
        <v>640</v>
      </c>
      <c r="C592" s="15" t="str">
        <f>VLOOKUP(B592,S!$A:$G,2,FALSE)</f>
        <v>PRÓPRIA</v>
      </c>
      <c r="D592" s="22" t="str">
        <f>VLOOKUP(B592,S!$A:$G,3,FALSE)</f>
        <v>REATERRO DE VALA COM COMPACTAÇÃO MANUAL</v>
      </c>
      <c r="E592" s="15" t="str">
        <f>VLOOKUP(B592,S!$A:$G,4,FALSE)</f>
        <v>M³</v>
      </c>
      <c r="F592" s="15"/>
      <c r="G592" s="73">
        <f>I594</f>
        <v>36.9</v>
      </c>
      <c r="H592" s="74"/>
      <c r="I592" s="73"/>
      <c r="J592" s="74"/>
      <c r="K592" s="16">
        <f>VLOOKUP(B592,S!A:G,5,FALSE)</f>
        <v>0</v>
      </c>
      <c r="L592" s="15" t="s">
        <v>1021</v>
      </c>
    </row>
    <row r="593" spans="1:18" x14ac:dyDescent="0.3">
      <c r="A593" s="23" t="s">
        <v>1022</v>
      </c>
      <c r="B593" s="23">
        <v>88316</v>
      </c>
      <c r="C593" s="23" t="str">
        <f>VLOOKUP(B593,IF(A593="COMPOSICAO",S!$A:$E,I!$A:$E),2,FALSE)</f>
        <v>SINAPI</v>
      </c>
      <c r="D593" s="24" t="str">
        <f>VLOOKUP(B593,IF(A593="COMPOSICAO",S!$A:$E,I!$A:$E),3,FALSE)</f>
        <v>SERVENTE COM ENCARGOS COMPLEMENTARES</v>
      </c>
      <c r="E593" s="23" t="str">
        <f>VLOOKUP(B593,IF(A593="COMPOSICAO",S!$A:$E,I!$A:$E),4,FALSE)</f>
        <v>H</v>
      </c>
      <c r="F593" s="23">
        <f>1.7/pcf</f>
        <v>1.7</v>
      </c>
      <c r="G593" s="71">
        <f>IF(A593="COMPOSICAO",VLOOKUP("TOTAL SEM BDI - "&amp;B593,CPUAUX1!$A:$J,9,FALSE),VLOOKUP(B593,I!$A:$E,5,FALSE))</f>
        <v>21.71</v>
      </c>
      <c r="H593" s="72"/>
      <c r="I593" s="71">
        <f>TRUNC(F593*G593,2)</f>
        <v>36.9</v>
      </c>
      <c r="J593" s="72"/>
      <c r="M593" s="23">
        <f>B593</f>
        <v>88316</v>
      </c>
      <c r="N593" s="5">
        <f>SUMIF(ORCAMENTO!B:B,B592,ORCAMENTO!F:F)</f>
        <v>13.799999999999999</v>
      </c>
      <c r="O593" s="23">
        <f>F593*N593</f>
        <v>23.459999999999997</v>
      </c>
      <c r="Q593" s="23">
        <f ca="1">IFERROR(SUMIF(CO!B:B,B592,OFFSET(CO!F:F,0,(4+MATCH(ETAPA,CO!$J$6:$P$6,0)))),0)</f>
        <v>5.52</v>
      </c>
      <c r="R593" s="23">
        <f ca="1">F593*Q593</f>
        <v>9.3839999999999986</v>
      </c>
    </row>
    <row r="594" spans="1:18" x14ac:dyDescent="0.3">
      <c r="A594" s="68" t="str">
        <f>"TOTAL SEM BDI - "&amp;B592</f>
        <v>TOTAL SEM BDI - COMPOS28</v>
      </c>
      <c r="B594" s="69"/>
      <c r="C594" s="69"/>
      <c r="D594" s="69"/>
      <c r="E594" s="69"/>
      <c r="F594" s="69"/>
      <c r="G594" s="69"/>
      <c r="H594" s="70"/>
      <c r="I594" s="71">
        <f>SUM(I592:I593)</f>
        <v>36.9</v>
      </c>
      <c r="J594" s="72"/>
    </row>
    <row r="595" spans="1:18" x14ac:dyDescent="0.3">
      <c r="A595" s="68" t="str">
        <f>"TAXA DE BDI ("&amp;TEXT(BDI,"00,00")&amp;" %)"</f>
        <v>TAXA DE BDI (24,84 %)</v>
      </c>
      <c r="B595" s="69"/>
      <c r="C595" s="69"/>
      <c r="D595" s="69"/>
      <c r="E595" s="69"/>
      <c r="F595" s="69"/>
      <c r="G595" s="69"/>
      <c r="H595" s="70"/>
      <c r="I595" s="71">
        <f>ROUND(I594*(BDI/100),2)</f>
        <v>9.17</v>
      </c>
      <c r="J595" s="72"/>
    </row>
    <row r="596" spans="1:18" x14ac:dyDescent="0.3">
      <c r="A596" s="68" t="str">
        <f>"TOTAL COM BDI - "&amp;B592</f>
        <v>TOTAL COM BDI - COMPOS28</v>
      </c>
      <c r="B596" s="69"/>
      <c r="C596" s="69"/>
      <c r="D596" s="69"/>
      <c r="E596" s="69"/>
      <c r="F596" s="69"/>
      <c r="G596" s="69"/>
      <c r="H596" s="70"/>
      <c r="I596" s="71">
        <f>SUM(I594:I595)</f>
        <v>46.07</v>
      </c>
      <c r="J596" s="72"/>
    </row>
    <row r="598" spans="1:18" x14ac:dyDescent="0.3">
      <c r="A598" s="4" t="s">
        <v>1018</v>
      </c>
      <c r="B598" s="4" t="s">
        <v>138</v>
      </c>
      <c r="C598" s="4" t="s">
        <v>139</v>
      </c>
      <c r="D598" s="4" t="s">
        <v>21</v>
      </c>
      <c r="E598" s="4" t="s">
        <v>140</v>
      </c>
      <c r="F598" s="4" t="s">
        <v>506</v>
      </c>
      <c r="G598" s="34" t="s">
        <v>1019</v>
      </c>
      <c r="H598" s="35"/>
      <c r="I598" s="34" t="s">
        <v>15</v>
      </c>
      <c r="J598" s="35"/>
    </row>
    <row r="599" spans="1:18" ht="30" customHeight="1" x14ac:dyDescent="0.3">
      <c r="A599" s="15" t="s">
        <v>516</v>
      </c>
      <c r="B599" s="15" t="s">
        <v>642</v>
      </c>
      <c r="C599" s="15" t="str">
        <f>VLOOKUP(B599,S!$A:$G,2,FALSE)</f>
        <v>SEINFRA</v>
      </c>
      <c r="D599" s="22" t="str">
        <f>VLOOKUP(B599,S!$A:$G,3,FALSE)</f>
        <v>BLOCO DE ANCORAGEM EM CONCRETO SIMPLES FCK=10MPa</v>
      </c>
      <c r="E599" s="15" t="str">
        <f>VLOOKUP(B599,S!$A:$G,4,FALSE)</f>
        <v>M3</v>
      </c>
      <c r="F599" s="15"/>
      <c r="G599" s="73">
        <f>I602</f>
        <v>817.03</v>
      </c>
      <c r="H599" s="74"/>
      <c r="I599" s="73"/>
      <c r="J599" s="74"/>
      <c r="K599" s="16">
        <f>VLOOKUP(B599,S!A:G,5,FALSE)</f>
        <v>817.1</v>
      </c>
      <c r="L599" s="15" t="str">
        <f>IF(K599=G599,"OK, CONFORME TABELA",IF(G599&gt;K599,"ACIMA DA TABELA: ","ABAIXO DA TABELA: ")&amp;TRUNC((G599*100)/K599,2)&amp;" %")</f>
        <v>ABAIXO DA TABELA: 99,99 %</v>
      </c>
    </row>
    <row r="600" spans="1:18" ht="30" customHeight="1" x14ac:dyDescent="0.3">
      <c r="A600" s="23" t="s">
        <v>1022</v>
      </c>
      <c r="B600" s="23" t="s">
        <v>1081</v>
      </c>
      <c r="C600" s="23" t="str">
        <f>VLOOKUP(B600,IF(A600="COMPOSICAO",S!$A:$E,I!$A:$E),2,FALSE)</f>
        <v>SEINFRA</v>
      </c>
      <c r="D600" s="24" t="str">
        <f>VLOOKUP(B600,IF(A600="COMPOSICAO",S!$A:$E,I!$A:$E),3,FALSE)</f>
        <v>CONCRETO P/VIBR., FCK 10 MPa COM AGREGADO ADQUIRIDO</v>
      </c>
      <c r="E600" s="23" t="str">
        <f>VLOOKUP(B600,IF(A600="COMPOSICAO",S!$A:$E,I!$A:$E),4,FALSE)</f>
        <v>M3</v>
      </c>
      <c r="F600" s="23">
        <v>1</v>
      </c>
      <c r="G600" s="71">
        <f>IF(A600="COMPOSICAO",VLOOKUP("TOTAL SEM BDI - "&amp;B600,CPUAUX1!$A:$J,9,FALSE),VLOOKUP(B600,I!$A:$E,5,FALSE))</f>
        <v>482.47</v>
      </c>
      <c r="H600" s="72"/>
      <c r="I600" s="71">
        <f>TRUNC(F600*G600,2)</f>
        <v>482.47</v>
      </c>
      <c r="J600" s="72"/>
      <c r="M600" s="23" t="str">
        <f>B600</f>
        <v>C0838</v>
      </c>
      <c r="N600" s="5">
        <f>SUMIF(ORCAMENTO!B:B,B599,ORCAMENTO!F:F)</f>
        <v>1.3</v>
      </c>
      <c r="O600" s="23">
        <f>F600*N600</f>
        <v>1.3</v>
      </c>
      <c r="Q600" s="23">
        <f ca="1">IFERROR(SUMIF(CO!B:B,B599,OFFSET(CO!F:F,0,(4+MATCH(ETAPA,CO!$J$6:$P$6,0)))),0)</f>
        <v>0.52</v>
      </c>
      <c r="R600" s="23">
        <f ca="1">F600*Q600</f>
        <v>0.52</v>
      </c>
    </row>
    <row r="601" spans="1:18" ht="30" customHeight="1" x14ac:dyDescent="0.3">
      <c r="A601" s="23" t="s">
        <v>1022</v>
      </c>
      <c r="B601" s="23" t="s">
        <v>1082</v>
      </c>
      <c r="C601" s="23" t="str">
        <f>VLOOKUP(B601,IF(A601="COMPOSICAO",S!$A:$E,I!$A:$E),2,FALSE)</f>
        <v>SEINFRA</v>
      </c>
      <c r="D601" s="24" t="str">
        <f>VLOOKUP(B601,IF(A601="COMPOSICAO",S!$A:$E,I!$A:$E),3,FALSE)</f>
        <v>FORMA DE TÁBUAS DE 1" DE 3A. P/FUNDAÇÕES UTIL. 5 X</v>
      </c>
      <c r="E601" s="23" t="str">
        <f>VLOOKUP(B601,IF(A601="COMPOSICAO",S!$A:$E,I!$A:$E),4,FALSE)</f>
        <v>M2</v>
      </c>
      <c r="F601" s="23">
        <v>4</v>
      </c>
      <c r="G601" s="71">
        <f>IF(A601="COMPOSICAO",VLOOKUP("TOTAL SEM BDI - "&amp;B601,CPUAUX1!$A:$J,9,FALSE),VLOOKUP(B601,I!$A:$E,5,FALSE))</f>
        <v>83.639999999999986</v>
      </c>
      <c r="H601" s="72"/>
      <c r="I601" s="71">
        <f>TRUNC(F601*G601,2)</f>
        <v>334.56</v>
      </c>
      <c r="J601" s="72"/>
      <c r="M601" s="23" t="str">
        <f>B601</f>
        <v>C1400</v>
      </c>
      <c r="N601" s="5">
        <f>SUMIF(ORCAMENTO!B:B,B599,ORCAMENTO!F:F)</f>
        <v>1.3</v>
      </c>
      <c r="O601" s="23">
        <f>F601*N601</f>
        <v>5.2</v>
      </c>
      <c r="Q601" s="23">
        <f ca="1">IFERROR(SUMIF(CO!B:B,B599,OFFSET(CO!F:F,0,(4+MATCH(ETAPA,CO!$J$6:$P$6,0)))),0)</f>
        <v>0.52</v>
      </c>
      <c r="R601" s="23">
        <f ca="1">F601*Q601</f>
        <v>2.08</v>
      </c>
    </row>
    <row r="602" spans="1:18" x14ac:dyDescent="0.3">
      <c r="A602" s="68" t="str">
        <f>"TOTAL SEM BDI - "&amp;B599</f>
        <v>TOTAL SEM BDI - C3403</v>
      </c>
      <c r="B602" s="69"/>
      <c r="C602" s="69"/>
      <c r="D602" s="69"/>
      <c r="E602" s="69"/>
      <c r="F602" s="69"/>
      <c r="G602" s="69"/>
      <c r="H602" s="70"/>
      <c r="I602" s="71">
        <f>SUM(I599:I601)</f>
        <v>817.03</v>
      </c>
      <c r="J602" s="72"/>
    </row>
    <row r="603" spans="1:18" x14ac:dyDescent="0.3">
      <c r="A603" s="68" t="str">
        <f>"TAXA DE BDI ("&amp;TEXT(BDI,"00,00")&amp;" %)"</f>
        <v>TAXA DE BDI (24,84 %)</v>
      </c>
      <c r="B603" s="69"/>
      <c r="C603" s="69"/>
      <c r="D603" s="69"/>
      <c r="E603" s="69"/>
      <c r="F603" s="69"/>
      <c r="G603" s="69"/>
      <c r="H603" s="70"/>
      <c r="I603" s="71">
        <f>ROUND(I602*(BDI/100),2)</f>
        <v>202.95</v>
      </c>
      <c r="J603" s="72"/>
    </row>
    <row r="604" spans="1:18" x14ac:dyDescent="0.3">
      <c r="A604" s="68" t="str">
        <f>"TOTAL COM BDI - "&amp;B599</f>
        <v>TOTAL COM BDI - C3403</v>
      </c>
      <c r="B604" s="69"/>
      <c r="C604" s="69"/>
      <c r="D604" s="69"/>
      <c r="E604" s="69"/>
      <c r="F604" s="69"/>
      <c r="G604" s="69"/>
      <c r="H604" s="70"/>
      <c r="I604" s="71">
        <f>SUM(I602:I603)</f>
        <v>1019.98</v>
      </c>
      <c r="J604" s="72"/>
    </row>
    <row r="606" spans="1:18" x14ac:dyDescent="0.3">
      <c r="A606" s="4" t="s">
        <v>1018</v>
      </c>
      <c r="B606" s="4" t="s">
        <v>138</v>
      </c>
      <c r="C606" s="4" t="s">
        <v>139</v>
      </c>
      <c r="D606" s="4" t="s">
        <v>21</v>
      </c>
      <c r="E606" s="4" t="s">
        <v>140</v>
      </c>
      <c r="F606" s="4" t="s">
        <v>506</v>
      </c>
      <c r="G606" s="34" t="s">
        <v>1019</v>
      </c>
      <c r="H606" s="35"/>
      <c r="I606" s="34" t="s">
        <v>15</v>
      </c>
      <c r="J606" s="35"/>
    </row>
    <row r="607" spans="1:18" ht="30" customHeight="1" x14ac:dyDescent="0.3">
      <c r="A607" s="15" t="s">
        <v>1083</v>
      </c>
      <c r="B607" s="15" t="s">
        <v>645</v>
      </c>
      <c r="C607" s="15" t="str">
        <f>VLOOKUP(B607,S!$A:$G,2,FALSE)</f>
        <v>PRÓPRIA</v>
      </c>
      <c r="D607" s="22" t="str">
        <f>VLOOKUP(B607,S!$A:$G,3,FALSE)</f>
        <v>AQUISIÇÃO E ASSENTAMENTO DE TUBO RÍGIDO PVC, CLASSE 12, DN 50 MM, INCLUSO CONEXÕES</v>
      </c>
      <c r="E607" s="15" t="str">
        <f>VLOOKUP(B607,S!$A:$G,4,FALSE)</f>
        <v>M</v>
      </c>
      <c r="F607" s="15"/>
      <c r="G607" s="73">
        <f>I612</f>
        <v>25.79</v>
      </c>
      <c r="H607" s="74"/>
      <c r="I607" s="73"/>
      <c r="J607" s="74"/>
      <c r="K607" s="16">
        <f>VLOOKUP(B607,S!A:G,5,FALSE)</f>
        <v>0</v>
      </c>
      <c r="L607" s="15" t="s">
        <v>1021</v>
      </c>
    </row>
    <row r="608" spans="1:18" x14ac:dyDescent="0.3">
      <c r="A608" s="23" t="s">
        <v>1022</v>
      </c>
      <c r="B608" s="23">
        <v>88316</v>
      </c>
      <c r="C608" s="23" t="str">
        <f>VLOOKUP(B608,IF(A608="COMPOSICAO",S!$A:$E,I!$A:$E),2,FALSE)</f>
        <v>SINAPI</v>
      </c>
      <c r="D608" s="24" t="str">
        <f>VLOOKUP(B608,IF(A608="COMPOSICAO",S!$A:$E,I!$A:$E),3,FALSE)</f>
        <v>SERVENTE COM ENCARGOS COMPLEMENTARES</v>
      </c>
      <c r="E608" s="23" t="str">
        <f>VLOOKUP(B608,IF(A608="COMPOSICAO",S!$A:$E,I!$A:$E),4,FALSE)</f>
        <v>H</v>
      </c>
      <c r="F608" s="23">
        <f>0.0635/pcf</f>
        <v>6.3500000000000001E-2</v>
      </c>
      <c r="G608" s="71">
        <f>IF(A608="COMPOSICAO",VLOOKUP("TOTAL SEM BDI - "&amp;B608,CPUAUX1!$A:$J,9,FALSE),VLOOKUP(B608,I!$A:$E,5,FALSE))</f>
        <v>21.71</v>
      </c>
      <c r="H608" s="72"/>
      <c r="I608" s="71">
        <f>TRUNC(F608*G608,2)</f>
        <v>1.37</v>
      </c>
      <c r="J608" s="72"/>
      <c r="M608" s="23">
        <f>B608</f>
        <v>88316</v>
      </c>
      <c r="N608" s="5">
        <f>SUMIF(ORCAMENTO!B:B,B607,ORCAMENTO!F:F)</f>
        <v>170</v>
      </c>
      <c r="O608" s="23">
        <f>F608*N608</f>
        <v>10.795</v>
      </c>
      <c r="Q608" s="23">
        <f ca="1">IFERROR(SUMIF(CO!B:B,B607,OFFSET(CO!F:F,0,(4+MATCH(ETAPA,CO!$J$6:$P$6,0)))),0)</f>
        <v>68</v>
      </c>
      <c r="R608" s="23">
        <f ca="1">F608*Q608</f>
        <v>4.3179999999999996</v>
      </c>
    </row>
    <row r="609" spans="1:18" ht="30" customHeight="1" x14ac:dyDescent="0.3">
      <c r="A609" s="23" t="s">
        <v>1022</v>
      </c>
      <c r="B609" s="23">
        <v>88246</v>
      </c>
      <c r="C609" s="23" t="str">
        <f>VLOOKUP(B609,IF(A609="COMPOSICAO",S!$A:$E,I!$A:$E),2,FALSE)</f>
        <v>SINAPI</v>
      </c>
      <c r="D609" s="24" t="str">
        <f>VLOOKUP(B609,IF(A609="COMPOSICAO",S!$A:$E,I!$A:$E),3,FALSE)</f>
        <v>ASSENTADOR DE TUBOS COM ENCARGOS COMPLEMENTARES</v>
      </c>
      <c r="E609" s="23" t="str">
        <f>VLOOKUP(B609,IF(A609="COMPOSICAO",S!$A:$E,I!$A:$E),4,FALSE)</f>
        <v>H</v>
      </c>
      <c r="F609" s="23">
        <f>0.03/pcf</f>
        <v>0.03</v>
      </c>
      <c r="G609" s="71">
        <f>IF(A609="COMPOSICAO",VLOOKUP("TOTAL SEM BDI - "&amp;B609,CPUAUX1!$A:$J,9,FALSE),VLOOKUP(B609,I!$A:$E,5,FALSE))</f>
        <v>19.630000000000003</v>
      </c>
      <c r="H609" s="72"/>
      <c r="I609" s="71">
        <f>TRUNC(F609*G609,2)</f>
        <v>0.57999999999999996</v>
      </c>
      <c r="J609" s="72"/>
      <c r="M609" s="23">
        <f>B609</f>
        <v>88246</v>
      </c>
      <c r="N609" s="5">
        <f>SUMIF(ORCAMENTO!B:B,B607,ORCAMENTO!F:F)</f>
        <v>170</v>
      </c>
      <c r="O609" s="23">
        <f>F609*N609</f>
        <v>5.0999999999999996</v>
      </c>
      <c r="Q609" s="23">
        <f ca="1">IFERROR(SUMIF(CO!B:B,B607,OFFSET(CO!F:F,0,(4+MATCH(ETAPA,CO!$J$6:$P$6,0)))),0)</f>
        <v>68</v>
      </c>
      <c r="R609" s="23">
        <f ca="1">F609*Q609</f>
        <v>2.04</v>
      </c>
    </row>
    <row r="610" spans="1:18" ht="30" customHeight="1" x14ac:dyDescent="0.3">
      <c r="A610" s="23" t="s">
        <v>1025</v>
      </c>
      <c r="B610" s="23">
        <v>325</v>
      </c>
      <c r="C610" s="23" t="str">
        <f>VLOOKUP(B610,IF(A610="COMPOSICAO",S!$A:$E,I!$A:$E),2,FALSE)</f>
        <v>SINAPI</v>
      </c>
      <c r="D610" s="24" t="str">
        <f>VLOOKUP(B610,IF(A610="COMPOSICAO",S!$A:$E,I!$A:$E),3,FALSE)</f>
        <v>ANEL BORRACHA, PARA TUBO/CONEXAO PVC PBA, DN 50 MM, PARA REDE AGUA</v>
      </c>
      <c r="E610" s="23" t="str">
        <f>VLOOKUP(B610,IF(A610="COMPOSICAO",S!$A:$E,I!$A:$E),4,FALSE)</f>
        <v>UN</v>
      </c>
      <c r="F610" s="23">
        <v>0.17</v>
      </c>
      <c r="G610" s="71">
        <f>IF(A610="COMPOSICAO",VLOOKUP("TOTAL SEM BDI - "&amp;B610,CPUAUX1!$A:$J,9,FALSE),VLOOKUP(B610,I!$A:$E,5,FALSE))</f>
        <v>2.96</v>
      </c>
      <c r="H610" s="72"/>
      <c r="I610" s="71">
        <f>TRUNC(F610*G610,2)</f>
        <v>0.5</v>
      </c>
      <c r="J610" s="72"/>
      <c r="M610" s="23">
        <f>B610</f>
        <v>325</v>
      </c>
      <c r="N610" s="5">
        <f>SUMIF(ORCAMENTO!B:B,B607,ORCAMENTO!F:F)</f>
        <v>170</v>
      </c>
      <c r="O610" s="23">
        <f>F610*N610</f>
        <v>28.900000000000002</v>
      </c>
      <c r="Q610" s="23">
        <f ca="1">IFERROR(SUMIF(CO!B:B,B607,OFFSET(CO!F:F,0,(4+MATCH(ETAPA,CO!$J$6:$P$6,0)))),0)</f>
        <v>68</v>
      </c>
      <c r="R610" s="23">
        <f ca="1">F610*Q610</f>
        <v>11.56</v>
      </c>
    </row>
    <row r="611" spans="1:18" ht="30" customHeight="1" x14ac:dyDescent="0.3">
      <c r="A611" s="23" t="s">
        <v>1025</v>
      </c>
      <c r="B611" s="23">
        <v>36084</v>
      </c>
      <c r="C611" s="23" t="str">
        <f>VLOOKUP(B611,IF(A611="COMPOSICAO",S!$A:$E,I!$A:$E),2,FALSE)</f>
        <v>SINAPI</v>
      </c>
      <c r="D611" s="24" t="str">
        <f>VLOOKUP(B611,IF(A611="COMPOSICAO",S!$A:$E,I!$A:$E),3,FALSE)</f>
        <v>TUBO PVC PBA JEI, CLASSE 12, DN 50 MM, PARA REDE DE AGUA (NBR 5647)</v>
      </c>
      <c r="E611" s="23" t="str">
        <f>VLOOKUP(B611,IF(A611="COMPOSICAO",S!$A:$E,I!$A:$E),4,FALSE)</f>
        <v>M</v>
      </c>
      <c r="F611" s="23">
        <v>1</v>
      </c>
      <c r="G611" s="71">
        <f>IF(A611="COMPOSICAO",VLOOKUP("TOTAL SEM BDI - "&amp;B611,CPUAUX1!$A:$J,9,FALSE),VLOOKUP(B611,I!$A:$E,5,FALSE))</f>
        <v>23.34</v>
      </c>
      <c r="H611" s="72"/>
      <c r="I611" s="71">
        <f>TRUNC(F611*G611,2)</f>
        <v>23.34</v>
      </c>
      <c r="J611" s="72"/>
      <c r="M611" s="23">
        <f>B611</f>
        <v>36084</v>
      </c>
      <c r="N611" s="5">
        <f>SUMIF(ORCAMENTO!B:B,B607,ORCAMENTO!F:F)</f>
        <v>170</v>
      </c>
      <c r="O611" s="23">
        <f>F611*N611</f>
        <v>170</v>
      </c>
      <c r="Q611" s="23">
        <f ca="1">IFERROR(SUMIF(CO!B:B,B607,OFFSET(CO!F:F,0,(4+MATCH(ETAPA,CO!$J$6:$P$6,0)))),0)</f>
        <v>68</v>
      </c>
      <c r="R611" s="23">
        <f ca="1">F611*Q611</f>
        <v>68</v>
      </c>
    </row>
    <row r="612" spans="1:18" x14ac:dyDescent="0.3">
      <c r="A612" s="68" t="str">
        <f>"TOTAL SEM BDI - "&amp;B607</f>
        <v>TOTAL SEM BDI - COMPOS27</v>
      </c>
      <c r="B612" s="69"/>
      <c r="C612" s="69"/>
      <c r="D612" s="69"/>
      <c r="E612" s="69"/>
      <c r="F612" s="69"/>
      <c r="G612" s="69"/>
      <c r="H612" s="70"/>
      <c r="I612" s="71">
        <f>SUM(I607:I611)</f>
        <v>25.79</v>
      </c>
      <c r="J612" s="72"/>
    </row>
    <row r="613" spans="1:18" x14ac:dyDescent="0.3">
      <c r="A613" s="68" t="str">
        <f>"TAXA DE BDI ("&amp;TEXT(BDI,"00,00")&amp;" %)"</f>
        <v>TAXA DE BDI (24,84 %)</v>
      </c>
      <c r="B613" s="69"/>
      <c r="C613" s="69"/>
      <c r="D613" s="69"/>
      <c r="E613" s="69"/>
      <c r="F613" s="69"/>
      <c r="G613" s="69"/>
      <c r="H613" s="70"/>
      <c r="I613" s="71">
        <f>ROUND(I612*(BDI/100),2)</f>
        <v>6.41</v>
      </c>
      <c r="J613" s="72"/>
    </row>
    <row r="614" spans="1:18" x14ac:dyDescent="0.3">
      <c r="A614" s="68" t="str">
        <f>"TOTAL COM BDI - "&amp;B607</f>
        <v>TOTAL COM BDI - COMPOS27</v>
      </c>
      <c r="B614" s="69"/>
      <c r="C614" s="69"/>
      <c r="D614" s="69"/>
      <c r="E614" s="69"/>
      <c r="F614" s="69"/>
      <c r="G614" s="69"/>
      <c r="H614" s="70"/>
      <c r="I614" s="71">
        <f>SUM(I612:I613)</f>
        <v>32.200000000000003</v>
      </c>
      <c r="J614" s="72"/>
    </row>
    <row r="616" spans="1:18" x14ac:dyDescent="0.3">
      <c r="A616" s="4" t="s">
        <v>1018</v>
      </c>
      <c r="B616" s="4" t="s">
        <v>138</v>
      </c>
      <c r="C616" s="4" t="s">
        <v>139</v>
      </c>
      <c r="D616" s="4" t="s">
        <v>21</v>
      </c>
      <c r="E616" s="4" t="s">
        <v>140</v>
      </c>
      <c r="F616" s="4" t="s">
        <v>506</v>
      </c>
      <c r="G616" s="34" t="s">
        <v>1019</v>
      </c>
      <c r="H616" s="35"/>
      <c r="I616" s="34" t="s">
        <v>15</v>
      </c>
      <c r="J616" s="35"/>
    </row>
    <row r="617" spans="1:18" ht="45" customHeight="1" x14ac:dyDescent="0.3">
      <c r="A617" s="15" t="s">
        <v>1084</v>
      </c>
      <c r="B617" s="15">
        <v>94497</v>
      </c>
      <c r="C617" s="15" t="str">
        <f>VLOOKUP(B617,S!$A:$G,2,FALSE)</f>
        <v>SINAPI</v>
      </c>
      <c r="D617" s="22" t="str">
        <f>VLOOKUP(B617,S!$A:$G,3,FALSE)</f>
        <v>REGISTRO DE GAVETA BRUTO, LATÃO, ROSCÁVEL, 1 1/2" - FORNECIMENTO E INSTALAÇÃO. AF_08/2021</v>
      </c>
      <c r="E617" s="15" t="str">
        <f>VLOOKUP(B617,S!$A:$G,4,FALSE)</f>
        <v>UN</v>
      </c>
      <c r="F617" s="15"/>
      <c r="G617" s="73">
        <f>I622</f>
        <v>118.80000000000001</v>
      </c>
      <c r="H617" s="74"/>
      <c r="I617" s="73"/>
      <c r="J617" s="74"/>
      <c r="K617" s="16">
        <f>VLOOKUP(B617,S!A:G,5,FALSE)</f>
        <v>118.8</v>
      </c>
      <c r="L617" s="15" t="str">
        <f>IF(K617=G617,"OK, CONFORME TABELA",IF(G617&gt;K617,"ACIMA DA TABELA: ","ABAIXO DA TABELA: ")&amp;TRUNC((G617*100)/K617,2)&amp;" %")</f>
        <v>OK, CONFORME TABELA</v>
      </c>
    </row>
    <row r="618" spans="1:18" ht="30" customHeight="1" x14ac:dyDescent="0.3">
      <c r="A618" s="23" t="s">
        <v>1022</v>
      </c>
      <c r="B618" s="23">
        <v>88267</v>
      </c>
      <c r="C618" s="23" t="str">
        <f>VLOOKUP(B618,IF(A618="COMPOSICAO",S!$A:$E,I!$A:$E),2,FALSE)</f>
        <v>SINAPI</v>
      </c>
      <c r="D618" s="24" t="str">
        <f>VLOOKUP(B618,IF(A618="COMPOSICAO",S!$A:$E,I!$A:$E),3,FALSE)</f>
        <v>ENCANADOR OU BOMBEIRO HIDRÁULICO COM ENCARGOS COMPLEMENTARES</v>
      </c>
      <c r="E618" s="23" t="str">
        <f>VLOOKUP(B618,IF(A618="COMPOSICAO",S!$A:$E,I!$A:$E),4,FALSE)</f>
        <v>H</v>
      </c>
      <c r="F618" s="23">
        <f>0.2633/pcf</f>
        <v>0.26329999999999998</v>
      </c>
      <c r="G618" s="71">
        <f>IF(A618="COMPOSICAO",VLOOKUP("TOTAL SEM BDI - "&amp;B618,CPUAUX1!$A:$J,9,FALSE),VLOOKUP(B618,I!$A:$E,5,FALSE))</f>
        <v>26.669999999999998</v>
      </c>
      <c r="H618" s="72"/>
      <c r="I618" s="71">
        <f>TRUNC(F618*G618,2)</f>
        <v>7.02</v>
      </c>
      <c r="J618" s="72"/>
      <c r="M618" s="23">
        <f>B618</f>
        <v>88267</v>
      </c>
      <c r="N618" s="5">
        <f>SUMIF(ORCAMENTO!B:B,B617,ORCAMENTO!F:F)</f>
        <v>15</v>
      </c>
      <c r="O618" s="23">
        <f>F618*N618</f>
        <v>3.9494999999999996</v>
      </c>
      <c r="Q618" s="23">
        <f ca="1">IFERROR(SUMIF(CO!B:B,B617,OFFSET(CO!F:F,0,(4+MATCH(ETAPA,CO!$J$6:$P$6,0)))),0)</f>
        <v>6</v>
      </c>
      <c r="R618" s="23">
        <f ca="1">F618*Q618</f>
        <v>1.5797999999999999</v>
      </c>
    </row>
    <row r="619" spans="1:18" ht="30" customHeight="1" x14ac:dyDescent="0.3">
      <c r="A619" s="23" t="s">
        <v>1022</v>
      </c>
      <c r="B619" s="23">
        <v>88248</v>
      </c>
      <c r="C619" s="23" t="str">
        <f>VLOOKUP(B619,IF(A619="COMPOSICAO",S!$A:$E,I!$A:$E),2,FALSE)</f>
        <v>SINAPI</v>
      </c>
      <c r="D619" s="24" t="str">
        <f>VLOOKUP(B619,IF(A619="COMPOSICAO",S!$A:$E,I!$A:$E),3,FALSE)</f>
        <v>AUXILIAR DE ENCANADOR OU BOMBEIRO HIDRÁULICO COM ENCARGOS COMPLEMENTARES</v>
      </c>
      <c r="E619" s="23" t="str">
        <f>VLOOKUP(B619,IF(A619="COMPOSICAO",S!$A:$E,I!$A:$E),4,FALSE)</f>
        <v>H</v>
      </c>
      <c r="F619" s="23">
        <f>0.2633/pcf</f>
        <v>0.26329999999999998</v>
      </c>
      <c r="G619" s="71">
        <f>IF(A619="COMPOSICAO",VLOOKUP("TOTAL SEM BDI - "&amp;B619,CPUAUX1!$A:$J,9,FALSE),VLOOKUP(B619,I!$A:$E,5,FALSE))</f>
        <v>21.82</v>
      </c>
      <c r="H619" s="72"/>
      <c r="I619" s="71">
        <f>TRUNC(F619*G619,2)</f>
        <v>5.74</v>
      </c>
      <c r="J619" s="72"/>
      <c r="M619" s="23">
        <f>B619</f>
        <v>88248</v>
      </c>
      <c r="N619" s="5">
        <f>SUMIF(ORCAMENTO!B:B,B617,ORCAMENTO!F:F)</f>
        <v>15</v>
      </c>
      <c r="O619" s="23">
        <f>F619*N619</f>
        <v>3.9494999999999996</v>
      </c>
      <c r="Q619" s="23">
        <f ca="1">IFERROR(SUMIF(CO!B:B,B617,OFFSET(CO!F:F,0,(4+MATCH(ETAPA,CO!$J$6:$P$6,0)))),0)</f>
        <v>6</v>
      </c>
      <c r="R619" s="23">
        <f ca="1">F619*Q619</f>
        <v>1.5797999999999999</v>
      </c>
    </row>
    <row r="620" spans="1:18" ht="30" customHeight="1" x14ac:dyDescent="0.3">
      <c r="A620" s="23" t="s">
        <v>1025</v>
      </c>
      <c r="B620" s="23">
        <v>6010</v>
      </c>
      <c r="C620" s="23" t="str">
        <f>VLOOKUP(B620,IF(A620="COMPOSICAO",S!$A:$E,I!$A:$E),2,FALSE)</f>
        <v>SINAPI</v>
      </c>
      <c r="D620" s="24" t="str">
        <f>VLOOKUP(B620,IF(A620="COMPOSICAO",S!$A:$E,I!$A:$E),3,FALSE)</f>
        <v>REGISTRO GAVETA BRUTO EM LATAO FORJADO, BITOLA 1 1/2"</v>
      </c>
      <c r="E620" s="23" t="str">
        <f>VLOOKUP(B620,IF(A620="COMPOSICAO",S!$A:$E,I!$A:$E),4,FALSE)</f>
        <v>UN</v>
      </c>
      <c r="F620" s="23">
        <v>1</v>
      </c>
      <c r="G620" s="71">
        <f>IF(A620="COMPOSICAO",VLOOKUP("TOTAL SEM BDI - "&amp;B620,CPUAUX1!$A:$J,9,FALSE),VLOOKUP(B620,I!$A:$E,5,FALSE))</f>
        <v>105.75</v>
      </c>
      <c r="H620" s="72"/>
      <c r="I620" s="71">
        <f>TRUNC(F620*G620,2)</f>
        <v>105.75</v>
      </c>
      <c r="J620" s="72"/>
      <c r="M620" s="23">
        <f>B620</f>
        <v>6010</v>
      </c>
      <c r="N620" s="5">
        <f>SUMIF(ORCAMENTO!B:B,B617,ORCAMENTO!F:F)</f>
        <v>15</v>
      </c>
      <c r="O620" s="23">
        <f>F620*N620</f>
        <v>15</v>
      </c>
      <c r="Q620" s="23">
        <f ca="1">IFERROR(SUMIF(CO!B:B,B617,OFFSET(CO!F:F,0,(4+MATCH(ETAPA,CO!$J$6:$P$6,0)))),0)</f>
        <v>6</v>
      </c>
      <c r="R620" s="23">
        <f ca="1">F620*Q620</f>
        <v>6</v>
      </c>
    </row>
    <row r="621" spans="1:18" ht="30" customHeight="1" x14ac:dyDescent="0.3">
      <c r="A621" s="23" t="s">
        <v>1025</v>
      </c>
      <c r="B621" s="23">
        <v>3148</v>
      </c>
      <c r="C621" s="23" t="str">
        <f>VLOOKUP(B621,IF(A621="COMPOSICAO",S!$A:$E,I!$A:$E),2,FALSE)</f>
        <v>SINAPI</v>
      </c>
      <c r="D621" s="24" t="str">
        <f>VLOOKUP(B621,IF(A621="COMPOSICAO",S!$A:$E,I!$A:$E),3,FALSE)</f>
        <v>FITA VEDA ROSCA, EM PTFE, ROLO DE 18 MM X 50 M (L X C)</v>
      </c>
      <c r="E621" s="23" t="str">
        <f>VLOOKUP(B621,IF(A621="COMPOSICAO",S!$A:$E,I!$A:$E),4,FALSE)</f>
        <v>UN</v>
      </c>
      <c r="F621" s="23">
        <v>1.9199999999999998E-2</v>
      </c>
      <c r="G621" s="71">
        <f>IF(A621="COMPOSICAO",VLOOKUP("TOTAL SEM BDI - "&amp;B621,CPUAUX1!$A:$J,9,FALSE),VLOOKUP(B621,I!$A:$E,5,FALSE))</f>
        <v>15.26</v>
      </c>
      <c r="H621" s="72"/>
      <c r="I621" s="71">
        <f>TRUNC(F621*G621,2)</f>
        <v>0.28999999999999998</v>
      </c>
      <c r="J621" s="72"/>
      <c r="M621" s="23">
        <f>B621</f>
        <v>3148</v>
      </c>
      <c r="N621" s="5">
        <f>SUMIF(ORCAMENTO!B:B,B617,ORCAMENTO!F:F)</f>
        <v>15</v>
      </c>
      <c r="O621" s="23">
        <f>F621*N621</f>
        <v>0.28799999999999998</v>
      </c>
      <c r="Q621" s="23">
        <f ca="1">IFERROR(SUMIF(CO!B:B,B617,OFFSET(CO!F:F,0,(4+MATCH(ETAPA,CO!$J$6:$P$6,0)))),0)</f>
        <v>6</v>
      </c>
      <c r="R621" s="23">
        <f ca="1">F621*Q621</f>
        <v>0.1152</v>
      </c>
    </row>
    <row r="622" spans="1:18" x14ac:dyDescent="0.3">
      <c r="A622" s="68" t="str">
        <f>"TOTAL SEM BDI - "&amp;B617</f>
        <v>TOTAL SEM BDI - 94497</v>
      </c>
      <c r="B622" s="69"/>
      <c r="C622" s="69"/>
      <c r="D622" s="69"/>
      <c r="E622" s="69"/>
      <c r="F622" s="69"/>
      <c r="G622" s="69"/>
      <c r="H622" s="70"/>
      <c r="I622" s="71">
        <f>SUM(I617:I621)</f>
        <v>118.80000000000001</v>
      </c>
      <c r="J622" s="72"/>
    </row>
    <row r="623" spans="1:18" x14ac:dyDescent="0.3">
      <c r="A623" s="68" t="str">
        <f>"TAXA DE BDI ("&amp;TEXT(BDI,"00,00")&amp;" %)"</f>
        <v>TAXA DE BDI (24,84 %)</v>
      </c>
      <c r="B623" s="69"/>
      <c r="C623" s="69"/>
      <c r="D623" s="69"/>
      <c r="E623" s="69"/>
      <c r="F623" s="69"/>
      <c r="G623" s="69"/>
      <c r="H623" s="70"/>
      <c r="I623" s="71">
        <f>ROUND(I622*(BDI/100),2)</f>
        <v>29.51</v>
      </c>
      <c r="J623" s="72"/>
    </row>
    <row r="624" spans="1:18" x14ac:dyDescent="0.3">
      <c r="A624" s="68" t="str">
        <f>"TOTAL COM BDI - "&amp;B617</f>
        <v>TOTAL COM BDI - 94497</v>
      </c>
      <c r="B624" s="69"/>
      <c r="C624" s="69"/>
      <c r="D624" s="69"/>
      <c r="E624" s="69"/>
      <c r="F624" s="69"/>
      <c r="G624" s="69"/>
      <c r="H624" s="70"/>
      <c r="I624" s="71">
        <f>SUM(I622:I623)</f>
        <v>148.31</v>
      </c>
      <c r="J624" s="72"/>
    </row>
    <row r="626" spans="1:18" x14ac:dyDescent="0.3">
      <c r="A626" s="4" t="s">
        <v>1018</v>
      </c>
      <c r="B626" s="4" t="s">
        <v>138</v>
      </c>
      <c r="C626" s="4" t="s">
        <v>139</v>
      </c>
      <c r="D626" s="4" t="s">
        <v>21</v>
      </c>
      <c r="E626" s="4" t="s">
        <v>140</v>
      </c>
      <c r="F626" s="4" t="s">
        <v>506</v>
      </c>
      <c r="G626" s="34" t="s">
        <v>1019</v>
      </c>
      <c r="H626" s="35"/>
      <c r="I626" s="34" t="s">
        <v>15</v>
      </c>
      <c r="J626" s="35"/>
    </row>
    <row r="627" spans="1:18" ht="90" customHeight="1" x14ac:dyDescent="0.3">
      <c r="A627" s="15" t="s">
        <v>1031</v>
      </c>
      <c r="B627" s="15" t="s">
        <v>649</v>
      </c>
      <c r="C627" s="15" t="str">
        <f>VLOOKUP(B627,S!$A:$G,2,FALSE)</f>
        <v>PRÓPRIA</v>
      </c>
      <c r="D627" s="22" t="str">
        <f>VLOOKUP(B627,S!$A:$G,3,FALSE)</f>
        <v>RESERVATÓRIO ELEVADO C/ CAIXA D'AGUA EM FIBRA DE VIDRO DE 10.000 LITROS APOIADO EM ESTRUTURA PRÉ-MOLDADA EM CONCRETO, COMPOSTA DE CAPITEL P/APOIO DA CAIXA E PILAR C/ALTURA ÚTIL = 7,00M, INCLUSO FRETE E MONTAGEM NO LOCAL, EXCETO INST. HIDRÁULICA</v>
      </c>
      <c r="E627" s="15" t="str">
        <f>VLOOKUP(B627,S!$A:$G,4,FALSE)</f>
        <v>UND</v>
      </c>
      <c r="F627" s="15"/>
      <c r="G627" s="73">
        <f>I631</f>
        <v>16298.96</v>
      </c>
      <c r="H627" s="74"/>
      <c r="I627" s="73"/>
      <c r="J627" s="74"/>
      <c r="K627" s="16">
        <f>VLOOKUP(B627,S!A:G,5,FALSE)</f>
        <v>0</v>
      </c>
      <c r="L627" s="15" t="s">
        <v>1021</v>
      </c>
    </row>
    <row r="628" spans="1:18" ht="45" customHeight="1" x14ac:dyDescent="0.3">
      <c r="A628" s="23" t="s">
        <v>1022</v>
      </c>
      <c r="B628" s="23">
        <v>102619</v>
      </c>
      <c r="C628" s="23" t="str">
        <f>VLOOKUP(B628,IF(A628="COMPOSICAO",S!$A:$E,I!$A:$E),2,FALSE)</f>
        <v>SINAPI</v>
      </c>
      <c r="D628" s="24" t="str">
        <f>VLOOKUP(B628,IF(A628="COMPOSICAO",S!$A:$E,I!$A:$E),3,FALSE)</f>
        <v>CAIXA D´ÁGUA EM POLIÉSTER REFORÇADO COM FIBRA DE VIDRO, 10000 LITROS - FORNECIMENTO E INSTALAÇÃO. AF_06/2021</v>
      </c>
      <c r="E628" s="23" t="str">
        <f>VLOOKUP(B628,IF(A628="COMPOSICAO",S!$A:$E,I!$A:$E),4,FALSE)</f>
        <v>UN</v>
      </c>
      <c r="F628" s="23">
        <v>1</v>
      </c>
      <c r="G628" s="71">
        <f>IF(A628="COMPOSICAO",VLOOKUP("TOTAL SEM BDI - "&amp;B628,CPUAUX1!$A:$J,9,FALSE),VLOOKUP(B628,I!$A:$E,5,FALSE))</f>
        <v>6414.07</v>
      </c>
      <c r="H628" s="72"/>
      <c r="I628" s="71">
        <f>TRUNC(F628*G628,2)</f>
        <v>6414.07</v>
      </c>
      <c r="J628" s="72"/>
      <c r="M628" s="23">
        <f>B628</f>
        <v>102619</v>
      </c>
      <c r="N628" s="5">
        <f>SUMIF(ORCAMENTO!B:B,B627,ORCAMENTO!F:F)</f>
        <v>5</v>
      </c>
      <c r="O628" s="23">
        <f>F628*N628</f>
        <v>5</v>
      </c>
      <c r="Q628" s="23">
        <f ca="1">IFERROR(SUMIF(CO!B:B,B627,OFFSET(CO!F:F,0,(4+MATCH(ETAPA,CO!$J$6:$P$6,0)))),0)</f>
        <v>2</v>
      </c>
      <c r="R628" s="23">
        <f ca="1">F628*Q628</f>
        <v>2</v>
      </c>
    </row>
    <row r="629" spans="1:18" ht="30" customHeight="1" x14ac:dyDescent="0.3">
      <c r="A629" s="23" t="s">
        <v>1023</v>
      </c>
      <c r="B629" s="23" t="s">
        <v>1085</v>
      </c>
      <c r="C629" s="23" t="str">
        <f>VLOOKUP(B629,IF(A629="COMPOSICAO",S!$A:$E,I!$A:$E),2,FALSE)</f>
        <v>PRÓPRIA</v>
      </c>
      <c r="D629" s="24" t="str">
        <f>VLOOKUP(B629,IF(A629="COMPOSICAO",S!$A:$E,I!$A:$E),3,FALSE)</f>
        <v>BASE PARA RESERVATÓRIO EM CONCRETO PRÉ-MOLDADO COM H=7,00 M, COM 03 PILARES E 01 LAJE</v>
      </c>
      <c r="E629" s="23" t="str">
        <f>VLOOKUP(B629,IF(A629="COMPOSICAO",S!$A:$E,I!$A:$E),4,FALSE)</f>
        <v>UN</v>
      </c>
      <c r="F629" s="23">
        <v>1</v>
      </c>
      <c r="G629" s="71">
        <f>IF(A629="COMPOSICAO",VLOOKUP("TOTAL SEM BDI - "&amp;B629,CPUAUX1!$A:$J,9,FALSE),VLOOKUP(B629,I!$A:$E,5,FALSE))</f>
        <v>9800</v>
      </c>
      <c r="H629" s="72"/>
      <c r="I629" s="71">
        <f>TRUNC(F629*G629,2)</f>
        <v>9800</v>
      </c>
      <c r="J629" s="72"/>
      <c r="M629" s="23" t="str">
        <f>B629</f>
        <v>COTA12</v>
      </c>
      <c r="N629" s="5">
        <f>SUMIF(ORCAMENTO!B:B,B627,ORCAMENTO!F:F)</f>
        <v>5</v>
      </c>
      <c r="O629" s="23">
        <f>F629*N629</f>
        <v>5</v>
      </c>
      <c r="Q629" s="23">
        <f ca="1">IFERROR(SUMIF(CO!B:B,B627,OFFSET(CO!F:F,0,(4+MATCH(ETAPA,CO!$J$6:$P$6,0)))),0)</f>
        <v>2</v>
      </c>
      <c r="R629" s="23">
        <f ca="1">F629*Q629</f>
        <v>2</v>
      </c>
    </row>
    <row r="630" spans="1:18" ht="30" customHeight="1" x14ac:dyDescent="0.3">
      <c r="A630" s="23" t="s">
        <v>1022</v>
      </c>
      <c r="B630" s="23" t="s">
        <v>1086</v>
      </c>
      <c r="C630" s="23" t="str">
        <f>VLOOKUP(B630,IF(A630="COMPOSICAO",S!$A:$E,I!$A:$E),2,FALSE)</f>
        <v>PRÓPRIA</v>
      </c>
      <c r="D630" s="24" t="str">
        <f>VLOOKUP(B630,IF(A630="COMPOSICAO",S!$A:$E,I!$A:$E),3,FALSE)</f>
        <v>PINTURA LOGOTIPO DA SECRETARIA EM RESERVATÓRIO DE FIBRA DE VIDRO</v>
      </c>
      <c r="E630" s="23" t="str">
        <f>VLOOKUP(B630,IF(A630="COMPOSICAO",S!$A:$E,I!$A:$E),4,FALSE)</f>
        <v>UND</v>
      </c>
      <c r="F630" s="23">
        <v>1</v>
      </c>
      <c r="G630" s="71">
        <f>IF(A630="COMPOSICAO",VLOOKUP("TOTAL SEM BDI - "&amp;B630,CPUAUX1!$A:$J,9,FALSE),VLOOKUP(B630,I!$A:$E,5,FALSE))</f>
        <v>84.889999999999986</v>
      </c>
      <c r="H630" s="72"/>
      <c r="I630" s="71">
        <f>TRUNC(F630*G630,2)</f>
        <v>84.89</v>
      </c>
      <c r="J630" s="72"/>
      <c r="M630" s="23" t="str">
        <f>B630</f>
        <v>COMPOS33</v>
      </c>
      <c r="N630" s="5">
        <f>SUMIF(ORCAMENTO!B:B,B627,ORCAMENTO!F:F)</f>
        <v>5</v>
      </c>
      <c r="O630" s="23">
        <f>F630*N630</f>
        <v>5</v>
      </c>
      <c r="Q630" s="23">
        <f ca="1">IFERROR(SUMIF(CO!B:B,B627,OFFSET(CO!F:F,0,(4+MATCH(ETAPA,CO!$J$6:$P$6,0)))),0)</f>
        <v>2</v>
      </c>
      <c r="R630" s="23">
        <f ca="1">F630*Q630</f>
        <v>2</v>
      </c>
    </row>
    <row r="631" spans="1:18" x14ac:dyDescent="0.3">
      <c r="A631" s="68" t="str">
        <f>"TOTAL SEM BDI - "&amp;B627</f>
        <v>TOTAL SEM BDI - COMPOS32</v>
      </c>
      <c r="B631" s="69"/>
      <c r="C631" s="69"/>
      <c r="D631" s="69"/>
      <c r="E631" s="69"/>
      <c r="F631" s="69"/>
      <c r="G631" s="69"/>
      <c r="H631" s="70"/>
      <c r="I631" s="71">
        <f>SUM(I627:I630)</f>
        <v>16298.96</v>
      </c>
      <c r="J631" s="72"/>
    </row>
    <row r="632" spans="1:18" x14ac:dyDescent="0.3">
      <c r="A632" s="68" t="str">
        <f>"TAXA DE BDI ("&amp;TEXT(BDI,"00,00")&amp;" %)"</f>
        <v>TAXA DE BDI (24,84 %)</v>
      </c>
      <c r="B632" s="69"/>
      <c r="C632" s="69"/>
      <c r="D632" s="69"/>
      <c r="E632" s="69"/>
      <c r="F632" s="69"/>
      <c r="G632" s="69"/>
      <c r="H632" s="70"/>
      <c r="I632" s="71">
        <f>ROUND(I631*(BDI/100),2)</f>
        <v>4048.66</v>
      </c>
      <c r="J632" s="72"/>
    </row>
    <row r="633" spans="1:18" x14ac:dyDescent="0.3">
      <c r="A633" s="68" t="str">
        <f>"TOTAL COM BDI - "&amp;B627</f>
        <v>TOTAL COM BDI - COMPOS32</v>
      </c>
      <c r="B633" s="69"/>
      <c r="C633" s="69"/>
      <c r="D633" s="69"/>
      <c r="E633" s="69"/>
      <c r="F633" s="69"/>
      <c r="G633" s="69"/>
      <c r="H633" s="70"/>
      <c r="I633" s="71">
        <f>SUM(I631:I632)</f>
        <v>20347.62</v>
      </c>
      <c r="J633" s="72"/>
    </row>
    <row r="635" spans="1:18" x14ac:dyDescent="0.3">
      <c r="A635" s="4" t="s">
        <v>1018</v>
      </c>
      <c r="B635" s="4" t="s">
        <v>138</v>
      </c>
      <c r="C635" s="4" t="s">
        <v>139</v>
      </c>
      <c r="D635" s="4" t="s">
        <v>21</v>
      </c>
      <c r="E635" s="4" t="s">
        <v>140</v>
      </c>
      <c r="F635" s="4" t="s">
        <v>506</v>
      </c>
      <c r="G635" s="34" t="s">
        <v>1019</v>
      </c>
      <c r="H635" s="35"/>
      <c r="I635" s="34" t="s">
        <v>15</v>
      </c>
      <c r="J635" s="35"/>
    </row>
    <row r="636" spans="1:18" ht="60" customHeight="1" x14ac:dyDescent="0.3">
      <c r="A636" s="15" t="s">
        <v>516</v>
      </c>
      <c r="B636" s="15" t="s">
        <v>653</v>
      </c>
      <c r="C636" s="15" t="str">
        <f>VLOOKUP(B636,S!$A:$G,2,FALSE)</f>
        <v>ORSE</v>
      </c>
      <c r="D636" s="22" t="str">
        <f>VLOOKUP(B636,S!$A:$G,3,FALSE)</f>
        <v>CONCRETO ARMADO FCK=15MPA FABRICADO NA OBRA, ADENSADO E LANÇADO, PARA USO GERAL, COM FORMAS PLANAS EM COMPENSADO RESINADO 12MM (05 USOS)</v>
      </c>
      <c r="E636" s="15" t="str">
        <f>VLOOKUP(B636,S!$A:$G,4,FALSE)</f>
        <v>M3</v>
      </c>
      <c r="F636" s="15"/>
      <c r="G636" s="73">
        <f>I640</f>
        <v>2617.91</v>
      </c>
      <c r="H636" s="74"/>
      <c r="I636" s="73"/>
      <c r="J636" s="74"/>
      <c r="K636" s="16">
        <f>VLOOKUP(B636,S!A:G,5,FALSE)</f>
        <v>2456.44</v>
      </c>
      <c r="L636" s="15" t="str">
        <f>IF(K636=G636,"OK, CONFORME TABELA",IF(G636&gt;K636,"ACIMA DA TABELA: ","ABAIXO DA TABELA: ")&amp;TRUNC((G636*100)/K636,2)&amp;" %")</f>
        <v>ACIMA DA TABELA: 106,57 %</v>
      </c>
    </row>
    <row r="637" spans="1:18" ht="45" customHeight="1" x14ac:dyDescent="0.3">
      <c r="A637" s="23" t="s">
        <v>1022</v>
      </c>
      <c r="B637" s="23" t="s">
        <v>1087</v>
      </c>
      <c r="C637" s="23" t="str">
        <f>VLOOKUP(B637,IF(A637="COMPOSICAO",S!$A:$E,I!$A:$E),2,FALSE)</f>
        <v>ORSE</v>
      </c>
      <c r="D637" s="24" t="str">
        <f>VLOOKUP(B637,IF(A637="COMPOSICAO",S!$A:$E,I!$A:$E),3,FALSE)</f>
        <v>FORMA PLANA PARA ESTRUTURAS, EM COMPENSADO RESINADO DE 12MM, 05 USOS, INCLUSIVE ESCORAMENTO - REVISADA 07..2015</v>
      </c>
      <c r="E637" s="23" t="str">
        <f>VLOOKUP(B637,IF(A637="COMPOSICAO",S!$A:$E,I!$A:$E),4,FALSE)</f>
        <v>M2</v>
      </c>
      <c r="F637" s="23">
        <v>10</v>
      </c>
      <c r="G637" s="71">
        <f>IF(A637="COMPOSICAO",VLOOKUP("TOTAL SEM BDI - "&amp;B637,CPUAUX1!$A:$J,9,FALSE),VLOOKUP(B637,I!$A:$E,5,FALSE))</f>
        <v>80.710000000000008</v>
      </c>
      <c r="H637" s="72"/>
      <c r="I637" s="71">
        <f>TRUNC(F637*G637,2)</f>
        <v>807.1</v>
      </c>
      <c r="J637" s="72"/>
      <c r="M637" s="23" t="str">
        <f>B637</f>
        <v>00116/ORSE</v>
      </c>
      <c r="N637" s="5">
        <f>SUMIF(ORCAMENTO!B:B,B636,ORCAMENTO!F:F)</f>
        <v>1.3</v>
      </c>
      <c r="O637" s="23">
        <f>F637*N637</f>
        <v>13</v>
      </c>
      <c r="Q637" s="23">
        <f ca="1">IFERROR(SUMIF(CO!B:B,B636,OFFSET(CO!F:F,0,(4+MATCH(ETAPA,CO!$J$6:$P$6,0)))),0)</f>
        <v>0.52</v>
      </c>
      <c r="R637" s="23">
        <f ca="1">F637*Q637</f>
        <v>5.2</v>
      </c>
    </row>
    <row r="638" spans="1:18" ht="30" customHeight="1" x14ac:dyDescent="0.3">
      <c r="A638" s="23" t="s">
        <v>1022</v>
      </c>
      <c r="B638" s="23" t="s">
        <v>1088</v>
      </c>
      <c r="C638" s="23" t="str">
        <f>VLOOKUP(B638,IF(A638="COMPOSICAO",S!$A:$E,I!$A:$E),2,FALSE)</f>
        <v>ORSE</v>
      </c>
      <c r="D638" s="24" t="str">
        <f>VLOOKUP(B638,IF(A638="COMPOSICAO",S!$A:$E,I!$A:$E),3,FALSE)</f>
        <v>CONCRETO SIMPLES FABRICADO NA OBRA, FCK=15 MPA, LANÇADO E ADENSADO</v>
      </c>
      <c r="E638" s="23" t="str">
        <f>VLOOKUP(B638,IF(A638="COMPOSICAO",S!$A:$E,I!$A:$E),4,FALSE)</f>
        <v>M3</v>
      </c>
      <c r="F638" s="23">
        <v>1</v>
      </c>
      <c r="G638" s="71">
        <f>IF(A638="COMPOSICAO",VLOOKUP("TOTAL SEM BDI - "&amp;B638,CPUAUX1!$A:$J,9,FALSE),VLOOKUP(B638,I!$A:$E,5,FALSE))</f>
        <v>754.81</v>
      </c>
      <c r="H638" s="72"/>
      <c r="I638" s="71">
        <f>TRUNC(F638*G638,2)</f>
        <v>754.81</v>
      </c>
      <c r="J638" s="72"/>
      <c r="M638" s="23" t="str">
        <f>B638</f>
        <v>00126/ORSE</v>
      </c>
      <c r="N638" s="5">
        <f>SUMIF(ORCAMENTO!B:B,B636,ORCAMENTO!F:F)</f>
        <v>1.3</v>
      </c>
      <c r="O638" s="23">
        <f>F638*N638</f>
        <v>1.3</v>
      </c>
      <c r="Q638" s="23">
        <f ca="1">IFERROR(SUMIF(CO!B:B,B636,OFFSET(CO!F:F,0,(4+MATCH(ETAPA,CO!$J$6:$P$6,0)))),0)</f>
        <v>0.52</v>
      </c>
      <c r="R638" s="23">
        <f ca="1">F638*Q638</f>
        <v>0.52</v>
      </c>
    </row>
    <row r="639" spans="1:18" ht="60" customHeight="1" x14ac:dyDescent="0.3">
      <c r="A639" s="23" t="s">
        <v>1022</v>
      </c>
      <c r="B639" s="23" t="s">
        <v>1089</v>
      </c>
      <c r="C639" s="23" t="str">
        <f>VLOOKUP(B639,IF(A639="COMPOSICAO",S!$A:$E,I!$A:$E),2,FALSE)</f>
        <v>ORSE</v>
      </c>
      <c r="D639" s="24" t="str">
        <f>VLOOKUP(B639,IF(A639="COMPOSICAO",S!$A:$E,I!$A:$E),3,FALSE)</f>
        <v>AÇO CA - 50 Ø 6,3 A 12,5MM, INCLUSIVE CORTE, DOBRAGEM, MONTAGEM E COLOCACAO DE FERRAGENS NAS FORMAS, PARA SUPERESTRUTURAS E FUNDAÇÕES - R1</v>
      </c>
      <c r="E639" s="23" t="str">
        <f>VLOOKUP(B639,IF(A639="COMPOSICAO",S!$A:$E,I!$A:$E),4,FALSE)</f>
        <v>KG</v>
      </c>
      <c r="F639" s="23">
        <v>80</v>
      </c>
      <c r="G639" s="71">
        <f>IF(A639="COMPOSICAO",VLOOKUP("TOTAL SEM BDI - "&amp;B639,CPUAUX1!$A:$J,9,FALSE),VLOOKUP(B639,I!$A:$E,5,FALSE))</f>
        <v>13.200000000000003</v>
      </c>
      <c r="H639" s="72"/>
      <c r="I639" s="71">
        <f>TRUNC(F639*G639,2)</f>
        <v>1056</v>
      </c>
      <c r="J639" s="72"/>
      <c r="M639" s="23" t="str">
        <f>B639</f>
        <v>00140/ORSE</v>
      </c>
      <c r="N639" s="5">
        <f>SUMIF(ORCAMENTO!B:B,B636,ORCAMENTO!F:F)</f>
        <v>1.3</v>
      </c>
      <c r="O639" s="23">
        <f>F639*N639</f>
        <v>104</v>
      </c>
      <c r="Q639" s="23">
        <f ca="1">IFERROR(SUMIF(CO!B:B,B636,OFFSET(CO!F:F,0,(4+MATCH(ETAPA,CO!$J$6:$P$6,0)))),0)</f>
        <v>0.52</v>
      </c>
      <c r="R639" s="23">
        <f ca="1">F639*Q639</f>
        <v>41.6</v>
      </c>
    </row>
    <row r="640" spans="1:18" x14ac:dyDescent="0.3">
      <c r="A640" s="68" t="str">
        <f>"TOTAL SEM BDI - "&amp;B636</f>
        <v>TOTAL SEM BDI - 06457/ORSE</v>
      </c>
      <c r="B640" s="69"/>
      <c r="C640" s="69"/>
      <c r="D640" s="69"/>
      <c r="E640" s="69"/>
      <c r="F640" s="69"/>
      <c r="G640" s="69"/>
      <c r="H640" s="70"/>
      <c r="I640" s="71">
        <f>SUM(I636:I639)</f>
        <v>2617.91</v>
      </c>
      <c r="J640" s="72"/>
    </row>
    <row r="641" spans="1:18" x14ac:dyDescent="0.3">
      <c r="A641" s="68" t="str">
        <f>"TAXA DE BDI ("&amp;TEXT(BDI,"00,00")&amp;" %)"</f>
        <v>TAXA DE BDI (24,84 %)</v>
      </c>
      <c r="B641" s="69"/>
      <c r="C641" s="69"/>
      <c r="D641" s="69"/>
      <c r="E641" s="69"/>
      <c r="F641" s="69"/>
      <c r="G641" s="69"/>
      <c r="H641" s="70"/>
      <c r="I641" s="71">
        <f>ROUND(I640*(BDI/100),2)</f>
        <v>650.29</v>
      </c>
      <c r="J641" s="72"/>
    </row>
    <row r="642" spans="1:18" x14ac:dyDescent="0.3">
      <c r="A642" s="68" t="str">
        <f>"TOTAL COM BDI - "&amp;B636</f>
        <v>TOTAL COM BDI - 06457/ORSE</v>
      </c>
      <c r="B642" s="69"/>
      <c r="C642" s="69"/>
      <c r="D642" s="69"/>
      <c r="E642" s="69"/>
      <c r="F642" s="69"/>
      <c r="G642" s="69"/>
      <c r="H642" s="70"/>
      <c r="I642" s="71">
        <f>SUM(I640:I641)</f>
        <v>3268.2</v>
      </c>
      <c r="J642" s="72"/>
    </row>
    <row r="644" spans="1:18" x14ac:dyDescent="0.3">
      <c r="A644" s="4" t="s">
        <v>1018</v>
      </c>
      <c r="B644" s="4" t="s">
        <v>138</v>
      </c>
      <c r="C644" s="4" t="s">
        <v>139</v>
      </c>
      <c r="D644" s="4" t="s">
        <v>21</v>
      </c>
      <c r="E644" s="4" t="s">
        <v>140</v>
      </c>
      <c r="F644" s="4" t="s">
        <v>506</v>
      </c>
      <c r="G644" s="34" t="s">
        <v>1019</v>
      </c>
      <c r="H644" s="35"/>
      <c r="I644" s="34" t="s">
        <v>15</v>
      </c>
      <c r="J644" s="35"/>
    </row>
    <row r="645" spans="1:18" ht="45" customHeight="1" x14ac:dyDescent="0.3">
      <c r="A645" s="15" t="s">
        <v>1090</v>
      </c>
      <c r="B645" s="15">
        <v>86906</v>
      </c>
      <c r="C645" s="15" t="str">
        <f>VLOOKUP(B645,S!$A:$G,2,FALSE)</f>
        <v>SINAPI</v>
      </c>
      <c r="D645" s="22" t="str">
        <f>VLOOKUP(B645,S!$A:$G,3,FALSE)</f>
        <v>TORNEIRA CROMADA DE MESA, 1/2" OU 3/4", PARA LAVATÓRIO, PADRÃO POPULAR - FORNECIMENTO E INSTALAÇÃO. AF_01/2020</v>
      </c>
      <c r="E645" s="15" t="str">
        <f>VLOOKUP(B645,S!$A:$G,4,FALSE)</f>
        <v>UN</v>
      </c>
      <c r="F645" s="15"/>
      <c r="G645" s="73">
        <f>I650</f>
        <v>81.239999999999995</v>
      </c>
      <c r="H645" s="74"/>
      <c r="I645" s="73"/>
      <c r="J645" s="74"/>
      <c r="K645" s="16">
        <f>VLOOKUP(B645,S!A:G,5,FALSE)</f>
        <v>81.239999999999995</v>
      </c>
      <c r="L645" s="15" t="str">
        <f>IF(K645=G645,"OK, CONFORME TABELA",IF(G645&gt;K645,"ACIMA DA TABELA: ","ABAIXO DA TABELA: ")&amp;TRUNC((G645*100)/K645,2)&amp;" %")</f>
        <v>OK, CONFORME TABELA</v>
      </c>
    </row>
    <row r="646" spans="1:18" x14ac:dyDescent="0.3">
      <c r="A646" s="23" t="s">
        <v>1022</v>
      </c>
      <c r="B646" s="23">
        <v>88316</v>
      </c>
      <c r="C646" s="23" t="str">
        <f>VLOOKUP(B646,IF(A646="COMPOSICAO",S!$A:$E,I!$A:$E),2,FALSE)</f>
        <v>SINAPI</v>
      </c>
      <c r="D646" s="24" t="str">
        <f>VLOOKUP(B646,IF(A646="COMPOSICAO",S!$A:$E,I!$A:$E),3,FALSE)</f>
        <v>SERVENTE COM ENCARGOS COMPLEMENTARES</v>
      </c>
      <c r="E646" s="23" t="str">
        <f>VLOOKUP(B646,IF(A646="COMPOSICAO",S!$A:$E,I!$A:$E),4,FALSE)</f>
        <v>H</v>
      </c>
      <c r="F646" s="23">
        <f>0.0303/pcf</f>
        <v>3.0300000000000001E-2</v>
      </c>
      <c r="G646" s="71">
        <f>IF(A646="COMPOSICAO",VLOOKUP("TOTAL SEM BDI - "&amp;B646,CPUAUX1!$A:$J,9,FALSE),VLOOKUP(B646,I!$A:$E,5,FALSE))</f>
        <v>21.71</v>
      </c>
      <c r="H646" s="72"/>
      <c r="I646" s="71">
        <f>TRUNC(F646*G646,2)</f>
        <v>0.65</v>
      </c>
      <c r="J646" s="72"/>
      <c r="M646" s="23">
        <f>B646</f>
        <v>88316</v>
      </c>
      <c r="N646" s="5">
        <f>SUMIF(ORCAMENTO!B:B,B645,ORCAMENTO!F:F)</f>
        <v>20</v>
      </c>
      <c r="O646" s="23">
        <f>F646*N646</f>
        <v>0.60599999999999998</v>
      </c>
      <c r="Q646" s="23">
        <f ca="1">IFERROR(SUMIF(CO!B:B,B645,OFFSET(CO!F:F,0,(4+MATCH(ETAPA,CO!$J$6:$P$6,0)))),0)</f>
        <v>8</v>
      </c>
      <c r="R646" s="23">
        <f ca="1">F646*Q646</f>
        <v>0.2424</v>
      </c>
    </row>
    <row r="647" spans="1:18" ht="30" customHeight="1" x14ac:dyDescent="0.3">
      <c r="A647" s="23" t="s">
        <v>1022</v>
      </c>
      <c r="B647" s="23">
        <v>88267</v>
      </c>
      <c r="C647" s="23" t="str">
        <f>VLOOKUP(B647,IF(A647="COMPOSICAO",S!$A:$E,I!$A:$E),2,FALSE)</f>
        <v>SINAPI</v>
      </c>
      <c r="D647" s="24" t="str">
        <f>VLOOKUP(B647,IF(A647="COMPOSICAO",S!$A:$E,I!$A:$E),3,FALSE)</f>
        <v>ENCANADOR OU BOMBEIRO HIDRÁULICO COM ENCARGOS COMPLEMENTARES</v>
      </c>
      <c r="E647" s="23" t="str">
        <f>VLOOKUP(B647,IF(A647="COMPOSICAO",S!$A:$E,I!$A:$E),4,FALSE)</f>
        <v>H</v>
      </c>
      <c r="F647" s="23">
        <f>0.096/pcf</f>
        <v>9.6000000000000002E-2</v>
      </c>
      <c r="G647" s="71">
        <f>IF(A647="COMPOSICAO",VLOOKUP("TOTAL SEM BDI - "&amp;B647,CPUAUX1!$A:$J,9,FALSE),VLOOKUP(B647,I!$A:$E,5,FALSE))</f>
        <v>26.669999999999998</v>
      </c>
      <c r="H647" s="72"/>
      <c r="I647" s="71">
        <f>TRUNC(F647*G647,2)</f>
        <v>2.56</v>
      </c>
      <c r="J647" s="72"/>
      <c r="M647" s="23">
        <f>B647</f>
        <v>88267</v>
      </c>
      <c r="N647" s="5">
        <f>SUMIF(ORCAMENTO!B:B,B645,ORCAMENTO!F:F)</f>
        <v>20</v>
      </c>
      <c r="O647" s="23">
        <f>F647*N647</f>
        <v>1.92</v>
      </c>
      <c r="Q647" s="23">
        <f ca="1">IFERROR(SUMIF(CO!B:B,B645,OFFSET(CO!F:F,0,(4+MATCH(ETAPA,CO!$J$6:$P$6,0)))),0)</f>
        <v>8</v>
      </c>
      <c r="R647" s="23">
        <f ca="1">F647*Q647</f>
        <v>0.76800000000000002</v>
      </c>
    </row>
    <row r="648" spans="1:18" ht="45" customHeight="1" x14ac:dyDescent="0.3">
      <c r="A648" s="23" t="s">
        <v>1025</v>
      </c>
      <c r="B648" s="23">
        <v>13415</v>
      </c>
      <c r="C648" s="23" t="str">
        <f>VLOOKUP(B648,IF(A648="COMPOSICAO",S!$A:$E,I!$A:$E),2,FALSE)</f>
        <v>SINAPI</v>
      </c>
      <c r="D648" s="24" t="str">
        <f>VLOOKUP(B648,IF(A648="COMPOSICAO",S!$A:$E,I!$A:$E),3,FALSE)</f>
        <v>TORNEIRA DE MESA/BANCADA, PARA LAVATORIO, FIXA, METALICA CROMADA, PADRAO POPULAR, 1/2" OU 3/4"</v>
      </c>
      <c r="E648" s="23" t="str">
        <f>VLOOKUP(B648,IF(A648="COMPOSICAO",S!$A:$E,I!$A:$E),4,FALSE)</f>
        <v>UN</v>
      </c>
      <c r="F648" s="23">
        <v>1</v>
      </c>
      <c r="G648" s="71">
        <f>IF(A648="COMPOSICAO",VLOOKUP("TOTAL SEM BDI - "&amp;B648,CPUAUX1!$A:$J,9,FALSE),VLOOKUP(B648,I!$A:$E,5,FALSE))</f>
        <v>77.95</v>
      </c>
      <c r="H648" s="72"/>
      <c r="I648" s="71">
        <f>TRUNC(F648*G648,2)</f>
        <v>77.95</v>
      </c>
      <c r="J648" s="72"/>
      <c r="M648" s="23">
        <f>B648</f>
        <v>13415</v>
      </c>
      <c r="N648" s="5">
        <f>SUMIF(ORCAMENTO!B:B,B645,ORCAMENTO!F:F)</f>
        <v>20</v>
      </c>
      <c r="O648" s="23">
        <f>F648*N648</f>
        <v>20</v>
      </c>
      <c r="Q648" s="23">
        <f ca="1">IFERROR(SUMIF(CO!B:B,B645,OFFSET(CO!F:F,0,(4+MATCH(ETAPA,CO!$J$6:$P$6,0)))),0)</f>
        <v>8</v>
      </c>
      <c r="R648" s="23">
        <f ca="1">F648*Q648</f>
        <v>8</v>
      </c>
    </row>
    <row r="649" spans="1:18" ht="30" customHeight="1" x14ac:dyDescent="0.3">
      <c r="A649" s="23" t="s">
        <v>1025</v>
      </c>
      <c r="B649" s="23">
        <v>3146</v>
      </c>
      <c r="C649" s="23" t="str">
        <f>VLOOKUP(B649,IF(A649="COMPOSICAO",S!$A:$E,I!$A:$E),2,FALSE)</f>
        <v>SINAPI</v>
      </c>
      <c r="D649" s="24" t="str">
        <f>VLOOKUP(B649,IF(A649="COMPOSICAO",S!$A:$E,I!$A:$E),3,FALSE)</f>
        <v>FITA VEDA ROSCA, EM PTFE, ROLO DE 18 MM X 10 M (L X C)</v>
      </c>
      <c r="E649" s="23" t="str">
        <f>VLOOKUP(B649,IF(A649="COMPOSICAO",S!$A:$E,I!$A:$E),4,FALSE)</f>
        <v>UN</v>
      </c>
      <c r="F649" s="23">
        <v>2.1000000000000001E-2</v>
      </c>
      <c r="G649" s="71">
        <f>IF(A649="COMPOSICAO",VLOOKUP("TOTAL SEM BDI - "&amp;B649,CPUAUX1!$A:$J,9,FALSE),VLOOKUP(B649,I!$A:$E,5,FALSE))</f>
        <v>4.1399999999999997</v>
      </c>
      <c r="H649" s="72"/>
      <c r="I649" s="71">
        <f>TRUNC(F649*G649,2)</f>
        <v>0.08</v>
      </c>
      <c r="J649" s="72"/>
      <c r="M649" s="23">
        <f>B649</f>
        <v>3146</v>
      </c>
      <c r="N649" s="5">
        <f>SUMIF(ORCAMENTO!B:B,B645,ORCAMENTO!F:F)</f>
        <v>20</v>
      </c>
      <c r="O649" s="23">
        <f>F649*N649</f>
        <v>0.42000000000000004</v>
      </c>
      <c r="Q649" s="23">
        <f ca="1">IFERROR(SUMIF(CO!B:B,B645,OFFSET(CO!F:F,0,(4+MATCH(ETAPA,CO!$J$6:$P$6,0)))),0)</f>
        <v>8</v>
      </c>
      <c r="R649" s="23">
        <f ca="1">F649*Q649</f>
        <v>0.16800000000000001</v>
      </c>
    </row>
    <row r="650" spans="1:18" x14ac:dyDescent="0.3">
      <c r="A650" s="68" t="str">
        <f>"TOTAL SEM BDI - "&amp;B645</f>
        <v>TOTAL SEM BDI - 86906</v>
      </c>
      <c r="B650" s="69"/>
      <c r="C650" s="69"/>
      <c r="D650" s="69"/>
      <c r="E650" s="69"/>
      <c r="F650" s="69"/>
      <c r="G650" s="69"/>
      <c r="H650" s="70"/>
      <c r="I650" s="71">
        <f>SUM(I645:I649)</f>
        <v>81.239999999999995</v>
      </c>
      <c r="J650" s="72"/>
    </row>
    <row r="651" spans="1:18" x14ac:dyDescent="0.3">
      <c r="A651" s="68" t="str">
        <f>"TAXA DE BDI ("&amp;TEXT(BDI,"00,00")&amp;" %)"</f>
        <v>TAXA DE BDI (24,84 %)</v>
      </c>
      <c r="B651" s="69"/>
      <c r="C651" s="69"/>
      <c r="D651" s="69"/>
      <c r="E651" s="69"/>
      <c r="F651" s="69"/>
      <c r="G651" s="69"/>
      <c r="H651" s="70"/>
      <c r="I651" s="71">
        <f>ROUND(I650*(BDI/100),2)</f>
        <v>20.18</v>
      </c>
      <c r="J651" s="72"/>
    </row>
    <row r="652" spans="1:18" x14ac:dyDescent="0.3">
      <c r="A652" s="68" t="str">
        <f>"TOTAL COM BDI - "&amp;B645</f>
        <v>TOTAL COM BDI - 86906</v>
      </c>
      <c r="B652" s="69"/>
      <c r="C652" s="69"/>
      <c r="D652" s="69"/>
      <c r="E652" s="69"/>
      <c r="F652" s="69"/>
      <c r="G652" s="69"/>
      <c r="H652" s="70"/>
      <c r="I652" s="71">
        <f>SUM(I650:I651)</f>
        <v>101.41999999999999</v>
      </c>
      <c r="J652" s="72"/>
    </row>
    <row r="654" spans="1:18" x14ac:dyDescent="0.3">
      <c r="A654" s="4" t="s">
        <v>1018</v>
      </c>
      <c r="B654" s="4" t="s">
        <v>138</v>
      </c>
      <c r="C654" s="4" t="s">
        <v>139</v>
      </c>
      <c r="D654" s="4" t="s">
        <v>21</v>
      </c>
      <c r="E654" s="4" t="s">
        <v>140</v>
      </c>
      <c r="F654" s="4" t="s">
        <v>506</v>
      </c>
      <c r="G654" s="34" t="s">
        <v>1019</v>
      </c>
      <c r="H654" s="35"/>
      <c r="I654" s="34" t="s">
        <v>15</v>
      </c>
      <c r="J654" s="35"/>
    </row>
    <row r="655" spans="1:18" ht="60" customHeight="1" x14ac:dyDescent="0.3">
      <c r="A655" s="15" t="s">
        <v>1091</v>
      </c>
      <c r="B655" s="15">
        <v>92920</v>
      </c>
      <c r="C655" s="15" t="str">
        <f>VLOOKUP(B655,S!$A:$G,2,FALSE)</f>
        <v>SINAPI</v>
      </c>
      <c r="D655" s="22" t="str">
        <f>VLOOKUP(B655,S!$A:$G,3,FALSE)</f>
        <v>LUVA DE REDUÇÃO, EM FERRO GALVANIZADO, 1" X 3/4", CONEXÃO ROSQUEADA, INSTALADO EM REDE DE ALIMENTAÇÃO PARA HIDRANTE - FORNECIMENTO E INSTALAÇÃO. AF_10/2020</v>
      </c>
      <c r="E655" s="15" t="str">
        <f>VLOOKUP(B655,S!$A:$G,4,FALSE)</f>
        <v>UN</v>
      </c>
      <c r="F655" s="15"/>
      <c r="G655" s="73">
        <f>I661</f>
        <v>35.64</v>
      </c>
      <c r="H655" s="74"/>
      <c r="I655" s="73"/>
      <c r="J655" s="74"/>
      <c r="K655" s="16">
        <f>VLOOKUP(B655,S!A:G,5,FALSE)</f>
        <v>35.64</v>
      </c>
      <c r="L655" s="15" t="str">
        <f>IF(K655=G655,"OK, CONFORME TABELA",IF(G655&gt;K655,"ACIMA DA TABELA: ","ABAIXO DA TABELA: ")&amp;TRUNC((G655*100)/K655,2)&amp;" %")</f>
        <v>OK, CONFORME TABELA</v>
      </c>
    </row>
    <row r="656" spans="1:18" ht="30" customHeight="1" x14ac:dyDescent="0.3">
      <c r="A656" s="23" t="s">
        <v>1022</v>
      </c>
      <c r="B656" s="23">
        <v>88267</v>
      </c>
      <c r="C656" s="23" t="str">
        <f>VLOOKUP(B656,IF(A656="COMPOSICAO",S!$A:$E,I!$A:$E),2,FALSE)</f>
        <v>SINAPI</v>
      </c>
      <c r="D656" s="24" t="str">
        <f>VLOOKUP(B656,IF(A656="COMPOSICAO",S!$A:$E,I!$A:$E),3,FALSE)</f>
        <v>ENCANADOR OU BOMBEIRO HIDRÁULICO COM ENCARGOS COMPLEMENTARES</v>
      </c>
      <c r="E656" s="23" t="str">
        <f>VLOOKUP(B656,IF(A656="COMPOSICAO",S!$A:$E,I!$A:$E),4,FALSE)</f>
        <v>H</v>
      </c>
      <c r="F656" s="23">
        <f>0.49/pcf</f>
        <v>0.49</v>
      </c>
      <c r="G656" s="71">
        <f>IF(A656="COMPOSICAO",VLOOKUP("TOTAL SEM BDI - "&amp;B656,CPUAUX1!$A:$J,9,FALSE),VLOOKUP(B656,I!$A:$E,5,FALSE))</f>
        <v>26.669999999999998</v>
      </c>
      <c r="H656" s="72"/>
      <c r="I656" s="71">
        <f>TRUNC(F656*G656,2)</f>
        <v>13.06</v>
      </c>
      <c r="J656" s="72"/>
      <c r="M656" s="23">
        <f>B656</f>
        <v>88267</v>
      </c>
      <c r="N656" s="5">
        <f>SUMIF(ORCAMENTO!B:B,B655,ORCAMENTO!F:F)</f>
        <v>20</v>
      </c>
      <c r="O656" s="23">
        <f>F656*N656</f>
        <v>9.8000000000000007</v>
      </c>
      <c r="Q656" s="23">
        <f ca="1">IFERROR(SUMIF(CO!B:B,B655,OFFSET(CO!F:F,0,(4+MATCH(ETAPA,CO!$J$6:$P$6,0)))),0)</f>
        <v>8</v>
      </c>
      <c r="R656" s="23">
        <f ca="1">F656*Q656</f>
        <v>3.92</v>
      </c>
    </row>
    <row r="657" spans="1:18" ht="30" customHeight="1" x14ac:dyDescent="0.3">
      <c r="A657" s="23" t="s">
        <v>1022</v>
      </c>
      <c r="B657" s="23">
        <v>88248</v>
      </c>
      <c r="C657" s="23" t="str">
        <f>VLOOKUP(B657,IF(A657="COMPOSICAO",S!$A:$E,I!$A:$E),2,FALSE)</f>
        <v>SINAPI</v>
      </c>
      <c r="D657" s="24" t="str">
        <f>VLOOKUP(B657,IF(A657="COMPOSICAO",S!$A:$E,I!$A:$E),3,FALSE)</f>
        <v>AUXILIAR DE ENCANADOR OU BOMBEIRO HIDRÁULICO COM ENCARGOS COMPLEMENTARES</v>
      </c>
      <c r="E657" s="23" t="str">
        <f>VLOOKUP(B657,IF(A657="COMPOSICAO",S!$A:$E,I!$A:$E),4,FALSE)</f>
        <v>H</v>
      </c>
      <c r="F657" s="23">
        <f>0.49/pcf</f>
        <v>0.49</v>
      </c>
      <c r="G657" s="71">
        <f>IF(A657="COMPOSICAO",VLOOKUP("TOTAL SEM BDI - "&amp;B657,CPUAUX1!$A:$J,9,FALSE),VLOOKUP(B657,I!$A:$E,5,FALSE))</f>
        <v>21.82</v>
      </c>
      <c r="H657" s="72"/>
      <c r="I657" s="71">
        <f>TRUNC(F657*G657,2)</f>
        <v>10.69</v>
      </c>
      <c r="J657" s="72"/>
      <c r="M657" s="23">
        <f>B657</f>
        <v>88248</v>
      </c>
      <c r="N657" s="5">
        <f>SUMIF(ORCAMENTO!B:B,B655,ORCAMENTO!F:F)</f>
        <v>20</v>
      </c>
      <c r="O657" s="23">
        <f>F657*N657</f>
        <v>9.8000000000000007</v>
      </c>
      <c r="Q657" s="23">
        <f ca="1">IFERROR(SUMIF(CO!B:B,B655,OFFSET(CO!F:F,0,(4+MATCH(ETAPA,CO!$J$6:$P$6,0)))),0)</f>
        <v>8</v>
      </c>
      <c r="R657" s="23">
        <f ca="1">F657*Q657</f>
        <v>3.92</v>
      </c>
    </row>
    <row r="658" spans="1:18" ht="30" customHeight="1" x14ac:dyDescent="0.3">
      <c r="A658" s="23" t="s">
        <v>1025</v>
      </c>
      <c r="B658" s="23">
        <v>7307</v>
      </c>
      <c r="C658" s="23" t="str">
        <f>VLOOKUP(B658,IF(A658="COMPOSICAO",S!$A:$E,I!$A:$E),2,FALSE)</f>
        <v>SINAPI</v>
      </c>
      <c r="D658" s="24" t="str">
        <f>VLOOKUP(B658,IF(A658="COMPOSICAO",S!$A:$E,I!$A:$E),3,FALSE)</f>
        <v>FUNDO ANTICORROSIVO PARA METAIS FERROSOS (ZARCAO)</v>
      </c>
      <c r="E658" s="23" t="str">
        <f>VLOOKUP(B658,IF(A658="COMPOSICAO",S!$A:$E,I!$A:$E),4,FALSE)</f>
        <v>L</v>
      </c>
      <c r="F658" s="23">
        <v>3.0000000000000001E-3</v>
      </c>
      <c r="G658" s="71">
        <f>IF(A658="COMPOSICAO",VLOOKUP("TOTAL SEM BDI - "&amp;B658,CPUAUX1!$A:$J,9,FALSE),VLOOKUP(B658,I!$A:$E,5,FALSE))</f>
        <v>41.5</v>
      </c>
      <c r="H658" s="72"/>
      <c r="I658" s="71">
        <f>TRUNC(F658*G658,2)</f>
        <v>0.12</v>
      </c>
      <c r="J658" s="72"/>
      <c r="M658" s="23">
        <f>B658</f>
        <v>7307</v>
      </c>
      <c r="N658" s="5">
        <f>SUMIF(ORCAMENTO!B:B,B655,ORCAMENTO!F:F)</f>
        <v>20</v>
      </c>
      <c r="O658" s="23">
        <f>F658*N658</f>
        <v>0.06</v>
      </c>
      <c r="Q658" s="23">
        <f ca="1">IFERROR(SUMIF(CO!B:B,B655,OFFSET(CO!F:F,0,(4+MATCH(ETAPA,CO!$J$6:$P$6,0)))),0)</f>
        <v>8</v>
      </c>
      <c r="R658" s="23">
        <f ca="1">F658*Q658</f>
        <v>2.4E-2</v>
      </c>
    </row>
    <row r="659" spans="1:18" ht="30" customHeight="1" x14ac:dyDescent="0.3">
      <c r="A659" s="23" t="s">
        <v>1025</v>
      </c>
      <c r="B659" s="23">
        <v>3919</v>
      </c>
      <c r="C659" s="23" t="str">
        <f>VLOOKUP(B659,IF(A659="COMPOSICAO",S!$A:$E,I!$A:$E),2,FALSE)</f>
        <v>SINAPI</v>
      </c>
      <c r="D659" s="24" t="str">
        <f>VLOOKUP(B659,IF(A659="COMPOSICAO",S!$A:$E,I!$A:$E),3,FALSE)</f>
        <v>LUVA DE REDUCAO DE FERRO GALVANIZADO, COM ROSCA BSP, DE 1" X 3/4"</v>
      </c>
      <c r="E659" s="23" t="str">
        <f>VLOOKUP(B659,IF(A659="COMPOSICAO",S!$A:$E,I!$A:$E),4,FALSE)</f>
        <v>UN</v>
      </c>
      <c r="F659" s="23">
        <v>1</v>
      </c>
      <c r="G659" s="71">
        <f>IF(A659="COMPOSICAO",VLOOKUP("TOTAL SEM BDI - "&amp;B659,CPUAUX1!$A:$J,9,FALSE),VLOOKUP(B659,I!$A:$E,5,FALSE))</f>
        <v>11.58</v>
      </c>
      <c r="H659" s="72"/>
      <c r="I659" s="71">
        <f>TRUNC(F659*G659,2)</f>
        <v>11.58</v>
      </c>
      <c r="J659" s="72"/>
      <c r="M659" s="23">
        <f>B659</f>
        <v>3919</v>
      </c>
      <c r="N659" s="5">
        <f>SUMIF(ORCAMENTO!B:B,B655,ORCAMENTO!F:F)</f>
        <v>20</v>
      </c>
      <c r="O659" s="23">
        <f>F659*N659</f>
        <v>20</v>
      </c>
      <c r="Q659" s="23">
        <f ca="1">IFERROR(SUMIF(CO!B:B,B655,OFFSET(CO!F:F,0,(4+MATCH(ETAPA,CO!$J$6:$P$6,0)))),0)</f>
        <v>8</v>
      </c>
      <c r="R659" s="23">
        <f ca="1">F659*Q659</f>
        <v>8</v>
      </c>
    </row>
    <row r="660" spans="1:18" ht="30" customHeight="1" x14ac:dyDescent="0.3">
      <c r="A660" s="23" t="s">
        <v>1025</v>
      </c>
      <c r="B660" s="23">
        <v>3148</v>
      </c>
      <c r="C660" s="23" t="str">
        <f>VLOOKUP(B660,IF(A660="COMPOSICAO",S!$A:$E,I!$A:$E),2,FALSE)</f>
        <v>SINAPI</v>
      </c>
      <c r="D660" s="24" t="str">
        <f>VLOOKUP(B660,IF(A660="COMPOSICAO",S!$A:$E,I!$A:$E),3,FALSE)</f>
        <v>FITA VEDA ROSCA, EM PTFE, ROLO DE 18 MM X 50 M (L X C)</v>
      </c>
      <c r="E660" s="23" t="str">
        <f>VLOOKUP(B660,IF(A660="COMPOSICAO",S!$A:$E,I!$A:$E),4,FALSE)</f>
        <v>UN</v>
      </c>
      <c r="F660" s="23">
        <v>1.2999999999999999E-2</v>
      </c>
      <c r="G660" s="71">
        <f>IF(A660="COMPOSICAO",VLOOKUP("TOTAL SEM BDI - "&amp;B660,CPUAUX1!$A:$J,9,FALSE),VLOOKUP(B660,I!$A:$E,5,FALSE))</f>
        <v>15.26</v>
      </c>
      <c r="H660" s="72"/>
      <c r="I660" s="71">
        <f>TRUNC(F660*G660,2)</f>
        <v>0.19</v>
      </c>
      <c r="J660" s="72"/>
      <c r="M660" s="23">
        <f>B660</f>
        <v>3148</v>
      </c>
      <c r="N660" s="5">
        <f>SUMIF(ORCAMENTO!B:B,B655,ORCAMENTO!F:F)</f>
        <v>20</v>
      </c>
      <c r="O660" s="23">
        <f>F660*N660</f>
        <v>0.26</v>
      </c>
      <c r="Q660" s="23">
        <f ca="1">IFERROR(SUMIF(CO!B:B,B655,OFFSET(CO!F:F,0,(4+MATCH(ETAPA,CO!$J$6:$P$6,0)))),0)</f>
        <v>8</v>
      </c>
      <c r="R660" s="23">
        <f ca="1">F660*Q660</f>
        <v>0.104</v>
      </c>
    </row>
    <row r="661" spans="1:18" x14ac:dyDescent="0.3">
      <c r="A661" s="68" t="str">
        <f>"TOTAL SEM BDI - "&amp;B655</f>
        <v>TOTAL SEM BDI - 92920</v>
      </c>
      <c r="B661" s="69"/>
      <c r="C661" s="69"/>
      <c r="D661" s="69"/>
      <c r="E661" s="69"/>
      <c r="F661" s="69"/>
      <c r="G661" s="69"/>
      <c r="H661" s="70"/>
      <c r="I661" s="71">
        <f>SUM(I655:I660)</f>
        <v>35.64</v>
      </c>
      <c r="J661" s="72"/>
    </row>
    <row r="662" spans="1:18" x14ac:dyDescent="0.3">
      <c r="A662" s="68" t="str">
        <f>"TAXA DE BDI ("&amp;TEXT(BDI,"00,00")&amp;" %)"</f>
        <v>TAXA DE BDI (24,84 %)</v>
      </c>
      <c r="B662" s="69"/>
      <c r="C662" s="69"/>
      <c r="D662" s="69"/>
      <c r="E662" s="69"/>
      <c r="F662" s="69"/>
      <c r="G662" s="69"/>
      <c r="H662" s="70"/>
      <c r="I662" s="71">
        <f>ROUND(I661*(BDI/100),2)</f>
        <v>8.85</v>
      </c>
      <c r="J662" s="72"/>
    </row>
    <row r="663" spans="1:18" x14ac:dyDescent="0.3">
      <c r="A663" s="68" t="str">
        <f>"TOTAL COM BDI - "&amp;B655</f>
        <v>TOTAL COM BDI - 92920</v>
      </c>
      <c r="B663" s="69"/>
      <c r="C663" s="69"/>
      <c r="D663" s="69"/>
      <c r="E663" s="69"/>
      <c r="F663" s="69"/>
      <c r="G663" s="69"/>
      <c r="H663" s="70"/>
      <c r="I663" s="71">
        <f>SUM(I661:I662)</f>
        <v>44.49</v>
      </c>
      <c r="J663" s="72"/>
    </row>
    <row r="665" spans="1:18" x14ac:dyDescent="0.3">
      <c r="A665" s="4" t="s">
        <v>1018</v>
      </c>
      <c r="B665" s="4" t="s">
        <v>138</v>
      </c>
      <c r="C665" s="4" t="s">
        <v>139</v>
      </c>
      <c r="D665" s="4" t="s">
        <v>21</v>
      </c>
      <c r="E665" s="4" t="s">
        <v>140</v>
      </c>
      <c r="F665" s="4" t="s">
        <v>506</v>
      </c>
      <c r="G665" s="34" t="s">
        <v>1019</v>
      </c>
      <c r="H665" s="35"/>
      <c r="I665" s="34" t="s">
        <v>15</v>
      </c>
      <c r="J665" s="35"/>
    </row>
    <row r="666" spans="1:18" ht="30" customHeight="1" x14ac:dyDescent="0.3">
      <c r="A666" s="15" t="s">
        <v>1031</v>
      </c>
      <c r="B666" s="15" t="s">
        <v>658</v>
      </c>
      <c r="C666" s="15" t="str">
        <f>VLOOKUP(B666,S!$A:$G,2,FALSE)</f>
        <v>PRÓPRIA</v>
      </c>
      <c r="D666" s="22" t="str">
        <f>VLOOKUP(B666,S!$A:$G,3,FALSE)</f>
        <v>CRUZETA DE FERRO GALVANIZADO, COM ROSCA BSP, DE 1"</v>
      </c>
      <c r="E666" s="15" t="str">
        <f>VLOOKUP(B666,S!$A:$G,4,FALSE)</f>
        <v>UN</v>
      </c>
      <c r="F666" s="15"/>
      <c r="G666" s="73">
        <f>I670</f>
        <v>85.84</v>
      </c>
      <c r="H666" s="74"/>
      <c r="I666" s="73"/>
      <c r="J666" s="74"/>
      <c r="K666" s="16">
        <f>VLOOKUP(B666,S!A:G,5,FALSE)</f>
        <v>0</v>
      </c>
      <c r="L666" s="15" t="s">
        <v>1021</v>
      </c>
    </row>
    <row r="667" spans="1:18" ht="30" customHeight="1" x14ac:dyDescent="0.3">
      <c r="A667" s="23" t="s">
        <v>1022</v>
      </c>
      <c r="B667" s="23">
        <v>88267</v>
      </c>
      <c r="C667" s="23" t="str">
        <f>VLOOKUP(B667,IF(A667="COMPOSICAO",S!$A:$E,I!$A:$E),2,FALSE)</f>
        <v>SINAPI</v>
      </c>
      <c r="D667" s="24" t="str">
        <f>VLOOKUP(B667,IF(A667="COMPOSICAO",S!$A:$E,I!$A:$E),3,FALSE)</f>
        <v>ENCANADOR OU BOMBEIRO HIDRÁULICO COM ENCARGOS COMPLEMENTARES</v>
      </c>
      <c r="E667" s="23" t="str">
        <f>VLOOKUP(B667,IF(A667="COMPOSICAO",S!$A:$E,I!$A:$E),4,FALSE)</f>
        <v>H</v>
      </c>
      <c r="F667" s="23">
        <f>1.04/pcf</f>
        <v>1.04</v>
      </c>
      <c r="G667" s="71">
        <f>IF(A667="COMPOSICAO",VLOOKUP("TOTAL SEM BDI - "&amp;B667,CPUAUX1!$A:$J,9,FALSE),VLOOKUP(B667,I!$A:$E,5,FALSE))</f>
        <v>26.669999999999998</v>
      </c>
      <c r="H667" s="72"/>
      <c r="I667" s="71">
        <f>TRUNC(F667*G667,2)</f>
        <v>27.73</v>
      </c>
      <c r="J667" s="72"/>
      <c r="M667" s="23">
        <f>B667</f>
        <v>88267</v>
      </c>
      <c r="N667" s="5">
        <f>SUMIF(ORCAMENTO!B:B,B666,ORCAMENTO!F:F)</f>
        <v>5</v>
      </c>
      <c r="O667" s="23">
        <f>F667*N667</f>
        <v>5.2</v>
      </c>
      <c r="Q667" s="23">
        <f ca="1">IFERROR(SUMIF(CO!B:B,B666,OFFSET(CO!F:F,0,(4+MATCH(ETAPA,CO!$J$6:$P$6,0)))),0)</f>
        <v>2</v>
      </c>
      <c r="R667" s="23">
        <f ca="1">F667*Q667</f>
        <v>2.08</v>
      </c>
    </row>
    <row r="668" spans="1:18" ht="30" customHeight="1" x14ac:dyDescent="0.3">
      <c r="A668" s="23" t="s">
        <v>1022</v>
      </c>
      <c r="B668" s="23">
        <v>88248</v>
      </c>
      <c r="C668" s="23" t="str">
        <f>VLOOKUP(B668,IF(A668="COMPOSICAO",S!$A:$E,I!$A:$E),2,FALSE)</f>
        <v>SINAPI</v>
      </c>
      <c r="D668" s="24" t="str">
        <f>VLOOKUP(B668,IF(A668="COMPOSICAO",S!$A:$E,I!$A:$E),3,FALSE)</f>
        <v>AUXILIAR DE ENCANADOR OU BOMBEIRO HIDRÁULICO COM ENCARGOS COMPLEMENTARES</v>
      </c>
      <c r="E668" s="23" t="str">
        <f>VLOOKUP(B668,IF(A668="COMPOSICAO",S!$A:$E,I!$A:$E),4,FALSE)</f>
        <v>H</v>
      </c>
      <c r="F668" s="23">
        <f>1.04/pcf</f>
        <v>1.04</v>
      </c>
      <c r="G668" s="71">
        <f>IF(A668="COMPOSICAO",VLOOKUP("TOTAL SEM BDI - "&amp;B668,CPUAUX1!$A:$J,9,FALSE),VLOOKUP(B668,I!$A:$E,5,FALSE))</f>
        <v>21.82</v>
      </c>
      <c r="H668" s="72"/>
      <c r="I668" s="71">
        <f>TRUNC(F668*G668,2)</f>
        <v>22.69</v>
      </c>
      <c r="J668" s="72"/>
      <c r="M668" s="23">
        <f>B668</f>
        <v>88248</v>
      </c>
      <c r="N668" s="5">
        <f>SUMIF(ORCAMENTO!B:B,B666,ORCAMENTO!F:F)</f>
        <v>5</v>
      </c>
      <c r="O668" s="23">
        <f>F668*N668</f>
        <v>5.2</v>
      </c>
      <c r="Q668" s="23">
        <f ca="1">IFERROR(SUMIF(CO!B:B,B666,OFFSET(CO!F:F,0,(4+MATCH(ETAPA,CO!$J$6:$P$6,0)))),0)</f>
        <v>2</v>
      </c>
      <c r="R668" s="23">
        <f ca="1">F668*Q668</f>
        <v>2.08</v>
      </c>
    </row>
    <row r="669" spans="1:18" ht="30" customHeight="1" x14ac:dyDescent="0.3">
      <c r="A669" s="23" t="s">
        <v>1025</v>
      </c>
      <c r="B669" s="23">
        <v>1648</v>
      </c>
      <c r="C669" s="23" t="str">
        <f>VLOOKUP(B669,IF(A669="COMPOSICAO",S!$A:$E,I!$A:$E),2,FALSE)</f>
        <v>SINAPI</v>
      </c>
      <c r="D669" s="24" t="str">
        <f>VLOOKUP(B669,IF(A669="COMPOSICAO",S!$A:$E,I!$A:$E),3,FALSE)</f>
        <v>CRUZETA DE FERRO GALVANIZADO, COM ROSCA BSP, DE 1"</v>
      </c>
      <c r="E669" s="23" t="str">
        <f>VLOOKUP(B669,IF(A669="COMPOSICAO",S!$A:$E,I!$A:$E),4,FALSE)</f>
        <v>UN</v>
      </c>
      <c r="F669" s="23">
        <v>1</v>
      </c>
      <c r="G669" s="71">
        <f>IF(A669="COMPOSICAO",VLOOKUP("TOTAL SEM BDI - "&amp;B669,CPUAUX1!$A:$J,9,FALSE),VLOOKUP(B669,I!$A:$E,5,FALSE))</f>
        <v>35.42</v>
      </c>
      <c r="H669" s="72"/>
      <c r="I669" s="71">
        <f>TRUNC(F669*G669,2)</f>
        <v>35.42</v>
      </c>
      <c r="J669" s="72"/>
      <c r="M669" s="23">
        <f>B669</f>
        <v>1648</v>
      </c>
      <c r="N669" s="5">
        <f>SUMIF(ORCAMENTO!B:B,B666,ORCAMENTO!F:F)</f>
        <v>5</v>
      </c>
      <c r="O669" s="23">
        <f>F669*N669</f>
        <v>5</v>
      </c>
      <c r="Q669" s="23">
        <f ca="1">IFERROR(SUMIF(CO!B:B,B666,OFFSET(CO!F:F,0,(4+MATCH(ETAPA,CO!$J$6:$P$6,0)))),0)</f>
        <v>2</v>
      </c>
      <c r="R669" s="23">
        <f ca="1">F669*Q669</f>
        <v>2</v>
      </c>
    </row>
    <row r="670" spans="1:18" x14ac:dyDescent="0.3">
      <c r="A670" s="68" t="str">
        <f>"TOTAL SEM BDI - "&amp;B666</f>
        <v>TOTAL SEM BDI - COMPCH08</v>
      </c>
      <c r="B670" s="69"/>
      <c r="C670" s="69"/>
      <c r="D670" s="69"/>
      <c r="E670" s="69"/>
      <c r="F670" s="69"/>
      <c r="G670" s="69"/>
      <c r="H670" s="70"/>
      <c r="I670" s="71">
        <f>SUM(I666:I669)</f>
        <v>85.84</v>
      </c>
      <c r="J670" s="72"/>
    </row>
    <row r="671" spans="1:18" x14ac:dyDescent="0.3">
      <c r="A671" s="68" t="str">
        <f>"TAXA DE BDI ("&amp;TEXT(BDI,"00,00")&amp;" %)"</f>
        <v>TAXA DE BDI (24,84 %)</v>
      </c>
      <c r="B671" s="69"/>
      <c r="C671" s="69"/>
      <c r="D671" s="69"/>
      <c r="E671" s="69"/>
      <c r="F671" s="69"/>
      <c r="G671" s="69"/>
      <c r="H671" s="70"/>
      <c r="I671" s="71">
        <f>ROUND(I670*(BDI/100),2)</f>
        <v>21.32</v>
      </c>
      <c r="J671" s="72"/>
    </row>
    <row r="672" spans="1:18" x14ac:dyDescent="0.3">
      <c r="A672" s="68" t="str">
        <f>"TOTAL COM BDI - "&amp;B666</f>
        <v>TOTAL COM BDI - COMPCH08</v>
      </c>
      <c r="B672" s="69"/>
      <c r="C672" s="69"/>
      <c r="D672" s="69"/>
      <c r="E672" s="69"/>
      <c r="F672" s="69"/>
      <c r="G672" s="69"/>
      <c r="H672" s="70"/>
      <c r="I672" s="71">
        <f>SUM(I670:I671)</f>
        <v>107.16</v>
      </c>
      <c r="J672" s="72"/>
    </row>
    <row r="674" spans="1:18" x14ac:dyDescent="0.3">
      <c r="A674" s="4" t="s">
        <v>1018</v>
      </c>
      <c r="B674" s="4" t="s">
        <v>138</v>
      </c>
      <c r="C674" s="4" t="s">
        <v>139</v>
      </c>
      <c r="D674" s="4" t="s">
        <v>21</v>
      </c>
      <c r="E674" s="4" t="s">
        <v>140</v>
      </c>
      <c r="F674" s="4" t="s">
        <v>506</v>
      </c>
      <c r="G674" s="34" t="s">
        <v>1019</v>
      </c>
      <c r="H674" s="35"/>
      <c r="I674" s="34" t="s">
        <v>15</v>
      </c>
      <c r="J674" s="35"/>
    </row>
    <row r="675" spans="1:18" ht="45" customHeight="1" x14ac:dyDescent="0.3">
      <c r="A675" s="15" t="s">
        <v>1031</v>
      </c>
      <c r="B675" s="15" t="s">
        <v>660</v>
      </c>
      <c r="C675" s="15" t="str">
        <f>VLOOKUP(B675,S!$A:$G,2,FALSE)</f>
        <v>PRÓPRIA</v>
      </c>
      <c r="D675" s="22" t="str">
        <f>VLOOKUP(B675,S!$A:$G,3,FALSE)</f>
        <v>TÊ, EM FERRO GALVANIZADO, 1", CONEXÃO ROSQUEADA, INSTALADO EM PRUMADAS - FORNECIMENTO E INSTALAÇÃO.</v>
      </c>
      <c r="E675" s="15" t="str">
        <f>VLOOKUP(B675,S!$A:$G,4,FALSE)</f>
        <v>UN</v>
      </c>
      <c r="F675" s="15"/>
      <c r="G675" s="73">
        <f>I681</f>
        <v>69.28</v>
      </c>
      <c r="H675" s="74"/>
      <c r="I675" s="73"/>
      <c r="J675" s="74"/>
      <c r="K675" s="16">
        <f>VLOOKUP(B675,S!A:G,5,FALSE)</f>
        <v>0</v>
      </c>
      <c r="L675" s="15" t="s">
        <v>1021</v>
      </c>
    </row>
    <row r="676" spans="1:18" ht="30" customHeight="1" x14ac:dyDescent="0.3">
      <c r="A676" s="23" t="s">
        <v>1025</v>
      </c>
      <c r="B676" s="23">
        <v>3148</v>
      </c>
      <c r="C676" s="23" t="str">
        <f>VLOOKUP(B676,IF(A676="COMPOSICAO",S!$A:$E,I!$A:$E),2,FALSE)</f>
        <v>SINAPI</v>
      </c>
      <c r="D676" s="24" t="str">
        <f>VLOOKUP(B676,IF(A676="COMPOSICAO",S!$A:$E,I!$A:$E),3,FALSE)</f>
        <v>FITA VEDA ROSCA, EM PTFE, ROLO DE 18 MM X 50 M (L X C)</v>
      </c>
      <c r="E676" s="23" t="str">
        <f>VLOOKUP(B676,IF(A676="COMPOSICAO",S!$A:$E,I!$A:$E),4,FALSE)</f>
        <v>UN</v>
      </c>
      <c r="F676" s="23">
        <v>0.2</v>
      </c>
      <c r="G676" s="71">
        <f>IF(A676="COMPOSICAO",VLOOKUP("TOTAL SEM BDI - "&amp;B676,CPUAUX1!$A:$J,9,FALSE),VLOOKUP(B676,I!$A:$E,5,FALSE))</f>
        <v>15.26</v>
      </c>
      <c r="H676" s="72"/>
      <c r="I676" s="71">
        <f>TRUNC(F676*G676,2)</f>
        <v>3.05</v>
      </c>
      <c r="J676" s="72"/>
      <c r="M676" s="23">
        <f>B676</f>
        <v>3148</v>
      </c>
      <c r="N676" s="5">
        <f>SUMIF(ORCAMENTO!B:B,B675,ORCAMENTO!F:F)</f>
        <v>5</v>
      </c>
      <c r="O676" s="23">
        <f>F676*N676</f>
        <v>1</v>
      </c>
      <c r="Q676" s="23">
        <f ca="1">IFERROR(SUMIF(CO!B:B,B675,OFFSET(CO!F:F,0,(4+MATCH(ETAPA,CO!$J$6:$P$6,0)))),0)</f>
        <v>2</v>
      </c>
      <c r="R676" s="23">
        <f ca="1">F676*Q676</f>
        <v>0.4</v>
      </c>
    </row>
    <row r="677" spans="1:18" x14ac:dyDescent="0.3">
      <c r="A677" s="23" t="s">
        <v>1025</v>
      </c>
      <c r="B677" s="23">
        <v>6323</v>
      </c>
      <c r="C677" s="23" t="str">
        <f>VLOOKUP(B677,IF(A677="COMPOSICAO",S!$A:$E,I!$A:$E),2,FALSE)</f>
        <v>SINAPI</v>
      </c>
      <c r="D677" s="24" t="str">
        <f>VLOOKUP(B677,IF(A677="COMPOSICAO",S!$A:$E,I!$A:$E),3,FALSE)</f>
        <v>TE DE FERRO GALVANIZADO, DE 1"</v>
      </c>
      <c r="E677" s="23" t="str">
        <f>VLOOKUP(B677,IF(A677="COMPOSICAO",S!$A:$E,I!$A:$E),4,FALSE)</f>
        <v>UN</v>
      </c>
      <c r="F677" s="23">
        <v>1</v>
      </c>
      <c r="G677" s="71">
        <f>IF(A677="COMPOSICAO",VLOOKUP("TOTAL SEM BDI - "&amp;B677,CPUAUX1!$A:$J,9,FALSE),VLOOKUP(B677,I!$A:$E,5,FALSE))</f>
        <v>18.52</v>
      </c>
      <c r="H677" s="72"/>
      <c r="I677" s="71">
        <f>TRUNC(F677*G677,2)</f>
        <v>18.52</v>
      </c>
      <c r="J677" s="72"/>
      <c r="M677" s="23">
        <f>B677</f>
        <v>6323</v>
      </c>
      <c r="N677" s="5">
        <f>SUMIF(ORCAMENTO!B:B,B675,ORCAMENTO!F:F)</f>
        <v>5</v>
      </c>
      <c r="O677" s="23">
        <f>F677*N677</f>
        <v>5</v>
      </c>
      <c r="Q677" s="23">
        <f ca="1">IFERROR(SUMIF(CO!B:B,B675,OFFSET(CO!F:F,0,(4+MATCH(ETAPA,CO!$J$6:$P$6,0)))),0)</f>
        <v>2</v>
      </c>
      <c r="R677" s="23">
        <f ca="1">F677*Q677</f>
        <v>2</v>
      </c>
    </row>
    <row r="678" spans="1:18" ht="30" customHeight="1" x14ac:dyDescent="0.3">
      <c r="A678" s="23" t="s">
        <v>1025</v>
      </c>
      <c r="B678" s="23">
        <v>7307</v>
      </c>
      <c r="C678" s="23" t="str">
        <f>VLOOKUP(B678,IF(A678="COMPOSICAO",S!$A:$E,I!$A:$E),2,FALSE)</f>
        <v>SINAPI</v>
      </c>
      <c r="D678" s="24" t="str">
        <f>VLOOKUP(B678,IF(A678="COMPOSICAO",S!$A:$E,I!$A:$E),3,FALSE)</f>
        <v>FUNDO ANTICORROSIVO PARA METAIS FERROSOS (ZARCAO)</v>
      </c>
      <c r="E678" s="23" t="str">
        <f>VLOOKUP(B678,IF(A678="COMPOSICAO",S!$A:$E,I!$A:$E),4,FALSE)</f>
        <v>L</v>
      </c>
      <c r="F678" s="23">
        <v>5.0000000000000001E-3</v>
      </c>
      <c r="G678" s="71">
        <f>IF(A678="COMPOSICAO",VLOOKUP("TOTAL SEM BDI - "&amp;B678,CPUAUX1!$A:$J,9,FALSE),VLOOKUP(B678,I!$A:$E,5,FALSE))</f>
        <v>41.5</v>
      </c>
      <c r="H678" s="72"/>
      <c r="I678" s="71">
        <f>TRUNC(F678*G678,2)</f>
        <v>0.2</v>
      </c>
      <c r="J678" s="72"/>
      <c r="M678" s="23">
        <f>B678</f>
        <v>7307</v>
      </c>
      <c r="N678" s="5">
        <f>SUMIF(ORCAMENTO!B:B,B675,ORCAMENTO!F:F)</f>
        <v>5</v>
      </c>
      <c r="O678" s="23">
        <f>F678*N678</f>
        <v>2.5000000000000001E-2</v>
      </c>
      <c r="Q678" s="23">
        <f ca="1">IFERROR(SUMIF(CO!B:B,B675,OFFSET(CO!F:F,0,(4+MATCH(ETAPA,CO!$J$6:$P$6,0)))),0)</f>
        <v>2</v>
      </c>
      <c r="R678" s="23">
        <f ca="1">F678*Q678</f>
        <v>0.01</v>
      </c>
    </row>
    <row r="679" spans="1:18" ht="30" customHeight="1" x14ac:dyDescent="0.3">
      <c r="A679" s="23" t="s">
        <v>1022</v>
      </c>
      <c r="B679" s="23">
        <v>88248</v>
      </c>
      <c r="C679" s="23" t="str">
        <f>VLOOKUP(B679,IF(A679="COMPOSICAO",S!$A:$E,I!$A:$E),2,FALSE)</f>
        <v>SINAPI</v>
      </c>
      <c r="D679" s="24" t="str">
        <f>VLOOKUP(B679,IF(A679="COMPOSICAO",S!$A:$E,I!$A:$E),3,FALSE)</f>
        <v>AUXILIAR DE ENCANADOR OU BOMBEIRO HIDRÁULICO COM ENCARGOS COMPLEMENTARES</v>
      </c>
      <c r="E679" s="23" t="str">
        <f>VLOOKUP(B679,IF(A679="COMPOSICAO",S!$A:$E,I!$A:$E),4,FALSE)</f>
        <v>H</v>
      </c>
      <c r="F679" s="23">
        <f>0.98/pcf</f>
        <v>0.98</v>
      </c>
      <c r="G679" s="71">
        <f>IF(A679="COMPOSICAO",VLOOKUP("TOTAL SEM BDI - "&amp;B679,CPUAUX1!$A:$J,9,FALSE),VLOOKUP(B679,I!$A:$E,5,FALSE))</f>
        <v>21.82</v>
      </c>
      <c r="H679" s="72"/>
      <c r="I679" s="71">
        <f>TRUNC(F679*G679,2)</f>
        <v>21.38</v>
      </c>
      <c r="J679" s="72"/>
      <c r="M679" s="23">
        <f>B679</f>
        <v>88248</v>
      </c>
      <c r="N679" s="5">
        <f>SUMIF(ORCAMENTO!B:B,B675,ORCAMENTO!F:F)</f>
        <v>5</v>
      </c>
      <c r="O679" s="23">
        <f>F679*N679</f>
        <v>4.9000000000000004</v>
      </c>
      <c r="Q679" s="23">
        <f ca="1">IFERROR(SUMIF(CO!B:B,B675,OFFSET(CO!F:F,0,(4+MATCH(ETAPA,CO!$J$6:$P$6,0)))),0)</f>
        <v>2</v>
      </c>
      <c r="R679" s="23">
        <f ca="1">F679*Q679</f>
        <v>1.96</v>
      </c>
    </row>
    <row r="680" spans="1:18" ht="30" customHeight="1" x14ac:dyDescent="0.3">
      <c r="A680" s="23" t="s">
        <v>1022</v>
      </c>
      <c r="B680" s="23">
        <v>88267</v>
      </c>
      <c r="C680" s="23" t="str">
        <f>VLOOKUP(B680,IF(A680="COMPOSICAO",S!$A:$E,I!$A:$E),2,FALSE)</f>
        <v>SINAPI</v>
      </c>
      <c r="D680" s="24" t="str">
        <f>VLOOKUP(B680,IF(A680="COMPOSICAO",S!$A:$E,I!$A:$E),3,FALSE)</f>
        <v>ENCANADOR OU BOMBEIRO HIDRÁULICO COM ENCARGOS COMPLEMENTARES</v>
      </c>
      <c r="E680" s="23" t="str">
        <f>VLOOKUP(B680,IF(A680="COMPOSICAO",S!$A:$E,I!$A:$E),4,FALSE)</f>
        <v>H</v>
      </c>
      <c r="F680" s="23">
        <f>0.98/pcf</f>
        <v>0.98</v>
      </c>
      <c r="G680" s="71">
        <f>IF(A680="COMPOSICAO",VLOOKUP("TOTAL SEM BDI - "&amp;B680,CPUAUX1!$A:$J,9,FALSE),VLOOKUP(B680,I!$A:$E,5,FALSE))</f>
        <v>26.669999999999998</v>
      </c>
      <c r="H680" s="72"/>
      <c r="I680" s="71">
        <f>TRUNC(F680*G680,2)</f>
        <v>26.13</v>
      </c>
      <c r="J680" s="72"/>
      <c r="M680" s="23">
        <f>B680</f>
        <v>88267</v>
      </c>
      <c r="N680" s="5">
        <f>SUMIF(ORCAMENTO!B:B,B675,ORCAMENTO!F:F)</f>
        <v>5</v>
      </c>
      <c r="O680" s="23">
        <f>F680*N680</f>
        <v>4.9000000000000004</v>
      </c>
      <c r="Q680" s="23">
        <f ca="1">IFERROR(SUMIF(CO!B:B,B675,OFFSET(CO!F:F,0,(4+MATCH(ETAPA,CO!$J$6:$P$6,0)))),0)</f>
        <v>2</v>
      </c>
      <c r="R680" s="23">
        <f ca="1">F680*Q680</f>
        <v>1.96</v>
      </c>
    </row>
    <row r="681" spans="1:18" x14ac:dyDescent="0.3">
      <c r="A681" s="68" t="str">
        <f>"TOTAL SEM BDI - "&amp;B675</f>
        <v>TOTAL SEM BDI - COMPCH01</v>
      </c>
      <c r="B681" s="69"/>
      <c r="C681" s="69"/>
      <c r="D681" s="69"/>
      <c r="E681" s="69"/>
      <c r="F681" s="69"/>
      <c r="G681" s="69"/>
      <c r="H681" s="70"/>
      <c r="I681" s="71">
        <f>SUM(I675:I680)</f>
        <v>69.28</v>
      </c>
      <c r="J681" s="72"/>
    </row>
    <row r="682" spans="1:18" x14ac:dyDescent="0.3">
      <c r="A682" s="68" t="str">
        <f>"TAXA DE BDI ("&amp;TEXT(BDI,"00,00")&amp;" %)"</f>
        <v>TAXA DE BDI (24,84 %)</v>
      </c>
      <c r="B682" s="69"/>
      <c r="C682" s="69"/>
      <c r="D682" s="69"/>
      <c r="E682" s="69"/>
      <c r="F682" s="69"/>
      <c r="G682" s="69"/>
      <c r="H682" s="70"/>
      <c r="I682" s="71">
        <f>ROUND(I681*(BDI/100),2)</f>
        <v>17.21</v>
      </c>
      <c r="J682" s="72"/>
    </row>
    <row r="683" spans="1:18" x14ac:dyDescent="0.3">
      <c r="A683" s="68" t="str">
        <f>"TOTAL COM BDI - "&amp;B675</f>
        <v>TOTAL COM BDI - COMPCH01</v>
      </c>
      <c r="B683" s="69"/>
      <c r="C683" s="69"/>
      <c r="D683" s="69"/>
      <c r="E683" s="69"/>
      <c r="F683" s="69"/>
      <c r="G683" s="69"/>
      <c r="H683" s="70"/>
      <c r="I683" s="71">
        <f>SUM(I681:I682)</f>
        <v>86.490000000000009</v>
      </c>
      <c r="J683" s="72"/>
    </row>
    <row r="685" spans="1:18" x14ac:dyDescent="0.3">
      <c r="A685" s="4" t="s">
        <v>1018</v>
      </c>
      <c r="B685" s="4" t="s">
        <v>138</v>
      </c>
      <c r="C685" s="4" t="s">
        <v>139</v>
      </c>
      <c r="D685" s="4" t="s">
        <v>21</v>
      </c>
      <c r="E685" s="4" t="s">
        <v>140</v>
      </c>
      <c r="F685" s="4" t="s">
        <v>506</v>
      </c>
      <c r="G685" s="34" t="s">
        <v>1019</v>
      </c>
      <c r="H685" s="35"/>
      <c r="I685" s="34" t="s">
        <v>15</v>
      </c>
      <c r="J685" s="35"/>
    </row>
    <row r="686" spans="1:18" ht="30" customHeight="1" x14ac:dyDescent="0.3">
      <c r="A686" s="15" t="s">
        <v>1031</v>
      </c>
      <c r="B686" s="15" t="s">
        <v>662</v>
      </c>
      <c r="C686" s="15" t="str">
        <f>VLOOKUP(B686,S!$A:$G,2,FALSE)</f>
        <v>PRÓPRIA</v>
      </c>
      <c r="D686" s="22" t="str">
        <f>VLOOKUP(B686,S!$A:$G,3,FALSE)</f>
        <v>LUVA DE FERRO GALVANIZADO, COM ROSCA BSP, DE 1"- FORNECIMENTO E INSTALAÇÃO</v>
      </c>
      <c r="E686" s="15" t="str">
        <f>VLOOKUP(B686,S!$A:$G,4,FALSE)</f>
        <v>UN</v>
      </c>
      <c r="F686" s="15"/>
      <c r="G686" s="73">
        <f>I690</f>
        <v>21.18</v>
      </c>
      <c r="H686" s="74"/>
      <c r="I686" s="73"/>
      <c r="J686" s="74"/>
      <c r="K686" s="16">
        <f>VLOOKUP(B686,S!A:G,5,FALSE)</f>
        <v>0</v>
      </c>
      <c r="L686" s="15" t="s">
        <v>1021</v>
      </c>
    </row>
    <row r="687" spans="1:18" ht="30" customHeight="1" x14ac:dyDescent="0.3">
      <c r="A687" s="23" t="s">
        <v>1025</v>
      </c>
      <c r="B687" s="23">
        <v>3910</v>
      </c>
      <c r="C687" s="23" t="str">
        <f>VLOOKUP(B687,IF(A687="COMPOSICAO",S!$A:$E,I!$A:$E),2,FALSE)</f>
        <v>SINAPI</v>
      </c>
      <c r="D687" s="24" t="str">
        <f>VLOOKUP(B687,IF(A687="COMPOSICAO",S!$A:$E,I!$A:$E),3,FALSE)</f>
        <v>LUVA DE FERRO GALVANIZADO, COM ROSCA BSP, DE 1"</v>
      </c>
      <c r="E687" s="23" t="str">
        <f>VLOOKUP(B687,IF(A687="COMPOSICAO",S!$A:$E,I!$A:$E),4,FALSE)</f>
        <v>UN</v>
      </c>
      <c r="F687" s="23">
        <v>1</v>
      </c>
      <c r="G687" s="71">
        <f>IF(A687="COMPOSICAO",VLOOKUP("TOTAL SEM BDI - "&amp;B687,CPUAUX1!$A:$J,9,FALSE),VLOOKUP(B687,I!$A:$E,5,FALSE))</f>
        <v>11.49</v>
      </c>
      <c r="H687" s="72"/>
      <c r="I687" s="71">
        <f>TRUNC(F687*G687,2)</f>
        <v>11.49</v>
      </c>
      <c r="J687" s="72"/>
      <c r="M687" s="23">
        <f>B687</f>
        <v>3910</v>
      </c>
      <c r="N687" s="5">
        <f>SUMIF(ORCAMENTO!B:B,B686,ORCAMENTO!F:F)</f>
        <v>5</v>
      </c>
      <c r="O687" s="23">
        <f>F687*N687</f>
        <v>5</v>
      </c>
      <c r="Q687" s="23">
        <f ca="1">IFERROR(SUMIF(CO!B:B,B686,OFFSET(CO!F:F,0,(4+MATCH(ETAPA,CO!$J$6:$P$6,0)))),0)</f>
        <v>2</v>
      </c>
      <c r="R687" s="23">
        <f ca="1">F687*Q687</f>
        <v>2</v>
      </c>
    </row>
    <row r="688" spans="1:18" ht="30" customHeight="1" x14ac:dyDescent="0.3">
      <c r="A688" s="23" t="s">
        <v>1022</v>
      </c>
      <c r="B688" s="23">
        <v>88248</v>
      </c>
      <c r="C688" s="23" t="str">
        <f>VLOOKUP(B688,IF(A688="COMPOSICAO",S!$A:$E,I!$A:$E),2,FALSE)</f>
        <v>SINAPI</v>
      </c>
      <c r="D688" s="24" t="str">
        <f>VLOOKUP(B688,IF(A688="COMPOSICAO",S!$A:$E,I!$A:$E),3,FALSE)</f>
        <v>AUXILIAR DE ENCANADOR OU BOMBEIRO HIDRÁULICO COM ENCARGOS COMPLEMENTARES</v>
      </c>
      <c r="E688" s="23" t="str">
        <f>VLOOKUP(B688,IF(A688="COMPOSICAO",S!$A:$E,I!$A:$E),4,FALSE)</f>
        <v>H</v>
      </c>
      <c r="F688" s="23">
        <f>0.2/pcf</f>
        <v>0.2</v>
      </c>
      <c r="G688" s="71">
        <f>IF(A688="COMPOSICAO",VLOOKUP("TOTAL SEM BDI - "&amp;B688,CPUAUX1!$A:$J,9,FALSE),VLOOKUP(B688,I!$A:$E,5,FALSE))</f>
        <v>21.82</v>
      </c>
      <c r="H688" s="72"/>
      <c r="I688" s="71">
        <f>TRUNC(F688*G688,2)</f>
        <v>4.3600000000000003</v>
      </c>
      <c r="J688" s="72"/>
      <c r="M688" s="23">
        <f>B688</f>
        <v>88248</v>
      </c>
      <c r="N688" s="5">
        <f>SUMIF(ORCAMENTO!B:B,B686,ORCAMENTO!F:F)</f>
        <v>5</v>
      </c>
      <c r="O688" s="23">
        <f>F688*N688</f>
        <v>1</v>
      </c>
      <c r="Q688" s="23">
        <f ca="1">IFERROR(SUMIF(CO!B:B,B686,OFFSET(CO!F:F,0,(4+MATCH(ETAPA,CO!$J$6:$P$6,0)))),0)</f>
        <v>2</v>
      </c>
      <c r="R688" s="23">
        <f ca="1">F688*Q688</f>
        <v>0.4</v>
      </c>
    </row>
    <row r="689" spans="1:18" ht="30" customHeight="1" x14ac:dyDescent="0.3">
      <c r="A689" s="23" t="s">
        <v>1022</v>
      </c>
      <c r="B689" s="23">
        <v>88267</v>
      </c>
      <c r="C689" s="23" t="str">
        <f>VLOOKUP(B689,IF(A689="COMPOSICAO",S!$A:$E,I!$A:$E),2,FALSE)</f>
        <v>SINAPI</v>
      </c>
      <c r="D689" s="24" t="str">
        <f>VLOOKUP(B689,IF(A689="COMPOSICAO",S!$A:$E,I!$A:$E),3,FALSE)</f>
        <v>ENCANADOR OU BOMBEIRO HIDRÁULICO COM ENCARGOS COMPLEMENTARES</v>
      </c>
      <c r="E689" s="23" t="str">
        <f>VLOOKUP(B689,IF(A689="COMPOSICAO",S!$A:$E,I!$A:$E),4,FALSE)</f>
        <v>H</v>
      </c>
      <c r="F689" s="23">
        <f>0.2/pcf</f>
        <v>0.2</v>
      </c>
      <c r="G689" s="71">
        <f>IF(A689="COMPOSICAO",VLOOKUP("TOTAL SEM BDI - "&amp;B689,CPUAUX1!$A:$J,9,FALSE),VLOOKUP(B689,I!$A:$E,5,FALSE))</f>
        <v>26.669999999999998</v>
      </c>
      <c r="H689" s="72"/>
      <c r="I689" s="71">
        <f>TRUNC(F689*G689,2)</f>
        <v>5.33</v>
      </c>
      <c r="J689" s="72"/>
      <c r="M689" s="23">
        <f>B689</f>
        <v>88267</v>
      </c>
      <c r="N689" s="5">
        <f>SUMIF(ORCAMENTO!B:B,B686,ORCAMENTO!F:F)</f>
        <v>5</v>
      </c>
      <c r="O689" s="23">
        <f>F689*N689</f>
        <v>1</v>
      </c>
      <c r="Q689" s="23">
        <f ca="1">IFERROR(SUMIF(CO!B:B,B686,OFFSET(CO!F:F,0,(4+MATCH(ETAPA,CO!$J$6:$P$6,0)))),0)</f>
        <v>2</v>
      </c>
      <c r="R689" s="23">
        <f ca="1">F689*Q689</f>
        <v>0.4</v>
      </c>
    </row>
    <row r="690" spans="1:18" x14ac:dyDescent="0.3">
      <c r="A690" s="68" t="str">
        <f>"TOTAL SEM BDI - "&amp;B686</f>
        <v>TOTAL SEM BDI - COMPCH02</v>
      </c>
      <c r="B690" s="69"/>
      <c r="C690" s="69"/>
      <c r="D690" s="69"/>
      <c r="E690" s="69"/>
      <c r="F690" s="69"/>
      <c r="G690" s="69"/>
      <c r="H690" s="70"/>
      <c r="I690" s="71">
        <f>SUM(I686:I689)</f>
        <v>21.18</v>
      </c>
      <c r="J690" s="72"/>
    </row>
    <row r="691" spans="1:18" x14ac:dyDescent="0.3">
      <c r="A691" s="68" t="str">
        <f>"TAXA DE BDI ("&amp;TEXT(BDI,"00,00")&amp;" %)"</f>
        <v>TAXA DE BDI (24,84 %)</v>
      </c>
      <c r="B691" s="69"/>
      <c r="C691" s="69"/>
      <c r="D691" s="69"/>
      <c r="E691" s="69"/>
      <c r="F691" s="69"/>
      <c r="G691" s="69"/>
      <c r="H691" s="70"/>
      <c r="I691" s="71">
        <f>ROUND(I690*(BDI/100),2)</f>
        <v>5.26</v>
      </c>
      <c r="J691" s="72"/>
    </row>
    <row r="692" spans="1:18" x14ac:dyDescent="0.3">
      <c r="A692" s="68" t="str">
        <f>"TOTAL COM BDI - "&amp;B686</f>
        <v>TOTAL COM BDI - COMPCH02</v>
      </c>
      <c r="B692" s="69"/>
      <c r="C692" s="69"/>
      <c r="D692" s="69"/>
      <c r="E692" s="69"/>
      <c r="F692" s="69"/>
      <c r="G692" s="69"/>
      <c r="H692" s="70"/>
      <c r="I692" s="71">
        <f>SUM(I690:I691)</f>
        <v>26.439999999999998</v>
      </c>
      <c r="J692" s="72"/>
    </row>
    <row r="694" spans="1:18" x14ac:dyDescent="0.3">
      <c r="A694" s="4" t="s">
        <v>1018</v>
      </c>
      <c r="B694" s="4" t="s">
        <v>138</v>
      </c>
      <c r="C694" s="4" t="s">
        <v>139</v>
      </c>
      <c r="D694" s="4" t="s">
        <v>21</v>
      </c>
      <c r="E694" s="4" t="s">
        <v>140</v>
      </c>
      <c r="F694" s="4" t="s">
        <v>506</v>
      </c>
      <c r="G694" s="34" t="s">
        <v>1019</v>
      </c>
      <c r="H694" s="35"/>
      <c r="I694" s="34" t="s">
        <v>15</v>
      </c>
      <c r="J694" s="35"/>
    </row>
    <row r="695" spans="1:18" ht="45" customHeight="1" x14ac:dyDescent="0.3">
      <c r="A695" s="15" t="s">
        <v>1031</v>
      </c>
      <c r="B695" s="15" t="s">
        <v>664</v>
      </c>
      <c r="C695" s="15" t="str">
        <f>VLOOKUP(B695,S!$A:$G,2,FALSE)</f>
        <v>PRÓPRIA</v>
      </c>
      <c r="D695" s="22" t="str">
        <f>VLOOKUP(B695,S!$A:$G,3,FALSE)</f>
        <v>CURVA 90 GRAUS DE FERRO GALVANIZADO, COM ROSCA BSP FEMEA, DE 1"- FORNECIMENTO E INSTALAÇÃO</v>
      </c>
      <c r="E695" s="15" t="str">
        <f>VLOOKUP(B695,S!$A:$G,4,FALSE)</f>
        <v>UN</v>
      </c>
      <c r="F695" s="15"/>
      <c r="G695" s="73">
        <f>I699</f>
        <v>55.2</v>
      </c>
      <c r="H695" s="74"/>
      <c r="I695" s="73"/>
      <c r="J695" s="74"/>
      <c r="K695" s="16">
        <f>VLOOKUP(B695,S!A:G,5,FALSE)</f>
        <v>0</v>
      </c>
      <c r="L695" s="15" t="s">
        <v>1021</v>
      </c>
    </row>
    <row r="696" spans="1:18" ht="30" customHeight="1" x14ac:dyDescent="0.3">
      <c r="A696" s="23" t="s">
        <v>1025</v>
      </c>
      <c r="B696" s="23">
        <v>1787</v>
      </c>
      <c r="C696" s="23" t="str">
        <f>VLOOKUP(B696,IF(A696="COMPOSICAO",S!$A:$E,I!$A:$E),2,FALSE)</f>
        <v>SINAPI</v>
      </c>
      <c r="D696" s="24" t="str">
        <f>VLOOKUP(B696,IF(A696="COMPOSICAO",S!$A:$E,I!$A:$E),3,FALSE)</f>
        <v>CURVA 90 GRAUS DE FERRO GALVANIZADO, COM ROSCA BSP FEMEA, DE 1"</v>
      </c>
      <c r="E696" s="23" t="str">
        <f>VLOOKUP(B696,IF(A696="COMPOSICAO",S!$A:$E,I!$A:$E),4,FALSE)</f>
        <v>UN</v>
      </c>
      <c r="F696" s="23">
        <v>1</v>
      </c>
      <c r="G696" s="71">
        <f>IF(A696="COMPOSICAO",VLOOKUP("TOTAL SEM BDI - "&amp;B696,CPUAUX1!$A:$J,9,FALSE),VLOOKUP(B696,I!$A:$E,5,FALSE))</f>
        <v>32.43</v>
      </c>
      <c r="H696" s="72"/>
      <c r="I696" s="71">
        <f>TRUNC(F696*G696,2)</f>
        <v>32.43</v>
      </c>
      <c r="J696" s="72"/>
      <c r="M696" s="23">
        <f>B696</f>
        <v>1787</v>
      </c>
      <c r="N696" s="5">
        <f>SUMIF(ORCAMENTO!B:B,B695,ORCAMENTO!F:F)</f>
        <v>5</v>
      </c>
      <c r="O696" s="23">
        <f>F696*N696</f>
        <v>5</v>
      </c>
      <c r="Q696" s="23">
        <f ca="1">IFERROR(SUMIF(CO!B:B,B695,OFFSET(CO!F:F,0,(4+MATCH(ETAPA,CO!$J$6:$P$6,0)))),0)</f>
        <v>2</v>
      </c>
      <c r="R696" s="23">
        <f ca="1">F696*Q696</f>
        <v>2</v>
      </c>
    </row>
    <row r="697" spans="1:18" ht="30" customHeight="1" x14ac:dyDescent="0.3">
      <c r="A697" s="23" t="s">
        <v>1022</v>
      </c>
      <c r="B697" s="23">
        <v>88248</v>
      </c>
      <c r="C697" s="23" t="str">
        <f>VLOOKUP(B697,IF(A697="COMPOSICAO",S!$A:$E,I!$A:$E),2,FALSE)</f>
        <v>SINAPI</v>
      </c>
      <c r="D697" s="24" t="str">
        <f>VLOOKUP(B697,IF(A697="COMPOSICAO",S!$A:$E,I!$A:$E),3,FALSE)</f>
        <v>AUXILIAR DE ENCANADOR OU BOMBEIRO HIDRÁULICO COM ENCARGOS COMPLEMENTARES</v>
      </c>
      <c r="E697" s="23" t="str">
        <f>VLOOKUP(B697,IF(A697="COMPOSICAO",S!$A:$E,I!$A:$E),4,FALSE)</f>
        <v>H</v>
      </c>
      <c r="F697" s="23">
        <f>0.4698/pcf</f>
        <v>0.4698</v>
      </c>
      <c r="G697" s="71">
        <f>IF(A697="COMPOSICAO",VLOOKUP("TOTAL SEM BDI - "&amp;B697,CPUAUX1!$A:$J,9,FALSE),VLOOKUP(B697,I!$A:$E,5,FALSE))</f>
        <v>21.82</v>
      </c>
      <c r="H697" s="72"/>
      <c r="I697" s="71">
        <f>TRUNC(F697*G697,2)</f>
        <v>10.25</v>
      </c>
      <c r="J697" s="72"/>
      <c r="M697" s="23">
        <f>B697</f>
        <v>88248</v>
      </c>
      <c r="N697" s="5">
        <f>SUMIF(ORCAMENTO!B:B,B695,ORCAMENTO!F:F)</f>
        <v>5</v>
      </c>
      <c r="O697" s="23">
        <f>F697*N697</f>
        <v>2.3490000000000002</v>
      </c>
      <c r="Q697" s="23">
        <f ca="1">IFERROR(SUMIF(CO!B:B,B695,OFFSET(CO!F:F,0,(4+MATCH(ETAPA,CO!$J$6:$P$6,0)))),0)</f>
        <v>2</v>
      </c>
      <c r="R697" s="23">
        <f ca="1">F697*Q697</f>
        <v>0.93959999999999999</v>
      </c>
    </row>
    <row r="698" spans="1:18" ht="30" customHeight="1" x14ac:dyDescent="0.3">
      <c r="A698" s="23" t="s">
        <v>1022</v>
      </c>
      <c r="B698" s="23">
        <v>88267</v>
      </c>
      <c r="C698" s="23" t="str">
        <f>VLOOKUP(B698,IF(A698="COMPOSICAO",S!$A:$E,I!$A:$E),2,FALSE)</f>
        <v>SINAPI</v>
      </c>
      <c r="D698" s="24" t="str">
        <f>VLOOKUP(B698,IF(A698="COMPOSICAO",S!$A:$E,I!$A:$E),3,FALSE)</f>
        <v>ENCANADOR OU BOMBEIRO HIDRÁULICO COM ENCARGOS COMPLEMENTARES</v>
      </c>
      <c r="E698" s="23" t="str">
        <f>VLOOKUP(B698,IF(A698="COMPOSICAO",S!$A:$E,I!$A:$E),4,FALSE)</f>
        <v>H</v>
      </c>
      <c r="F698" s="23">
        <f>0.4698/pcf</f>
        <v>0.4698</v>
      </c>
      <c r="G698" s="71">
        <f>IF(A698="COMPOSICAO",VLOOKUP("TOTAL SEM BDI - "&amp;B698,CPUAUX1!$A:$J,9,FALSE),VLOOKUP(B698,I!$A:$E,5,FALSE))</f>
        <v>26.669999999999998</v>
      </c>
      <c r="H698" s="72"/>
      <c r="I698" s="71">
        <f>TRUNC(F698*G698,2)</f>
        <v>12.52</v>
      </c>
      <c r="J698" s="72"/>
      <c r="M698" s="23">
        <f>B698</f>
        <v>88267</v>
      </c>
      <c r="N698" s="5">
        <f>SUMIF(ORCAMENTO!B:B,B695,ORCAMENTO!F:F)</f>
        <v>5</v>
      </c>
      <c r="O698" s="23">
        <f>F698*N698</f>
        <v>2.3490000000000002</v>
      </c>
      <c r="Q698" s="23">
        <f ca="1">IFERROR(SUMIF(CO!B:B,B695,OFFSET(CO!F:F,0,(4+MATCH(ETAPA,CO!$J$6:$P$6,0)))),0)</f>
        <v>2</v>
      </c>
      <c r="R698" s="23">
        <f ca="1">F698*Q698</f>
        <v>0.93959999999999999</v>
      </c>
    </row>
    <row r="699" spans="1:18" x14ac:dyDescent="0.3">
      <c r="A699" s="68" t="str">
        <f>"TOTAL SEM BDI - "&amp;B695</f>
        <v>TOTAL SEM BDI - COMPCH03</v>
      </c>
      <c r="B699" s="69"/>
      <c r="C699" s="69"/>
      <c r="D699" s="69"/>
      <c r="E699" s="69"/>
      <c r="F699" s="69"/>
      <c r="G699" s="69"/>
      <c r="H699" s="70"/>
      <c r="I699" s="71">
        <f>SUM(I695:I698)</f>
        <v>55.2</v>
      </c>
      <c r="J699" s="72"/>
    </row>
    <row r="700" spans="1:18" x14ac:dyDescent="0.3">
      <c r="A700" s="68" t="str">
        <f>"TAXA DE BDI ("&amp;TEXT(BDI,"00,00")&amp;" %)"</f>
        <v>TAXA DE BDI (24,84 %)</v>
      </c>
      <c r="B700" s="69"/>
      <c r="C700" s="69"/>
      <c r="D700" s="69"/>
      <c r="E700" s="69"/>
      <c r="F700" s="69"/>
      <c r="G700" s="69"/>
      <c r="H700" s="70"/>
      <c r="I700" s="71">
        <f>ROUND(I699*(BDI/100),2)</f>
        <v>13.71</v>
      </c>
      <c r="J700" s="72"/>
    </row>
    <row r="701" spans="1:18" x14ac:dyDescent="0.3">
      <c r="A701" s="68" t="str">
        <f>"TOTAL COM BDI - "&amp;B695</f>
        <v>TOTAL COM BDI - COMPCH03</v>
      </c>
      <c r="B701" s="69"/>
      <c r="C701" s="69"/>
      <c r="D701" s="69"/>
      <c r="E701" s="69"/>
      <c r="F701" s="69"/>
      <c r="G701" s="69"/>
      <c r="H701" s="70"/>
      <c r="I701" s="71">
        <f>SUM(I699:I700)</f>
        <v>68.91</v>
      </c>
      <c r="J701" s="72"/>
    </row>
    <row r="703" spans="1:18" x14ac:dyDescent="0.3">
      <c r="A703" s="4" t="s">
        <v>1018</v>
      </c>
      <c r="B703" s="4" t="s">
        <v>138</v>
      </c>
      <c r="C703" s="4" t="s">
        <v>139</v>
      </c>
      <c r="D703" s="4" t="s">
        <v>21</v>
      </c>
      <c r="E703" s="4" t="s">
        <v>140</v>
      </c>
      <c r="F703" s="4" t="s">
        <v>506</v>
      </c>
      <c r="G703" s="34" t="s">
        <v>1019</v>
      </c>
      <c r="H703" s="35"/>
      <c r="I703" s="34" t="s">
        <v>15</v>
      </c>
      <c r="J703" s="35"/>
    </row>
    <row r="704" spans="1:18" ht="45" customHeight="1" x14ac:dyDescent="0.3">
      <c r="A704" s="15" t="s">
        <v>1031</v>
      </c>
      <c r="B704" s="15" t="s">
        <v>666</v>
      </c>
      <c r="C704" s="15" t="str">
        <f>VLOOKUP(B704,S!$A:$G,2,FALSE)</f>
        <v>PRÓPRIA</v>
      </c>
      <c r="D704" s="22" t="str">
        <f>VLOOKUP(B704,S!$A:$G,3,FALSE)</f>
        <v>TUBO DE AÇO GALVANIZADO COM COSTURA 1" (25MM), INCLUSIVE CONEXOES - FORNECIMENTO E INSTALAÇÃO</v>
      </c>
      <c r="E704" s="15" t="str">
        <f>VLOOKUP(B704,S!$A:$G,4,FALSE)</f>
        <v>M</v>
      </c>
      <c r="F704" s="15"/>
      <c r="G704" s="73">
        <f>I709</f>
        <v>46.050000000000004</v>
      </c>
      <c r="H704" s="74"/>
      <c r="I704" s="73"/>
      <c r="J704" s="74"/>
      <c r="K704" s="16">
        <f>VLOOKUP(B704,S!A:G,5,FALSE)</f>
        <v>0</v>
      </c>
      <c r="L704" s="15" t="s">
        <v>1021</v>
      </c>
    </row>
    <row r="705" spans="1:18" ht="30" customHeight="1" x14ac:dyDescent="0.3">
      <c r="A705" s="23" t="s">
        <v>1025</v>
      </c>
      <c r="B705" s="23">
        <v>3146</v>
      </c>
      <c r="C705" s="23" t="str">
        <f>VLOOKUP(B705,IF(A705="COMPOSICAO",S!$A:$E,I!$A:$E),2,FALSE)</f>
        <v>SINAPI</v>
      </c>
      <c r="D705" s="24" t="str">
        <f>VLOOKUP(B705,IF(A705="COMPOSICAO",S!$A:$E,I!$A:$E),3,FALSE)</f>
        <v>FITA VEDA ROSCA, EM PTFE, ROLO DE 18 MM X 10 M (L X C)</v>
      </c>
      <c r="E705" s="23" t="str">
        <f>VLOOKUP(B705,IF(A705="COMPOSICAO",S!$A:$E,I!$A:$E),4,FALSE)</f>
        <v>UN</v>
      </c>
      <c r="F705" s="23">
        <v>0.06</v>
      </c>
      <c r="G705" s="71">
        <f>IF(A705="COMPOSICAO",VLOOKUP("TOTAL SEM BDI - "&amp;B705,CPUAUX1!$A:$J,9,FALSE),VLOOKUP(B705,I!$A:$E,5,FALSE))</f>
        <v>4.1399999999999997</v>
      </c>
      <c r="H705" s="72"/>
      <c r="I705" s="71">
        <f>TRUNC(F705*G705,2)</f>
        <v>0.24</v>
      </c>
      <c r="J705" s="72"/>
      <c r="M705" s="23">
        <f>B705</f>
        <v>3146</v>
      </c>
      <c r="N705" s="5">
        <f>SUMIF(ORCAMENTO!B:B,B704,ORCAMENTO!F:F)</f>
        <v>15</v>
      </c>
      <c r="O705" s="23">
        <f>F705*N705</f>
        <v>0.89999999999999991</v>
      </c>
      <c r="Q705" s="23">
        <f ca="1">IFERROR(SUMIF(CO!B:B,B704,OFFSET(CO!F:F,0,(4+MATCH(ETAPA,CO!$J$6:$P$6,0)))),0)</f>
        <v>6</v>
      </c>
      <c r="R705" s="23">
        <f ca="1">F705*Q705</f>
        <v>0.36</v>
      </c>
    </row>
    <row r="706" spans="1:18" ht="45" customHeight="1" x14ac:dyDescent="0.3">
      <c r="A706" s="23" t="s">
        <v>1025</v>
      </c>
      <c r="B706" s="23">
        <v>21010</v>
      </c>
      <c r="C706" s="23" t="str">
        <f>VLOOKUP(B706,IF(A706="COMPOSICAO",S!$A:$E,I!$A:$E),2,FALSE)</f>
        <v>SINAPI</v>
      </c>
      <c r="D706" s="24" t="str">
        <f>VLOOKUP(B706,IF(A706="COMPOSICAO",S!$A:$E,I!$A:$E),3,FALSE)</f>
        <v>TUBO ACO GALVANIZADO COM COSTURA, CLASSE LEVE, DN 25 MM (1"), E = 2,65 MM, *2,11* KG/M (NBR 5580)</v>
      </c>
      <c r="E706" s="23" t="str">
        <f>VLOOKUP(B706,IF(A706="COMPOSICAO",S!$A:$E,I!$A:$E),4,FALSE)</f>
        <v>M</v>
      </c>
      <c r="F706" s="23">
        <v>1.0389999999999999</v>
      </c>
      <c r="G706" s="71">
        <f>IF(A706="COMPOSICAO",VLOOKUP("TOTAL SEM BDI - "&amp;B706,CPUAUX1!$A:$J,9,FALSE),VLOOKUP(B706,I!$A:$E,5,FALSE))</f>
        <v>31.97</v>
      </c>
      <c r="H706" s="72"/>
      <c r="I706" s="71">
        <f>TRUNC(F706*G706,2)</f>
        <v>33.21</v>
      </c>
      <c r="J706" s="72"/>
      <c r="M706" s="23">
        <f>B706</f>
        <v>21010</v>
      </c>
      <c r="N706" s="5">
        <f>SUMIF(ORCAMENTO!B:B,B704,ORCAMENTO!F:F)</f>
        <v>15</v>
      </c>
      <c r="O706" s="23">
        <f>F706*N706</f>
        <v>15.584999999999999</v>
      </c>
      <c r="Q706" s="23">
        <f ca="1">IFERROR(SUMIF(CO!B:B,B704,OFFSET(CO!F:F,0,(4+MATCH(ETAPA,CO!$J$6:$P$6,0)))),0)</f>
        <v>6</v>
      </c>
      <c r="R706" s="23">
        <f ca="1">F706*Q706</f>
        <v>6.234</v>
      </c>
    </row>
    <row r="707" spans="1:18" ht="30" customHeight="1" x14ac:dyDescent="0.3">
      <c r="A707" s="23" t="s">
        <v>1022</v>
      </c>
      <c r="B707" s="23">
        <v>88248</v>
      </c>
      <c r="C707" s="23" t="str">
        <f>VLOOKUP(B707,IF(A707="COMPOSICAO",S!$A:$E,I!$A:$E),2,FALSE)</f>
        <v>SINAPI</v>
      </c>
      <c r="D707" s="24" t="str">
        <f>VLOOKUP(B707,IF(A707="COMPOSICAO",S!$A:$E,I!$A:$E),3,FALSE)</f>
        <v>AUXILIAR DE ENCANADOR OU BOMBEIRO HIDRÁULICO COM ENCARGOS COMPLEMENTARES</v>
      </c>
      <c r="E707" s="23" t="str">
        <f>VLOOKUP(B707,IF(A707="COMPOSICAO",S!$A:$E,I!$A:$E),4,FALSE)</f>
        <v>H</v>
      </c>
      <c r="F707" s="23">
        <f>0.26/pcf</f>
        <v>0.26</v>
      </c>
      <c r="G707" s="71">
        <f>IF(A707="COMPOSICAO",VLOOKUP("TOTAL SEM BDI - "&amp;B707,CPUAUX1!$A:$J,9,FALSE),VLOOKUP(B707,I!$A:$E,5,FALSE))</f>
        <v>21.82</v>
      </c>
      <c r="H707" s="72"/>
      <c r="I707" s="71">
        <f>TRUNC(F707*G707,2)</f>
        <v>5.67</v>
      </c>
      <c r="J707" s="72"/>
      <c r="M707" s="23">
        <f>B707</f>
        <v>88248</v>
      </c>
      <c r="N707" s="5">
        <f>SUMIF(ORCAMENTO!B:B,B704,ORCAMENTO!F:F)</f>
        <v>15</v>
      </c>
      <c r="O707" s="23">
        <f>F707*N707</f>
        <v>3.9000000000000004</v>
      </c>
      <c r="Q707" s="23">
        <f ca="1">IFERROR(SUMIF(CO!B:B,B704,OFFSET(CO!F:F,0,(4+MATCH(ETAPA,CO!$J$6:$P$6,0)))),0)</f>
        <v>6</v>
      </c>
      <c r="R707" s="23">
        <f ca="1">F707*Q707</f>
        <v>1.56</v>
      </c>
    </row>
    <row r="708" spans="1:18" ht="30" customHeight="1" x14ac:dyDescent="0.3">
      <c r="A708" s="23" t="s">
        <v>1022</v>
      </c>
      <c r="B708" s="23">
        <v>88267</v>
      </c>
      <c r="C708" s="23" t="str">
        <f>VLOOKUP(B708,IF(A708="COMPOSICAO",S!$A:$E,I!$A:$E),2,FALSE)</f>
        <v>SINAPI</v>
      </c>
      <c r="D708" s="24" t="str">
        <f>VLOOKUP(B708,IF(A708="COMPOSICAO",S!$A:$E,I!$A:$E),3,FALSE)</f>
        <v>ENCANADOR OU BOMBEIRO HIDRÁULICO COM ENCARGOS COMPLEMENTARES</v>
      </c>
      <c r="E708" s="23" t="str">
        <f>VLOOKUP(B708,IF(A708="COMPOSICAO",S!$A:$E,I!$A:$E),4,FALSE)</f>
        <v>H</v>
      </c>
      <c r="F708" s="23">
        <f>0.26/pcf</f>
        <v>0.26</v>
      </c>
      <c r="G708" s="71">
        <f>IF(A708="COMPOSICAO",VLOOKUP("TOTAL SEM BDI - "&amp;B708,CPUAUX1!$A:$J,9,FALSE),VLOOKUP(B708,I!$A:$E,5,FALSE))</f>
        <v>26.669999999999998</v>
      </c>
      <c r="H708" s="72"/>
      <c r="I708" s="71">
        <f>TRUNC(F708*G708,2)</f>
        <v>6.93</v>
      </c>
      <c r="J708" s="72"/>
      <c r="M708" s="23">
        <f>B708</f>
        <v>88267</v>
      </c>
      <c r="N708" s="5">
        <f>SUMIF(ORCAMENTO!B:B,B704,ORCAMENTO!F:F)</f>
        <v>15</v>
      </c>
      <c r="O708" s="23">
        <f>F708*N708</f>
        <v>3.9000000000000004</v>
      </c>
      <c r="Q708" s="23">
        <f ca="1">IFERROR(SUMIF(CO!B:B,B704,OFFSET(CO!F:F,0,(4+MATCH(ETAPA,CO!$J$6:$P$6,0)))),0)</f>
        <v>6</v>
      </c>
      <c r="R708" s="23">
        <f ca="1">F708*Q708</f>
        <v>1.56</v>
      </c>
    </row>
    <row r="709" spans="1:18" x14ac:dyDescent="0.3">
      <c r="A709" s="68" t="str">
        <f>"TOTAL SEM BDI - "&amp;B704</f>
        <v>TOTAL SEM BDI - COMPCH04</v>
      </c>
      <c r="B709" s="69"/>
      <c r="C709" s="69"/>
      <c r="D709" s="69"/>
      <c r="E709" s="69"/>
      <c r="F709" s="69"/>
      <c r="G709" s="69"/>
      <c r="H709" s="70"/>
      <c r="I709" s="71">
        <f>SUM(I704:I708)</f>
        <v>46.050000000000004</v>
      </c>
      <c r="J709" s="72"/>
    </row>
    <row r="710" spans="1:18" x14ac:dyDescent="0.3">
      <c r="A710" s="68" t="str">
        <f>"TAXA DE BDI ("&amp;TEXT(BDI,"00,00")&amp;" %)"</f>
        <v>TAXA DE BDI (24,84 %)</v>
      </c>
      <c r="B710" s="69"/>
      <c r="C710" s="69"/>
      <c r="D710" s="69"/>
      <c r="E710" s="69"/>
      <c r="F710" s="69"/>
      <c r="G710" s="69"/>
      <c r="H710" s="70"/>
      <c r="I710" s="71">
        <f>ROUND(I709*(BDI/100),2)</f>
        <v>11.44</v>
      </c>
      <c r="J710" s="72"/>
    </row>
    <row r="711" spans="1:18" x14ac:dyDescent="0.3">
      <c r="A711" s="68" t="str">
        <f>"TOTAL COM BDI - "&amp;B704</f>
        <v>TOTAL COM BDI - COMPCH04</v>
      </c>
      <c r="B711" s="69"/>
      <c r="C711" s="69"/>
      <c r="D711" s="69"/>
      <c r="E711" s="69"/>
      <c r="F711" s="69"/>
      <c r="G711" s="69"/>
      <c r="H711" s="70"/>
      <c r="I711" s="71">
        <f>SUM(I709:I710)</f>
        <v>57.49</v>
      </c>
      <c r="J711" s="72"/>
    </row>
    <row r="713" spans="1:18" x14ac:dyDescent="0.3">
      <c r="A713" s="4" t="s">
        <v>1018</v>
      </c>
      <c r="B713" s="4" t="s">
        <v>138</v>
      </c>
      <c r="C713" s="4" t="s">
        <v>139</v>
      </c>
      <c r="D713" s="4" t="s">
        <v>21</v>
      </c>
      <c r="E713" s="4" t="s">
        <v>140</v>
      </c>
      <c r="F713" s="4" t="s">
        <v>506</v>
      </c>
      <c r="G713" s="34" t="s">
        <v>1019</v>
      </c>
      <c r="H713" s="35"/>
      <c r="I713" s="34" t="s">
        <v>15</v>
      </c>
      <c r="J713" s="35"/>
    </row>
    <row r="714" spans="1:18" ht="45" customHeight="1" x14ac:dyDescent="0.3">
      <c r="A714" s="15" t="s">
        <v>1031</v>
      </c>
      <c r="B714" s="15" t="s">
        <v>668</v>
      </c>
      <c r="C714" s="15" t="str">
        <f>VLOOKUP(B714,S!$A:$G,2,FALSE)</f>
        <v>PRÓPRIA</v>
      </c>
      <c r="D714" s="22" t="str">
        <f>VLOOKUP(B714,S!$A:$G,3,FALSE)</f>
        <v>BUCHA DE REDUCAO DE FERRO GALVANIZADO, COM ROSCA BSP, DE 1 1/2" X 1"- FORNECIMENTO E INSTALAÇÃO</v>
      </c>
      <c r="E714" s="15" t="str">
        <f>VLOOKUP(B714,S!$A:$G,4,FALSE)</f>
        <v>UN</v>
      </c>
      <c r="F714" s="15"/>
      <c r="G714" s="73">
        <f>I719</f>
        <v>37.659999999999997</v>
      </c>
      <c r="H714" s="74"/>
      <c r="I714" s="73"/>
      <c r="J714" s="74"/>
      <c r="K714" s="16">
        <f>VLOOKUP(B714,S!A:G,5,FALSE)</f>
        <v>0</v>
      </c>
      <c r="L714" s="15" t="s">
        <v>1021</v>
      </c>
    </row>
    <row r="715" spans="1:18" ht="30" customHeight="1" x14ac:dyDescent="0.3">
      <c r="A715" s="23" t="s">
        <v>1025</v>
      </c>
      <c r="B715" s="23">
        <v>3146</v>
      </c>
      <c r="C715" s="23" t="str">
        <f>VLOOKUP(B715,IF(A715="COMPOSICAO",S!$A:$E,I!$A:$E),2,FALSE)</f>
        <v>SINAPI</v>
      </c>
      <c r="D715" s="24" t="str">
        <f>VLOOKUP(B715,IF(A715="COMPOSICAO",S!$A:$E,I!$A:$E),3,FALSE)</f>
        <v>FITA VEDA ROSCA, EM PTFE, ROLO DE 18 MM X 10 M (L X C)</v>
      </c>
      <c r="E715" s="23" t="str">
        <f>VLOOKUP(B715,IF(A715="COMPOSICAO",S!$A:$E,I!$A:$E),4,FALSE)</f>
        <v>UN</v>
      </c>
      <c r="F715" s="23">
        <v>0.129</v>
      </c>
      <c r="G715" s="71">
        <f>IF(A715="COMPOSICAO",VLOOKUP("TOTAL SEM BDI - "&amp;B715,CPUAUX1!$A:$J,9,FALSE),VLOOKUP(B715,I!$A:$E,5,FALSE))</f>
        <v>4.1399999999999997</v>
      </c>
      <c r="H715" s="72"/>
      <c r="I715" s="71">
        <f>TRUNC(F715*G715,2)</f>
        <v>0.53</v>
      </c>
      <c r="J715" s="72"/>
      <c r="M715" s="23">
        <f>B715</f>
        <v>3146</v>
      </c>
      <c r="N715" s="5">
        <f>SUMIF(ORCAMENTO!B:B,B714,ORCAMENTO!F:F)</f>
        <v>5</v>
      </c>
      <c r="O715" s="23">
        <f>F715*N715</f>
        <v>0.64500000000000002</v>
      </c>
      <c r="Q715" s="23">
        <f ca="1">IFERROR(SUMIF(CO!B:B,B714,OFFSET(CO!F:F,0,(4+MATCH(ETAPA,CO!$J$6:$P$6,0)))),0)</f>
        <v>2</v>
      </c>
      <c r="R715" s="23">
        <f ca="1">F715*Q715</f>
        <v>0.25800000000000001</v>
      </c>
    </row>
    <row r="716" spans="1:18" ht="30" customHeight="1" x14ac:dyDescent="0.3">
      <c r="A716" s="23" t="s">
        <v>1025</v>
      </c>
      <c r="B716" s="23">
        <v>791</v>
      </c>
      <c r="C716" s="23" t="str">
        <f>VLOOKUP(B716,IF(A716="COMPOSICAO",S!$A:$E,I!$A:$E),2,FALSE)</f>
        <v>SINAPI</v>
      </c>
      <c r="D716" s="24" t="str">
        <f>VLOOKUP(B716,IF(A716="COMPOSICAO",S!$A:$E,I!$A:$E),3,FALSE)</f>
        <v>BUCHA DE REDUCAO DE FERRO GALVANIZADO, COM ROSCA BSP, DE 1 1/2" X 1"</v>
      </c>
      <c r="E716" s="23" t="str">
        <f>VLOOKUP(B716,IF(A716="COMPOSICAO",S!$A:$E,I!$A:$E),4,FALSE)</f>
        <v>UN</v>
      </c>
      <c r="F716" s="23">
        <v>1</v>
      </c>
      <c r="G716" s="71">
        <f>IF(A716="COMPOSICAO",VLOOKUP("TOTAL SEM BDI - "&amp;B716,CPUAUX1!$A:$J,9,FALSE),VLOOKUP(B716,I!$A:$E,5,FALSE))</f>
        <v>17.75</v>
      </c>
      <c r="H716" s="72"/>
      <c r="I716" s="71">
        <f>TRUNC(F716*G716,2)</f>
        <v>17.75</v>
      </c>
      <c r="J716" s="72"/>
      <c r="M716" s="23">
        <f>B716</f>
        <v>791</v>
      </c>
      <c r="N716" s="5">
        <f>SUMIF(ORCAMENTO!B:B,B714,ORCAMENTO!F:F)</f>
        <v>5</v>
      </c>
      <c r="O716" s="23">
        <f>F716*N716</f>
        <v>5</v>
      </c>
      <c r="Q716" s="23">
        <f ca="1">IFERROR(SUMIF(CO!B:B,B714,OFFSET(CO!F:F,0,(4+MATCH(ETAPA,CO!$J$6:$P$6,0)))),0)</f>
        <v>2</v>
      </c>
      <c r="R716" s="23">
        <f ca="1">F716*Q716</f>
        <v>2</v>
      </c>
    </row>
    <row r="717" spans="1:18" ht="30" customHeight="1" x14ac:dyDescent="0.3">
      <c r="A717" s="23" t="s">
        <v>1022</v>
      </c>
      <c r="B717" s="23">
        <v>88248</v>
      </c>
      <c r="C717" s="23" t="str">
        <f>VLOOKUP(B717,IF(A717="COMPOSICAO",S!$A:$E,I!$A:$E),2,FALSE)</f>
        <v>SINAPI</v>
      </c>
      <c r="D717" s="24" t="str">
        <f>VLOOKUP(B717,IF(A717="COMPOSICAO",S!$A:$E,I!$A:$E),3,FALSE)</f>
        <v>AUXILIAR DE ENCANADOR OU BOMBEIRO HIDRÁULICO COM ENCARGOS COMPLEMENTARES</v>
      </c>
      <c r="E717" s="23" t="str">
        <f>VLOOKUP(B717,IF(A717="COMPOSICAO",S!$A:$E,I!$A:$E),4,FALSE)</f>
        <v>H</v>
      </c>
      <c r="F717" s="23">
        <f>0.4/pcf</f>
        <v>0.4</v>
      </c>
      <c r="G717" s="71">
        <f>IF(A717="COMPOSICAO",VLOOKUP("TOTAL SEM BDI - "&amp;B717,CPUAUX1!$A:$J,9,FALSE),VLOOKUP(B717,I!$A:$E,5,FALSE))</f>
        <v>21.82</v>
      </c>
      <c r="H717" s="72"/>
      <c r="I717" s="71">
        <f>TRUNC(F717*G717,2)</f>
        <v>8.7200000000000006</v>
      </c>
      <c r="J717" s="72"/>
      <c r="M717" s="23">
        <f>B717</f>
        <v>88248</v>
      </c>
      <c r="N717" s="5">
        <f>SUMIF(ORCAMENTO!B:B,B714,ORCAMENTO!F:F)</f>
        <v>5</v>
      </c>
      <c r="O717" s="23">
        <f>F717*N717</f>
        <v>2</v>
      </c>
      <c r="Q717" s="23">
        <f ca="1">IFERROR(SUMIF(CO!B:B,B714,OFFSET(CO!F:F,0,(4+MATCH(ETAPA,CO!$J$6:$P$6,0)))),0)</f>
        <v>2</v>
      </c>
      <c r="R717" s="23">
        <f ca="1">F717*Q717</f>
        <v>0.8</v>
      </c>
    </row>
    <row r="718" spans="1:18" ht="30" customHeight="1" x14ac:dyDescent="0.3">
      <c r="A718" s="23" t="s">
        <v>1022</v>
      </c>
      <c r="B718" s="23">
        <v>88267</v>
      </c>
      <c r="C718" s="23" t="str">
        <f>VLOOKUP(B718,IF(A718="COMPOSICAO",S!$A:$E,I!$A:$E),2,FALSE)</f>
        <v>SINAPI</v>
      </c>
      <c r="D718" s="24" t="str">
        <f>VLOOKUP(B718,IF(A718="COMPOSICAO",S!$A:$E,I!$A:$E),3,FALSE)</f>
        <v>ENCANADOR OU BOMBEIRO HIDRÁULICO COM ENCARGOS COMPLEMENTARES</v>
      </c>
      <c r="E718" s="23" t="str">
        <f>VLOOKUP(B718,IF(A718="COMPOSICAO",S!$A:$E,I!$A:$E),4,FALSE)</f>
        <v>H</v>
      </c>
      <c r="F718" s="23">
        <f>0.4/pcf</f>
        <v>0.4</v>
      </c>
      <c r="G718" s="71">
        <f>IF(A718="COMPOSICAO",VLOOKUP("TOTAL SEM BDI - "&amp;B718,CPUAUX1!$A:$J,9,FALSE),VLOOKUP(B718,I!$A:$E,5,FALSE))</f>
        <v>26.669999999999998</v>
      </c>
      <c r="H718" s="72"/>
      <c r="I718" s="71">
        <f>TRUNC(F718*G718,2)</f>
        <v>10.66</v>
      </c>
      <c r="J718" s="72"/>
      <c r="M718" s="23">
        <f>B718</f>
        <v>88267</v>
      </c>
      <c r="N718" s="5">
        <f>SUMIF(ORCAMENTO!B:B,B714,ORCAMENTO!F:F)</f>
        <v>5</v>
      </c>
      <c r="O718" s="23">
        <f>F718*N718</f>
        <v>2</v>
      </c>
      <c r="Q718" s="23">
        <f ca="1">IFERROR(SUMIF(CO!B:B,B714,OFFSET(CO!F:F,0,(4+MATCH(ETAPA,CO!$J$6:$P$6,0)))),0)</f>
        <v>2</v>
      </c>
      <c r="R718" s="23">
        <f ca="1">F718*Q718</f>
        <v>0.8</v>
      </c>
    </row>
    <row r="719" spans="1:18" x14ac:dyDescent="0.3">
      <c r="A719" s="68" t="str">
        <f>"TOTAL SEM BDI - "&amp;B714</f>
        <v>TOTAL SEM BDI - COMPCH05</v>
      </c>
      <c r="B719" s="69"/>
      <c r="C719" s="69"/>
      <c r="D719" s="69"/>
      <c r="E719" s="69"/>
      <c r="F719" s="69"/>
      <c r="G719" s="69"/>
      <c r="H719" s="70"/>
      <c r="I719" s="71">
        <f>SUM(I714:I718)</f>
        <v>37.659999999999997</v>
      </c>
      <c r="J719" s="72"/>
    </row>
    <row r="720" spans="1:18" x14ac:dyDescent="0.3">
      <c r="A720" s="68" t="str">
        <f>"TAXA DE BDI ("&amp;TEXT(BDI,"00,00")&amp;" %)"</f>
        <v>TAXA DE BDI (24,84 %)</v>
      </c>
      <c r="B720" s="69"/>
      <c r="C720" s="69"/>
      <c r="D720" s="69"/>
      <c r="E720" s="69"/>
      <c r="F720" s="69"/>
      <c r="G720" s="69"/>
      <c r="H720" s="70"/>
      <c r="I720" s="71">
        <f>ROUND(I719*(BDI/100),2)</f>
        <v>9.35</v>
      </c>
      <c r="J720" s="72"/>
    </row>
    <row r="721" spans="1:18" x14ac:dyDescent="0.3">
      <c r="A721" s="68" t="str">
        <f>"TOTAL COM BDI - "&amp;B714</f>
        <v>TOTAL COM BDI - COMPCH05</v>
      </c>
      <c r="B721" s="69"/>
      <c r="C721" s="69"/>
      <c r="D721" s="69"/>
      <c r="E721" s="69"/>
      <c r="F721" s="69"/>
      <c r="G721" s="69"/>
      <c r="H721" s="70"/>
      <c r="I721" s="71">
        <f>SUM(I719:I720)</f>
        <v>47.01</v>
      </c>
      <c r="J721" s="72"/>
    </row>
    <row r="723" spans="1:18" x14ac:dyDescent="0.3">
      <c r="A723" s="4" t="s">
        <v>1018</v>
      </c>
      <c r="B723" s="4" t="s">
        <v>138</v>
      </c>
      <c r="C723" s="4" t="s">
        <v>139</v>
      </c>
      <c r="D723" s="4" t="s">
        <v>21</v>
      </c>
      <c r="E723" s="4" t="s">
        <v>140</v>
      </c>
      <c r="F723" s="4" t="s">
        <v>506</v>
      </c>
      <c r="G723" s="34" t="s">
        <v>1019</v>
      </c>
      <c r="H723" s="35"/>
      <c r="I723" s="34" t="s">
        <v>15</v>
      </c>
      <c r="J723" s="35"/>
    </row>
    <row r="724" spans="1:18" ht="60" customHeight="1" x14ac:dyDescent="0.3">
      <c r="A724" s="15" t="s">
        <v>1031</v>
      </c>
      <c r="B724" s="15" t="s">
        <v>671</v>
      </c>
      <c r="C724" s="15" t="str">
        <f>VLOOKUP(B724,S!$A:$G,2,FALSE)</f>
        <v>PRÓPRIA</v>
      </c>
      <c r="D724" s="22" t="str">
        <f>VLOOKUP(B724,S!$A:$G,3,FALSE)</f>
        <v>ADAPTADOR CURTO COM BOLSA E ROSCA PARA REGISTRO, PVC, SOLDÁVEL, DN 40MM X 1.1/2, INSTALADO EM PRUMADA DE ÁGUA - FORNECIMENTO E INSTALAÇÃO</v>
      </c>
      <c r="E724" s="15" t="str">
        <f>VLOOKUP(B724,S!$A:$G,4,FALSE)</f>
        <v>UN</v>
      </c>
      <c r="F724" s="15"/>
      <c r="G724" s="73">
        <f>I731</f>
        <v>11.16</v>
      </c>
      <c r="H724" s="74"/>
      <c r="I724" s="73"/>
      <c r="J724" s="74"/>
      <c r="K724" s="16">
        <f>VLOOKUP(B724,S!A:G,5,FALSE)</f>
        <v>0</v>
      </c>
      <c r="L724" s="15" t="s">
        <v>1021</v>
      </c>
    </row>
    <row r="725" spans="1:18" ht="30" customHeight="1" x14ac:dyDescent="0.3">
      <c r="A725" s="23" t="s">
        <v>1025</v>
      </c>
      <c r="B725" s="23">
        <v>110</v>
      </c>
      <c r="C725" s="23" t="str">
        <f>VLOOKUP(B725,IF(A725="COMPOSICAO",S!$A:$E,I!$A:$E),2,FALSE)</f>
        <v>SINAPI</v>
      </c>
      <c r="D725" s="24" t="str">
        <f>VLOOKUP(B725,IF(A725="COMPOSICAO",S!$A:$E,I!$A:$E),3,FALSE)</f>
        <v>ADAPTADOR PVC SOLDAVEL CURTO COM BOLSA E ROSCA, 40 MM X 1 1/2", PARA AGUA FRIA</v>
      </c>
      <c r="E725" s="23" t="str">
        <f>VLOOKUP(B725,IF(A725="COMPOSICAO",S!$A:$E,I!$A:$E),4,FALSE)</f>
        <v>UN</v>
      </c>
      <c r="F725" s="23">
        <v>1</v>
      </c>
      <c r="G725" s="71">
        <f>IF(A725="COMPOSICAO",VLOOKUP("TOTAL SEM BDI - "&amp;B725,CPUAUX1!$A:$J,9,FALSE),VLOOKUP(B725,I!$A:$E,5,FALSE))</f>
        <v>6.22</v>
      </c>
      <c r="H725" s="72"/>
      <c r="I725" s="71">
        <f t="shared" ref="I725:I730" si="56">TRUNC(F725*G725,2)</f>
        <v>6.22</v>
      </c>
      <c r="J725" s="72"/>
      <c r="M725" s="23">
        <f t="shared" ref="M725:M730" si="57">B725</f>
        <v>110</v>
      </c>
      <c r="N725" s="5">
        <f>SUMIF(ORCAMENTO!B:B,B724,ORCAMENTO!F:F)</f>
        <v>5</v>
      </c>
      <c r="O725" s="23">
        <f t="shared" ref="O725:O730" si="58">F725*N725</f>
        <v>5</v>
      </c>
      <c r="Q725" s="23">
        <f ca="1">IFERROR(SUMIF(CO!B:B,B724,OFFSET(CO!F:F,0,(4+MATCH(ETAPA,CO!$J$6:$P$6,0)))),0)</f>
        <v>2</v>
      </c>
      <c r="R725" s="23">
        <f t="shared" ref="R725:R730" ca="1" si="59">F725*Q725</f>
        <v>2</v>
      </c>
    </row>
    <row r="726" spans="1:18" ht="30" customHeight="1" x14ac:dyDescent="0.3">
      <c r="A726" s="23" t="s">
        <v>1025</v>
      </c>
      <c r="B726" s="23">
        <v>122</v>
      </c>
      <c r="C726" s="23" t="str">
        <f>VLOOKUP(B726,IF(A726="COMPOSICAO",S!$A:$E,I!$A:$E),2,FALSE)</f>
        <v>SINAPI</v>
      </c>
      <c r="D726" s="24" t="str">
        <f>VLOOKUP(B726,IF(A726="COMPOSICAO",S!$A:$E,I!$A:$E),3,FALSE)</f>
        <v>ADESIVO PLASTICO PARA PVC, FRASCO COM *850* GR</v>
      </c>
      <c r="E726" s="23" t="str">
        <f>VLOOKUP(B726,IF(A726="COMPOSICAO",S!$A:$E,I!$A:$E),4,FALSE)</f>
        <v>UN</v>
      </c>
      <c r="F726" s="23">
        <v>1.06E-2</v>
      </c>
      <c r="G726" s="71">
        <f>IF(A726="COMPOSICAO",VLOOKUP("TOTAL SEM BDI - "&amp;B726,CPUAUX1!$A:$J,9,FALSE),VLOOKUP(B726,I!$A:$E,5,FALSE))</f>
        <v>70.400000000000006</v>
      </c>
      <c r="H726" s="72"/>
      <c r="I726" s="71">
        <f t="shared" si="56"/>
        <v>0.74</v>
      </c>
      <c r="J726" s="72"/>
      <c r="M726" s="23">
        <f t="shared" si="57"/>
        <v>122</v>
      </c>
      <c r="N726" s="5">
        <f>SUMIF(ORCAMENTO!B:B,B724,ORCAMENTO!F:F)</f>
        <v>5</v>
      </c>
      <c r="O726" s="23">
        <f t="shared" si="58"/>
        <v>5.2999999999999999E-2</v>
      </c>
      <c r="Q726" s="23">
        <f ca="1">IFERROR(SUMIF(CO!B:B,B724,OFFSET(CO!F:F,0,(4+MATCH(ETAPA,CO!$J$6:$P$6,0)))),0)</f>
        <v>2</v>
      </c>
      <c r="R726" s="23">
        <f t="shared" ca="1" si="59"/>
        <v>2.12E-2</v>
      </c>
    </row>
    <row r="727" spans="1:18" ht="30" customHeight="1" x14ac:dyDescent="0.3">
      <c r="A727" s="23" t="s">
        <v>1025</v>
      </c>
      <c r="B727" s="23">
        <v>20083</v>
      </c>
      <c r="C727" s="23" t="str">
        <f>VLOOKUP(B727,IF(A727="COMPOSICAO",S!$A:$E,I!$A:$E),2,FALSE)</f>
        <v>SINAPI</v>
      </c>
      <c r="D727" s="24" t="str">
        <f>VLOOKUP(B727,IF(A727="COMPOSICAO",S!$A:$E,I!$A:$E),3,FALSE)</f>
        <v>SOLUCAO PREPARADORA / LIMPADORA PARA PVC, FRASCO COM 1000 CM3</v>
      </c>
      <c r="E727" s="23" t="str">
        <f>VLOOKUP(B727,IF(A727="COMPOSICAO",S!$A:$E,I!$A:$E),4,FALSE)</f>
        <v>UN</v>
      </c>
      <c r="F727" s="23">
        <v>1.2500000000000001E-2</v>
      </c>
      <c r="G727" s="71">
        <f>IF(A727="COMPOSICAO",VLOOKUP("TOTAL SEM BDI - "&amp;B727,CPUAUX1!$A:$J,9,FALSE),VLOOKUP(B727,I!$A:$E,5,FALSE))</f>
        <v>79.760000000000005</v>
      </c>
      <c r="H727" s="72"/>
      <c r="I727" s="71">
        <f t="shared" si="56"/>
        <v>0.99</v>
      </c>
      <c r="J727" s="72"/>
      <c r="M727" s="23">
        <f t="shared" si="57"/>
        <v>20083</v>
      </c>
      <c r="N727" s="5">
        <f>SUMIF(ORCAMENTO!B:B,B724,ORCAMENTO!F:F)</f>
        <v>5</v>
      </c>
      <c r="O727" s="23">
        <f t="shared" si="58"/>
        <v>6.25E-2</v>
      </c>
      <c r="Q727" s="23">
        <f ca="1">IFERROR(SUMIF(CO!B:B,B724,OFFSET(CO!F:F,0,(4+MATCH(ETAPA,CO!$J$6:$P$6,0)))),0)</f>
        <v>2</v>
      </c>
      <c r="R727" s="23">
        <f t="shared" ca="1" si="59"/>
        <v>2.5000000000000001E-2</v>
      </c>
    </row>
    <row r="728" spans="1:18" x14ac:dyDescent="0.3">
      <c r="A728" s="23" t="s">
        <v>1025</v>
      </c>
      <c r="B728" s="23">
        <v>38383</v>
      </c>
      <c r="C728" s="23" t="str">
        <f>VLOOKUP(B728,IF(A728="COMPOSICAO",S!$A:$E,I!$A:$E),2,FALSE)</f>
        <v>SINAPI</v>
      </c>
      <c r="D728" s="24" t="str">
        <f>VLOOKUP(B728,IF(A728="COMPOSICAO",S!$A:$E,I!$A:$E),3,FALSE)</f>
        <v>LIXA D'AGUA EM FOLHA, COR PRETA, GRAO 100</v>
      </c>
      <c r="E728" s="23" t="str">
        <f>VLOOKUP(B728,IF(A728="COMPOSICAO",S!$A:$E,I!$A:$E),4,FALSE)</f>
        <v>UN</v>
      </c>
      <c r="F728" s="23">
        <v>1.5699999999999999E-2</v>
      </c>
      <c r="G728" s="71">
        <f>IF(A728="COMPOSICAO",VLOOKUP("TOTAL SEM BDI - "&amp;B728,CPUAUX1!$A:$J,9,FALSE),VLOOKUP(B728,I!$A:$E,5,FALSE))</f>
        <v>2.15</v>
      </c>
      <c r="H728" s="72"/>
      <c r="I728" s="71">
        <f t="shared" si="56"/>
        <v>0.03</v>
      </c>
      <c r="J728" s="72"/>
      <c r="M728" s="23">
        <f t="shared" si="57"/>
        <v>38383</v>
      </c>
      <c r="N728" s="5">
        <f>SUMIF(ORCAMENTO!B:B,B724,ORCAMENTO!F:F)</f>
        <v>5</v>
      </c>
      <c r="O728" s="23">
        <f t="shared" si="58"/>
        <v>7.8499999999999986E-2</v>
      </c>
      <c r="Q728" s="23">
        <f ca="1">IFERROR(SUMIF(CO!B:B,B724,OFFSET(CO!F:F,0,(4+MATCH(ETAPA,CO!$J$6:$P$6,0)))),0)</f>
        <v>2</v>
      </c>
      <c r="R728" s="23">
        <f t="shared" ca="1" si="59"/>
        <v>3.1399999999999997E-2</v>
      </c>
    </row>
    <row r="729" spans="1:18" ht="30" customHeight="1" x14ac:dyDescent="0.3">
      <c r="A729" s="23" t="s">
        <v>1022</v>
      </c>
      <c r="B729" s="23">
        <v>88248</v>
      </c>
      <c r="C729" s="23" t="str">
        <f>VLOOKUP(B729,IF(A729="COMPOSICAO",S!$A:$E,I!$A:$E),2,FALSE)</f>
        <v>SINAPI</v>
      </c>
      <c r="D729" s="24" t="str">
        <f>VLOOKUP(B729,IF(A729="COMPOSICAO",S!$A:$E,I!$A:$E),3,FALSE)</f>
        <v>AUXILIAR DE ENCANADOR OU BOMBEIRO HIDRÁULICO COM ENCARGOS COMPLEMENTARES</v>
      </c>
      <c r="E729" s="23" t="str">
        <f>VLOOKUP(B729,IF(A729="COMPOSICAO",S!$A:$E,I!$A:$E),4,FALSE)</f>
        <v>H</v>
      </c>
      <c r="F729" s="23">
        <f>0.0659/pcf</f>
        <v>6.59E-2</v>
      </c>
      <c r="G729" s="71">
        <f>IF(A729="COMPOSICAO",VLOOKUP("TOTAL SEM BDI - "&amp;B729,CPUAUX1!$A:$J,9,FALSE),VLOOKUP(B729,I!$A:$E,5,FALSE))</f>
        <v>21.82</v>
      </c>
      <c r="H729" s="72"/>
      <c r="I729" s="71">
        <f t="shared" si="56"/>
        <v>1.43</v>
      </c>
      <c r="J729" s="72"/>
      <c r="M729" s="23">
        <f t="shared" si="57"/>
        <v>88248</v>
      </c>
      <c r="N729" s="5">
        <f>SUMIF(ORCAMENTO!B:B,B724,ORCAMENTO!F:F)</f>
        <v>5</v>
      </c>
      <c r="O729" s="23">
        <f t="shared" si="58"/>
        <v>0.32950000000000002</v>
      </c>
      <c r="Q729" s="23">
        <f ca="1">IFERROR(SUMIF(CO!B:B,B724,OFFSET(CO!F:F,0,(4+MATCH(ETAPA,CO!$J$6:$P$6,0)))),0)</f>
        <v>2</v>
      </c>
      <c r="R729" s="23">
        <f t="shared" ca="1" si="59"/>
        <v>0.1318</v>
      </c>
    </row>
    <row r="730" spans="1:18" ht="30" customHeight="1" x14ac:dyDescent="0.3">
      <c r="A730" s="23" t="s">
        <v>1022</v>
      </c>
      <c r="B730" s="23">
        <v>88267</v>
      </c>
      <c r="C730" s="23" t="str">
        <f>VLOOKUP(B730,IF(A730="COMPOSICAO",S!$A:$E,I!$A:$E),2,FALSE)</f>
        <v>SINAPI</v>
      </c>
      <c r="D730" s="24" t="str">
        <f>VLOOKUP(B730,IF(A730="COMPOSICAO",S!$A:$E,I!$A:$E),3,FALSE)</f>
        <v>ENCANADOR OU BOMBEIRO HIDRÁULICO COM ENCARGOS COMPLEMENTARES</v>
      </c>
      <c r="E730" s="23" t="str">
        <f>VLOOKUP(B730,IF(A730="COMPOSICAO",S!$A:$E,I!$A:$E),4,FALSE)</f>
        <v>H</v>
      </c>
      <c r="F730" s="23">
        <f>0.0659/pcf</f>
        <v>6.59E-2</v>
      </c>
      <c r="G730" s="71">
        <f>IF(A730="COMPOSICAO",VLOOKUP("TOTAL SEM BDI - "&amp;B730,CPUAUX1!$A:$J,9,FALSE),VLOOKUP(B730,I!$A:$E,5,FALSE))</f>
        <v>26.669999999999998</v>
      </c>
      <c r="H730" s="72"/>
      <c r="I730" s="71">
        <f t="shared" si="56"/>
        <v>1.75</v>
      </c>
      <c r="J730" s="72"/>
      <c r="M730" s="23">
        <f t="shared" si="57"/>
        <v>88267</v>
      </c>
      <c r="N730" s="5">
        <f>SUMIF(ORCAMENTO!B:B,B724,ORCAMENTO!F:F)</f>
        <v>5</v>
      </c>
      <c r="O730" s="23">
        <f t="shared" si="58"/>
        <v>0.32950000000000002</v>
      </c>
      <c r="Q730" s="23">
        <f ca="1">IFERROR(SUMIF(CO!B:B,B724,OFFSET(CO!F:F,0,(4+MATCH(ETAPA,CO!$J$6:$P$6,0)))),0)</f>
        <v>2</v>
      </c>
      <c r="R730" s="23">
        <f t="shared" ca="1" si="59"/>
        <v>0.1318</v>
      </c>
    </row>
    <row r="731" spans="1:18" x14ac:dyDescent="0.3">
      <c r="A731" s="68" t="str">
        <f>"TOTAL SEM BDI - "&amp;B724</f>
        <v>TOTAL SEM BDI - COMPCH07</v>
      </c>
      <c r="B731" s="69"/>
      <c r="C731" s="69"/>
      <c r="D731" s="69"/>
      <c r="E731" s="69"/>
      <c r="F731" s="69"/>
      <c r="G731" s="69"/>
      <c r="H731" s="70"/>
      <c r="I731" s="71">
        <f>SUM(I724:I730)</f>
        <v>11.16</v>
      </c>
      <c r="J731" s="72"/>
    </row>
    <row r="732" spans="1:18" x14ac:dyDescent="0.3">
      <c r="A732" s="68" t="str">
        <f>"TAXA DE BDI ("&amp;TEXT(BDI,"00,00")&amp;" %)"</f>
        <v>TAXA DE BDI (24,84 %)</v>
      </c>
      <c r="B732" s="69"/>
      <c r="C732" s="69"/>
      <c r="D732" s="69"/>
      <c r="E732" s="69"/>
      <c r="F732" s="69"/>
      <c r="G732" s="69"/>
      <c r="H732" s="70"/>
      <c r="I732" s="71">
        <f>ROUND(I731*(BDI/100),2)</f>
        <v>2.77</v>
      </c>
      <c r="J732" s="72"/>
    </row>
    <row r="733" spans="1:18" x14ac:dyDescent="0.3">
      <c r="A733" s="68" t="str">
        <f>"TOTAL COM BDI - "&amp;B724</f>
        <v>TOTAL COM BDI - COMPCH07</v>
      </c>
      <c r="B733" s="69"/>
      <c r="C733" s="69"/>
      <c r="D733" s="69"/>
      <c r="E733" s="69"/>
      <c r="F733" s="69"/>
      <c r="G733" s="69"/>
      <c r="H733" s="70"/>
      <c r="I733" s="71">
        <f>SUM(I731:I732)</f>
        <v>13.93</v>
      </c>
      <c r="J733" s="72"/>
    </row>
  </sheetData>
  <mergeCells count="1327">
    <mergeCell ref="G7:H7"/>
    <mergeCell ref="I7:J7"/>
    <mergeCell ref="G8:H8"/>
    <mergeCell ref="I8:J8"/>
    <mergeCell ref="G9:H9"/>
    <mergeCell ref="I9:J9"/>
    <mergeCell ref="A1:J1"/>
    <mergeCell ref="A2:J2"/>
    <mergeCell ref="A3:J3"/>
    <mergeCell ref="N4:P4"/>
    <mergeCell ref="Q4:S4"/>
    <mergeCell ref="G6:H6"/>
    <mergeCell ref="I6:J6"/>
    <mergeCell ref="G17:H17"/>
    <mergeCell ref="I17:J17"/>
    <mergeCell ref="G18:H18"/>
    <mergeCell ref="I18:J18"/>
    <mergeCell ref="G19:H19"/>
    <mergeCell ref="I19:J19"/>
    <mergeCell ref="A13:H13"/>
    <mergeCell ref="I13:J13"/>
    <mergeCell ref="A14:H14"/>
    <mergeCell ref="I14:J14"/>
    <mergeCell ref="A15:H15"/>
    <mergeCell ref="I15:J15"/>
    <mergeCell ref="G10:H10"/>
    <mergeCell ref="I10:J10"/>
    <mergeCell ref="G11:H11"/>
    <mergeCell ref="I11:J11"/>
    <mergeCell ref="G12:H12"/>
    <mergeCell ref="I12:J12"/>
    <mergeCell ref="A26:H26"/>
    <mergeCell ref="I26:J26"/>
    <mergeCell ref="G28:H28"/>
    <mergeCell ref="I28:J28"/>
    <mergeCell ref="G29:H29"/>
    <mergeCell ref="I29:J29"/>
    <mergeCell ref="G23:H23"/>
    <mergeCell ref="I23:J23"/>
    <mergeCell ref="A24:H24"/>
    <mergeCell ref="I24:J24"/>
    <mergeCell ref="A25:H25"/>
    <mergeCell ref="I25:J25"/>
    <mergeCell ref="G20:H20"/>
    <mergeCell ref="I20:J20"/>
    <mergeCell ref="G21:H21"/>
    <mergeCell ref="I21:J21"/>
    <mergeCell ref="G22:H22"/>
    <mergeCell ref="I22:J22"/>
    <mergeCell ref="G37:H37"/>
    <mergeCell ref="I37:J37"/>
    <mergeCell ref="G38:H38"/>
    <mergeCell ref="I38:J38"/>
    <mergeCell ref="G39:H39"/>
    <mergeCell ref="I39:J39"/>
    <mergeCell ref="A33:H33"/>
    <mergeCell ref="I33:J33"/>
    <mergeCell ref="A34:H34"/>
    <mergeCell ref="I34:J34"/>
    <mergeCell ref="A35:H35"/>
    <mergeCell ref="I35:J35"/>
    <mergeCell ref="G30:H30"/>
    <mergeCell ref="I30:J30"/>
    <mergeCell ref="G31:H31"/>
    <mergeCell ref="I31:J31"/>
    <mergeCell ref="G32:H32"/>
    <mergeCell ref="I32:J32"/>
    <mergeCell ref="G47:H47"/>
    <mergeCell ref="I47:J47"/>
    <mergeCell ref="G48:H48"/>
    <mergeCell ref="I48:J48"/>
    <mergeCell ref="G49:H49"/>
    <mergeCell ref="I49:J49"/>
    <mergeCell ref="G44:H44"/>
    <mergeCell ref="I44:J44"/>
    <mergeCell ref="G45:H45"/>
    <mergeCell ref="I45:J45"/>
    <mergeCell ref="G46:H46"/>
    <mergeCell ref="I46:J46"/>
    <mergeCell ref="A40:H40"/>
    <mergeCell ref="I40:J40"/>
    <mergeCell ref="A41:H41"/>
    <mergeCell ref="I41:J41"/>
    <mergeCell ref="A42:H42"/>
    <mergeCell ref="I42:J42"/>
    <mergeCell ref="G57:H57"/>
    <mergeCell ref="I57:J57"/>
    <mergeCell ref="G58:H58"/>
    <mergeCell ref="I58:J58"/>
    <mergeCell ref="G59:H59"/>
    <mergeCell ref="I59:J59"/>
    <mergeCell ref="G54:H54"/>
    <mergeCell ref="I54:J54"/>
    <mergeCell ref="G55:H55"/>
    <mergeCell ref="I55:J55"/>
    <mergeCell ref="G56:H56"/>
    <mergeCell ref="I56:J56"/>
    <mergeCell ref="A50:H50"/>
    <mergeCell ref="I50:J50"/>
    <mergeCell ref="A51:H51"/>
    <mergeCell ref="I51:J51"/>
    <mergeCell ref="A52:H52"/>
    <mergeCell ref="I52:J52"/>
    <mergeCell ref="G67:H67"/>
    <mergeCell ref="I67:J67"/>
    <mergeCell ref="G68:H68"/>
    <mergeCell ref="I68:J68"/>
    <mergeCell ref="G69:H69"/>
    <mergeCell ref="I69:J69"/>
    <mergeCell ref="G64:H64"/>
    <mergeCell ref="I64:J64"/>
    <mergeCell ref="G65:H65"/>
    <mergeCell ref="I65:J65"/>
    <mergeCell ref="G66:H66"/>
    <mergeCell ref="I66:J66"/>
    <mergeCell ref="A60:H60"/>
    <mergeCell ref="I60:J60"/>
    <mergeCell ref="A61:H61"/>
    <mergeCell ref="I61:J61"/>
    <mergeCell ref="A62:H62"/>
    <mergeCell ref="I62:J62"/>
    <mergeCell ref="G77:H77"/>
    <mergeCell ref="I77:J77"/>
    <mergeCell ref="G78:H78"/>
    <mergeCell ref="I78:J78"/>
    <mergeCell ref="G79:H79"/>
    <mergeCell ref="I79:J79"/>
    <mergeCell ref="G74:H74"/>
    <mergeCell ref="I74:J74"/>
    <mergeCell ref="G75:H75"/>
    <mergeCell ref="I75:J75"/>
    <mergeCell ref="G76:H76"/>
    <mergeCell ref="I76:J76"/>
    <mergeCell ref="A70:H70"/>
    <mergeCell ref="I70:J70"/>
    <mergeCell ref="A71:H71"/>
    <mergeCell ref="I71:J71"/>
    <mergeCell ref="A72:H72"/>
    <mergeCell ref="I72:J72"/>
    <mergeCell ref="G87:H87"/>
    <mergeCell ref="I87:J87"/>
    <mergeCell ref="G88:H88"/>
    <mergeCell ref="I88:J88"/>
    <mergeCell ref="G89:H89"/>
    <mergeCell ref="I89:J89"/>
    <mergeCell ref="G84:H84"/>
    <mergeCell ref="I84:J84"/>
    <mergeCell ref="G85:H85"/>
    <mergeCell ref="I85:J85"/>
    <mergeCell ref="G86:H86"/>
    <mergeCell ref="I86:J86"/>
    <mergeCell ref="A80:H80"/>
    <mergeCell ref="I80:J80"/>
    <mergeCell ref="A81:H81"/>
    <mergeCell ref="I81:J81"/>
    <mergeCell ref="A82:H82"/>
    <mergeCell ref="I82:J82"/>
    <mergeCell ref="G97:H97"/>
    <mergeCell ref="I97:J97"/>
    <mergeCell ref="G98:H98"/>
    <mergeCell ref="I98:J98"/>
    <mergeCell ref="A99:H99"/>
    <mergeCell ref="I99:J99"/>
    <mergeCell ref="G94:H94"/>
    <mergeCell ref="I94:J94"/>
    <mergeCell ref="G95:H95"/>
    <mergeCell ref="I95:J95"/>
    <mergeCell ref="G96:H96"/>
    <mergeCell ref="I96:J96"/>
    <mergeCell ref="A90:H90"/>
    <mergeCell ref="I90:J90"/>
    <mergeCell ref="A91:H91"/>
    <mergeCell ref="I91:J91"/>
    <mergeCell ref="A92:H92"/>
    <mergeCell ref="I92:J92"/>
    <mergeCell ref="G107:H107"/>
    <mergeCell ref="I107:J107"/>
    <mergeCell ref="G108:H108"/>
    <mergeCell ref="I108:J108"/>
    <mergeCell ref="A109:H109"/>
    <mergeCell ref="I109:J109"/>
    <mergeCell ref="G104:H104"/>
    <mergeCell ref="I104:J104"/>
    <mergeCell ref="G105:H105"/>
    <mergeCell ref="I105:J105"/>
    <mergeCell ref="G106:H106"/>
    <mergeCell ref="I106:J106"/>
    <mergeCell ref="A100:H100"/>
    <mergeCell ref="I100:J100"/>
    <mergeCell ref="A101:H101"/>
    <mergeCell ref="I101:J101"/>
    <mergeCell ref="G103:H103"/>
    <mergeCell ref="I103:J103"/>
    <mergeCell ref="G117:H117"/>
    <mergeCell ref="I117:J117"/>
    <mergeCell ref="G118:H118"/>
    <mergeCell ref="I118:J118"/>
    <mergeCell ref="A119:H119"/>
    <mergeCell ref="I119:J119"/>
    <mergeCell ref="G114:H114"/>
    <mergeCell ref="I114:J114"/>
    <mergeCell ref="G115:H115"/>
    <mergeCell ref="I115:J115"/>
    <mergeCell ref="G116:H116"/>
    <mergeCell ref="I116:J116"/>
    <mergeCell ref="A110:H110"/>
    <mergeCell ref="I110:J110"/>
    <mergeCell ref="A111:H111"/>
    <mergeCell ref="I111:J111"/>
    <mergeCell ref="G113:H113"/>
    <mergeCell ref="I113:J113"/>
    <mergeCell ref="G127:H127"/>
    <mergeCell ref="I127:J127"/>
    <mergeCell ref="G128:H128"/>
    <mergeCell ref="I128:J128"/>
    <mergeCell ref="G129:H129"/>
    <mergeCell ref="I129:J129"/>
    <mergeCell ref="G124:H124"/>
    <mergeCell ref="I124:J124"/>
    <mergeCell ref="G125:H125"/>
    <mergeCell ref="I125:J125"/>
    <mergeCell ref="G126:H126"/>
    <mergeCell ref="I126:J126"/>
    <mergeCell ref="A120:H120"/>
    <mergeCell ref="I120:J120"/>
    <mergeCell ref="A121:H121"/>
    <mergeCell ref="I121:J121"/>
    <mergeCell ref="G123:H123"/>
    <mergeCell ref="I123:J123"/>
    <mergeCell ref="G137:H137"/>
    <mergeCell ref="I137:J137"/>
    <mergeCell ref="G138:H138"/>
    <mergeCell ref="I138:J138"/>
    <mergeCell ref="G139:H139"/>
    <mergeCell ref="I139:J139"/>
    <mergeCell ref="G134:H134"/>
    <mergeCell ref="I134:J134"/>
    <mergeCell ref="G135:H135"/>
    <mergeCell ref="I135:J135"/>
    <mergeCell ref="G136:H136"/>
    <mergeCell ref="I136:J136"/>
    <mergeCell ref="A130:H130"/>
    <mergeCell ref="I130:J130"/>
    <mergeCell ref="A131:H131"/>
    <mergeCell ref="I131:J131"/>
    <mergeCell ref="A132:H132"/>
    <mergeCell ref="I132:J132"/>
    <mergeCell ref="G147:H147"/>
    <mergeCell ref="I147:J147"/>
    <mergeCell ref="G148:H148"/>
    <mergeCell ref="I148:J148"/>
    <mergeCell ref="A149:H149"/>
    <mergeCell ref="I149:J149"/>
    <mergeCell ref="A143:H143"/>
    <mergeCell ref="I143:J143"/>
    <mergeCell ref="A144:H144"/>
    <mergeCell ref="I144:J144"/>
    <mergeCell ref="G146:H146"/>
    <mergeCell ref="I146:J146"/>
    <mergeCell ref="G140:H140"/>
    <mergeCell ref="I140:J140"/>
    <mergeCell ref="G141:H141"/>
    <mergeCell ref="I141:J141"/>
    <mergeCell ref="A142:H142"/>
    <mergeCell ref="I142:J142"/>
    <mergeCell ref="A157:H157"/>
    <mergeCell ref="I157:J157"/>
    <mergeCell ref="A158:H158"/>
    <mergeCell ref="I158:J158"/>
    <mergeCell ref="G160:H160"/>
    <mergeCell ref="I160:J160"/>
    <mergeCell ref="G154:H154"/>
    <mergeCell ref="I154:J154"/>
    <mergeCell ref="G155:H155"/>
    <mergeCell ref="I155:J155"/>
    <mergeCell ref="A156:H156"/>
    <mergeCell ref="I156:J156"/>
    <mergeCell ref="A150:H150"/>
    <mergeCell ref="I150:J150"/>
    <mergeCell ref="A151:H151"/>
    <mergeCell ref="I151:J151"/>
    <mergeCell ref="G153:H153"/>
    <mergeCell ref="I153:J153"/>
    <mergeCell ref="A167:H167"/>
    <mergeCell ref="I167:J167"/>
    <mergeCell ref="A168:H168"/>
    <mergeCell ref="I168:J168"/>
    <mergeCell ref="G170:H170"/>
    <mergeCell ref="I170:J170"/>
    <mergeCell ref="G164:H164"/>
    <mergeCell ref="I164:J164"/>
    <mergeCell ref="G165:H165"/>
    <mergeCell ref="I165:J165"/>
    <mergeCell ref="A166:H166"/>
    <mergeCell ref="I166:J166"/>
    <mergeCell ref="G161:H161"/>
    <mergeCell ref="I161:J161"/>
    <mergeCell ref="G162:H162"/>
    <mergeCell ref="I162:J162"/>
    <mergeCell ref="G163:H163"/>
    <mergeCell ref="I163:J163"/>
    <mergeCell ref="G178:H178"/>
    <mergeCell ref="I178:J178"/>
    <mergeCell ref="G179:H179"/>
    <mergeCell ref="I179:J179"/>
    <mergeCell ref="G180:H180"/>
    <mergeCell ref="I180:J180"/>
    <mergeCell ref="A174:H174"/>
    <mergeCell ref="I174:J174"/>
    <mergeCell ref="A175:H175"/>
    <mergeCell ref="I175:J175"/>
    <mergeCell ref="A176:H176"/>
    <mergeCell ref="I176:J176"/>
    <mergeCell ref="G171:H171"/>
    <mergeCell ref="I171:J171"/>
    <mergeCell ref="G172:H172"/>
    <mergeCell ref="I172:J172"/>
    <mergeCell ref="G173:H173"/>
    <mergeCell ref="I173:J173"/>
    <mergeCell ref="G188:H188"/>
    <mergeCell ref="I188:J188"/>
    <mergeCell ref="G189:H189"/>
    <mergeCell ref="I189:J189"/>
    <mergeCell ref="G190:H190"/>
    <mergeCell ref="I190:J190"/>
    <mergeCell ref="A184:H184"/>
    <mergeCell ref="I184:J184"/>
    <mergeCell ref="A185:H185"/>
    <mergeCell ref="I185:J185"/>
    <mergeCell ref="A186:H186"/>
    <mergeCell ref="I186:J186"/>
    <mergeCell ref="G181:H181"/>
    <mergeCell ref="I181:J181"/>
    <mergeCell ref="G182:H182"/>
    <mergeCell ref="I182:J182"/>
    <mergeCell ref="G183:H183"/>
    <mergeCell ref="I183:J183"/>
    <mergeCell ref="G198:H198"/>
    <mergeCell ref="I198:J198"/>
    <mergeCell ref="G199:H199"/>
    <mergeCell ref="I199:J199"/>
    <mergeCell ref="G200:H200"/>
    <mergeCell ref="I200:J200"/>
    <mergeCell ref="A194:H194"/>
    <mergeCell ref="I194:J194"/>
    <mergeCell ref="A195:H195"/>
    <mergeCell ref="I195:J195"/>
    <mergeCell ref="G197:H197"/>
    <mergeCell ref="I197:J197"/>
    <mergeCell ref="G191:H191"/>
    <mergeCell ref="I191:J191"/>
    <mergeCell ref="G192:H192"/>
    <mergeCell ref="I192:J192"/>
    <mergeCell ref="A193:H193"/>
    <mergeCell ref="I193:J193"/>
    <mergeCell ref="G208:H208"/>
    <mergeCell ref="I208:J208"/>
    <mergeCell ref="G209:H209"/>
    <mergeCell ref="I209:J209"/>
    <mergeCell ref="G210:H210"/>
    <mergeCell ref="I210:J210"/>
    <mergeCell ref="A204:H204"/>
    <mergeCell ref="I204:J204"/>
    <mergeCell ref="A205:H205"/>
    <mergeCell ref="I205:J205"/>
    <mergeCell ref="A206:H206"/>
    <mergeCell ref="I206:J206"/>
    <mergeCell ref="G201:H201"/>
    <mergeCell ref="I201:J201"/>
    <mergeCell ref="G202:H202"/>
    <mergeCell ref="I202:J202"/>
    <mergeCell ref="G203:H203"/>
    <mergeCell ref="I203:J203"/>
    <mergeCell ref="G218:H218"/>
    <mergeCell ref="I218:J218"/>
    <mergeCell ref="G219:H219"/>
    <mergeCell ref="I219:J219"/>
    <mergeCell ref="G220:H220"/>
    <mergeCell ref="I220:J220"/>
    <mergeCell ref="A214:H214"/>
    <mergeCell ref="I214:J214"/>
    <mergeCell ref="A215:H215"/>
    <mergeCell ref="I215:J215"/>
    <mergeCell ref="G217:H217"/>
    <mergeCell ref="I217:J217"/>
    <mergeCell ref="G211:H211"/>
    <mergeCell ref="I211:J211"/>
    <mergeCell ref="G212:H212"/>
    <mergeCell ref="I212:J212"/>
    <mergeCell ref="A213:H213"/>
    <mergeCell ref="I213:J213"/>
    <mergeCell ref="G227:H227"/>
    <mergeCell ref="I227:J227"/>
    <mergeCell ref="G228:H228"/>
    <mergeCell ref="I228:J228"/>
    <mergeCell ref="G229:H229"/>
    <mergeCell ref="I229:J229"/>
    <mergeCell ref="G224:H224"/>
    <mergeCell ref="I224:J224"/>
    <mergeCell ref="G225:H225"/>
    <mergeCell ref="I225:J225"/>
    <mergeCell ref="G226:H226"/>
    <mergeCell ref="I226:J226"/>
    <mergeCell ref="G221:H221"/>
    <mergeCell ref="I221:J221"/>
    <mergeCell ref="G222:H222"/>
    <mergeCell ref="I222:J222"/>
    <mergeCell ref="G223:H223"/>
    <mergeCell ref="I223:J223"/>
    <mergeCell ref="A236:H236"/>
    <mergeCell ref="I236:J236"/>
    <mergeCell ref="G238:H238"/>
    <mergeCell ref="I238:J238"/>
    <mergeCell ref="G239:H239"/>
    <mergeCell ref="I239:J239"/>
    <mergeCell ref="G233:H233"/>
    <mergeCell ref="I233:J233"/>
    <mergeCell ref="A234:H234"/>
    <mergeCell ref="I234:J234"/>
    <mergeCell ref="A235:H235"/>
    <mergeCell ref="I235:J235"/>
    <mergeCell ref="G230:H230"/>
    <mergeCell ref="I230:J230"/>
    <mergeCell ref="G231:H231"/>
    <mergeCell ref="I231:J231"/>
    <mergeCell ref="G232:H232"/>
    <mergeCell ref="I232:J232"/>
    <mergeCell ref="G246:H246"/>
    <mergeCell ref="I246:J246"/>
    <mergeCell ref="G247:H247"/>
    <mergeCell ref="I247:J247"/>
    <mergeCell ref="G248:H248"/>
    <mergeCell ref="I248:J248"/>
    <mergeCell ref="G243:H243"/>
    <mergeCell ref="I243:J243"/>
    <mergeCell ref="G244:H244"/>
    <mergeCell ref="I244:J244"/>
    <mergeCell ref="G245:H245"/>
    <mergeCell ref="I245:J245"/>
    <mergeCell ref="G240:H240"/>
    <mergeCell ref="I240:J240"/>
    <mergeCell ref="G241:H241"/>
    <mergeCell ref="I241:J241"/>
    <mergeCell ref="G242:H242"/>
    <mergeCell ref="I242:J242"/>
    <mergeCell ref="G256:H256"/>
    <mergeCell ref="I256:J256"/>
    <mergeCell ref="G257:H257"/>
    <mergeCell ref="I257:J257"/>
    <mergeCell ref="A258:H258"/>
    <mergeCell ref="I258:J258"/>
    <mergeCell ref="A252:H252"/>
    <mergeCell ref="I252:J252"/>
    <mergeCell ref="A253:H253"/>
    <mergeCell ref="I253:J253"/>
    <mergeCell ref="G255:H255"/>
    <mergeCell ref="I255:J255"/>
    <mergeCell ref="G249:H249"/>
    <mergeCell ref="I249:J249"/>
    <mergeCell ref="G250:H250"/>
    <mergeCell ref="I250:J250"/>
    <mergeCell ref="A251:H251"/>
    <mergeCell ref="I251:J251"/>
    <mergeCell ref="G266:H266"/>
    <mergeCell ref="I266:J266"/>
    <mergeCell ref="G267:H267"/>
    <mergeCell ref="I267:J267"/>
    <mergeCell ref="G268:H268"/>
    <mergeCell ref="I268:J268"/>
    <mergeCell ref="G263:H263"/>
    <mergeCell ref="I263:J263"/>
    <mergeCell ref="G264:H264"/>
    <mergeCell ref="I264:J264"/>
    <mergeCell ref="G265:H265"/>
    <mergeCell ref="I265:J265"/>
    <mergeCell ref="A259:H259"/>
    <mergeCell ref="I259:J259"/>
    <mergeCell ref="A260:H260"/>
    <mergeCell ref="I260:J260"/>
    <mergeCell ref="G262:H262"/>
    <mergeCell ref="I262:J262"/>
    <mergeCell ref="A275:H275"/>
    <mergeCell ref="I275:J275"/>
    <mergeCell ref="A276:H276"/>
    <mergeCell ref="I276:J276"/>
    <mergeCell ref="G278:H278"/>
    <mergeCell ref="I278:J278"/>
    <mergeCell ref="G272:H272"/>
    <mergeCell ref="I272:J272"/>
    <mergeCell ref="G273:H273"/>
    <mergeCell ref="I273:J273"/>
    <mergeCell ref="A274:H274"/>
    <mergeCell ref="I274:J274"/>
    <mergeCell ref="G269:H269"/>
    <mergeCell ref="I269:J269"/>
    <mergeCell ref="G270:H270"/>
    <mergeCell ref="I270:J270"/>
    <mergeCell ref="G271:H271"/>
    <mergeCell ref="I271:J271"/>
    <mergeCell ref="G286:H286"/>
    <mergeCell ref="I286:J286"/>
    <mergeCell ref="G287:H287"/>
    <mergeCell ref="I287:J287"/>
    <mergeCell ref="G288:H288"/>
    <mergeCell ref="I288:J288"/>
    <mergeCell ref="A282:H282"/>
    <mergeCell ref="I282:J282"/>
    <mergeCell ref="A283:H283"/>
    <mergeCell ref="I283:J283"/>
    <mergeCell ref="G285:H285"/>
    <mergeCell ref="I285:J285"/>
    <mergeCell ref="G279:H279"/>
    <mergeCell ref="I279:J279"/>
    <mergeCell ref="G280:H280"/>
    <mergeCell ref="I280:J280"/>
    <mergeCell ref="A281:H281"/>
    <mergeCell ref="I281:J281"/>
    <mergeCell ref="G296:H296"/>
    <mergeCell ref="I296:J296"/>
    <mergeCell ref="G297:H297"/>
    <mergeCell ref="I297:J297"/>
    <mergeCell ref="G298:H298"/>
    <mergeCell ref="I298:J298"/>
    <mergeCell ref="A292:H292"/>
    <mergeCell ref="I292:J292"/>
    <mergeCell ref="G294:H294"/>
    <mergeCell ref="I294:J294"/>
    <mergeCell ref="G295:H295"/>
    <mergeCell ref="I295:J295"/>
    <mergeCell ref="G289:H289"/>
    <mergeCell ref="I289:J289"/>
    <mergeCell ref="A290:H290"/>
    <mergeCell ref="I290:J290"/>
    <mergeCell ref="A291:H291"/>
    <mergeCell ref="I291:J291"/>
    <mergeCell ref="G306:H306"/>
    <mergeCell ref="I306:J306"/>
    <mergeCell ref="G307:H307"/>
    <mergeCell ref="I307:J307"/>
    <mergeCell ref="G308:H308"/>
    <mergeCell ref="I308:J308"/>
    <mergeCell ref="A302:H302"/>
    <mergeCell ref="I302:J302"/>
    <mergeCell ref="G304:H304"/>
    <mergeCell ref="I304:J304"/>
    <mergeCell ref="G305:H305"/>
    <mergeCell ref="I305:J305"/>
    <mergeCell ref="G299:H299"/>
    <mergeCell ref="I299:J299"/>
    <mergeCell ref="A300:H300"/>
    <mergeCell ref="I300:J300"/>
    <mergeCell ref="A301:H301"/>
    <mergeCell ref="I301:J301"/>
    <mergeCell ref="G316:H316"/>
    <mergeCell ref="I316:J316"/>
    <mergeCell ref="G317:H317"/>
    <mergeCell ref="I317:J317"/>
    <mergeCell ref="G318:H318"/>
    <mergeCell ref="I318:J318"/>
    <mergeCell ref="A312:H312"/>
    <mergeCell ref="I312:J312"/>
    <mergeCell ref="A313:H313"/>
    <mergeCell ref="I313:J313"/>
    <mergeCell ref="A314:H314"/>
    <mergeCell ref="I314:J314"/>
    <mergeCell ref="G309:H309"/>
    <mergeCell ref="I309:J309"/>
    <mergeCell ref="G310:H310"/>
    <mergeCell ref="I310:J310"/>
    <mergeCell ref="G311:H311"/>
    <mergeCell ref="I311:J311"/>
    <mergeCell ref="A325:H325"/>
    <mergeCell ref="I325:J325"/>
    <mergeCell ref="A326:H326"/>
    <mergeCell ref="I326:J326"/>
    <mergeCell ref="A327:H327"/>
    <mergeCell ref="I327:J327"/>
    <mergeCell ref="G322:H322"/>
    <mergeCell ref="I322:J322"/>
    <mergeCell ref="G323:H323"/>
    <mergeCell ref="I323:J323"/>
    <mergeCell ref="G324:H324"/>
    <mergeCell ref="I324:J324"/>
    <mergeCell ref="G319:H319"/>
    <mergeCell ref="I319:J319"/>
    <mergeCell ref="G320:H320"/>
    <mergeCell ref="I320:J320"/>
    <mergeCell ref="G321:H321"/>
    <mergeCell ref="I321:J321"/>
    <mergeCell ref="G335:H335"/>
    <mergeCell ref="I335:J335"/>
    <mergeCell ref="G336:H336"/>
    <mergeCell ref="I336:J336"/>
    <mergeCell ref="G337:H337"/>
    <mergeCell ref="I337:J337"/>
    <mergeCell ref="G332:H332"/>
    <mergeCell ref="I332:J332"/>
    <mergeCell ref="G333:H333"/>
    <mergeCell ref="I333:J333"/>
    <mergeCell ref="G334:H334"/>
    <mergeCell ref="I334:J334"/>
    <mergeCell ref="G329:H329"/>
    <mergeCell ref="I329:J329"/>
    <mergeCell ref="G330:H330"/>
    <mergeCell ref="I330:J330"/>
    <mergeCell ref="G331:H331"/>
    <mergeCell ref="I331:J331"/>
    <mergeCell ref="G344:H344"/>
    <mergeCell ref="I344:J344"/>
    <mergeCell ref="G345:H345"/>
    <mergeCell ref="I345:J345"/>
    <mergeCell ref="A346:H346"/>
    <mergeCell ref="I346:J346"/>
    <mergeCell ref="G341:H341"/>
    <mergeCell ref="I341:J341"/>
    <mergeCell ref="G342:H342"/>
    <mergeCell ref="I342:J342"/>
    <mergeCell ref="G343:H343"/>
    <mergeCell ref="I343:J343"/>
    <mergeCell ref="G338:H338"/>
    <mergeCell ref="I338:J338"/>
    <mergeCell ref="G339:H339"/>
    <mergeCell ref="I339:J339"/>
    <mergeCell ref="G340:H340"/>
    <mergeCell ref="I340:J340"/>
    <mergeCell ref="G354:H354"/>
    <mergeCell ref="I354:J354"/>
    <mergeCell ref="G355:H355"/>
    <mergeCell ref="I355:J355"/>
    <mergeCell ref="G356:H356"/>
    <mergeCell ref="I356:J356"/>
    <mergeCell ref="G351:H351"/>
    <mergeCell ref="I351:J351"/>
    <mergeCell ref="G352:H352"/>
    <mergeCell ref="I352:J352"/>
    <mergeCell ref="G353:H353"/>
    <mergeCell ref="I353:J353"/>
    <mergeCell ref="A347:H347"/>
    <mergeCell ref="I347:J347"/>
    <mergeCell ref="A348:H348"/>
    <mergeCell ref="I348:J348"/>
    <mergeCell ref="G350:H350"/>
    <mergeCell ref="I350:J350"/>
    <mergeCell ref="G364:H364"/>
    <mergeCell ref="I364:J364"/>
    <mergeCell ref="G365:H365"/>
    <mergeCell ref="I365:J365"/>
    <mergeCell ref="G366:H366"/>
    <mergeCell ref="I366:J366"/>
    <mergeCell ref="A360:H360"/>
    <mergeCell ref="I360:J360"/>
    <mergeCell ref="G362:H362"/>
    <mergeCell ref="I362:J362"/>
    <mergeCell ref="G363:H363"/>
    <mergeCell ref="I363:J363"/>
    <mergeCell ref="G357:H357"/>
    <mergeCell ref="I357:J357"/>
    <mergeCell ref="A358:H358"/>
    <mergeCell ref="I358:J358"/>
    <mergeCell ref="A359:H359"/>
    <mergeCell ref="I359:J359"/>
    <mergeCell ref="G374:H374"/>
    <mergeCell ref="I374:J374"/>
    <mergeCell ref="G375:H375"/>
    <mergeCell ref="I375:J375"/>
    <mergeCell ref="G376:H376"/>
    <mergeCell ref="I376:J376"/>
    <mergeCell ref="A370:H370"/>
    <mergeCell ref="I370:J370"/>
    <mergeCell ref="G372:H372"/>
    <mergeCell ref="I372:J372"/>
    <mergeCell ref="G373:H373"/>
    <mergeCell ref="I373:J373"/>
    <mergeCell ref="G367:H367"/>
    <mergeCell ref="I367:J367"/>
    <mergeCell ref="A368:H368"/>
    <mergeCell ref="I368:J368"/>
    <mergeCell ref="A369:H369"/>
    <mergeCell ref="I369:J369"/>
    <mergeCell ref="G384:H384"/>
    <mergeCell ref="I384:J384"/>
    <mergeCell ref="G385:H385"/>
    <mergeCell ref="I385:J385"/>
    <mergeCell ref="G386:H386"/>
    <mergeCell ref="I386:J386"/>
    <mergeCell ref="G381:H381"/>
    <mergeCell ref="I381:J381"/>
    <mergeCell ref="G382:H382"/>
    <mergeCell ref="I382:J382"/>
    <mergeCell ref="G383:H383"/>
    <mergeCell ref="I383:J383"/>
    <mergeCell ref="A377:H377"/>
    <mergeCell ref="I377:J377"/>
    <mergeCell ref="A378:H378"/>
    <mergeCell ref="I378:J378"/>
    <mergeCell ref="A379:H379"/>
    <mergeCell ref="I379:J379"/>
    <mergeCell ref="A393:H393"/>
    <mergeCell ref="I393:J393"/>
    <mergeCell ref="G395:H395"/>
    <mergeCell ref="I395:J395"/>
    <mergeCell ref="G396:H396"/>
    <mergeCell ref="I396:J396"/>
    <mergeCell ref="G390:H390"/>
    <mergeCell ref="I390:J390"/>
    <mergeCell ref="A391:H391"/>
    <mergeCell ref="I391:J391"/>
    <mergeCell ref="A392:H392"/>
    <mergeCell ref="I392:J392"/>
    <mergeCell ref="G387:H387"/>
    <mergeCell ref="I387:J387"/>
    <mergeCell ref="G388:H388"/>
    <mergeCell ref="I388:J388"/>
    <mergeCell ref="G389:H389"/>
    <mergeCell ref="I389:J389"/>
    <mergeCell ref="A403:H403"/>
    <mergeCell ref="I403:J403"/>
    <mergeCell ref="A404:H404"/>
    <mergeCell ref="I404:J404"/>
    <mergeCell ref="G406:H406"/>
    <mergeCell ref="I406:J406"/>
    <mergeCell ref="G400:H400"/>
    <mergeCell ref="I400:J400"/>
    <mergeCell ref="G401:H401"/>
    <mergeCell ref="I401:J401"/>
    <mergeCell ref="A402:H402"/>
    <mergeCell ref="I402:J402"/>
    <mergeCell ref="G397:H397"/>
    <mergeCell ref="I397:J397"/>
    <mergeCell ref="G398:H398"/>
    <mergeCell ref="I398:J398"/>
    <mergeCell ref="G399:H399"/>
    <mergeCell ref="I399:J399"/>
    <mergeCell ref="G413:H413"/>
    <mergeCell ref="I413:J413"/>
    <mergeCell ref="G414:H414"/>
    <mergeCell ref="I414:J414"/>
    <mergeCell ref="G415:H415"/>
    <mergeCell ref="I415:J415"/>
    <mergeCell ref="G410:H410"/>
    <mergeCell ref="I410:J410"/>
    <mergeCell ref="G411:H411"/>
    <mergeCell ref="I411:J411"/>
    <mergeCell ref="G412:H412"/>
    <mergeCell ref="I412:J412"/>
    <mergeCell ref="G407:H407"/>
    <mergeCell ref="I407:J407"/>
    <mergeCell ref="G408:H408"/>
    <mergeCell ref="I408:J408"/>
    <mergeCell ref="G409:H409"/>
    <mergeCell ref="I409:J409"/>
    <mergeCell ref="G423:H423"/>
    <mergeCell ref="I423:J423"/>
    <mergeCell ref="G424:H424"/>
    <mergeCell ref="I424:J424"/>
    <mergeCell ref="G425:H425"/>
    <mergeCell ref="I425:J425"/>
    <mergeCell ref="A419:H419"/>
    <mergeCell ref="I419:J419"/>
    <mergeCell ref="G421:H421"/>
    <mergeCell ref="I421:J421"/>
    <mergeCell ref="G422:H422"/>
    <mergeCell ref="I422:J422"/>
    <mergeCell ref="G416:H416"/>
    <mergeCell ref="I416:J416"/>
    <mergeCell ref="A417:H417"/>
    <mergeCell ref="I417:J417"/>
    <mergeCell ref="A418:H418"/>
    <mergeCell ref="I418:J418"/>
    <mergeCell ref="G433:H433"/>
    <mergeCell ref="I433:J433"/>
    <mergeCell ref="G434:H434"/>
    <mergeCell ref="I434:J434"/>
    <mergeCell ref="A435:H435"/>
    <mergeCell ref="I435:J435"/>
    <mergeCell ref="G430:H430"/>
    <mergeCell ref="I430:J430"/>
    <mergeCell ref="G431:H431"/>
    <mergeCell ref="I431:J431"/>
    <mergeCell ref="G432:H432"/>
    <mergeCell ref="I432:J432"/>
    <mergeCell ref="A426:H426"/>
    <mergeCell ref="I426:J426"/>
    <mergeCell ref="A427:H427"/>
    <mergeCell ref="I427:J427"/>
    <mergeCell ref="A428:H428"/>
    <mergeCell ref="I428:J428"/>
    <mergeCell ref="G443:H443"/>
    <mergeCell ref="I443:J443"/>
    <mergeCell ref="G444:H444"/>
    <mergeCell ref="I444:J444"/>
    <mergeCell ref="A445:H445"/>
    <mergeCell ref="I445:J445"/>
    <mergeCell ref="G440:H440"/>
    <mergeCell ref="I440:J440"/>
    <mergeCell ref="G441:H441"/>
    <mergeCell ref="I441:J441"/>
    <mergeCell ref="G442:H442"/>
    <mergeCell ref="I442:J442"/>
    <mergeCell ref="A436:H436"/>
    <mergeCell ref="I436:J436"/>
    <mergeCell ref="A437:H437"/>
    <mergeCell ref="I437:J437"/>
    <mergeCell ref="G439:H439"/>
    <mergeCell ref="I439:J439"/>
    <mergeCell ref="G453:H453"/>
    <mergeCell ref="I453:J453"/>
    <mergeCell ref="G454:H454"/>
    <mergeCell ref="I454:J454"/>
    <mergeCell ref="G455:H455"/>
    <mergeCell ref="I455:J455"/>
    <mergeCell ref="G450:H450"/>
    <mergeCell ref="I450:J450"/>
    <mergeCell ref="G451:H451"/>
    <mergeCell ref="I451:J451"/>
    <mergeCell ref="G452:H452"/>
    <mergeCell ref="I452:J452"/>
    <mergeCell ref="A446:H446"/>
    <mergeCell ref="I446:J446"/>
    <mergeCell ref="A447:H447"/>
    <mergeCell ref="I447:J447"/>
    <mergeCell ref="G449:H449"/>
    <mergeCell ref="I449:J449"/>
    <mergeCell ref="G463:H463"/>
    <mergeCell ref="I463:J463"/>
    <mergeCell ref="G464:H464"/>
    <mergeCell ref="I464:J464"/>
    <mergeCell ref="A465:H465"/>
    <mergeCell ref="I465:J465"/>
    <mergeCell ref="A459:H459"/>
    <mergeCell ref="I459:J459"/>
    <mergeCell ref="G461:H461"/>
    <mergeCell ref="I461:J461"/>
    <mergeCell ref="G462:H462"/>
    <mergeCell ref="I462:J462"/>
    <mergeCell ref="G456:H456"/>
    <mergeCell ref="I456:J456"/>
    <mergeCell ref="A457:H457"/>
    <mergeCell ref="I457:J457"/>
    <mergeCell ref="A458:H458"/>
    <mergeCell ref="I458:J458"/>
    <mergeCell ref="G473:H473"/>
    <mergeCell ref="I473:J473"/>
    <mergeCell ref="A474:H474"/>
    <mergeCell ref="I474:J474"/>
    <mergeCell ref="A475:H475"/>
    <mergeCell ref="I475:J475"/>
    <mergeCell ref="G470:H470"/>
    <mergeCell ref="I470:J470"/>
    <mergeCell ref="G471:H471"/>
    <mergeCell ref="I471:J471"/>
    <mergeCell ref="G472:H472"/>
    <mergeCell ref="I472:J472"/>
    <mergeCell ref="A466:H466"/>
    <mergeCell ref="I466:J466"/>
    <mergeCell ref="A467:H467"/>
    <mergeCell ref="I467:J467"/>
    <mergeCell ref="G469:H469"/>
    <mergeCell ref="I469:J469"/>
    <mergeCell ref="G483:H483"/>
    <mergeCell ref="I483:J483"/>
    <mergeCell ref="G484:H484"/>
    <mergeCell ref="I484:J484"/>
    <mergeCell ref="G485:H485"/>
    <mergeCell ref="I485:J485"/>
    <mergeCell ref="G480:H480"/>
    <mergeCell ref="I480:J480"/>
    <mergeCell ref="G481:H481"/>
    <mergeCell ref="I481:J481"/>
    <mergeCell ref="G482:H482"/>
    <mergeCell ref="I482:J482"/>
    <mergeCell ref="A476:H476"/>
    <mergeCell ref="I476:J476"/>
    <mergeCell ref="G478:H478"/>
    <mergeCell ref="I478:J478"/>
    <mergeCell ref="G479:H479"/>
    <mergeCell ref="I479:J479"/>
    <mergeCell ref="G493:H493"/>
    <mergeCell ref="I493:J493"/>
    <mergeCell ref="G494:H494"/>
    <mergeCell ref="I494:J494"/>
    <mergeCell ref="G495:H495"/>
    <mergeCell ref="I495:J495"/>
    <mergeCell ref="G490:H490"/>
    <mergeCell ref="I490:J490"/>
    <mergeCell ref="G491:H491"/>
    <mergeCell ref="I491:J491"/>
    <mergeCell ref="G492:H492"/>
    <mergeCell ref="I492:J492"/>
    <mergeCell ref="A486:H486"/>
    <mergeCell ref="I486:J486"/>
    <mergeCell ref="A487:H487"/>
    <mergeCell ref="I487:J487"/>
    <mergeCell ref="A488:H488"/>
    <mergeCell ref="I488:J488"/>
    <mergeCell ref="G502:H502"/>
    <mergeCell ref="I502:J502"/>
    <mergeCell ref="G503:H503"/>
    <mergeCell ref="I503:J503"/>
    <mergeCell ref="G504:H504"/>
    <mergeCell ref="I504:J504"/>
    <mergeCell ref="G499:H499"/>
    <mergeCell ref="I499:J499"/>
    <mergeCell ref="G500:H500"/>
    <mergeCell ref="I500:J500"/>
    <mergeCell ref="G501:H501"/>
    <mergeCell ref="I501:J501"/>
    <mergeCell ref="G496:H496"/>
    <mergeCell ref="I496:J496"/>
    <mergeCell ref="G497:H497"/>
    <mergeCell ref="I497:J497"/>
    <mergeCell ref="G498:H498"/>
    <mergeCell ref="I498:J498"/>
    <mergeCell ref="G511:H511"/>
    <mergeCell ref="I511:J511"/>
    <mergeCell ref="G512:H512"/>
    <mergeCell ref="I512:J512"/>
    <mergeCell ref="A513:H513"/>
    <mergeCell ref="I513:J513"/>
    <mergeCell ref="G508:H508"/>
    <mergeCell ref="I508:J508"/>
    <mergeCell ref="G509:H509"/>
    <mergeCell ref="I509:J509"/>
    <mergeCell ref="G510:H510"/>
    <mergeCell ref="I510:J510"/>
    <mergeCell ref="G505:H505"/>
    <mergeCell ref="I505:J505"/>
    <mergeCell ref="G506:H506"/>
    <mergeCell ref="I506:J506"/>
    <mergeCell ref="G507:H507"/>
    <mergeCell ref="I507:J507"/>
    <mergeCell ref="G521:H521"/>
    <mergeCell ref="I521:J521"/>
    <mergeCell ref="G522:H522"/>
    <mergeCell ref="I522:J522"/>
    <mergeCell ref="A523:H523"/>
    <mergeCell ref="I523:J523"/>
    <mergeCell ref="G518:H518"/>
    <mergeCell ref="I518:J518"/>
    <mergeCell ref="G519:H519"/>
    <mergeCell ref="I519:J519"/>
    <mergeCell ref="G520:H520"/>
    <mergeCell ref="I520:J520"/>
    <mergeCell ref="A514:H514"/>
    <mergeCell ref="I514:J514"/>
    <mergeCell ref="A515:H515"/>
    <mergeCell ref="I515:J515"/>
    <mergeCell ref="G517:H517"/>
    <mergeCell ref="I517:J517"/>
    <mergeCell ref="G531:H531"/>
    <mergeCell ref="I531:J531"/>
    <mergeCell ref="G532:H532"/>
    <mergeCell ref="I532:J532"/>
    <mergeCell ref="A533:H533"/>
    <mergeCell ref="I533:J533"/>
    <mergeCell ref="G528:H528"/>
    <mergeCell ref="I528:J528"/>
    <mergeCell ref="G529:H529"/>
    <mergeCell ref="I529:J529"/>
    <mergeCell ref="G530:H530"/>
    <mergeCell ref="I530:J530"/>
    <mergeCell ref="A524:H524"/>
    <mergeCell ref="I524:J524"/>
    <mergeCell ref="A525:H525"/>
    <mergeCell ref="I525:J525"/>
    <mergeCell ref="G527:H527"/>
    <mergeCell ref="I527:J527"/>
    <mergeCell ref="G541:H541"/>
    <mergeCell ref="I541:J541"/>
    <mergeCell ref="G542:H542"/>
    <mergeCell ref="I542:J542"/>
    <mergeCell ref="G543:H543"/>
    <mergeCell ref="I543:J543"/>
    <mergeCell ref="G538:H538"/>
    <mergeCell ref="I538:J538"/>
    <mergeCell ref="G539:H539"/>
    <mergeCell ref="I539:J539"/>
    <mergeCell ref="G540:H540"/>
    <mergeCell ref="I540:J540"/>
    <mergeCell ref="A534:H534"/>
    <mergeCell ref="I534:J534"/>
    <mergeCell ref="A535:H535"/>
    <mergeCell ref="I535:J535"/>
    <mergeCell ref="G537:H537"/>
    <mergeCell ref="I537:J537"/>
    <mergeCell ref="G551:H551"/>
    <mergeCell ref="I551:J551"/>
    <mergeCell ref="G552:H552"/>
    <mergeCell ref="I552:J552"/>
    <mergeCell ref="G553:H553"/>
    <mergeCell ref="I553:J553"/>
    <mergeCell ref="G548:H548"/>
    <mergeCell ref="I548:J548"/>
    <mergeCell ref="G549:H549"/>
    <mergeCell ref="I549:J549"/>
    <mergeCell ref="G550:H550"/>
    <mergeCell ref="I550:J550"/>
    <mergeCell ref="A544:H544"/>
    <mergeCell ref="I544:J544"/>
    <mergeCell ref="A545:H545"/>
    <mergeCell ref="I545:J545"/>
    <mergeCell ref="A546:H546"/>
    <mergeCell ref="I546:J546"/>
    <mergeCell ref="G561:H561"/>
    <mergeCell ref="I561:J561"/>
    <mergeCell ref="G562:H562"/>
    <mergeCell ref="I562:J562"/>
    <mergeCell ref="G563:H563"/>
    <mergeCell ref="I563:J563"/>
    <mergeCell ref="G558:H558"/>
    <mergeCell ref="I558:J558"/>
    <mergeCell ref="G559:H559"/>
    <mergeCell ref="I559:J559"/>
    <mergeCell ref="G560:H560"/>
    <mergeCell ref="I560:J560"/>
    <mergeCell ref="A554:H554"/>
    <mergeCell ref="I554:J554"/>
    <mergeCell ref="A555:H555"/>
    <mergeCell ref="I555:J555"/>
    <mergeCell ref="A556:H556"/>
    <mergeCell ref="I556:J556"/>
    <mergeCell ref="G571:H571"/>
    <mergeCell ref="I571:J571"/>
    <mergeCell ref="G572:H572"/>
    <mergeCell ref="I572:J572"/>
    <mergeCell ref="G573:H573"/>
    <mergeCell ref="I573:J573"/>
    <mergeCell ref="A567:H567"/>
    <mergeCell ref="I567:J567"/>
    <mergeCell ref="A568:H568"/>
    <mergeCell ref="I568:J568"/>
    <mergeCell ref="A569:H569"/>
    <mergeCell ref="I569:J569"/>
    <mergeCell ref="G564:H564"/>
    <mergeCell ref="I564:J564"/>
    <mergeCell ref="G565:H565"/>
    <mergeCell ref="I565:J565"/>
    <mergeCell ref="G566:H566"/>
    <mergeCell ref="I566:J566"/>
    <mergeCell ref="G581:H581"/>
    <mergeCell ref="I581:J581"/>
    <mergeCell ref="G582:H582"/>
    <mergeCell ref="I582:J582"/>
    <mergeCell ref="G583:H583"/>
    <mergeCell ref="I583:J583"/>
    <mergeCell ref="A577:H577"/>
    <mergeCell ref="I577:J577"/>
    <mergeCell ref="A578:H578"/>
    <mergeCell ref="I578:J578"/>
    <mergeCell ref="A579:H579"/>
    <mergeCell ref="I579:J579"/>
    <mergeCell ref="G574:H574"/>
    <mergeCell ref="I574:J574"/>
    <mergeCell ref="G575:H575"/>
    <mergeCell ref="I575:J575"/>
    <mergeCell ref="G576:H576"/>
    <mergeCell ref="I576:J576"/>
    <mergeCell ref="G591:H591"/>
    <mergeCell ref="I591:J591"/>
    <mergeCell ref="G592:H592"/>
    <mergeCell ref="I592:J592"/>
    <mergeCell ref="G593:H593"/>
    <mergeCell ref="I593:J593"/>
    <mergeCell ref="A587:H587"/>
    <mergeCell ref="I587:J587"/>
    <mergeCell ref="A588:H588"/>
    <mergeCell ref="I588:J588"/>
    <mergeCell ref="A589:H589"/>
    <mergeCell ref="I589:J589"/>
    <mergeCell ref="G584:H584"/>
    <mergeCell ref="I584:J584"/>
    <mergeCell ref="G585:H585"/>
    <mergeCell ref="I585:J585"/>
    <mergeCell ref="G586:H586"/>
    <mergeCell ref="I586:J586"/>
    <mergeCell ref="G601:H601"/>
    <mergeCell ref="I601:J601"/>
    <mergeCell ref="A602:H602"/>
    <mergeCell ref="I602:J602"/>
    <mergeCell ref="A603:H603"/>
    <mergeCell ref="I603:J603"/>
    <mergeCell ref="G598:H598"/>
    <mergeCell ref="I598:J598"/>
    <mergeCell ref="G599:H599"/>
    <mergeCell ref="I599:J599"/>
    <mergeCell ref="G600:H600"/>
    <mergeCell ref="I600:J600"/>
    <mergeCell ref="A594:H594"/>
    <mergeCell ref="I594:J594"/>
    <mergeCell ref="A595:H595"/>
    <mergeCell ref="I595:J595"/>
    <mergeCell ref="A596:H596"/>
    <mergeCell ref="I596:J596"/>
    <mergeCell ref="G611:H611"/>
    <mergeCell ref="I611:J611"/>
    <mergeCell ref="A612:H612"/>
    <mergeCell ref="I612:J612"/>
    <mergeCell ref="A613:H613"/>
    <mergeCell ref="I613:J613"/>
    <mergeCell ref="G608:H608"/>
    <mergeCell ref="I608:J608"/>
    <mergeCell ref="G609:H609"/>
    <mergeCell ref="I609:J609"/>
    <mergeCell ref="G610:H610"/>
    <mergeCell ref="I610:J610"/>
    <mergeCell ref="A604:H604"/>
    <mergeCell ref="I604:J604"/>
    <mergeCell ref="G606:H606"/>
    <mergeCell ref="I606:J606"/>
    <mergeCell ref="G607:H607"/>
    <mergeCell ref="I607:J607"/>
    <mergeCell ref="G621:H621"/>
    <mergeCell ref="I621:J621"/>
    <mergeCell ref="A622:H622"/>
    <mergeCell ref="I622:J622"/>
    <mergeCell ref="A623:H623"/>
    <mergeCell ref="I623:J623"/>
    <mergeCell ref="G618:H618"/>
    <mergeCell ref="I618:J618"/>
    <mergeCell ref="G619:H619"/>
    <mergeCell ref="I619:J619"/>
    <mergeCell ref="G620:H620"/>
    <mergeCell ref="I620:J620"/>
    <mergeCell ref="A614:H614"/>
    <mergeCell ref="I614:J614"/>
    <mergeCell ref="G616:H616"/>
    <mergeCell ref="I616:J616"/>
    <mergeCell ref="G617:H617"/>
    <mergeCell ref="I617:J617"/>
    <mergeCell ref="A631:H631"/>
    <mergeCell ref="I631:J631"/>
    <mergeCell ref="A632:H632"/>
    <mergeCell ref="I632:J632"/>
    <mergeCell ref="A633:H633"/>
    <mergeCell ref="I633:J633"/>
    <mergeCell ref="G628:H628"/>
    <mergeCell ref="I628:J628"/>
    <mergeCell ref="G629:H629"/>
    <mergeCell ref="I629:J629"/>
    <mergeCell ref="G630:H630"/>
    <mergeCell ref="I630:J630"/>
    <mergeCell ref="A624:H624"/>
    <mergeCell ref="I624:J624"/>
    <mergeCell ref="G626:H626"/>
    <mergeCell ref="I626:J626"/>
    <mergeCell ref="G627:H627"/>
    <mergeCell ref="I627:J627"/>
    <mergeCell ref="A641:H641"/>
    <mergeCell ref="I641:J641"/>
    <mergeCell ref="A642:H642"/>
    <mergeCell ref="I642:J642"/>
    <mergeCell ref="G644:H644"/>
    <mergeCell ref="I644:J644"/>
    <mergeCell ref="G638:H638"/>
    <mergeCell ref="I638:J638"/>
    <mergeCell ref="G639:H639"/>
    <mergeCell ref="I639:J639"/>
    <mergeCell ref="A640:H640"/>
    <mergeCell ref="I640:J640"/>
    <mergeCell ref="G635:H635"/>
    <mergeCell ref="I635:J635"/>
    <mergeCell ref="G636:H636"/>
    <mergeCell ref="I636:J636"/>
    <mergeCell ref="G637:H637"/>
    <mergeCell ref="I637:J637"/>
    <mergeCell ref="A651:H651"/>
    <mergeCell ref="I651:J651"/>
    <mergeCell ref="A652:H652"/>
    <mergeCell ref="I652:J652"/>
    <mergeCell ref="G654:H654"/>
    <mergeCell ref="I654:J654"/>
    <mergeCell ref="G648:H648"/>
    <mergeCell ref="I648:J648"/>
    <mergeCell ref="G649:H649"/>
    <mergeCell ref="I649:J649"/>
    <mergeCell ref="A650:H650"/>
    <mergeCell ref="I650:J650"/>
    <mergeCell ref="G645:H645"/>
    <mergeCell ref="I645:J645"/>
    <mergeCell ref="G646:H646"/>
    <mergeCell ref="I646:J646"/>
    <mergeCell ref="G647:H647"/>
    <mergeCell ref="I647:J647"/>
    <mergeCell ref="A661:H661"/>
    <mergeCell ref="I661:J661"/>
    <mergeCell ref="A662:H662"/>
    <mergeCell ref="I662:J662"/>
    <mergeCell ref="A663:H663"/>
    <mergeCell ref="I663:J663"/>
    <mergeCell ref="G658:H658"/>
    <mergeCell ref="I658:J658"/>
    <mergeCell ref="G659:H659"/>
    <mergeCell ref="I659:J659"/>
    <mergeCell ref="G660:H660"/>
    <mergeCell ref="I660:J660"/>
    <mergeCell ref="G655:H655"/>
    <mergeCell ref="I655:J655"/>
    <mergeCell ref="G656:H656"/>
    <mergeCell ref="I656:J656"/>
    <mergeCell ref="G657:H657"/>
    <mergeCell ref="I657:J657"/>
    <mergeCell ref="A671:H671"/>
    <mergeCell ref="I671:J671"/>
    <mergeCell ref="A672:H672"/>
    <mergeCell ref="I672:J672"/>
    <mergeCell ref="G674:H674"/>
    <mergeCell ref="I674:J674"/>
    <mergeCell ref="G668:H668"/>
    <mergeCell ref="I668:J668"/>
    <mergeCell ref="G669:H669"/>
    <mergeCell ref="I669:J669"/>
    <mergeCell ref="A670:H670"/>
    <mergeCell ref="I670:J670"/>
    <mergeCell ref="G665:H665"/>
    <mergeCell ref="I665:J665"/>
    <mergeCell ref="G666:H666"/>
    <mergeCell ref="I666:J666"/>
    <mergeCell ref="G667:H667"/>
    <mergeCell ref="I667:J667"/>
    <mergeCell ref="A681:H681"/>
    <mergeCell ref="I681:J681"/>
    <mergeCell ref="A682:H682"/>
    <mergeCell ref="I682:J682"/>
    <mergeCell ref="A683:H683"/>
    <mergeCell ref="I683:J683"/>
    <mergeCell ref="G678:H678"/>
    <mergeCell ref="I678:J678"/>
    <mergeCell ref="G679:H679"/>
    <mergeCell ref="I679:J679"/>
    <mergeCell ref="G680:H680"/>
    <mergeCell ref="I680:J680"/>
    <mergeCell ref="G675:H675"/>
    <mergeCell ref="I675:J675"/>
    <mergeCell ref="G676:H676"/>
    <mergeCell ref="I676:J676"/>
    <mergeCell ref="G677:H677"/>
    <mergeCell ref="I677:J677"/>
    <mergeCell ref="A691:H691"/>
    <mergeCell ref="I691:J691"/>
    <mergeCell ref="A692:H692"/>
    <mergeCell ref="I692:J692"/>
    <mergeCell ref="G694:H694"/>
    <mergeCell ref="I694:J694"/>
    <mergeCell ref="G688:H688"/>
    <mergeCell ref="I688:J688"/>
    <mergeCell ref="G689:H689"/>
    <mergeCell ref="I689:J689"/>
    <mergeCell ref="A690:H690"/>
    <mergeCell ref="I690:J690"/>
    <mergeCell ref="G685:H685"/>
    <mergeCell ref="I685:J685"/>
    <mergeCell ref="G686:H686"/>
    <mergeCell ref="I686:J686"/>
    <mergeCell ref="G687:H687"/>
    <mergeCell ref="I687:J687"/>
    <mergeCell ref="A701:H701"/>
    <mergeCell ref="I701:J701"/>
    <mergeCell ref="G703:H703"/>
    <mergeCell ref="I703:J703"/>
    <mergeCell ref="G704:H704"/>
    <mergeCell ref="I704:J704"/>
    <mergeCell ref="G698:H698"/>
    <mergeCell ref="I698:J698"/>
    <mergeCell ref="A699:H699"/>
    <mergeCell ref="I699:J699"/>
    <mergeCell ref="A700:H700"/>
    <mergeCell ref="I700:J700"/>
    <mergeCell ref="G695:H695"/>
    <mergeCell ref="I695:J695"/>
    <mergeCell ref="G696:H696"/>
    <mergeCell ref="I696:J696"/>
    <mergeCell ref="G697:H697"/>
    <mergeCell ref="I697:J697"/>
    <mergeCell ref="A711:H711"/>
    <mergeCell ref="I711:J711"/>
    <mergeCell ref="G713:H713"/>
    <mergeCell ref="I713:J713"/>
    <mergeCell ref="G714:H714"/>
    <mergeCell ref="I714:J714"/>
    <mergeCell ref="G708:H708"/>
    <mergeCell ref="I708:J708"/>
    <mergeCell ref="A709:H709"/>
    <mergeCell ref="I709:J709"/>
    <mergeCell ref="A710:H710"/>
    <mergeCell ref="I710:J710"/>
    <mergeCell ref="G705:H705"/>
    <mergeCell ref="I705:J705"/>
    <mergeCell ref="G706:H706"/>
    <mergeCell ref="I706:J706"/>
    <mergeCell ref="G707:H707"/>
    <mergeCell ref="I707:J707"/>
    <mergeCell ref="A721:H721"/>
    <mergeCell ref="I721:J721"/>
    <mergeCell ref="G723:H723"/>
    <mergeCell ref="I723:J723"/>
    <mergeCell ref="G724:H724"/>
    <mergeCell ref="I724:J724"/>
    <mergeCell ref="G718:H718"/>
    <mergeCell ref="I718:J718"/>
    <mergeCell ref="A719:H719"/>
    <mergeCell ref="I719:J719"/>
    <mergeCell ref="A720:H720"/>
    <mergeCell ref="I720:J720"/>
    <mergeCell ref="G715:H715"/>
    <mergeCell ref="I715:J715"/>
    <mergeCell ref="G716:H716"/>
    <mergeCell ref="I716:J716"/>
    <mergeCell ref="G717:H717"/>
    <mergeCell ref="I717:J717"/>
    <mergeCell ref="A731:H731"/>
    <mergeCell ref="I731:J731"/>
    <mergeCell ref="A732:H732"/>
    <mergeCell ref="I732:J732"/>
    <mergeCell ref="A733:H733"/>
    <mergeCell ref="I733:J733"/>
    <mergeCell ref="G728:H728"/>
    <mergeCell ref="I728:J728"/>
    <mergeCell ref="G729:H729"/>
    <mergeCell ref="I729:J729"/>
    <mergeCell ref="G730:H730"/>
    <mergeCell ref="I730:J730"/>
    <mergeCell ref="G725:H725"/>
    <mergeCell ref="I725:J725"/>
    <mergeCell ref="G726:H726"/>
    <mergeCell ref="I726:J726"/>
    <mergeCell ref="G727:H727"/>
    <mergeCell ref="I727:J727"/>
  </mergeCells>
  <pageMargins left="0.78740157480314965" right="0.39370078740157483" top="1.1811023622047245" bottom="0.78740157480314965" header="0.31496062992125984" footer="0.31496062992125984"/>
  <pageSetup paperSize="9" scale="44" fitToHeight="0" orientation="portrait" r:id="rId1"/>
  <headerFooter>
    <oddHeader>&amp;C&amp;G</oddHead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6E2EC0-6959-4131-B18B-6BA166CB9B9F}">
  <sheetPr>
    <pageSetUpPr fitToPage="1"/>
  </sheetPr>
  <dimension ref="A1:S770"/>
  <sheetViews>
    <sheetView showGridLines="0" workbookViewId="0">
      <selection sqref="A1:J1"/>
    </sheetView>
  </sheetViews>
  <sheetFormatPr defaultRowHeight="14.4" x14ac:dyDescent="0.3"/>
  <cols>
    <col min="1" max="3" width="13.88671875" bestFit="1" customWidth="1"/>
    <col min="4" max="4" width="55.5546875" bestFit="1" customWidth="1"/>
    <col min="5" max="10" width="17.5546875" bestFit="1" customWidth="1"/>
    <col min="11" max="11" width="12" bestFit="1" customWidth="1"/>
    <col min="12" max="12" width="33.33203125" bestFit="1" customWidth="1"/>
    <col min="13" max="19" width="14.77734375" bestFit="1" customWidth="1"/>
  </cols>
  <sheetData>
    <row r="1" spans="1:19" x14ac:dyDescent="0.3">
      <c r="A1" s="33" t="str">
        <f>CIDADE</f>
        <v>MUNICÍPIO DE LAGOA DO PIAUI - PI</v>
      </c>
      <c r="B1" s="33"/>
      <c r="C1" s="33"/>
      <c r="D1" s="33"/>
      <c r="E1" s="33"/>
      <c r="F1" s="33"/>
      <c r="G1" s="33"/>
      <c r="H1" s="33"/>
      <c r="I1" s="33"/>
      <c r="J1" s="33"/>
    </row>
    <row r="2" spans="1:19" x14ac:dyDescent="0.3">
      <c r="A2" s="33" t="str">
        <f>OBRA</f>
        <v>IMPLANTAÇÃO DE 5 (CINCO) SISTEMAS SIMPLIFICADOS DE ABASTECIMENTO DE ÁGUA ZONA RURAL DO MUNICÍPIO DE LAGOA DO PIAUÍ-PI</v>
      </c>
      <c r="B2" s="33"/>
      <c r="C2" s="33"/>
      <c r="D2" s="33"/>
      <c r="E2" s="33"/>
      <c r="F2" s="33"/>
      <c r="G2" s="33"/>
      <c r="H2" s="33"/>
      <c r="I2" s="33"/>
      <c r="J2" s="33"/>
    </row>
    <row r="3" spans="1:19" x14ac:dyDescent="0.3">
      <c r="A3" s="33" t="s">
        <v>1092</v>
      </c>
      <c r="B3" s="33"/>
      <c r="C3" s="33"/>
      <c r="D3" s="33"/>
      <c r="E3" s="33"/>
      <c r="F3" s="33"/>
      <c r="G3" s="33"/>
      <c r="H3" s="33"/>
      <c r="I3" s="33"/>
      <c r="J3" s="33"/>
    </row>
    <row r="4" spans="1:19" x14ac:dyDescent="0.3">
      <c r="N4" s="34" t="s">
        <v>1014</v>
      </c>
      <c r="O4" s="36"/>
      <c r="P4" s="35"/>
      <c r="Q4" s="34" t="s">
        <v>1015</v>
      </c>
      <c r="R4" s="36"/>
      <c r="S4" s="35"/>
    </row>
    <row r="5" spans="1:19" x14ac:dyDescent="0.3">
      <c r="A5" s="1" t="s">
        <v>3</v>
      </c>
      <c r="B5" s="7" t="str">
        <f>FONTE&amp;FOLHA</f>
        <v>SINAPI PI 06/2025, SEINFRA CE 28, ORSE SE 05/2025, SEM DESONERAÇÃO</v>
      </c>
      <c r="C5" s="3"/>
      <c r="D5" s="3"/>
      <c r="E5" s="3"/>
      <c r="F5" s="3"/>
      <c r="G5" s="27" t="s">
        <v>10</v>
      </c>
      <c r="H5" s="8">
        <f>LEI</f>
        <v>113.33</v>
      </c>
      <c r="I5" s="1" t="s">
        <v>19</v>
      </c>
      <c r="J5" s="8">
        <f>BDI</f>
        <v>24.84</v>
      </c>
      <c r="M5" s="4" t="s">
        <v>138</v>
      </c>
      <c r="N5" s="4" t="s">
        <v>1016</v>
      </c>
      <c r="O5" s="4" t="s">
        <v>128</v>
      </c>
      <c r="P5" s="4" t="s">
        <v>1017</v>
      </c>
      <c r="Q5" s="4" t="s">
        <v>1016</v>
      </c>
      <c r="R5" s="4" t="s">
        <v>128</v>
      </c>
      <c r="S5" s="4" t="s">
        <v>1017</v>
      </c>
    </row>
    <row r="6" spans="1:19" x14ac:dyDescent="0.3">
      <c r="A6" s="4" t="s">
        <v>1018</v>
      </c>
      <c r="B6" s="4" t="s">
        <v>138</v>
      </c>
      <c r="C6" s="4" t="s">
        <v>139</v>
      </c>
      <c r="D6" s="4" t="s">
        <v>21</v>
      </c>
      <c r="E6" s="4" t="s">
        <v>140</v>
      </c>
      <c r="F6" s="4" t="s">
        <v>506</v>
      </c>
      <c r="G6" s="34" t="s">
        <v>1019</v>
      </c>
      <c r="H6" s="35"/>
      <c r="I6" s="34" t="s">
        <v>15</v>
      </c>
      <c r="J6" s="35"/>
    </row>
    <row r="7" spans="1:19" ht="30" customHeight="1" x14ac:dyDescent="0.3">
      <c r="A7" s="15" t="s">
        <v>1093</v>
      </c>
      <c r="B7" s="15">
        <v>90777</v>
      </c>
      <c r="C7" s="15" t="str">
        <f>VLOOKUP(B7,S!$A:$G,2,FALSE)</f>
        <v>SINAPI</v>
      </c>
      <c r="D7" s="22" t="str">
        <f>VLOOKUP(B7,S!$A:$G,3,FALSE)</f>
        <v>ENGENHEIRO CIVIL DE OBRA JUNIOR COM ENCARGOS COMPLEMENTARES</v>
      </c>
      <c r="E7" s="15" t="str">
        <f>VLOOKUP(B7,S!$A:$G,4,FALSE)</f>
        <v>H</v>
      </c>
      <c r="F7" s="15"/>
      <c r="G7" s="73">
        <f>I14</f>
        <v>129.24</v>
      </c>
      <c r="H7" s="74"/>
      <c r="I7" s="73"/>
      <c r="J7" s="74"/>
      <c r="K7" s="16">
        <f>VLOOKUP(B7,S!A:G,5,FALSE)</f>
        <v>129.24</v>
      </c>
      <c r="L7" s="15" t="str">
        <f>IF(K7=G7,"OK, CONFORME TABELA",IF(G7&gt;K7,"ACIMA DA TABELA: ","ABAIXO DA TABELA: ")&amp;TRUNC((G7*100)/K7,2)&amp;" %")</f>
        <v>OK, CONFORME TABELA</v>
      </c>
    </row>
    <row r="8" spans="1:19" ht="45" customHeight="1" x14ac:dyDescent="0.3">
      <c r="A8" s="23" t="s">
        <v>1022</v>
      </c>
      <c r="B8" s="23">
        <v>95402</v>
      </c>
      <c r="C8" s="23" t="str">
        <f>VLOOKUP(B8,IF(A8="COMPOSICAO",S!$A:$E,I!$A:$E),2,FALSE)</f>
        <v>SINAPI</v>
      </c>
      <c r="D8" s="24" t="str">
        <f>VLOOKUP(B8,IF(A8="COMPOSICAO",S!$A:$E,I!$A:$E),3,FALSE)</f>
        <v>CURSO DE CAPACITAÇÃO PARA ENGENHEIRO CIVIL DE OBRA JÚNIOR (ENCARGOS COMPLEMENTARES) - HORISTA</v>
      </c>
      <c r="E8" s="23" t="str">
        <f>VLOOKUP(B8,IF(A8="COMPOSICAO",S!$A:$E,I!$A:$E),4,FALSE)</f>
        <v>H</v>
      </c>
      <c r="F8" s="23">
        <v>1</v>
      </c>
      <c r="G8" s="71">
        <f>IF(A8="COMPOSICAO",VLOOKUP("TOTAL SEM BDI - "&amp;B8,CPUAUX2!$A:$J,9,FALSE),VLOOKUP(B8,I!$A:$E,5,FALSE))</f>
        <v>1.84</v>
      </c>
      <c r="H8" s="72"/>
      <c r="I8" s="71">
        <f t="shared" ref="I8:I13" si="0">TRUNC(F8*G8,2)</f>
        <v>1.84</v>
      </c>
      <c r="J8" s="72"/>
      <c r="M8" s="23">
        <f t="shared" ref="M8:M13" si="1">B8</f>
        <v>95402</v>
      </c>
      <c r="N8" s="23">
        <f>SUMIF(CPU!M:M,B7,CPU!O:O)</f>
        <v>72</v>
      </c>
      <c r="O8" s="23">
        <f t="shared" ref="O8:O13" si="2">F8*N8</f>
        <v>72</v>
      </c>
      <c r="Q8" s="23">
        <f ca="1">SUMIF(CPU!M:M,B7,CPU!R:R)</f>
        <v>28.799999999999997</v>
      </c>
      <c r="R8" s="23">
        <f t="shared" ref="R8:R13" ca="1" si="3">F8*Q8</f>
        <v>28.799999999999997</v>
      </c>
    </row>
    <row r="9" spans="1:19" ht="30" customHeight="1" x14ac:dyDescent="0.3">
      <c r="A9" s="23" t="s">
        <v>1025</v>
      </c>
      <c r="B9" s="23">
        <v>43486</v>
      </c>
      <c r="C9" s="23" t="str">
        <f>VLOOKUP(B9,IF(A9="COMPOSICAO",S!$A:$E,I!$A:$E),2,FALSE)</f>
        <v>SINAPI</v>
      </c>
      <c r="D9" s="24" t="str">
        <f>VLOOKUP(B9,IF(A9="COMPOSICAO",S!$A:$E,I!$A:$E),3,FALSE)</f>
        <v>EPI - FAMILIA ENGENHEIRO CIVIL - HORISTA (ENCARGOS COMPLEMENTARES - COLETADO CAIXA)</v>
      </c>
      <c r="E9" s="23" t="str">
        <f>VLOOKUP(B9,IF(A9="COMPOSICAO",S!$A:$E,I!$A:$E),4,FALSE)</f>
        <v>H</v>
      </c>
      <c r="F9" s="23">
        <v>1</v>
      </c>
      <c r="G9" s="71">
        <f>IF(A9="COMPOSICAO",VLOOKUP("TOTAL SEM BDI - "&amp;B9,CPUAUX2!$A:$J,9,FALSE),VLOOKUP(B9,I!$A:$E,5,FALSE))</f>
        <v>0.77</v>
      </c>
      <c r="H9" s="72"/>
      <c r="I9" s="71">
        <f t="shared" si="0"/>
        <v>0.77</v>
      </c>
      <c r="J9" s="72"/>
      <c r="M9" s="23">
        <f t="shared" si="1"/>
        <v>43486</v>
      </c>
      <c r="N9" s="23">
        <f>SUMIF(CPU!M:M,B7,CPU!O:O)</f>
        <v>72</v>
      </c>
      <c r="O9" s="23">
        <f t="shared" si="2"/>
        <v>72</v>
      </c>
      <c r="Q9" s="23">
        <f ca="1">SUMIF(CPU!M:M,B7,CPU!R:R)</f>
        <v>28.799999999999997</v>
      </c>
      <c r="R9" s="23">
        <f t="shared" ca="1" si="3"/>
        <v>28.799999999999997</v>
      </c>
    </row>
    <row r="10" spans="1:19" ht="45" customHeight="1" x14ac:dyDescent="0.3">
      <c r="A10" s="23" t="s">
        <v>1025</v>
      </c>
      <c r="B10" s="23">
        <v>43462</v>
      </c>
      <c r="C10" s="23" t="str">
        <f>VLOOKUP(B10,IF(A10="COMPOSICAO",S!$A:$E,I!$A:$E),2,FALSE)</f>
        <v>SINAPI</v>
      </c>
      <c r="D10" s="24" t="str">
        <f>VLOOKUP(B10,IF(A10="COMPOSICAO",S!$A:$E,I!$A:$E),3,FALSE)</f>
        <v>FERRAMENTAS - FAMILIA ENGENHEIRO CIVIL - HORISTA (ENCARGOS COMPLEMENTARES - COLETADO CAIXA)</v>
      </c>
      <c r="E10" s="23" t="str">
        <f>VLOOKUP(B10,IF(A10="COMPOSICAO",S!$A:$E,I!$A:$E),4,FALSE)</f>
        <v>H</v>
      </c>
      <c r="F10" s="23">
        <v>1</v>
      </c>
      <c r="G10" s="71">
        <f>IF(A10="COMPOSICAO",VLOOKUP("TOTAL SEM BDI - "&amp;B10,CPUAUX2!$A:$J,9,FALSE),VLOOKUP(B10,I!$A:$E,5,FALSE))</f>
        <v>0.01</v>
      </c>
      <c r="H10" s="72"/>
      <c r="I10" s="71">
        <f t="shared" si="0"/>
        <v>0.01</v>
      </c>
      <c r="J10" s="72"/>
      <c r="M10" s="23">
        <f t="shared" si="1"/>
        <v>43462</v>
      </c>
      <c r="N10" s="23">
        <f>SUMIF(CPU!M:M,B7,CPU!O:O)</f>
        <v>72</v>
      </c>
      <c r="O10" s="23">
        <f t="shared" si="2"/>
        <v>72</v>
      </c>
      <c r="Q10" s="23">
        <f ca="1">SUMIF(CPU!M:M,B7,CPU!R:R)</f>
        <v>28.799999999999997</v>
      </c>
      <c r="R10" s="23">
        <f t="shared" ca="1" si="3"/>
        <v>28.799999999999997</v>
      </c>
    </row>
    <row r="11" spans="1:19" ht="30" customHeight="1" x14ac:dyDescent="0.3">
      <c r="A11" s="23" t="s">
        <v>1025</v>
      </c>
      <c r="B11" s="23">
        <v>37373</v>
      </c>
      <c r="C11" s="23" t="str">
        <f>VLOOKUP(B11,IF(A11="COMPOSICAO",S!$A:$E,I!$A:$E),2,FALSE)</f>
        <v>SINAPI</v>
      </c>
      <c r="D11" s="24" t="str">
        <f>VLOOKUP(B11,IF(A11="COMPOSICAO",S!$A:$E,I!$A:$E),3,FALSE)</f>
        <v>SEGURO - HORISTA (COLETADO CAIXA - ENCARGOS COMPLEMENTARES)</v>
      </c>
      <c r="E11" s="23" t="str">
        <f>VLOOKUP(B11,IF(A11="COMPOSICAO",S!$A:$E,I!$A:$E),4,FALSE)</f>
        <v>H</v>
      </c>
      <c r="F11" s="23">
        <v>1</v>
      </c>
      <c r="G11" s="71">
        <f>IF(A11="COMPOSICAO",VLOOKUP("TOTAL SEM BDI - "&amp;B11,CPUAUX2!$A:$J,9,FALSE),VLOOKUP(B11,I!$A:$E,5,FALSE))</f>
        <v>0.08</v>
      </c>
      <c r="H11" s="72"/>
      <c r="I11" s="71">
        <f t="shared" si="0"/>
        <v>0.08</v>
      </c>
      <c r="J11" s="72"/>
      <c r="M11" s="23">
        <f t="shared" si="1"/>
        <v>37373</v>
      </c>
      <c r="N11" s="23">
        <f>SUMIF(CPU!M:M,B7,CPU!O:O)</f>
        <v>72</v>
      </c>
      <c r="O11" s="23">
        <f t="shared" si="2"/>
        <v>72</v>
      </c>
      <c r="Q11" s="23">
        <f ca="1">SUMIF(CPU!M:M,B7,CPU!R:R)</f>
        <v>28.799999999999997</v>
      </c>
      <c r="R11" s="23">
        <f t="shared" ca="1" si="3"/>
        <v>28.799999999999997</v>
      </c>
    </row>
    <row r="12" spans="1:19" ht="30" customHeight="1" x14ac:dyDescent="0.3">
      <c r="A12" s="23" t="s">
        <v>1025</v>
      </c>
      <c r="B12" s="23">
        <v>37372</v>
      </c>
      <c r="C12" s="23" t="str">
        <f>VLOOKUP(B12,IF(A12="COMPOSICAO",S!$A:$E,I!$A:$E),2,FALSE)</f>
        <v>SINAPI</v>
      </c>
      <c r="D12" s="24" t="str">
        <f>VLOOKUP(B12,IF(A12="COMPOSICAO",S!$A:$E,I!$A:$E),3,FALSE)</f>
        <v>EXAMES - HORISTA (COLETADO CAIXA - ENCARGOS COMPLEMENTARES)</v>
      </c>
      <c r="E12" s="23" t="str">
        <f>VLOOKUP(B12,IF(A12="COMPOSICAO",S!$A:$E,I!$A:$E),4,FALSE)</f>
        <v>H</v>
      </c>
      <c r="F12" s="23">
        <v>1</v>
      </c>
      <c r="G12" s="71">
        <f>IF(A12="COMPOSICAO",VLOOKUP("TOTAL SEM BDI - "&amp;B12,CPUAUX2!$A:$J,9,FALSE),VLOOKUP(B12,I!$A:$E,5,FALSE))</f>
        <v>1.43</v>
      </c>
      <c r="H12" s="72"/>
      <c r="I12" s="71">
        <f t="shared" si="0"/>
        <v>1.43</v>
      </c>
      <c r="J12" s="72"/>
      <c r="M12" s="23">
        <f t="shared" si="1"/>
        <v>37372</v>
      </c>
      <c r="N12" s="23">
        <f>SUMIF(CPU!M:M,B7,CPU!O:O)</f>
        <v>72</v>
      </c>
      <c r="O12" s="23">
        <f t="shared" si="2"/>
        <v>72</v>
      </c>
      <c r="Q12" s="23">
        <f ca="1">SUMIF(CPU!M:M,B7,CPU!R:R)</f>
        <v>28.799999999999997</v>
      </c>
      <c r="R12" s="23">
        <f t="shared" ca="1" si="3"/>
        <v>28.799999999999997</v>
      </c>
    </row>
    <row r="13" spans="1:19" x14ac:dyDescent="0.3">
      <c r="A13" s="23" t="s">
        <v>1025</v>
      </c>
      <c r="B13" s="23">
        <v>2706</v>
      </c>
      <c r="C13" s="23" t="str">
        <f>VLOOKUP(B13,IF(A13="COMPOSICAO",S!$A:$E,I!$A:$E),2,FALSE)</f>
        <v>SINAPI</v>
      </c>
      <c r="D13" s="24" t="str">
        <f>VLOOKUP(B13,IF(A13="COMPOSICAO",S!$A:$E,I!$A:$E),3,FALSE)</f>
        <v>ENGENHEIRO CIVIL DE OBRA JUNIOR (HORISTA)</v>
      </c>
      <c r="E13" s="23" t="str">
        <f>VLOOKUP(B13,IF(A13="COMPOSICAO",S!$A:$E,I!$A:$E),4,FALSE)</f>
        <v>H</v>
      </c>
      <c r="F13" s="23">
        <v>1</v>
      </c>
      <c r="G13" s="71">
        <f>IF(A13="COMPOSICAO",VLOOKUP("TOTAL SEM BDI - "&amp;B13,CPUAUX2!$A:$J,9,FALSE),VLOOKUP(B13,I!$A:$E,5,FALSE))</f>
        <v>125.11</v>
      </c>
      <c r="H13" s="72"/>
      <c r="I13" s="71">
        <f t="shared" si="0"/>
        <v>125.11</v>
      </c>
      <c r="J13" s="72"/>
      <c r="M13" s="23">
        <f t="shared" si="1"/>
        <v>2706</v>
      </c>
      <c r="N13" s="23">
        <f>SUMIF(CPU!M:M,B7,CPU!O:O)</f>
        <v>72</v>
      </c>
      <c r="O13" s="23">
        <f t="shared" si="2"/>
        <v>72</v>
      </c>
      <c r="Q13" s="23">
        <f ca="1">SUMIF(CPU!M:M,B7,CPU!R:R)</f>
        <v>28.799999999999997</v>
      </c>
      <c r="R13" s="23">
        <f t="shared" ca="1" si="3"/>
        <v>28.799999999999997</v>
      </c>
    </row>
    <row r="14" spans="1:19" x14ac:dyDescent="0.3">
      <c r="A14" s="68" t="str">
        <f>"TOTAL SEM BDI - "&amp;B7</f>
        <v>TOTAL SEM BDI - 90777</v>
      </c>
      <c r="B14" s="69"/>
      <c r="C14" s="69"/>
      <c r="D14" s="69"/>
      <c r="E14" s="69"/>
      <c r="F14" s="69"/>
      <c r="G14" s="69"/>
      <c r="H14" s="70"/>
      <c r="I14" s="71">
        <f>SUM(I7:I13)</f>
        <v>129.24</v>
      </c>
      <c r="J14" s="72"/>
    </row>
    <row r="16" spans="1:19" x14ac:dyDescent="0.3">
      <c r="A16" s="4" t="s">
        <v>1018</v>
      </c>
      <c r="B16" s="4" t="s">
        <v>138</v>
      </c>
      <c r="C16" s="4" t="s">
        <v>139</v>
      </c>
      <c r="D16" s="4" t="s">
        <v>21</v>
      </c>
      <c r="E16" s="4" t="s">
        <v>140</v>
      </c>
      <c r="F16" s="4" t="s">
        <v>506</v>
      </c>
      <c r="G16" s="34" t="s">
        <v>1019</v>
      </c>
      <c r="H16" s="35"/>
      <c r="I16" s="34" t="s">
        <v>15</v>
      </c>
      <c r="J16" s="35"/>
    </row>
    <row r="17" spans="1:18" ht="15" customHeight="1" x14ac:dyDescent="0.3">
      <c r="A17" s="15" t="s">
        <v>1093</v>
      </c>
      <c r="B17" s="15">
        <v>90776</v>
      </c>
      <c r="C17" s="15" t="str">
        <f>VLOOKUP(B17,S!$A:$G,2,FALSE)</f>
        <v>SINAPI</v>
      </c>
      <c r="D17" s="22" t="str">
        <f>VLOOKUP(B17,S!$A:$G,3,FALSE)</f>
        <v>ENCARREGADO GERAL COM ENCARGOS COMPLEMENTARES</v>
      </c>
      <c r="E17" s="15" t="str">
        <f>VLOOKUP(B17,S!$A:$G,4,FALSE)</f>
        <v>H</v>
      </c>
      <c r="F17" s="15"/>
      <c r="G17" s="73">
        <f>I24</f>
        <v>35.39</v>
      </c>
      <c r="H17" s="74"/>
      <c r="I17" s="73"/>
      <c r="J17" s="74"/>
      <c r="K17" s="16">
        <f>VLOOKUP(B17,S!A:G,5,FALSE)</f>
        <v>35.39</v>
      </c>
      <c r="L17" s="15" t="str">
        <f>IF(K17=G17,"OK, CONFORME TABELA",IF(G17&gt;K17,"ACIMA DA TABELA: ","ABAIXO DA TABELA: ")&amp;TRUNC((G17*100)/K17,2)&amp;" %")</f>
        <v>OK, CONFORME TABELA</v>
      </c>
    </row>
    <row r="18" spans="1:18" ht="30" customHeight="1" x14ac:dyDescent="0.3">
      <c r="A18" s="23" t="s">
        <v>1022</v>
      </c>
      <c r="B18" s="23">
        <v>95401</v>
      </c>
      <c r="C18" s="23" t="str">
        <f>VLOOKUP(B18,IF(A18="COMPOSICAO",S!$A:$E,I!$A:$E),2,FALSE)</f>
        <v>SINAPI</v>
      </c>
      <c r="D18" s="24" t="str">
        <f>VLOOKUP(B18,IF(A18="COMPOSICAO",S!$A:$E,I!$A:$E),3,FALSE)</f>
        <v>CURSO DE CAPACITAÇÃO PARA ENCARREGADO GERAL (ENCARGOS COMPLEMENTARES) - HORISTA</v>
      </c>
      <c r="E18" s="23" t="str">
        <f>VLOOKUP(B18,IF(A18="COMPOSICAO",S!$A:$E,I!$A:$E),4,FALSE)</f>
        <v>H</v>
      </c>
      <c r="F18" s="23">
        <v>1</v>
      </c>
      <c r="G18" s="71">
        <f>IF(A18="COMPOSICAO",VLOOKUP("TOTAL SEM BDI - "&amp;B18,CPUAUX2!$A:$J,9,FALSE),VLOOKUP(B18,I!$A:$E,5,FALSE))</f>
        <v>0.67</v>
      </c>
      <c r="H18" s="72"/>
      <c r="I18" s="71">
        <f t="shared" ref="I18:I23" si="4">TRUNC(F18*G18,2)</f>
        <v>0.67</v>
      </c>
      <c r="J18" s="72"/>
      <c r="M18" s="23">
        <f t="shared" ref="M18:M23" si="5">B18</f>
        <v>95401</v>
      </c>
      <c r="N18" s="23">
        <f>SUMIF(CPU!M:M,B17,CPU!O:O)</f>
        <v>300</v>
      </c>
      <c r="O18" s="23">
        <f t="shared" ref="O18:O23" si="6">F18*N18</f>
        <v>300</v>
      </c>
      <c r="Q18" s="23">
        <f ca="1">SUMIF(CPU!M:M,B17,CPU!R:R)</f>
        <v>120</v>
      </c>
      <c r="R18" s="23">
        <f t="shared" ref="R18:R23" ca="1" si="7">F18*Q18</f>
        <v>120</v>
      </c>
    </row>
    <row r="19" spans="1:18" ht="30" customHeight="1" x14ac:dyDescent="0.3">
      <c r="A19" s="23" t="s">
        <v>1025</v>
      </c>
      <c r="B19" s="23">
        <v>43487</v>
      </c>
      <c r="C19" s="23" t="str">
        <f>VLOOKUP(B19,IF(A19="COMPOSICAO",S!$A:$E,I!$A:$E),2,FALSE)</f>
        <v>SINAPI</v>
      </c>
      <c r="D19" s="24" t="str">
        <f>VLOOKUP(B19,IF(A19="COMPOSICAO",S!$A:$E,I!$A:$E),3,FALSE)</f>
        <v>EPI - FAMILIA ENCARREGADO GERAL - HORISTA (ENCARGOS COMPLEMENTARES - COLETADO CAIXA)</v>
      </c>
      <c r="E19" s="23" t="str">
        <f>VLOOKUP(B19,IF(A19="COMPOSICAO",S!$A:$E,I!$A:$E),4,FALSE)</f>
        <v>H</v>
      </c>
      <c r="F19" s="23">
        <v>1</v>
      </c>
      <c r="G19" s="71">
        <f>IF(A19="COMPOSICAO",VLOOKUP("TOTAL SEM BDI - "&amp;B19,CPUAUX2!$A:$J,9,FALSE),VLOOKUP(B19,I!$A:$E,5,FALSE))</f>
        <v>1.28</v>
      </c>
      <c r="H19" s="72"/>
      <c r="I19" s="71">
        <f t="shared" si="4"/>
        <v>1.28</v>
      </c>
      <c r="J19" s="72"/>
      <c r="M19" s="23">
        <f t="shared" si="5"/>
        <v>43487</v>
      </c>
      <c r="N19" s="23">
        <f>SUMIF(CPU!M:M,B17,CPU!O:O)</f>
        <v>300</v>
      </c>
      <c r="O19" s="23">
        <f t="shared" si="6"/>
        <v>300</v>
      </c>
      <c r="Q19" s="23">
        <f ca="1">SUMIF(CPU!M:M,B17,CPU!R:R)</f>
        <v>120</v>
      </c>
      <c r="R19" s="23">
        <f t="shared" ca="1" si="7"/>
        <v>120</v>
      </c>
    </row>
    <row r="20" spans="1:18" ht="45" customHeight="1" x14ac:dyDescent="0.3">
      <c r="A20" s="23" t="s">
        <v>1025</v>
      </c>
      <c r="B20" s="23">
        <v>43463</v>
      </c>
      <c r="C20" s="23" t="str">
        <f>VLOOKUP(B20,IF(A20="COMPOSICAO",S!$A:$E,I!$A:$E),2,FALSE)</f>
        <v>SINAPI</v>
      </c>
      <c r="D20" s="24" t="str">
        <f>VLOOKUP(B20,IF(A20="COMPOSICAO",S!$A:$E,I!$A:$E),3,FALSE)</f>
        <v>FERRAMENTAS - FAMILIA ENCARREGADO GERAL - HORISTA (ENCARGOS COMPLEMENTARES - COLETADO CAIXA)</v>
      </c>
      <c r="E20" s="23" t="str">
        <f>VLOOKUP(B20,IF(A20="COMPOSICAO",S!$A:$E,I!$A:$E),4,FALSE)</f>
        <v>H</v>
      </c>
      <c r="F20" s="23">
        <v>1</v>
      </c>
      <c r="G20" s="71">
        <f>IF(A20="COMPOSICAO",VLOOKUP("TOTAL SEM BDI - "&amp;B20,CPUAUX2!$A:$J,9,FALSE),VLOOKUP(B20,I!$A:$E,5,FALSE))</f>
        <v>0.08</v>
      </c>
      <c r="H20" s="72"/>
      <c r="I20" s="71">
        <f t="shared" si="4"/>
        <v>0.08</v>
      </c>
      <c r="J20" s="72"/>
      <c r="M20" s="23">
        <f t="shared" si="5"/>
        <v>43463</v>
      </c>
      <c r="N20" s="23">
        <f>SUMIF(CPU!M:M,B17,CPU!O:O)</f>
        <v>300</v>
      </c>
      <c r="O20" s="23">
        <f t="shared" si="6"/>
        <v>300</v>
      </c>
      <c r="Q20" s="23">
        <f ca="1">SUMIF(CPU!M:M,B17,CPU!R:R)</f>
        <v>120</v>
      </c>
      <c r="R20" s="23">
        <f t="shared" ca="1" si="7"/>
        <v>120</v>
      </c>
    </row>
    <row r="21" spans="1:18" ht="30" customHeight="1" x14ac:dyDescent="0.3">
      <c r="A21" s="23" t="s">
        <v>1025</v>
      </c>
      <c r="B21" s="23">
        <v>37373</v>
      </c>
      <c r="C21" s="23" t="str">
        <f>VLOOKUP(B21,IF(A21="COMPOSICAO",S!$A:$E,I!$A:$E),2,FALSE)</f>
        <v>SINAPI</v>
      </c>
      <c r="D21" s="24" t="str">
        <f>VLOOKUP(B21,IF(A21="COMPOSICAO",S!$A:$E,I!$A:$E),3,FALSE)</f>
        <v>SEGURO - HORISTA (COLETADO CAIXA - ENCARGOS COMPLEMENTARES)</v>
      </c>
      <c r="E21" s="23" t="str">
        <f>VLOOKUP(B21,IF(A21="COMPOSICAO",S!$A:$E,I!$A:$E),4,FALSE)</f>
        <v>H</v>
      </c>
      <c r="F21" s="23">
        <v>1</v>
      </c>
      <c r="G21" s="71">
        <f>IF(A21="COMPOSICAO",VLOOKUP("TOTAL SEM BDI - "&amp;B21,CPUAUX2!$A:$J,9,FALSE),VLOOKUP(B21,I!$A:$E,5,FALSE))</f>
        <v>0.08</v>
      </c>
      <c r="H21" s="72"/>
      <c r="I21" s="71">
        <f t="shared" si="4"/>
        <v>0.08</v>
      </c>
      <c r="J21" s="72"/>
      <c r="M21" s="23">
        <f t="shared" si="5"/>
        <v>37373</v>
      </c>
      <c r="N21" s="23">
        <f>SUMIF(CPU!M:M,B17,CPU!O:O)</f>
        <v>300</v>
      </c>
      <c r="O21" s="23">
        <f t="shared" si="6"/>
        <v>300</v>
      </c>
      <c r="Q21" s="23">
        <f ca="1">SUMIF(CPU!M:M,B17,CPU!R:R)</f>
        <v>120</v>
      </c>
      <c r="R21" s="23">
        <f t="shared" ca="1" si="7"/>
        <v>120</v>
      </c>
    </row>
    <row r="22" spans="1:18" ht="30" customHeight="1" x14ac:dyDescent="0.3">
      <c r="A22" s="23" t="s">
        <v>1025</v>
      </c>
      <c r="B22" s="23">
        <v>37372</v>
      </c>
      <c r="C22" s="23" t="str">
        <f>VLOOKUP(B22,IF(A22="COMPOSICAO",S!$A:$E,I!$A:$E),2,FALSE)</f>
        <v>SINAPI</v>
      </c>
      <c r="D22" s="24" t="str">
        <f>VLOOKUP(B22,IF(A22="COMPOSICAO",S!$A:$E,I!$A:$E),3,FALSE)</f>
        <v>EXAMES - HORISTA (COLETADO CAIXA - ENCARGOS COMPLEMENTARES)</v>
      </c>
      <c r="E22" s="23" t="str">
        <f>VLOOKUP(B22,IF(A22="COMPOSICAO",S!$A:$E,I!$A:$E),4,FALSE)</f>
        <v>H</v>
      </c>
      <c r="F22" s="23">
        <v>1</v>
      </c>
      <c r="G22" s="71">
        <f>IF(A22="COMPOSICAO",VLOOKUP("TOTAL SEM BDI - "&amp;B22,CPUAUX2!$A:$J,9,FALSE),VLOOKUP(B22,I!$A:$E,5,FALSE))</f>
        <v>1.43</v>
      </c>
      <c r="H22" s="72"/>
      <c r="I22" s="71">
        <f t="shared" si="4"/>
        <v>1.43</v>
      </c>
      <c r="J22" s="72"/>
      <c r="M22" s="23">
        <f t="shared" si="5"/>
        <v>37372</v>
      </c>
      <c r="N22" s="23">
        <f>SUMIF(CPU!M:M,B17,CPU!O:O)</f>
        <v>300</v>
      </c>
      <c r="O22" s="23">
        <f t="shared" si="6"/>
        <v>300</v>
      </c>
      <c r="Q22" s="23">
        <f ca="1">SUMIF(CPU!M:M,B17,CPU!R:R)</f>
        <v>120</v>
      </c>
      <c r="R22" s="23">
        <f t="shared" ca="1" si="7"/>
        <v>120</v>
      </c>
    </row>
    <row r="23" spans="1:18" x14ac:dyDescent="0.3">
      <c r="A23" s="23" t="s">
        <v>1025</v>
      </c>
      <c r="B23" s="23">
        <v>4083</v>
      </c>
      <c r="C23" s="23" t="str">
        <f>VLOOKUP(B23,IF(A23="COMPOSICAO",S!$A:$E,I!$A:$E),2,FALSE)</f>
        <v>SINAPI</v>
      </c>
      <c r="D23" s="24" t="str">
        <f>VLOOKUP(B23,IF(A23="COMPOSICAO",S!$A:$E,I!$A:$E),3,FALSE)</f>
        <v>ENCARREGADO GERAL DE OBRAS (HORISTA)</v>
      </c>
      <c r="E23" s="23" t="str">
        <f>VLOOKUP(B23,IF(A23="COMPOSICAO",S!$A:$E,I!$A:$E),4,FALSE)</f>
        <v>H</v>
      </c>
      <c r="F23" s="23">
        <v>1</v>
      </c>
      <c r="G23" s="71">
        <f>IF(A23="COMPOSICAO",VLOOKUP("TOTAL SEM BDI - "&amp;B23,CPUAUX2!$A:$J,9,FALSE),VLOOKUP(B23,I!$A:$E,5,FALSE))</f>
        <v>31.85</v>
      </c>
      <c r="H23" s="72"/>
      <c r="I23" s="71">
        <f t="shared" si="4"/>
        <v>31.85</v>
      </c>
      <c r="J23" s="72"/>
      <c r="M23" s="23">
        <f t="shared" si="5"/>
        <v>4083</v>
      </c>
      <c r="N23" s="23">
        <f>SUMIF(CPU!M:M,B17,CPU!O:O)</f>
        <v>300</v>
      </c>
      <c r="O23" s="23">
        <f t="shared" si="6"/>
        <v>300</v>
      </c>
      <c r="Q23" s="23">
        <f ca="1">SUMIF(CPU!M:M,B17,CPU!R:R)</f>
        <v>120</v>
      </c>
      <c r="R23" s="23">
        <f t="shared" ca="1" si="7"/>
        <v>120</v>
      </c>
    </row>
    <row r="24" spans="1:18" x14ac:dyDescent="0.3">
      <c r="A24" s="68" t="str">
        <f>"TOTAL SEM BDI - "&amp;B17</f>
        <v>TOTAL SEM BDI - 90776</v>
      </c>
      <c r="B24" s="69"/>
      <c r="C24" s="69"/>
      <c r="D24" s="69"/>
      <c r="E24" s="69"/>
      <c r="F24" s="69"/>
      <c r="G24" s="69"/>
      <c r="H24" s="70"/>
      <c r="I24" s="71">
        <f>SUM(I17:I23)</f>
        <v>35.39</v>
      </c>
      <c r="J24" s="72"/>
    </row>
    <row r="26" spans="1:18" x14ac:dyDescent="0.3">
      <c r="A26" s="4" t="s">
        <v>1018</v>
      </c>
      <c r="B26" s="4" t="s">
        <v>138</v>
      </c>
      <c r="C26" s="4" t="s">
        <v>139</v>
      </c>
      <c r="D26" s="4" t="s">
        <v>21</v>
      </c>
      <c r="E26" s="4" t="s">
        <v>140</v>
      </c>
      <c r="F26" s="4" t="s">
        <v>506</v>
      </c>
      <c r="G26" s="34" t="s">
        <v>1019</v>
      </c>
      <c r="H26" s="35"/>
      <c r="I26" s="34" t="s">
        <v>15</v>
      </c>
      <c r="J26" s="35"/>
    </row>
    <row r="27" spans="1:18" x14ac:dyDescent="0.3">
      <c r="A27" s="15" t="s">
        <v>1093</v>
      </c>
      <c r="B27" s="15">
        <v>90766</v>
      </c>
      <c r="C27" s="15" t="str">
        <f>VLOOKUP(B27,S!$A:$G,2,FALSE)</f>
        <v>SINAPI</v>
      </c>
      <c r="D27" s="22" t="str">
        <f>VLOOKUP(B27,S!$A:$G,3,FALSE)</f>
        <v>ALMOXARIFE COM ENCARGOS COMPLEMENTARES</v>
      </c>
      <c r="E27" s="15" t="str">
        <f>VLOOKUP(B27,S!$A:$G,4,FALSE)</f>
        <v>H</v>
      </c>
      <c r="F27" s="15"/>
      <c r="G27" s="73">
        <f>I34</f>
        <v>22.81</v>
      </c>
      <c r="H27" s="74"/>
      <c r="I27" s="73"/>
      <c r="J27" s="74"/>
      <c r="K27" s="16">
        <f>VLOOKUP(B27,S!A:G,5,FALSE)</f>
        <v>22.81</v>
      </c>
      <c r="L27" s="15" t="str">
        <f>IF(K27=G27,"OK, CONFORME TABELA",IF(G27&gt;K27,"ACIMA DA TABELA: ","ABAIXO DA TABELA: ")&amp;TRUNC((G27*100)/K27,2)&amp;" %")</f>
        <v>OK, CONFORME TABELA</v>
      </c>
    </row>
    <row r="28" spans="1:18" ht="30" customHeight="1" x14ac:dyDescent="0.3">
      <c r="A28" s="23" t="s">
        <v>1022</v>
      </c>
      <c r="B28" s="23">
        <v>95392</v>
      </c>
      <c r="C28" s="23" t="str">
        <f>VLOOKUP(B28,IF(A28="COMPOSICAO",S!$A:$E,I!$A:$E),2,FALSE)</f>
        <v>SINAPI</v>
      </c>
      <c r="D28" s="24" t="str">
        <f>VLOOKUP(B28,IF(A28="COMPOSICAO",S!$A:$E,I!$A:$E),3,FALSE)</f>
        <v>CURSO DE CAPACITAÇÃO PARA ALMOXARIFE (ENCARGOS COMPLEMENTARES) - HORISTA</v>
      </c>
      <c r="E28" s="23" t="str">
        <f>VLOOKUP(B28,IF(A28="COMPOSICAO",S!$A:$E,I!$A:$E),4,FALSE)</f>
        <v>H</v>
      </c>
      <c r="F28" s="23">
        <v>1</v>
      </c>
      <c r="G28" s="71">
        <f>IF(A28="COMPOSICAO",VLOOKUP("TOTAL SEM BDI - "&amp;B28,CPUAUX2!$A:$J,9,FALSE),VLOOKUP(B28,I!$A:$E,5,FALSE))</f>
        <v>0.1</v>
      </c>
      <c r="H28" s="72"/>
      <c r="I28" s="71">
        <f t="shared" ref="I28:I33" si="8">TRUNC(F28*G28,2)</f>
        <v>0.1</v>
      </c>
      <c r="J28" s="72"/>
      <c r="M28" s="23">
        <f t="shared" ref="M28:M33" si="9">B28</f>
        <v>95392</v>
      </c>
      <c r="N28" s="23">
        <f>SUMIF(CPU!M:M,B27,CPU!O:O)</f>
        <v>300</v>
      </c>
      <c r="O28" s="23">
        <f t="shared" ref="O28:O33" si="10">F28*N28</f>
        <v>300</v>
      </c>
      <c r="Q28" s="23">
        <f ca="1">SUMIF(CPU!M:M,B27,CPU!R:R)</f>
        <v>120</v>
      </c>
      <c r="R28" s="23">
        <f t="shared" ref="R28:R33" ca="1" si="11">F28*Q28</f>
        <v>120</v>
      </c>
    </row>
    <row r="29" spans="1:18" ht="30" customHeight="1" x14ac:dyDescent="0.3">
      <c r="A29" s="23" t="s">
        <v>1025</v>
      </c>
      <c r="B29" s="23">
        <v>43482</v>
      </c>
      <c r="C29" s="23" t="str">
        <f>VLOOKUP(B29,IF(A29="COMPOSICAO",S!$A:$E,I!$A:$E),2,FALSE)</f>
        <v>SINAPI</v>
      </c>
      <c r="D29" s="24" t="str">
        <f>VLOOKUP(B29,IF(A29="COMPOSICAO",S!$A:$E,I!$A:$E),3,FALSE)</f>
        <v>EPI - FAMILIA ALMOXARIFE - HORISTA (ENCARGOS COMPLEMENTARES - COLETADO CAIXA)</v>
      </c>
      <c r="E29" s="23" t="str">
        <f>VLOOKUP(B29,IF(A29="COMPOSICAO",S!$A:$E,I!$A:$E),4,FALSE)</f>
        <v>H</v>
      </c>
      <c r="F29" s="23">
        <v>1</v>
      </c>
      <c r="G29" s="71">
        <f>IF(A29="COMPOSICAO",VLOOKUP("TOTAL SEM BDI - "&amp;B29,CPUAUX2!$A:$J,9,FALSE),VLOOKUP(B29,I!$A:$E,5,FALSE))</f>
        <v>0.81</v>
      </c>
      <c r="H29" s="72"/>
      <c r="I29" s="71">
        <f t="shared" si="8"/>
        <v>0.81</v>
      </c>
      <c r="J29" s="72"/>
      <c r="M29" s="23">
        <f t="shared" si="9"/>
        <v>43482</v>
      </c>
      <c r="N29" s="23">
        <f>SUMIF(CPU!M:M,B27,CPU!O:O)</f>
        <v>300</v>
      </c>
      <c r="O29" s="23">
        <f t="shared" si="10"/>
        <v>300</v>
      </c>
      <c r="Q29" s="23">
        <f ca="1">SUMIF(CPU!M:M,B27,CPU!R:R)</f>
        <v>120</v>
      </c>
      <c r="R29" s="23">
        <f t="shared" ca="1" si="11"/>
        <v>120</v>
      </c>
    </row>
    <row r="30" spans="1:18" ht="30" customHeight="1" x14ac:dyDescent="0.3">
      <c r="A30" s="23" t="s">
        <v>1025</v>
      </c>
      <c r="B30" s="23">
        <v>43458</v>
      </c>
      <c r="C30" s="23" t="str">
        <f>VLOOKUP(B30,IF(A30="COMPOSICAO",S!$A:$E,I!$A:$E),2,FALSE)</f>
        <v>SINAPI</v>
      </c>
      <c r="D30" s="24" t="str">
        <f>VLOOKUP(B30,IF(A30="COMPOSICAO",S!$A:$E,I!$A:$E),3,FALSE)</f>
        <v>FERRAMENTAS - FAMILIA ALMOXARIFE - HORISTA (ENCARGOS COMPLEMENTARES - COLETADO CAIXA)</v>
      </c>
      <c r="E30" s="23" t="str">
        <f>VLOOKUP(B30,IF(A30="COMPOSICAO",S!$A:$E,I!$A:$E),4,FALSE)</f>
        <v>H</v>
      </c>
      <c r="F30" s="23">
        <v>1</v>
      </c>
      <c r="G30" s="71">
        <f>IF(A30="COMPOSICAO",VLOOKUP("TOTAL SEM BDI - "&amp;B30,CPUAUX2!$A:$J,9,FALSE),VLOOKUP(B30,I!$A:$E,5,FALSE))</f>
        <v>0.06</v>
      </c>
      <c r="H30" s="72"/>
      <c r="I30" s="71">
        <f t="shared" si="8"/>
        <v>0.06</v>
      </c>
      <c r="J30" s="72"/>
      <c r="M30" s="23">
        <f t="shared" si="9"/>
        <v>43458</v>
      </c>
      <c r="N30" s="23">
        <f>SUMIF(CPU!M:M,B27,CPU!O:O)</f>
        <v>300</v>
      </c>
      <c r="O30" s="23">
        <f t="shared" si="10"/>
        <v>300</v>
      </c>
      <c r="Q30" s="23">
        <f ca="1">SUMIF(CPU!M:M,B27,CPU!R:R)</f>
        <v>120</v>
      </c>
      <c r="R30" s="23">
        <f t="shared" ca="1" si="11"/>
        <v>120</v>
      </c>
    </row>
    <row r="31" spans="1:18" ht="30" customHeight="1" x14ac:dyDescent="0.3">
      <c r="A31" s="23" t="s">
        <v>1025</v>
      </c>
      <c r="B31" s="23">
        <v>37373</v>
      </c>
      <c r="C31" s="23" t="str">
        <f>VLOOKUP(B31,IF(A31="COMPOSICAO",S!$A:$E,I!$A:$E),2,FALSE)</f>
        <v>SINAPI</v>
      </c>
      <c r="D31" s="24" t="str">
        <f>VLOOKUP(B31,IF(A31="COMPOSICAO",S!$A:$E,I!$A:$E),3,FALSE)</f>
        <v>SEGURO - HORISTA (COLETADO CAIXA - ENCARGOS COMPLEMENTARES)</v>
      </c>
      <c r="E31" s="23" t="str">
        <f>VLOOKUP(B31,IF(A31="COMPOSICAO",S!$A:$E,I!$A:$E),4,FALSE)</f>
        <v>H</v>
      </c>
      <c r="F31" s="23">
        <v>1</v>
      </c>
      <c r="G31" s="71">
        <f>IF(A31="COMPOSICAO",VLOOKUP("TOTAL SEM BDI - "&amp;B31,CPUAUX2!$A:$J,9,FALSE),VLOOKUP(B31,I!$A:$E,5,FALSE))</f>
        <v>0.08</v>
      </c>
      <c r="H31" s="72"/>
      <c r="I31" s="71">
        <f t="shared" si="8"/>
        <v>0.08</v>
      </c>
      <c r="J31" s="72"/>
      <c r="M31" s="23">
        <f t="shared" si="9"/>
        <v>37373</v>
      </c>
      <c r="N31" s="23">
        <f>SUMIF(CPU!M:M,B27,CPU!O:O)</f>
        <v>300</v>
      </c>
      <c r="O31" s="23">
        <f t="shared" si="10"/>
        <v>300</v>
      </c>
      <c r="Q31" s="23">
        <f ca="1">SUMIF(CPU!M:M,B27,CPU!R:R)</f>
        <v>120</v>
      </c>
      <c r="R31" s="23">
        <f t="shared" ca="1" si="11"/>
        <v>120</v>
      </c>
    </row>
    <row r="32" spans="1:18" ht="30" customHeight="1" x14ac:dyDescent="0.3">
      <c r="A32" s="23" t="s">
        <v>1025</v>
      </c>
      <c r="B32" s="23">
        <v>37372</v>
      </c>
      <c r="C32" s="23" t="str">
        <f>VLOOKUP(B32,IF(A32="COMPOSICAO",S!$A:$E,I!$A:$E),2,FALSE)</f>
        <v>SINAPI</v>
      </c>
      <c r="D32" s="24" t="str">
        <f>VLOOKUP(B32,IF(A32="COMPOSICAO",S!$A:$E,I!$A:$E),3,FALSE)</f>
        <v>EXAMES - HORISTA (COLETADO CAIXA - ENCARGOS COMPLEMENTARES)</v>
      </c>
      <c r="E32" s="23" t="str">
        <f>VLOOKUP(B32,IF(A32="COMPOSICAO",S!$A:$E,I!$A:$E),4,FALSE)</f>
        <v>H</v>
      </c>
      <c r="F32" s="23">
        <v>1</v>
      </c>
      <c r="G32" s="71">
        <f>IF(A32="COMPOSICAO",VLOOKUP("TOTAL SEM BDI - "&amp;B32,CPUAUX2!$A:$J,9,FALSE),VLOOKUP(B32,I!$A:$E,5,FALSE))</f>
        <v>1.43</v>
      </c>
      <c r="H32" s="72"/>
      <c r="I32" s="71">
        <f t="shared" si="8"/>
        <v>1.43</v>
      </c>
      <c r="J32" s="72"/>
      <c r="M32" s="23">
        <f t="shared" si="9"/>
        <v>37372</v>
      </c>
      <c r="N32" s="23">
        <f>SUMIF(CPU!M:M,B27,CPU!O:O)</f>
        <v>300</v>
      </c>
      <c r="O32" s="23">
        <f t="shared" si="10"/>
        <v>300</v>
      </c>
      <c r="Q32" s="23">
        <f ca="1">SUMIF(CPU!M:M,B27,CPU!R:R)</f>
        <v>120</v>
      </c>
      <c r="R32" s="23">
        <f t="shared" ca="1" si="11"/>
        <v>120</v>
      </c>
    </row>
    <row r="33" spans="1:18" x14ac:dyDescent="0.3">
      <c r="A33" s="23" t="s">
        <v>1025</v>
      </c>
      <c r="B33" s="23">
        <v>253</v>
      </c>
      <c r="C33" s="23" t="str">
        <f>VLOOKUP(B33,IF(A33="COMPOSICAO",S!$A:$E,I!$A:$E),2,FALSE)</f>
        <v>SINAPI</v>
      </c>
      <c r="D33" s="24" t="str">
        <f>VLOOKUP(B33,IF(A33="COMPOSICAO",S!$A:$E,I!$A:$E),3,FALSE)</f>
        <v>ALMOXARIFE (HORISTA)</v>
      </c>
      <c r="E33" s="23" t="str">
        <f>VLOOKUP(B33,IF(A33="COMPOSICAO",S!$A:$E,I!$A:$E),4,FALSE)</f>
        <v>H</v>
      </c>
      <c r="F33" s="23">
        <v>1</v>
      </c>
      <c r="G33" s="71">
        <f>IF(A33="COMPOSICAO",VLOOKUP("TOTAL SEM BDI - "&amp;B33,CPUAUX2!$A:$J,9,FALSE),VLOOKUP(B33,I!$A:$E,5,FALSE))</f>
        <v>20.329999999999998</v>
      </c>
      <c r="H33" s="72"/>
      <c r="I33" s="71">
        <f t="shared" si="8"/>
        <v>20.329999999999998</v>
      </c>
      <c r="J33" s="72"/>
      <c r="M33" s="23">
        <f t="shared" si="9"/>
        <v>253</v>
      </c>
      <c r="N33" s="23">
        <f>SUMIF(CPU!M:M,B27,CPU!O:O)</f>
        <v>300</v>
      </c>
      <c r="O33" s="23">
        <f t="shared" si="10"/>
        <v>300</v>
      </c>
      <c r="Q33" s="23">
        <f ca="1">SUMIF(CPU!M:M,B27,CPU!R:R)</f>
        <v>120</v>
      </c>
      <c r="R33" s="23">
        <f t="shared" ca="1" si="11"/>
        <v>120</v>
      </c>
    </row>
    <row r="34" spans="1:18" x14ac:dyDescent="0.3">
      <c r="A34" s="68" t="str">
        <f>"TOTAL SEM BDI - "&amp;B27</f>
        <v>TOTAL SEM BDI - 90766</v>
      </c>
      <c r="B34" s="69"/>
      <c r="C34" s="69"/>
      <c r="D34" s="69"/>
      <c r="E34" s="69"/>
      <c r="F34" s="69"/>
      <c r="G34" s="69"/>
      <c r="H34" s="70"/>
      <c r="I34" s="71">
        <f>SUM(I27:I33)</f>
        <v>22.81</v>
      </c>
      <c r="J34" s="72"/>
    </row>
    <row r="36" spans="1:18" x14ac:dyDescent="0.3">
      <c r="A36" s="4" t="s">
        <v>1018</v>
      </c>
      <c r="B36" s="4" t="s">
        <v>138</v>
      </c>
      <c r="C36" s="4" t="s">
        <v>139</v>
      </c>
      <c r="D36" s="4" t="s">
        <v>21</v>
      </c>
      <c r="E36" s="4" t="s">
        <v>140</v>
      </c>
      <c r="F36" s="4" t="s">
        <v>506</v>
      </c>
      <c r="G36" s="34" t="s">
        <v>1019</v>
      </c>
      <c r="H36" s="35"/>
      <c r="I36" s="34" t="s">
        <v>15</v>
      </c>
      <c r="J36" s="35"/>
    </row>
    <row r="37" spans="1:18" x14ac:dyDescent="0.3">
      <c r="A37" s="15" t="s">
        <v>1093</v>
      </c>
      <c r="B37" s="15">
        <v>88316</v>
      </c>
      <c r="C37" s="15" t="str">
        <f>VLOOKUP(B37,S!$A:$G,2,FALSE)</f>
        <v>SINAPI</v>
      </c>
      <c r="D37" s="22" t="str">
        <f>VLOOKUP(B37,S!$A:$G,3,FALSE)</f>
        <v>SERVENTE COM ENCARGOS COMPLEMENTARES</v>
      </c>
      <c r="E37" s="15" t="str">
        <f>VLOOKUP(B37,S!$A:$G,4,FALSE)</f>
        <v>H</v>
      </c>
      <c r="F37" s="15"/>
      <c r="G37" s="73">
        <f>I46</f>
        <v>21.71</v>
      </c>
      <c r="H37" s="74"/>
      <c r="I37" s="73"/>
      <c r="J37" s="74"/>
      <c r="K37" s="16">
        <f>VLOOKUP(B37,S!A:G,5,FALSE)</f>
        <v>21.71</v>
      </c>
      <c r="L37" s="15" t="str">
        <f>IF(K37=G37,"OK, CONFORME TABELA",IF(G37&gt;K37,"ACIMA DA TABELA: ","ABAIXO DA TABELA: ")&amp;TRUNC((G37*100)/K37,2)&amp;" %")</f>
        <v>OK, CONFORME TABELA</v>
      </c>
    </row>
    <row r="38" spans="1:18" ht="30" customHeight="1" x14ac:dyDescent="0.3">
      <c r="A38" s="23" t="s">
        <v>1022</v>
      </c>
      <c r="B38" s="23">
        <v>95378</v>
      </c>
      <c r="C38" s="23" t="str">
        <f>VLOOKUP(B38,IF(A38="COMPOSICAO",S!$A:$E,I!$A:$E),2,FALSE)</f>
        <v>SINAPI</v>
      </c>
      <c r="D38" s="24" t="str">
        <f>VLOOKUP(B38,IF(A38="COMPOSICAO",S!$A:$E,I!$A:$E),3,FALSE)</f>
        <v>CURSO DE CAPACITAÇÃO PARA SERVENTE (ENCARGOS COMPLEMENTARES) - HORISTA</v>
      </c>
      <c r="E38" s="23" t="str">
        <f>VLOOKUP(B38,IF(A38="COMPOSICAO",S!$A:$E,I!$A:$E),4,FALSE)</f>
        <v>H</v>
      </c>
      <c r="F38" s="23">
        <v>1</v>
      </c>
      <c r="G38" s="71">
        <f>IF(A38="COMPOSICAO",VLOOKUP("TOTAL SEM BDI - "&amp;B38,CPUAUX2!$A:$J,9,FALSE),VLOOKUP(B38,I!$A:$E,5,FALSE))</f>
        <v>0.31</v>
      </c>
      <c r="H38" s="72"/>
      <c r="I38" s="71">
        <f t="shared" ref="I38:I45" si="12">TRUNC(F38*G38,2)</f>
        <v>0.31</v>
      </c>
      <c r="J38" s="72"/>
      <c r="M38" s="23">
        <f t="shared" ref="M38:M45" si="13">B38</f>
        <v>95378</v>
      </c>
      <c r="N38" s="23">
        <f>SUMIF(CPU!M:M,B37,CPU!O:O)</f>
        <v>3361.5627940500003</v>
      </c>
      <c r="O38" s="23">
        <f t="shared" ref="O38:O45" si="14">F38*N38</f>
        <v>3361.5627940500003</v>
      </c>
      <c r="Q38" s="23">
        <f ca="1">SUMIF(CPU!M:M,B37,CPU!R:R)</f>
        <v>1352.4011176199999</v>
      </c>
      <c r="R38" s="23">
        <f t="shared" ref="R38:R45" ca="1" si="15">F38*Q38</f>
        <v>1352.4011176199999</v>
      </c>
    </row>
    <row r="39" spans="1:18" ht="30" customHeight="1" x14ac:dyDescent="0.3">
      <c r="A39" s="23" t="s">
        <v>1025</v>
      </c>
      <c r="B39" s="23">
        <v>43491</v>
      </c>
      <c r="C39" s="23" t="str">
        <f>VLOOKUP(B39,IF(A39="COMPOSICAO",S!$A:$E,I!$A:$E),2,FALSE)</f>
        <v>SINAPI</v>
      </c>
      <c r="D39" s="24" t="str">
        <f>VLOOKUP(B39,IF(A39="COMPOSICAO",S!$A:$E,I!$A:$E),3,FALSE)</f>
        <v>EPI - FAMILIA SERVENTE - HORISTA (ENCARGOS COMPLEMENTARES - COLETADO CAIXA)</v>
      </c>
      <c r="E39" s="23" t="str">
        <f>VLOOKUP(B39,IF(A39="COMPOSICAO",S!$A:$E,I!$A:$E),4,FALSE)</f>
        <v>H</v>
      </c>
      <c r="F39" s="23">
        <v>1</v>
      </c>
      <c r="G39" s="71">
        <f>IF(A39="COMPOSICAO",VLOOKUP("TOTAL SEM BDI - "&amp;B39,CPUAUX2!$A:$J,9,FALSE),VLOOKUP(B39,I!$A:$E,5,FALSE))</f>
        <v>1.39</v>
      </c>
      <c r="H39" s="72"/>
      <c r="I39" s="71">
        <f t="shared" si="12"/>
        <v>1.39</v>
      </c>
      <c r="J39" s="72"/>
      <c r="M39" s="23">
        <f t="shared" si="13"/>
        <v>43491</v>
      </c>
      <c r="N39" s="23">
        <f>SUMIF(CPU!M:M,B37,CPU!O:O)</f>
        <v>3361.5627940500003</v>
      </c>
      <c r="O39" s="23">
        <f t="shared" si="14"/>
        <v>3361.5627940500003</v>
      </c>
      <c r="Q39" s="23">
        <f ca="1">SUMIF(CPU!M:M,B37,CPU!R:R)</f>
        <v>1352.4011176199999</v>
      </c>
      <c r="R39" s="23">
        <f t="shared" ca="1" si="15"/>
        <v>1352.4011176199999</v>
      </c>
    </row>
    <row r="40" spans="1:18" ht="30" customHeight="1" x14ac:dyDescent="0.3">
      <c r="A40" s="23" t="s">
        <v>1025</v>
      </c>
      <c r="B40" s="23">
        <v>43467</v>
      </c>
      <c r="C40" s="23" t="str">
        <f>VLOOKUP(B40,IF(A40="COMPOSICAO",S!$A:$E,I!$A:$E),2,FALSE)</f>
        <v>SINAPI</v>
      </c>
      <c r="D40" s="24" t="str">
        <f>VLOOKUP(B40,IF(A40="COMPOSICAO",S!$A:$E,I!$A:$E),3,FALSE)</f>
        <v>FERRAMENTAS - FAMILIA SERVENTE - HORISTA (ENCARGOS COMPLEMENTARES - COLETADO CAIXA)</v>
      </c>
      <c r="E40" s="23" t="str">
        <f>VLOOKUP(B40,IF(A40="COMPOSICAO",S!$A:$E,I!$A:$E),4,FALSE)</f>
        <v>H</v>
      </c>
      <c r="F40" s="23">
        <v>1</v>
      </c>
      <c r="G40" s="71">
        <f>IF(A40="COMPOSICAO",VLOOKUP("TOTAL SEM BDI - "&amp;B40,CPUAUX2!$A:$J,9,FALSE),VLOOKUP(B40,I!$A:$E,5,FALSE))</f>
        <v>0.61</v>
      </c>
      <c r="H40" s="72"/>
      <c r="I40" s="71">
        <f t="shared" si="12"/>
        <v>0.61</v>
      </c>
      <c r="J40" s="72"/>
      <c r="M40" s="23">
        <f t="shared" si="13"/>
        <v>43467</v>
      </c>
      <c r="N40" s="23">
        <f>SUMIF(CPU!M:M,B37,CPU!O:O)</f>
        <v>3361.5627940500003</v>
      </c>
      <c r="O40" s="23">
        <f t="shared" si="14"/>
        <v>3361.5627940500003</v>
      </c>
      <c r="Q40" s="23">
        <f ca="1">SUMIF(CPU!M:M,B37,CPU!R:R)</f>
        <v>1352.4011176199999</v>
      </c>
      <c r="R40" s="23">
        <f t="shared" ca="1" si="15"/>
        <v>1352.4011176199999</v>
      </c>
    </row>
    <row r="41" spans="1:18" ht="30" customHeight="1" x14ac:dyDescent="0.3">
      <c r="A41" s="23" t="s">
        <v>1025</v>
      </c>
      <c r="B41" s="23">
        <v>37373</v>
      </c>
      <c r="C41" s="23" t="str">
        <f>VLOOKUP(B41,IF(A41="COMPOSICAO",S!$A:$E,I!$A:$E),2,FALSE)</f>
        <v>SINAPI</v>
      </c>
      <c r="D41" s="24" t="str">
        <f>VLOOKUP(B41,IF(A41="COMPOSICAO",S!$A:$E,I!$A:$E),3,FALSE)</f>
        <v>SEGURO - HORISTA (COLETADO CAIXA - ENCARGOS COMPLEMENTARES)</v>
      </c>
      <c r="E41" s="23" t="str">
        <f>VLOOKUP(B41,IF(A41="COMPOSICAO",S!$A:$E,I!$A:$E),4,FALSE)</f>
        <v>H</v>
      </c>
      <c r="F41" s="23">
        <v>1</v>
      </c>
      <c r="G41" s="71">
        <f>IF(A41="COMPOSICAO",VLOOKUP("TOTAL SEM BDI - "&amp;B41,CPUAUX2!$A:$J,9,FALSE),VLOOKUP(B41,I!$A:$E,5,FALSE))</f>
        <v>0.08</v>
      </c>
      <c r="H41" s="72"/>
      <c r="I41" s="71">
        <f t="shared" si="12"/>
        <v>0.08</v>
      </c>
      <c r="J41" s="72"/>
      <c r="M41" s="23">
        <f t="shared" si="13"/>
        <v>37373</v>
      </c>
      <c r="N41" s="23">
        <f>SUMIF(CPU!M:M,B37,CPU!O:O)</f>
        <v>3361.5627940500003</v>
      </c>
      <c r="O41" s="23">
        <f t="shared" si="14"/>
        <v>3361.5627940500003</v>
      </c>
      <c r="Q41" s="23">
        <f ca="1">SUMIF(CPU!M:M,B37,CPU!R:R)</f>
        <v>1352.4011176199999</v>
      </c>
      <c r="R41" s="23">
        <f t="shared" ca="1" si="15"/>
        <v>1352.4011176199999</v>
      </c>
    </row>
    <row r="42" spans="1:18" ht="30" customHeight="1" x14ac:dyDescent="0.3">
      <c r="A42" s="23" t="s">
        <v>1025</v>
      </c>
      <c r="B42" s="23">
        <v>37372</v>
      </c>
      <c r="C42" s="23" t="str">
        <f>VLOOKUP(B42,IF(A42="COMPOSICAO",S!$A:$E,I!$A:$E),2,FALSE)</f>
        <v>SINAPI</v>
      </c>
      <c r="D42" s="24" t="str">
        <f>VLOOKUP(B42,IF(A42="COMPOSICAO",S!$A:$E,I!$A:$E),3,FALSE)</f>
        <v>EXAMES - HORISTA (COLETADO CAIXA - ENCARGOS COMPLEMENTARES)</v>
      </c>
      <c r="E42" s="23" t="str">
        <f>VLOOKUP(B42,IF(A42="COMPOSICAO",S!$A:$E,I!$A:$E),4,FALSE)</f>
        <v>H</v>
      </c>
      <c r="F42" s="23">
        <v>1</v>
      </c>
      <c r="G42" s="71">
        <f>IF(A42="COMPOSICAO",VLOOKUP("TOTAL SEM BDI - "&amp;B42,CPUAUX2!$A:$J,9,FALSE),VLOOKUP(B42,I!$A:$E,5,FALSE))</f>
        <v>1.43</v>
      </c>
      <c r="H42" s="72"/>
      <c r="I42" s="71">
        <f t="shared" si="12"/>
        <v>1.43</v>
      </c>
      <c r="J42" s="72"/>
      <c r="M42" s="23">
        <f t="shared" si="13"/>
        <v>37372</v>
      </c>
      <c r="N42" s="23">
        <f>SUMIF(CPU!M:M,B37,CPU!O:O)</f>
        <v>3361.5627940500003</v>
      </c>
      <c r="O42" s="23">
        <f t="shared" si="14"/>
        <v>3361.5627940500003</v>
      </c>
      <c r="Q42" s="23">
        <f ca="1">SUMIF(CPU!M:M,B37,CPU!R:R)</f>
        <v>1352.4011176199999</v>
      </c>
      <c r="R42" s="23">
        <f t="shared" ca="1" si="15"/>
        <v>1352.4011176199999</v>
      </c>
    </row>
    <row r="43" spans="1:18" ht="30" customHeight="1" x14ac:dyDescent="0.3">
      <c r="A43" s="23" t="s">
        <v>1025</v>
      </c>
      <c r="B43" s="23">
        <v>37371</v>
      </c>
      <c r="C43" s="23" t="str">
        <f>VLOOKUP(B43,IF(A43="COMPOSICAO",S!$A:$E,I!$A:$E),2,FALSE)</f>
        <v>SINAPI</v>
      </c>
      <c r="D43" s="24" t="str">
        <f>VLOOKUP(B43,IF(A43="COMPOSICAO",S!$A:$E,I!$A:$E),3,FALSE)</f>
        <v>TRANSPORTE - HORISTA (COLETADO CAIXA - ENCARGOS COMPLEMENTARES)</v>
      </c>
      <c r="E43" s="23" t="str">
        <f>VLOOKUP(B43,IF(A43="COMPOSICAO",S!$A:$E,I!$A:$E),4,FALSE)</f>
        <v>H</v>
      </c>
      <c r="F43" s="23">
        <v>1</v>
      </c>
      <c r="G43" s="71">
        <f>IF(A43="COMPOSICAO",VLOOKUP("TOTAL SEM BDI - "&amp;B43,CPUAUX2!$A:$J,9,FALSE),VLOOKUP(B43,I!$A:$E,5,FALSE))</f>
        <v>0.56999999999999995</v>
      </c>
      <c r="H43" s="72"/>
      <c r="I43" s="71">
        <f t="shared" si="12"/>
        <v>0.56999999999999995</v>
      </c>
      <c r="J43" s="72"/>
      <c r="M43" s="23">
        <f t="shared" si="13"/>
        <v>37371</v>
      </c>
      <c r="N43" s="23">
        <f>SUMIF(CPU!M:M,B37,CPU!O:O)</f>
        <v>3361.5627940500003</v>
      </c>
      <c r="O43" s="23">
        <f t="shared" si="14"/>
        <v>3361.5627940500003</v>
      </c>
      <c r="Q43" s="23">
        <f ca="1">SUMIF(CPU!M:M,B37,CPU!R:R)</f>
        <v>1352.4011176199999</v>
      </c>
      <c r="R43" s="23">
        <f t="shared" ca="1" si="15"/>
        <v>1352.4011176199999</v>
      </c>
    </row>
    <row r="44" spans="1:18" ht="30" customHeight="1" x14ac:dyDescent="0.3">
      <c r="A44" s="23" t="s">
        <v>1025</v>
      </c>
      <c r="B44" s="23">
        <v>37370</v>
      </c>
      <c r="C44" s="23" t="str">
        <f>VLOOKUP(B44,IF(A44="COMPOSICAO",S!$A:$E,I!$A:$E),2,FALSE)</f>
        <v>SINAPI</v>
      </c>
      <c r="D44" s="24" t="str">
        <f>VLOOKUP(B44,IF(A44="COMPOSICAO",S!$A:$E,I!$A:$E),3,FALSE)</f>
        <v>ALIMENTACAO - HORISTA (COLETADO CAIXA - ENCARGOS COMPLEMENTARES)</v>
      </c>
      <c r="E44" s="23" t="str">
        <f>VLOOKUP(B44,IF(A44="COMPOSICAO",S!$A:$E,I!$A:$E),4,FALSE)</f>
        <v>H</v>
      </c>
      <c r="F44" s="23">
        <v>1</v>
      </c>
      <c r="G44" s="71">
        <f>IF(A44="COMPOSICAO",VLOOKUP("TOTAL SEM BDI - "&amp;B44,CPUAUX2!$A:$J,9,FALSE),VLOOKUP(B44,I!$A:$E,5,FALSE))</f>
        <v>2.46</v>
      </c>
      <c r="H44" s="72"/>
      <c r="I44" s="71">
        <f t="shared" si="12"/>
        <v>2.46</v>
      </c>
      <c r="J44" s="72"/>
      <c r="M44" s="23">
        <f t="shared" si="13"/>
        <v>37370</v>
      </c>
      <c r="N44" s="23">
        <f>SUMIF(CPU!M:M,B37,CPU!O:O)</f>
        <v>3361.5627940500003</v>
      </c>
      <c r="O44" s="23">
        <f t="shared" si="14"/>
        <v>3361.5627940500003</v>
      </c>
      <c r="Q44" s="23">
        <f ca="1">SUMIF(CPU!M:M,B37,CPU!R:R)</f>
        <v>1352.4011176199999</v>
      </c>
      <c r="R44" s="23">
        <f t="shared" ca="1" si="15"/>
        <v>1352.4011176199999</v>
      </c>
    </row>
    <row r="45" spans="1:18" x14ac:dyDescent="0.3">
      <c r="A45" s="23" t="s">
        <v>1025</v>
      </c>
      <c r="B45" s="23">
        <v>6111</v>
      </c>
      <c r="C45" s="23" t="str">
        <f>VLOOKUP(B45,IF(A45="COMPOSICAO",S!$A:$E,I!$A:$E),2,FALSE)</f>
        <v>SINAPI</v>
      </c>
      <c r="D45" s="24" t="str">
        <f>VLOOKUP(B45,IF(A45="COMPOSICAO",S!$A:$E,I!$A:$E),3,FALSE)</f>
        <v>SERVENTE DE OBRAS (HORISTA)</v>
      </c>
      <c r="E45" s="23" t="str">
        <f>VLOOKUP(B45,IF(A45="COMPOSICAO",S!$A:$E,I!$A:$E),4,FALSE)</f>
        <v>H</v>
      </c>
      <c r="F45" s="23">
        <v>1</v>
      </c>
      <c r="G45" s="71">
        <f>IF(A45="COMPOSICAO",VLOOKUP("TOTAL SEM BDI - "&amp;B45,CPUAUX2!$A:$J,9,FALSE),VLOOKUP(B45,I!$A:$E,5,FALSE))</f>
        <v>14.86</v>
      </c>
      <c r="H45" s="72"/>
      <c r="I45" s="71">
        <f t="shared" si="12"/>
        <v>14.86</v>
      </c>
      <c r="J45" s="72"/>
      <c r="M45" s="23">
        <f t="shared" si="13"/>
        <v>6111</v>
      </c>
      <c r="N45" s="23">
        <f>SUMIF(CPU!M:M,B37,CPU!O:O)</f>
        <v>3361.5627940500003</v>
      </c>
      <c r="O45" s="23">
        <f t="shared" si="14"/>
        <v>3361.5627940500003</v>
      </c>
      <c r="Q45" s="23">
        <f ca="1">SUMIF(CPU!M:M,B37,CPU!R:R)</f>
        <v>1352.4011176199999</v>
      </c>
      <c r="R45" s="23">
        <f t="shared" ca="1" si="15"/>
        <v>1352.4011176199999</v>
      </c>
    </row>
    <row r="46" spans="1:18" x14ac:dyDescent="0.3">
      <c r="A46" s="68" t="str">
        <f>"TOTAL SEM BDI - "&amp;B37</f>
        <v>TOTAL SEM BDI - 88316</v>
      </c>
      <c r="B46" s="69"/>
      <c r="C46" s="69"/>
      <c r="D46" s="69"/>
      <c r="E46" s="69"/>
      <c r="F46" s="69"/>
      <c r="G46" s="69"/>
      <c r="H46" s="70"/>
      <c r="I46" s="71">
        <f>SUM(I37:I45)</f>
        <v>21.71</v>
      </c>
      <c r="J46" s="72"/>
    </row>
    <row r="48" spans="1:18" x14ac:dyDescent="0.3">
      <c r="A48" s="4" t="s">
        <v>1018</v>
      </c>
      <c r="B48" s="4" t="s">
        <v>138</v>
      </c>
      <c r="C48" s="4" t="s">
        <v>139</v>
      </c>
      <c r="D48" s="4" t="s">
        <v>21</v>
      </c>
      <c r="E48" s="4" t="s">
        <v>140</v>
      </c>
      <c r="F48" s="4" t="s">
        <v>506</v>
      </c>
      <c r="G48" s="34" t="s">
        <v>1019</v>
      </c>
      <c r="H48" s="35"/>
      <c r="I48" s="34" t="s">
        <v>15</v>
      </c>
      <c r="J48" s="35"/>
    </row>
    <row r="49" spans="1:18" ht="30" customHeight="1" x14ac:dyDescent="0.3">
      <c r="A49" s="15" t="s">
        <v>1093</v>
      </c>
      <c r="B49" s="15">
        <v>88255</v>
      </c>
      <c r="C49" s="15" t="str">
        <f>VLOOKUP(B49,S!$A:$G,2,FALSE)</f>
        <v>SINAPI</v>
      </c>
      <c r="D49" s="22" t="str">
        <f>VLOOKUP(B49,S!$A:$G,3,FALSE)</f>
        <v>AUXILIAR TÉCNICO DE ENGENHARIA COM ENCARGOS COMPLEMENTARES</v>
      </c>
      <c r="E49" s="15" t="str">
        <f>VLOOKUP(B49,S!$A:$G,4,FALSE)</f>
        <v>H</v>
      </c>
      <c r="F49" s="15"/>
      <c r="G49" s="73">
        <f>I56</f>
        <v>26.54</v>
      </c>
      <c r="H49" s="74"/>
      <c r="I49" s="73"/>
      <c r="J49" s="74"/>
      <c r="K49" s="16">
        <f>VLOOKUP(B49,S!A:G,5,FALSE)</f>
        <v>26.54</v>
      </c>
      <c r="L49" s="15" t="str">
        <f>IF(K49=G49,"OK, CONFORME TABELA",IF(G49&gt;K49,"ACIMA DA TABELA: ","ABAIXO DA TABELA: ")&amp;TRUNC((G49*100)/K49,2)&amp;" %")</f>
        <v>OK, CONFORME TABELA</v>
      </c>
    </row>
    <row r="50" spans="1:18" ht="45" customHeight="1" x14ac:dyDescent="0.3">
      <c r="A50" s="23" t="s">
        <v>1022</v>
      </c>
      <c r="B50" s="23">
        <v>95323</v>
      </c>
      <c r="C50" s="23" t="str">
        <f>VLOOKUP(B50,IF(A50="COMPOSICAO",S!$A:$E,I!$A:$E),2,FALSE)</f>
        <v>SINAPI</v>
      </c>
      <c r="D50" s="24" t="str">
        <f>VLOOKUP(B50,IF(A50="COMPOSICAO",S!$A:$E,I!$A:$E),3,FALSE)</f>
        <v>CURSO DE CAPACITAÇÃO PARA AUXILIAR TÉCNICO DE ENGENHARIA (ENCARGOS COMPLEMENTARES) - HORISTA</v>
      </c>
      <c r="E50" s="23" t="str">
        <f>VLOOKUP(B50,IF(A50="COMPOSICAO",S!$A:$E,I!$A:$E),4,FALSE)</f>
        <v>H</v>
      </c>
      <c r="F50" s="23">
        <v>1</v>
      </c>
      <c r="G50" s="71">
        <f>IF(A50="COMPOSICAO",VLOOKUP("TOTAL SEM BDI - "&amp;B50,CPUAUX2!$A:$J,9,FALSE),VLOOKUP(B50,I!$A:$E,5,FALSE))</f>
        <v>0.19</v>
      </c>
      <c r="H50" s="72"/>
      <c r="I50" s="71">
        <f t="shared" ref="I50:I55" si="16">TRUNC(F50*G50,2)</f>
        <v>0.19</v>
      </c>
      <c r="J50" s="72"/>
      <c r="M50" s="23">
        <f t="shared" ref="M50:M55" si="17">B50</f>
        <v>95323</v>
      </c>
      <c r="N50" s="23">
        <f>SUMIF(CPU!M:M,B49,CPU!O:O)</f>
        <v>100</v>
      </c>
      <c r="O50" s="23">
        <f t="shared" ref="O50:O55" si="18">F50*N50</f>
        <v>100</v>
      </c>
      <c r="Q50" s="23">
        <f ca="1">SUMIF(CPU!M:M,B49,CPU!R:R)</f>
        <v>40</v>
      </c>
      <c r="R50" s="23">
        <f t="shared" ref="R50:R55" ca="1" si="19">F50*Q50</f>
        <v>40</v>
      </c>
    </row>
    <row r="51" spans="1:18" ht="30" customHeight="1" x14ac:dyDescent="0.3">
      <c r="A51" s="23" t="s">
        <v>1025</v>
      </c>
      <c r="B51" s="23">
        <v>43486</v>
      </c>
      <c r="C51" s="23" t="str">
        <f>VLOOKUP(B51,IF(A51="COMPOSICAO",S!$A:$E,I!$A:$E),2,FALSE)</f>
        <v>SINAPI</v>
      </c>
      <c r="D51" s="24" t="str">
        <f>VLOOKUP(B51,IF(A51="COMPOSICAO",S!$A:$E,I!$A:$E),3,FALSE)</f>
        <v>EPI - FAMILIA ENGENHEIRO CIVIL - HORISTA (ENCARGOS COMPLEMENTARES - COLETADO CAIXA)</v>
      </c>
      <c r="E51" s="23" t="str">
        <f>VLOOKUP(B51,IF(A51="COMPOSICAO",S!$A:$E,I!$A:$E),4,FALSE)</f>
        <v>H</v>
      </c>
      <c r="F51" s="23">
        <v>1</v>
      </c>
      <c r="G51" s="71">
        <f>IF(A51="COMPOSICAO",VLOOKUP("TOTAL SEM BDI - "&amp;B51,CPUAUX2!$A:$J,9,FALSE),VLOOKUP(B51,I!$A:$E,5,FALSE))</f>
        <v>0.77</v>
      </c>
      <c r="H51" s="72"/>
      <c r="I51" s="71">
        <f t="shared" si="16"/>
        <v>0.77</v>
      </c>
      <c r="J51" s="72"/>
      <c r="M51" s="23">
        <f t="shared" si="17"/>
        <v>43486</v>
      </c>
      <c r="N51" s="23">
        <f>SUMIF(CPU!M:M,B49,CPU!O:O)</f>
        <v>100</v>
      </c>
      <c r="O51" s="23">
        <f t="shared" si="18"/>
        <v>100</v>
      </c>
      <c r="Q51" s="23">
        <f ca="1">SUMIF(CPU!M:M,B49,CPU!R:R)</f>
        <v>40</v>
      </c>
      <c r="R51" s="23">
        <f t="shared" ca="1" si="19"/>
        <v>40</v>
      </c>
    </row>
    <row r="52" spans="1:18" ht="45" customHeight="1" x14ac:dyDescent="0.3">
      <c r="A52" s="23" t="s">
        <v>1025</v>
      </c>
      <c r="B52" s="23">
        <v>43462</v>
      </c>
      <c r="C52" s="23" t="str">
        <f>VLOOKUP(B52,IF(A52="COMPOSICAO",S!$A:$E,I!$A:$E),2,FALSE)</f>
        <v>SINAPI</v>
      </c>
      <c r="D52" s="24" t="str">
        <f>VLOOKUP(B52,IF(A52="COMPOSICAO",S!$A:$E,I!$A:$E),3,FALSE)</f>
        <v>FERRAMENTAS - FAMILIA ENGENHEIRO CIVIL - HORISTA (ENCARGOS COMPLEMENTARES - COLETADO CAIXA)</v>
      </c>
      <c r="E52" s="23" t="str">
        <f>VLOOKUP(B52,IF(A52="COMPOSICAO",S!$A:$E,I!$A:$E),4,FALSE)</f>
        <v>H</v>
      </c>
      <c r="F52" s="23">
        <v>1</v>
      </c>
      <c r="G52" s="71">
        <f>IF(A52="COMPOSICAO",VLOOKUP("TOTAL SEM BDI - "&amp;B52,CPUAUX2!$A:$J,9,FALSE),VLOOKUP(B52,I!$A:$E,5,FALSE))</f>
        <v>0.01</v>
      </c>
      <c r="H52" s="72"/>
      <c r="I52" s="71">
        <f t="shared" si="16"/>
        <v>0.01</v>
      </c>
      <c r="J52" s="72"/>
      <c r="M52" s="23">
        <f t="shared" si="17"/>
        <v>43462</v>
      </c>
      <c r="N52" s="23">
        <f>SUMIF(CPU!M:M,B49,CPU!O:O)</f>
        <v>100</v>
      </c>
      <c r="O52" s="23">
        <f t="shared" si="18"/>
        <v>100</v>
      </c>
      <c r="Q52" s="23">
        <f ca="1">SUMIF(CPU!M:M,B49,CPU!R:R)</f>
        <v>40</v>
      </c>
      <c r="R52" s="23">
        <f t="shared" ca="1" si="19"/>
        <v>40</v>
      </c>
    </row>
    <row r="53" spans="1:18" ht="30" customHeight="1" x14ac:dyDescent="0.3">
      <c r="A53" s="23" t="s">
        <v>1025</v>
      </c>
      <c r="B53" s="23">
        <v>37373</v>
      </c>
      <c r="C53" s="23" t="str">
        <f>VLOOKUP(B53,IF(A53="COMPOSICAO",S!$A:$E,I!$A:$E),2,FALSE)</f>
        <v>SINAPI</v>
      </c>
      <c r="D53" s="24" t="str">
        <f>VLOOKUP(B53,IF(A53="COMPOSICAO",S!$A:$E,I!$A:$E),3,FALSE)</f>
        <v>SEGURO - HORISTA (COLETADO CAIXA - ENCARGOS COMPLEMENTARES)</v>
      </c>
      <c r="E53" s="23" t="str">
        <f>VLOOKUP(B53,IF(A53="COMPOSICAO",S!$A:$E,I!$A:$E),4,FALSE)</f>
        <v>H</v>
      </c>
      <c r="F53" s="23">
        <v>1</v>
      </c>
      <c r="G53" s="71">
        <f>IF(A53="COMPOSICAO",VLOOKUP("TOTAL SEM BDI - "&amp;B53,CPUAUX2!$A:$J,9,FALSE),VLOOKUP(B53,I!$A:$E,5,FALSE))</f>
        <v>0.08</v>
      </c>
      <c r="H53" s="72"/>
      <c r="I53" s="71">
        <f t="shared" si="16"/>
        <v>0.08</v>
      </c>
      <c r="J53" s="72"/>
      <c r="M53" s="23">
        <f t="shared" si="17"/>
        <v>37373</v>
      </c>
      <c r="N53" s="23">
        <f>SUMIF(CPU!M:M,B49,CPU!O:O)</f>
        <v>100</v>
      </c>
      <c r="O53" s="23">
        <f t="shared" si="18"/>
        <v>100</v>
      </c>
      <c r="Q53" s="23">
        <f ca="1">SUMIF(CPU!M:M,B49,CPU!R:R)</f>
        <v>40</v>
      </c>
      <c r="R53" s="23">
        <f t="shared" ca="1" si="19"/>
        <v>40</v>
      </c>
    </row>
    <row r="54" spans="1:18" ht="30" customHeight="1" x14ac:dyDescent="0.3">
      <c r="A54" s="23" t="s">
        <v>1025</v>
      </c>
      <c r="B54" s="23">
        <v>37372</v>
      </c>
      <c r="C54" s="23" t="str">
        <f>VLOOKUP(B54,IF(A54="COMPOSICAO",S!$A:$E,I!$A:$E),2,FALSE)</f>
        <v>SINAPI</v>
      </c>
      <c r="D54" s="24" t="str">
        <f>VLOOKUP(B54,IF(A54="COMPOSICAO",S!$A:$E,I!$A:$E),3,FALSE)</f>
        <v>EXAMES - HORISTA (COLETADO CAIXA - ENCARGOS COMPLEMENTARES)</v>
      </c>
      <c r="E54" s="23" t="str">
        <f>VLOOKUP(B54,IF(A54="COMPOSICAO",S!$A:$E,I!$A:$E),4,FALSE)</f>
        <v>H</v>
      </c>
      <c r="F54" s="23">
        <v>1</v>
      </c>
      <c r="G54" s="71">
        <f>IF(A54="COMPOSICAO",VLOOKUP("TOTAL SEM BDI - "&amp;B54,CPUAUX2!$A:$J,9,FALSE),VLOOKUP(B54,I!$A:$E,5,FALSE))</f>
        <v>1.43</v>
      </c>
      <c r="H54" s="72"/>
      <c r="I54" s="71">
        <f t="shared" si="16"/>
        <v>1.43</v>
      </c>
      <c r="J54" s="72"/>
      <c r="M54" s="23">
        <f t="shared" si="17"/>
        <v>37372</v>
      </c>
      <c r="N54" s="23">
        <f>SUMIF(CPU!M:M,B49,CPU!O:O)</f>
        <v>100</v>
      </c>
      <c r="O54" s="23">
        <f t="shared" si="18"/>
        <v>100</v>
      </c>
      <c r="Q54" s="23">
        <f ca="1">SUMIF(CPU!M:M,B49,CPU!R:R)</f>
        <v>40</v>
      </c>
      <c r="R54" s="23">
        <f t="shared" ca="1" si="19"/>
        <v>40</v>
      </c>
    </row>
    <row r="55" spans="1:18" ht="30" customHeight="1" x14ac:dyDescent="0.3">
      <c r="A55" s="23" t="s">
        <v>1025</v>
      </c>
      <c r="B55" s="23">
        <v>532</v>
      </c>
      <c r="C55" s="23" t="str">
        <f>VLOOKUP(B55,IF(A55="COMPOSICAO",S!$A:$E,I!$A:$E),2,FALSE)</f>
        <v>SINAPI</v>
      </c>
      <c r="D55" s="24" t="str">
        <f>VLOOKUP(B55,IF(A55="COMPOSICAO",S!$A:$E,I!$A:$E),3,FALSE)</f>
        <v>AUXILIAR TECNICO / ASSISTENTE DE ENGENHARIA (HORISTA)</v>
      </c>
      <c r="E55" s="23" t="str">
        <f>VLOOKUP(B55,IF(A55="COMPOSICAO",S!$A:$E,I!$A:$E),4,FALSE)</f>
        <v>H</v>
      </c>
      <c r="F55" s="23">
        <v>1</v>
      </c>
      <c r="G55" s="71">
        <f>IF(A55="COMPOSICAO",VLOOKUP("TOTAL SEM BDI - "&amp;B55,CPUAUX2!$A:$J,9,FALSE),VLOOKUP(B55,I!$A:$E,5,FALSE))</f>
        <v>24.06</v>
      </c>
      <c r="H55" s="72"/>
      <c r="I55" s="71">
        <f t="shared" si="16"/>
        <v>24.06</v>
      </c>
      <c r="J55" s="72"/>
      <c r="M55" s="23">
        <f t="shared" si="17"/>
        <v>532</v>
      </c>
      <c r="N55" s="23">
        <f>SUMIF(CPU!M:M,B49,CPU!O:O)</f>
        <v>100</v>
      </c>
      <c r="O55" s="23">
        <f t="shared" si="18"/>
        <v>100</v>
      </c>
      <c r="Q55" s="23">
        <f ca="1">SUMIF(CPU!M:M,B49,CPU!R:R)</f>
        <v>40</v>
      </c>
      <c r="R55" s="23">
        <f t="shared" ca="1" si="19"/>
        <v>40</v>
      </c>
    </row>
    <row r="56" spans="1:18" x14ac:dyDescent="0.3">
      <c r="A56" s="68" t="str">
        <f>"TOTAL SEM BDI - "&amp;B49</f>
        <v>TOTAL SEM BDI - 88255</v>
      </c>
      <c r="B56" s="69"/>
      <c r="C56" s="69"/>
      <c r="D56" s="69"/>
      <c r="E56" s="69"/>
      <c r="F56" s="69"/>
      <c r="G56" s="69"/>
      <c r="H56" s="70"/>
      <c r="I56" s="71">
        <f>SUM(I49:I55)</f>
        <v>26.54</v>
      </c>
      <c r="J56" s="72"/>
    </row>
    <row r="58" spans="1:18" x14ac:dyDescent="0.3">
      <c r="A58" s="4" t="s">
        <v>1018</v>
      </c>
      <c r="B58" s="4" t="s">
        <v>138</v>
      </c>
      <c r="C58" s="4" t="s">
        <v>139</v>
      </c>
      <c r="D58" s="4" t="s">
        <v>21</v>
      </c>
      <c r="E58" s="4" t="s">
        <v>140</v>
      </c>
      <c r="F58" s="4" t="s">
        <v>506</v>
      </c>
      <c r="G58" s="34" t="s">
        <v>1019</v>
      </c>
      <c r="H58" s="35"/>
      <c r="I58" s="34" t="s">
        <v>15</v>
      </c>
      <c r="J58" s="35"/>
    </row>
    <row r="59" spans="1:18" ht="30" customHeight="1" x14ac:dyDescent="0.3">
      <c r="A59" s="15" t="s">
        <v>1093</v>
      </c>
      <c r="B59" s="15">
        <v>90779</v>
      </c>
      <c r="C59" s="15" t="str">
        <f>VLOOKUP(B59,S!$A:$G,2,FALSE)</f>
        <v>SINAPI</v>
      </c>
      <c r="D59" s="22" t="str">
        <f>VLOOKUP(B59,S!$A:$G,3,FALSE)</f>
        <v>ENGENHEIRO CIVIL DE OBRA SENIOR COM ENCARGOS COMPLEMENTARES</v>
      </c>
      <c r="E59" s="15" t="str">
        <f>VLOOKUP(B59,S!$A:$G,4,FALSE)</f>
        <v>H</v>
      </c>
      <c r="F59" s="15"/>
      <c r="G59" s="73">
        <f>I66</f>
        <v>152.06</v>
      </c>
      <c r="H59" s="74"/>
      <c r="I59" s="73"/>
      <c r="J59" s="74"/>
      <c r="K59" s="16">
        <f>VLOOKUP(B59,S!A:G,5,FALSE)</f>
        <v>152.06</v>
      </c>
      <c r="L59" s="15" t="str">
        <f>IF(K59=G59,"OK, CONFORME TABELA",IF(G59&gt;K59,"ACIMA DA TABELA: ","ABAIXO DA TABELA: ")&amp;TRUNC((G59*100)/K59,2)&amp;" %")</f>
        <v>OK, CONFORME TABELA</v>
      </c>
    </row>
    <row r="60" spans="1:18" ht="45" customHeight="1" x14ac:dyDescent="0.3">
      <c r="A60" s="23" t="s">
        <v>1022</v>
      </c>
      <c r="B60" s="23">
        <v>95404</v>
      </c>
      <c r="C60" s="23" t="str">
        <f>VLOOKUP(B60,IF(A60="COMPOSICAO",S!$A:$E,I!$A:$E),2,FALSE)</f>
        <v>SINAPI</v>
      </c>
      <c r="D60" s="24" t="str">
        <f>VLOOKUP(B60,IF(A60="COMPOSICAO",S!$A:$E,I!$A:$E),3,FALSE)</f>
        <v>CURSO DE CAPACITAÇÃO PARA ENGENHEIRO CIVIL DE OBRA SÊNIOR (ENCARGOS COMPLEMENTARES) - HORISTA</v>
      </c>
      <c r="E60" s="23" t="str">
        <f>VLOOKUP(B60,IF(A60="COMPOSICAO",S!$A:$E,I!$A:$E),4,FALSE)</f>
        <v>H</v>
      </c>
      <c r="F60" s="23">
        <v>1</v>
      </c>
      <c r="G60" s="71">
        <f>IF(A60="COMPOSICAO",VLOOKUP("TOTAL SEM BDI - "&amp;B60,CPUAUX2!$A:$J,9,FALSE),VLOOKUP(B60,I!$A:$E,5,FALSE))</f>
        <v>2.17</v>
      </c>
      <c r="H60" s="72"/>
      <c r="I60" s="71">
        <f t="shared" ref="I60:I65" si="20">TRUNC(F60*G60,2)</f>
        <v>2.17</v>
      </c>
      <c r="J60" s="72"/>
      <c r="M60" s="23">
        <f t="shared" ref="M60:M65" si="21">B60</f>
        <v>95404</v>
      </c>
      <c r="N60" s="23">
        <f>SUMIF(CPU!M:M,B59,CPU!O:O)</f>
        <v>40</v>
      </c>
      <c r="O60" s="23">
        <f t="shared" ref="O60:O65" si="22">F60*N60</f>
        <v>40</v>
      </c>
      <c r="Q60" s="23">
        <f ca="1">SUMIF(CPU!M:M,B59,CPU!R:R)</f>
        <v>16</v>
      </c>
      <c r="R60" s="23">
        <f t="shared" ref="R60:R65" ca="1" si="23">F60*Q60</f>
        <v>16</v>
      </c>
    </row>
    <row r="61" spans="1:18" ht="30" customHeight="1" x14ac:dyDescent="0.3">
      <c r="A61" s="23" t="s">
        <v>1025</v>
      </c>
      <c r="B61" s="23">
        <v>43486</v>
      </c>
      <c r="C61" s="23" t="str">
        <f>VLOOKUP(B61,IF(A61="COMPOSICAO",S!$A:$E,I!$A:$E),2,FALSE)</f>
        <v>SINAPI</v>
      </c>
      <c r="D61" s="24" t="str">
        <f>VLOOKUP(B61,IF(A61="COMPOSICAO",S!$A:$E,I!$A:$E),3,FALSE)</f>
        <v>EPI - FAMILIA ENGENHEIRO CIVIL - HORISTA (ENCARGOS COMPLEMENTARES - COLETADO CAIXA)</v>
      </c>
      <c r="E61" s="23" t="str">
        <f>VLOOKUP(B61,IF(A61="COMPOSICAO",S!$A:$E,I!$A:$E),4,FALSE)</f>
        <v>H</v>
      </c>
      <c r="F61" s="23">
        <v>1</v>
      </c>
      <c r="G61" s="71">
        <f>IF(A61="COMPOSICAO",VLOOKUP("TOTAL SEM BDI - "&amp;B61,CPUAUX2!$A:$J,9,FALSE),VLOOKUP(B61,I!$A:$E,5,FALSE))</f>
        <v>0.77</v>
      </c>
      <c r="H61" s="72"/>
      <c r="I61" s="71">
        <f t="shared" si="20"/>
        <v>0.77</v>
      </c>
      <c r="J61" s="72"/>
      <c r="M61" s="23">
        <f t="shared" si="21"/>
        <v>43486</v>
      </c>
      <c r="N61" s="23">
        <f>SUMIF(CPU!M:M,B59,CPU!O:O)</f>
        <v>40</v>
      </c>
      <c r="O61" s="23">
        <f t="shared" si="22"/>
        <v>40</v>
      </c>
      <c r="Q61" s="23">
        <f ca="1">SUMIF(CPU!M:M,B59,CPU!R:R)</f>
        <v>16</v>
      </c>
      <c r="R61" s="23">
        <f t="shared" ca="1" si="23"/>
        <v>16</v>
      </c>
    </row>
    <row r="62" spans="1:18" ht="45" customHeight="1" x14ac:dyDescent="0.3">
      <c r="A62" s="23" t="s">
        <v>1025</v>
      </c>
      <c r="B62" s="23">
        <v>43462</v>
      </c>
      <c r="C62" s="23" t="str">
        <f>VLOOKUP(B62,IF(A62="COMPOSICAO",S!$A:$E,I!$A:$E),2,FALSE)</f>
        <v>SINAPI</v>
      </c>
      <c r="D62" s="24" t="str">
        <f>VLOOKUP(B62,IF(A62="COMPOSICAO",S!$A:$E,I!$A:$E),3,FALSE)</f>
        <v>FERRAMENTAS - FAMILIA ENGENHEIRO CIVIL - HORISTA (ENCARGOS COMPLEMENTARES - COLETADO CAIXA)</v>
      </c>
      <c r="E62" s="23" t="str">
        <f>VLOOKUP(B62,IF(A62="COMPOSICAO",S!$A:$E,I!$A:$E),4,FALSE)</f>
        <v>H</v>
      </c>
      <c r="F62" s="23">
        <v>1</v>
      </c>
      <c r="G62" s="71">
        <f>IF(A62="COMPOSICAO",VLOOKUP("TOTAL SEM BDI - "&amp;B62,CPUAUX2!$A:$J,9,FALSE),VLOOKUP(B62,I!$A:$E,5,FALSE))</f>
        <v>0.01</v>
      </c>
      <c r="H62" s="72"/>
      <c r="I62" s="71">
        <f t="shared" si="20"/>
        <v>0.01</v>
      </c>
      <c r="J62" s="72"/>
      <c r="M62" s="23">
        <f t="shared" si="21"/>
        <v>43462</v>
      </c>
      <c r="N62" s="23">
        <f>SUMIF(CPU!M:M,B59,CPU!O:O)</f>
        <v>40</v>
      </c>
      <c r="O62" s="23">
        <f t="shared" si="22"/>
        <v>40</v>
      </c>
      <c r="Q62" s="23">
        <f ca="1">SUMIF(CPU!M:M,B59,CPU!R:R)</f>
        <v>16</v>
      </c>
      <c r="R62" s="23">
        <f t="shared" ca="1" si="23"/>
        <v>16</v>
      </c>
    </row>
    <row r="63" spans="1:18" ht="30" customHeight="1" x14ac:dyDescent="0.3">
      <c r="A63" s="23" t="s">
        <v>1025</v>
      </c>
      <c r="B63" s="23">
        <v>37373</v>
      </c>
      <c r="C63" s="23" t="str">
        <f>VLOOKUP(B63,IF(A63="COMPOSICAO",S!$A:$E,I!$A:$E),2,FALSE)</f>
        <v>SINAPI</v>
      </c>
      <c r="D63" s="24" t="str">
        <f>VLOOKUP(B63,IF(A63="COMPOSICAO",S!$A:$E,I!$A:$E),3,FALSE)</f>
        <v>SEGURO - HORISTA (COLETADO CAIXA - ENCARGOS COMPLEMENTARES)</v>
      </c>
      <c r="E63" s="23" t="str">
        <f>VLOOKUP(B63,IF(A63="COMPOSICAO",S!$A:$E,I!$A:$E),4,FALSE)</f>
        <v>H</v>
      </c>
      <c r="F63" s="23">
        <v>1</v>
      </c>
      <c r="G63" s="71">
        <f>IF(A63="COMPOSICAO",VLOOKUP("TOTAL SEM BDI - "&amp;B63,CPUAUX2!$A:$J,9,FALSE),VLOOKUP(B63,I!$A:$E,5,FALSE))</f>
        <v>0.08</v>
      </c>
      <c r="H63" s="72"/>
      <c r="I63" s="71">
        <f t="shared" si="20"/>
        <v>0.08</v>
      </c>
      <c r="J63" s="72"/>
      <c r="M63" s="23">
        <f t="shared" si="21"/>
        <v>37373</v>
      </c>
      <c r="N63" s="23">
        <f>SUMIF(CPU!M:M,B59,CPU!O:O)</f>
        <v>40</v>
      </c>
      <c r="O63" s="23">
        <f t="shared" si="22"/>
        <v>40</v>
      </c>
      <c r="Q63" s="23">
        <f ca="1">SUMIF(CPU!M:M,B59,CPU!R:R)</f>
        <v>16</v>
      </c>
      <c r="R63" s="23">
        <f t="shared" ca="1" si="23"/>
        <v>16</v>
      </c>
    </row>
    <row r="64" spans="1:18" ht="30" customHeight="1" x14ac:dyDescent="0.3">
      <c r="A64" s="23" t="s">
        <v>1025</v>
      </c>
      <c r="B64" s="23">
        <v>37372</v>
      </c>
      <c r="C64" s="23" t="str">
        <f>VLOOKUP(B64,IF(A64="COMPOSICAO",S!$A:$E,I!$A:$E),2,FALSE)</f>
        <v>SINAPI</v>
      </c>
      <c r="D64" s="24" t="str">
        <f>VLOOKUP(B64,IF(A64="COMPOSICAO",S!$A:$E,I!$A:$E),3,FALSE)</f>
        <v>EXAMES - HORISTA (COLETADO CAIXA - ENCARGOS COMPLEMENTARES)</v>
      </c>
      <c r="E64" s="23" t="str">
        <f>VLOOKUP(B64,IF(A64="COMPOSICAO",S!$A:$E,I!$A:$E),4,FALSE)</f>
        <v>H</v>
      </c>
      <c r="F64" s="23">
        <v>1</v>
      </c>
      <c r="G64" s="71">
        <f>IF(A64="COMPOSICAO",VLOOKUP("TOTAL SEM BDI - "&amp;B64,CPUAUX2!$A:$J,9,FALSE),VLOOKUP(B64,I!$A:$E,5,FALSE))</f>
        <v>1.43</v>
      </c>
      <c r="H64" s="72"/>
      <c r="I64" s="71">
        <f t="shared" si="20"/>
        <v>1.43</v>
      </c>
      <c r="J64" s="72"/>
      <c r="M64" s="23">
        <f t="shared" si="21"/>
        <v>37372</v>
      </c>
      <c r="N64" s="23">
        <f>SUMIF(CPU!M:M,B59,CPU!O:O)</f>
        <v>40</v>
      </c>
      <c r="O64" s="23">
        <f t="shared" si="22"/>
        <v>40</v>
      </c>
      <c r="Q64" s="23">
        <f ca="1">SUMIF(CPU!M:M,B59,CPU!R:R)</f>
        <v>16</v>
      </c>
      <c r="R64" s="23">
        <f t="shared" ca="1" si="23"/>
        <v>16</v>
      </c>
    </row>
    <row r="65" spans="1:18" x14ac:dyDescent="0.3">
      <c r="A65" s="23" t="s">
        <v>1025</v>
      </c>
      <c r="B65" s="23">
        <v>2708</v>
      </c>
      <c r="C65" s="23" t="str">
        <f>VLOOKUP(B65,IF(A65="COMPOSICAO",S!$A:$E,I!$A:$E),2,FALSE)</f>
        <v>SINAPI</v>
      </c>
      <c r="D65" s="24" t="str">
        <f>VLOOKUP(B65,IF(A65="COMPOSICAO",S!$A:$E,I!$A:$E),3,FALSE)</f>
        <v>ENGENHEIRO CIVIL DE OBRA SENIOR (HORISTA)</v>
      </c>
      <c r="E65" s="23" t="str">
        <f>VLOOKUP(B65,IF(A65="COMPOSICAO",S!$A:$E,I!$A:$E),4,FALSE)</f>
        <v>H</v>
      </c>
      <c r="F65" s="23">
        <v>1</v>
      </c>
      <c r="G65" s="71">
        <f>IF(A65="COMPOSICAO",VLOOKUP("TOTAL SEM BDI - "&amp;B65,CPUAUX2!$A:$J,9,FALSE),VLOOKUP(B65,I!$A:$E,5,FALSE))</f>
        <v>147.6</v>
      </c>
      <c r="H65" s="72"/>
      <c r="I65" s="71">
        <f t="shared" si="20"/>
        <v>147.6</v>
      </c>
      <c r="J65" s="72"/>
      <c r="M65" s="23">
        <f t="shared" si="21"/>
        <v>2708</v>
      </c>
      <c r="N65" s="23">
        <f>SUMIF(CPU!M:M,B59,CPU!O:O)</f>
        <v>40</v>
      </c>
      <c r="O65" s="23">
        <f t="shared" si="22"/>
        <v>40</v>
      </c>
      <c r="Q65" s="23">
        <f ca="1">SUMIF(CPU!M:M,B59,CPU!R:R)</f>
        <v>16</v>
      </c>
      <c r="R65" s="23">
        <f t="shared" ca="1" si="23"/>
        <v>16</v>
      </c>
    </row>
    <row r="66" spans="1:18" x14ac:dyDescent="0.3">
      <c r="A66" s="68" t="str">
        <f>"TOTAL SEM BDI - "&amp;B59</f>
        <v>TOTAL SEM BDI - 90779</v>
      </c>
      <c r="B66" s="69"/>
      <c r="C66" s="69"/>
      <c r="D66" s="69"/>
      <c r="E66" s="69"/>
      <c r="F66" s="69"/>
      <c r="G66" s="69"/>
      <c r="H66" s="70"/>
      <c r="I66" s="71">
        <f>SUM(I59:I65)</f>
        <v>152.06</v>
      </c>
      <c r="J66" s="72"/>
    </row>
    <row r="68" spans="1:18" x14ac:dyDescent="0.3">
      <c r="A68" s="4" t="s">
        <v>1018</v>
      </c>
      <c r="B68" s="4" t="s">
        <v>138</v>
      </c>
      <c r="C68" s="4" t="s">
        <v>139</v>
      </c>
      <c r="D68" s="4" t="s">
        <v>21</v>
      </c>
      <c r="E68" s="4" t="s">
        <v>140</v>
      </c>
      <c r="F68" s="4" t="s">
        <v>506</v>
      </c>
      <c r="G68" s="34" t="s">
        <v>1019</v>
      </c>
      <c r="H68" s="35"/>
      <c r="I68" s="34" t="s">
        <v>15</v>
      </c>
      <c r="J68" s="35"/>
    </row>
    <row r="69" spans="1:18" ht="30" customHeight="1" x14ac:dyDescent="0.3">
      <c r="A69" s="15" t="s">
        <v>1093</v>
      </c>
      <c r="B69" s="15">
        <v>88297</v>
      </c>
      <c r="C69" s="15" t="str">
        <f>VLOOKUP(B69,S!$A:$G,2,FALSE)</f>
        <v>SINAPI</v>
      </c>
      <c r="D69" s="22" t="str">
        <f>VLOOKUP(B69,S!$A:$G,3,FALSE)</f>
        <v>OPERADOR DE MÁQUINAS E EQUIPAMENTOS COM ENCARGOS COMPLEMENTARES</v>
      </c>
      <c r="E69" s="15" t="str">
        <f>VLOOKUP(B69,S!$A:$G,4,FALSE)</f>
        <v>H</v>
      </c>
      <c r="F69" s="15"/>
      <c r="G69" s="73">
        <f>I78</f>
        <v>27.16</v>
      </c>
      <c r="H69" s="74"/>
      <c r="I69" s="73"/>
      <c r="J69" s="74"/>
      <c r="K69" s="16">
        <f>VLOOKUP(B69,S!A:G,5,FALSE)</f>
        <v>27.16</v>
      </c>
      <c r="L69" s="15" t="str">
        <f>IF(K69=G69,"OK, CONFORME TABELA",IF(G69&gt;K69,"ACIMA DA TABELA: ","ABAIXO DA TABELA: ")&amp;TRUNC((G69*100)/K69,2)&amp;" %")</f>
        <v>OK, CONFORME TABELA</v>
      </c>
    </row>
    <row r="70" spans="1:18" ht="45" customHeight="1" x14ac:dyDescent="0.3">
      <c r="A70" s="23" t="s">
        <v>1022</v>
      </c>
      <c r="B70" s="23">
        <v>95360</v>
      </c>
      <c r="C70" s="23" t="str">
        <f>VLOOKUP(B70,IF(A70="COMPOSICAO",S!$A:$E,I!$A:$E),2,FALSE)</f>
        <v>SINAPI</v>
      </c>
      <c r="D70" s="24" t="str">
        <f>VLOOKUP(B70,IF(A70="COMPOSICAO",S!$A:$E,I!$A:$E),3,FALSE)</f>
        <v>CURSO DE CAPACITAÇÃO PARA OPERADOR DE MÁQUINAS E EQUIPAMENTOS (ENCARGOS COMPLEMENTARES) - HORISTA</v>
      </c>
      <c r="E70" s="23" t="str">
        <f>VLOOKUP(B70,IF(A70="COMPOSICAO",S!$A:$E,I!$A:$E),4,FALSE)</f>
        <v>H</v>
      </c>
      <c r="F70" s="23">
        <v>1</v>
      </c>
      <c r="G70" s="71">
        <f>IF(A70="COMPOSICAO",VLOOKUP("TOTAL SEM BDI - "&amp;B70,CPUAUX2!$A:$J,9,FALSE),VLOOKUP(B70,I!$A:$E,5,FALSE))</f>
        <v>0.24</v>
      </c>
      <c r="H70" s="72"/>
      <c r="I70" s="71">
        <f t="shared" ref="I70:I77" si="24">TRUNC(F70*G70,2)</f>
        <v>0.24</v>
      </c>
      <c r="J70" s="72"/>
      <c r="M70" s="23">
        <f t="shared" ref="M70:M77" si="25">B70</f>
        <v>95360</v>
      </c>
      <c r="N70" s="23">
        <f>SUMIF(CPU!M:M,B69,CPU!O:O)</f>
        <v>421.13400000000001</v>
      </c>
      <c r="O70" s="23">
        <f t="shared" ref="O70:O77" si="26">F70*N70</f>
        <v>421.13400000000001</v>
      </c>
      <c r="Q70" s="23">
        <f ca="1">SUMIF(CPU!M:M,B69,CPU!R:R)</f>
        <v>168.45360000000002</v>
      </c>
      <c r="R70" s="23">
        <f t="shared" ref="R70:R77" ca="1" si="27">F70*Q70</f>
        <v>168.45360000000002</v>
      </c>
    </row>
    <row r="71" spans="1:18" ht="30" customHeight="1" x14ac:dyDescent="0.3">
      <c r="A71" s="23" t="s">
        <v>1025</v>
      </c>
      <c r="B71" s="23">
        <v>43488</v>
      </c>
      <c r="C71" s="23" t="str">
        <f>VLOOKUP(B71,IF(A71="COMPOSICAO",S!$A:$E,I!$A:$E),2,FALSE)</f>
        <v>SINAPI</v>
      </c>
      <c r="D71" s="24" t="str">
        <f>VLOOKUP(B71,IF(A71="COMPOSICAO",S!$A:$E,I!$A:$E),3,FALSE)</f>
        <v>EPI - FAMILIA OPERADOR ESCAVADEIRA - HORISTA (ENCARGOS COMPLEMENTARES - COLETADO CAIXA)</v>
      </c>
      <c r="E71" s="23" t="str">
        <f>VLOOKUP(B71,IF(A71="COMPOSICAO",S!$A:$E,I!$A:$E),4,FALSE)</f>
        <v>H</v>
      </c>
      <c r="F71" s="23">
        <v>1</v>
      </c>
      <c r="G71" s="71">
        <f>IF(A71="COMPOSICAO",VLOOKUP("TOTAL SEM BDI - "&amp;B71,CPUAUX2!$A:$J,9,FALSE),VLOOKUP(B71,I!$A:$E,5,FALSE))</f>
        <v>0.89</v>
      </c>
      <c r="H71" s="72"/>
      <c r="I71" s="71">
        <f t="shared" si="24"/>
        <v>0.89</v>
      </c>
      <c r="J71" s="72"/>
      <c r="M71" s="23">
        <f t="shared" si="25"/>
        <v>43488</v>
      </c>
      <c r="N71" s="23">
        <f>SUMIF(CPU!M:M,B69,CPU!O:O)</f>
        <v>421.13400000000001</v>
      </c>
      <c r="O71" s="23">
        <f t="shared" si="26"/>
        <v>421.13400000000001</v>
      </c>
      <c r="Q71" s="23">
        <f ca="1">SUMIF(CPU!M:M,B69,CPU!R:R)</f>
        <v>168.45360000000002</v>
      </c>
      <c r="R71" s="23">
        <f t="shared" ca="1" si="27"/>
        <v>168.45360000000002</v>
      </c>
    </row>
    <row r="72" spans="1:18" ht="45" customHeight="1" x14ac:dyDescent="0.3">
      <c r="A72" s="23" t="s">
        <v>1025</v>
      </c>
      <c r="B72" s="23">
        <v>43464</v>
      </c>
      <c r="C72" s="23" t="str">
        <f>VLOOKUP(B72,IF(A72="COMPOSICAO",S!$A:$E,I!$A:$E),2,FALSE)</f>
        <v>SINAPI</v>
      </c>
      <c r="D72" s="24" t="str">
        <f>VLOOKUP(B72,IF(A72="COMPOSICAO",S!$A:$E,I!$A:$E),3,FALSE)</f>
        <v>FERRAMENTAS - FAMILIA OPERADOR ESCAVADEIRA - HORISTA (ENCARGOS COMPLEMENTARES - COLETADO CAIXA)</v>
      </c>
      <c r="E72" s="23" t="str">
        <f>VLOOKUP(B72,IF(A72="COMPOSICAO",S!$A:$E,I!$A:$E),4,FALSE)</f>
        <v>H</v>
      </c>
      <c r="F72" s="23">
        <v>1</v>
      </c>
      <c r="G72" s="71">
        <f>IF(A72="COMPOSICAO",VLOOKUP("TOTAL SEM BDI - "&amp;B72,CPUAUX2!$A:$J,9,FALSE),VLOOKUP(B72,I!$A:$E,5,FALSE))</f>
        <v>0.01</v>
      </c>
      <c r="H72" s="72"/>
      <c r="I72" s="71">
        <f t="shared" si="24"/>
        <v>0.01</v>
      </c>
      <c r="J72" s="72"/>
      <c r="M72" s="23">
        <f t="shared" si="25"/>
        <v>43464</v>
      </c>
      <c r="N72" s="23">
        <f>SUMIF(CPU!M:M,B69,CPU!O:O)</f>
        <v>421.13400000000001</v>
      </c>
      <c r="O72" s="23">
        <f t="shared" si="26"/>
        <v>421.13400000000001</v>
      </c>
      <c r="Q72" s="23">
        <f ca="1">SUMIF(CPU!M:M,B69,CPU!R:R)</f>
        <v>168.45360000000002</v>
      </c>
      <c r="R72" s="23">
        <f t="shared" ca="1" si="27"/>
        <v>168.45360000000002</v>
      </c>
    </row>
    <row r="73" spans="1:18" ht="30" customHeight="1" x14ac:dyDescent="0.3">
      <c r="A73" s="23" t="s">
        <v>1025</v>
      </c>
      <c r="B73" s="23">
        <v>37373</v>
      </c>
      <c r="C73" s="23" t="str">
        <f>VLOOKUP(B73,IF(A73="COMPOSICAO",S!$A:$E,I!$A:$E),2,FALSE)</f>
        <v>SINAPI</v>
      </c>
      <c r="D73" s="24" t="str">
        <f>VLOOKUP(B73,IF(A73="COMPOSICAO",S!$A:$E,I!$A:$E),3,FALSE)</f>
        <v>SEGURO - HORISTA (COLETADO CAIXA - ENCARGOS COMPLEMENTARES)</v>
      </c>
      <c r="E73" s="23" t="str">
        <f>VLOOKUP(B73,IF(A73="COMPOSICAO",S!$A:$E,I!$A:$E),4,FALSE)</f>
        <v>H</v>
      </c>
      <c r="F73" s="23">
        <v>1</v>
      </c>
      <c r="G73" s="71">
        <f>IF(A73="COMPOSICAO",VLOOKUP("TOTAL SEM BDI - "&amp;B73,CPUAUX2!$A:$J,9,FALSE),VLOOKUP(B73,I!$A:$E,5,FALSE))</f>
        <v>0.08</v>
      </c>
      <c r="H73" s="72"/>
      <c r="I73" s="71">
        <f t="shared" si="24"/>
        <v>0.08</v>
      </c>
      <c r="J73" s="72"/>
      <c r="M73" s="23">
        <f t="shared" si="25"/>
        <v>37373</v>
      </c>
      <c r="N73" s="23">
        <f>SUMIF(CPU!M:M,B69,CPU!O:O)</f>
        <v>421.13400000000001</v>
      </c>
      <c r="O73" s="23">
        <f t="shared" si="26"/>
        <v>421.13400000000001</v>
      </c>
      <c r="Q73" s="23">
        <f ca="1">SUMIF(CPU!M:M,B69,CPU!R:R)</f>
        <v>168.45360000000002</v>
      </c>
      <c r="R73" s="23">
        <f t="shared" ca="1" si="27"/>
        <v>168.45360000000002</v>
      </c>
    </row>
    <row r="74" spans="1:18" ht="30" customHeight="1" x14ac:dyDescent="0.3">
      <c r="A74" s="23" t="s">
        <v>1025</v>
      </c>
      <c r="B74" s="23">
        <v>37372</v>
      </c>
      <c r="C74" s="23" t="str">
        <f>VLOOKUP(B74,IF(A74="COMPOSICAO",S!$A:$E,I!$A:$E),2,FALSE)</f>
        <v>SINAPI</v>
      </c>
      <c r="D74" s="24" t="str">
        <f>VLOOKUP(B74,IF(A74="COMPOSICAO",S!$A:$E,I!$A:$E),3,FALSE)</f>
        <v>EXAMES - HORISTA (COLETADO CAIXA - ENCARGOS COMPLEMENTARES)</v>
      </c>
      <c r="E74" s="23" t="str">
        <f>VLOOKUP(B74,IF(A74="COMPOSICAO",S!$A:$E,I!$A:$E),4,FALSE)</f>
        <v>H</v>
      </c>
      <c r="F74" s="23">
        <v>1</v>
      </c>
      <c r="G74" s="71">
        <f>IF(A74="COMPOSICAO",VLOOKUP("TOTAL SEM BDI - "&amp;B74,CPUAUX2!$A:$J,9,FALSE),VLOOKUP(B74,I!$A:$E,5,FALSE))</f>
        <v>1.43</v>
      </c>
      <c r="H74" s="72"/>
      <c r="I74" s="71">
        <f t="shared" si="24"/>
        <v>1.43</v>
      </c>
      <c r="J74" s="72"/>
      <c r="M74" s="23">
        <f t="shared" si="25"/>
        <v>37372</v>
      </c>
      <c r="N74" s="23">
        <f>SUMIF(CPU!M:M,B69,CPU!O:O)</f>
        <v>421.13400000000001</v>
      </c>
      <c r="O74" s="23">
        <f t="shared" si="26"/>
        <v>421.13400000000001</v>
      </c>
      <c r="Q74" s="23">
        <f ca="1">SUMIF(CPU!M:M,B69,CPU!R:R)</f>
        <v>168.45360000000002</v>
      </c>
      <c r="R74" s="23">
        <f t="shared" ca="1" si="27"/>
        <v>168.45360000000002</v>
      </c>
    </row>
    <row r="75" spans="1:18" ht="30" customHeight="1" x14ac:dyDescent="0.3">
      <c r="A75" s="23" t="s">
        <v>1025</v>
      </c>
      <c r="B75" s="23">
        <v>37371</v>
      </c>
      <c r="C75" s="23" t="str">
        <f>VLOOKUP(B75,IF(A75="COMPOSICAO",S!$A:$E,I!$A:$E),2,FALSE)</f>
        <v>SINAPI</v>
      </c>
      <c r="D75" s="24" t="str">
        <f>VLOOKUP(B75,IF(A75="COMPOSICAO",S!$A:$E,I!$A:$E),3,FALSE)</f>
        <v>TRANSPORTE - HORISTA (COLETADO CAIXA - ENCARGOS COMPLEMENTARES)</v>
      </c>
      <c r="E75" s="23" t="str">
        <f>VLOOKUP(B75,IF(A75="COMPOSICAO",S!$A:$E,I!$A:$E),4,FALSE)</f>
        <v>H</v>
      </c>
      <c r="F75" s="23">
        <v>1</v>
      </c>
      <c r="G75" s="71">
        <f>IF(A75="COMPOSICAO",VLOOKUP("TOTAL SEM BDI - "&amp;B75,CPUAUX2!$A:$J,9,FALSE),VLOOKUP(B75,I!$A:$E,5,FALSE))</f>
        <v>0.56999999999999995</v>
      </c>
      <c r="H75" s="72"/>
      <c r="I75" s="71">
        <f t="shared" si="24"/>
        <v>0.56999999999999995</v>
      </c>
      <c r="J75" s="72"/>
      <c r="M75" s="23">
        <f t="shared" si="25"/>
        <v>37371</v>
      </c>
      <c r="N75" s="23">
        <f>SUMIF(CPU!M:M,B69,CPU!O:O)</f>
        <v>421.13400000000001</v>
      </c>
      <c r="O75" s="23">
        <f t="shared" si="26"/>
        <v>421.13400000000001</v>
      </c>
      <c r="Q75" s="23">
        <f ca="1">SUMIF(CPU!M:M,B69,CPU!R:R)</f>
        <v>168.45360000000002</v>
      </c>
      <c r="R75" s="23">
        <f t="shared" ca="1" si="27"/>
        <v>168.45360000000002</v>
      </c>
    </row>
    <row r="76" spans="1:18" ht="30" customHeight="1" x14ac:dyDescent="0.3">
      <c r="A76" s="23" t="s">
        <v>1025</v>
      </c>
      <c r="B76" s="23">
        <v>37370</v>
      </c>
      <c r="C76" s="23" t="str">
        <f>VLOOKUP(B76,IF(A76="COMPOSICAO",S!$A:$E,I!$A:$E),2,FALSE)</f>
        <v>SINAPI</v>
      </c>
      <c r="D76" s="24" t="str">
        <f>VLOOKUP(B76,IF(A76="COMPOSICAO",S!$A:$E,I!$A:$E),3,FALSE)</f>
        <v>ALIMENTACAO - HORISTA (COLETADO CAIXA - ENCARGOS COMPLEMENTARES)</v>
      </c>
      <c r="E76" s="23" t="str">
        <f>VLOOKUP(B76,IF(A76="COMPOSICAO",S!$A:$E,I!$A:$E),4,FALSE)</f>
        <v>H</v>
      </c>
      <c r="F76" s="23">
        <v>1</v>
      </c>
      <c r="G76" s="71">
        <f>IF(A76="COMPOSICAO",VLOOKUP("TOTAL SEM BDI - "&amp;B76,CPUAUX2!$A:$J,9,FALSE),VLOOKUP(B76,I!$A:$E,5,FALSE))</f>
        <v>2.46</v>
      </c>
      <c r="H76" s="72"/>
      <c r="I76" s="71">
        <f t="shared" si="24"/>
        <v>2.46</v>
      </c>
      <c r="J76" s="72"/>
      <c r="M76" s="23">
        <f t="shared" si="25"/>
        <v>37370</v>
      </c>
      <c r="N76" s="23">
        <f>SUMIF(CPU!M:M,B69,CPU!O:O)</f>
        <v>421.13400000000001</v>
      </c>
      <c r="O76" s="23">
        <f t="shared" si="26"/>
        <v>421.13400000000001</v>
      </c>
      <c r="Q76" s="23">
        <f ca="1">SUMIF(CPU!M:M,B69,CPU!R:R)</f>
        <v>168.45360000000002</v>
      </c>
      <c r="R76" s="23">
        <f t="shared" ca="1" si="27"/>
        <v>168.45360000000002</v>
      </c>
    </row>
    <row r="77" spans="1:18" ht="30" customHeight="1" x14ac:dyDescent="0.3">
      <c r="A77" s="23" t="s">
        <v>1025</v>
      </c>
      <c r="B77" s="23">
        <v>4230</v>
      </c>
      <c r="C77" s="23" t="str">
        <f>VLOOKUP(B77,IF(A77="COMPOSICAO",S!$A:$E,I!$A:$E),2,FALSE)</f>
        <v>SINAPI</v>
      </c>
      <c r="D77" s="24" t="str">
        <f>VLOOKUP(B77,IF(A77="COMPOSICAO",S!$A:$E,I!$A:$E),3,FALSE)</f>
        <v>OPERADOR DE MAQUINAS E TRATORES DIVERSOS - TERRAPLANAGEM (HORISTA)</v>
      </c>
      <c r="E77" s="23" t="str">
        <f>VLOOKUP(B77,IF(A77="COMPOSICAO",S!$A:$E,I!$A:$E),4,FALSE)</f>
        <v>H</v>
      </c>
      <c r="F77" s="23">
        <v>1</v>
      </c>
      <c r="G77" s="71">
        <f>IF(A77="COMPOSICAO",VLOOKUP("TOTAL SEM BDI - "&amp;B77,CPUAUX2!$A:$J,9,FALSE),VLOOKUP(B77,I!$A:$E,5,FALSE))</f>
        <v>21.48</v>
      </c>
      <c r="H77" s="72"/>
      <c r="I77" s="71">
        <f t="shared" si="24"/>
        <v>21.48</v>
      </c>
      <c r="J77" s="72"/>
      <c r="M77" s="23">
        <f t="shared" si="25"/>
        <v>4230</v>
      </c>
      <c r="N77" s="23">
        <f>SUMIF(CPU!M:M,B69,CPU!O:O)</f>
        <v>421.13400000000001</v>
      </c>
      <c r="O77" s="23">
        <f t="shared" si="26"/>
        <v>421.13400000000001</v>
      </c>
      <c r="Q77" s="23">
        <f ca="1">SUMIF(CPU!M:M,B69,CPU!R:R)</f>
        <v>168.45360000000002</v>
      </c>
      <c r="R77" s="23">
        <f t="shared" ca="1" si="27"/>
        <v>168.45360000000002</v>
      </c>
    </row>
    <row r="78" spans="1:18" x14ac:dyDescent="0.3">
      <c r="A78" s="68" t="str">
        <f>"TOTAL SEM BDI - "&amp;B69</f>
        <v>TOTAL SEM BDI - 88297</v>
      </c>
      <c r="B78" s="69"/>
      <c r="C78" s="69"/>
      <c r="D78" s="69"/>
      <c r="E78" s="69"/>
      <c r="F78" s="69"/>
      <c r="G78" s="69"/>
      <c r="H78" s="70"/>
      <c r="I78" s="71">
        <f>SUM(I69:I77)</f>
        <v>27.16</v>
      </c>
      <c r="J78" s="72"/>
    </row>
    <row r="80" spans="1:18" x14ac:dyDescent="0.3">
      <c r="A80" s="4" t="s">
        <v>1018</v>
      </c>
      <c r="B80" s="4" t="s">
        <v>138</v>
      </c>
      <c r="C80" s="4" t="s">
        <v>139</v>
      </c>
      <c r="D80" s="4" t="s">
        <v>21</v>
      </c>
      <c r="E80" s="4" t="s">
        <v>140</v>
      </c>
      <c r="F80" s="4" t="s">
        <v>506</v>
      </c>
      <c r="G80" s="34" t="s">
        <v>1019</v>
      </c>
      <c r="H80" s="35"/>
      <c r="I80" s="34" t="s">
        <v>15</v>
      </c>
      <c r="J80" s="35"/>
    </row>
    <row r="81" spans="1:18" ht="30" customHeight="1" x14ac:dyDescent="0.3">
      <c r="A81" s="15" t="s">
        <v>1093</v>
      </c>
      <c r="B81" s="15">
        <v>88277</v>
      </c>
      <c r="C81" s="15" t="str">
        <f>VLOOKUP(B81,S!$A:$G,2,FALSE)</f>
        <v>SINAPI</v>
      </c>
      <c r="D81" s="22" t="str">
        <f>VLOOKUP(B81,S!$A:$G,3,FALSE)</f>
        <v>MONTADOR (TUBO AÇO/EQUIPAMENTOS) COM ENCARGOS COMPLEMENTARES</v>
      </c>
      <c r="E81" s="15" t="str">
        <f>VLOOKUP(B81,S!$A:$G,4,FALSE)</f>
        <v>H</v>
      </c>
      <c r="F81" s="15"/>
      <c r="G81" s="73">
        <f>I90</f>
        <v>28.44</v>
      </c>
      <c r="H81" s="74"/>
      <c r="I81" s="73"/>
      <c r="J81" s="74"/>
      <c r="K81" s="16">
        <f>VLOOKUP(B81,S!A:G,5,FALSE)</f>
        <v>28.44</v>
      </c>
      <c r="L81" s="15" t="str">
        <f>IF(K81=G81,"OK, CONFORME TABELA",IF(G81&gt;K81,"ACIMA DA TABELA: ","ABAIXO DA TABELA: ")&amp;TRUNC((G81*100)/K81,2)&amp;" %")</f>
        <v>OK, CONFORME TABELA</v>
      </c>
    </row>
    <row r="82" spans="1:18" ht="45" customHeight="1" x14ac:dyDescent="0.3">
      <c r="A82" s="23" t="s">
        <v>1022</v>
      </c>
      <c r="B82" s="23">
        <v>95343</v>
      </c>
      <c r="C82" s="23" t="str">
        <f>VLOOKUP(B82,IF(A82="COMPOSICAO",S!$A:$E,I!$A:$E),2,FALSE)</f>
        <v>SINAPI</v>
      </c>
      <c r="D82" s="24" t="str">
        <f>VLOOKUP(B82,IF(A82="COMPOSICAO",S!$A:$E,I!$A:$E),3,FALSE)</f>
        <v>CURSO DE CAPACITAÇÃO PARA MONTADOR DE TUBO AÇO/EQUIPAMENTOS (ENCARGOS COMPLEMENTARES) - HORISTA</v>
      </c>
      <c r="E82" s="23" t="str">
        <f>VLOOKUP(B82,IF(A82="COMPOSICAO",S!$A:$E,I!$A:$E),4,FALSE)</f>
        <v>H</v>
      </c>
      <c r="F82" s="23">
        <v>1</v>
      </c>
      <c r="G82" s="71">
        <f>IF(A82="COMPOSICAO",VLOOKUP("TOTAL SEM BDI - "&amp;B82,CPUAUX2!$A:$J,9,FALSE),VLOOKUP(B82,I!$A:$E,5,FALSE))</f>
        <v>0.33</v>
      </c>
      <c r="H82" s="72"/>
      <c r="I82" s="71">
        <f t="shared" ref="I82:I89" si="28">TRUNC(F82*G82,2)</f>
        <v>0.33</v>
      </c>
      <c r="J82" s="72"/>
      <c r="M82" s="23">
        <f t="shared" ref="M82:M89" si="29">B82</f>
        <v>95343</v>
      </c>
      <c r="N82" s="23">
        <f>SUMIF(CPU!M:M,B81,CPU!O:O)</f>
        <v>111</v>
      </c>
      <c r="O82" s="23">
        <f t="shared" ref="O82:O89" si="30">F82*N82</f>
        <v>111</v>
      </c>
      <c r="Q82" s="23">
        <f ca="1">SUMIF(CPU!M:M,B81,CPU!R:R)</f>
        <v>44.400000000000006</v>
      </c>
      <c r="R82" s="23">
        <f t="shared" ref="R82:R89" ca="1" si="31">F82*Q82</f>
        <v>44.400000000000006</v>
      </c>
    </row>
    <row r="83" spans="1:18" ht="30" customHeight="1" x14ac:dyDescent="0.3">
      <c r="A83" s="23" t="s">
        <v>1025</v>
      </c>
      <c r="B83" s="23">
        <v>43488</v>
      </c>
      <c r="C83" s="23" t="str">
        <f>VLOOKUP(B83,IF(A83="COMPOSICAO",S!$A:$E,I!$A:$E),2,FALSE)</f>
        <v>SINAPI</v>
      </c>
      <c r="D83" s="24" t="str">
        <f>VLOOKUP(B83,IF(A83="COMPOSICAO",S!$A:$E,I!$A:$E),3,FALSE)</f>
        <v>EPI - FAMILIA OPERADOR ESCAVADEIRA - HORISTA (ENCARGOS COMPLEMENTARES - COLETADO CAIXA)</v>
      </c>
      <c r="E83" s="23" t="str">
        <f>VLOOKUP(B83,IF(A83="COMPOSICAO",S!$A:$E,I!$A:$E),4,FALSE)</f>
        <v>H</v>
      </c>
      <c r="F83" s="23">
        <v>1</v>
      </c>
      <c r="G83" s="71">
        <f>IF(A83="COMPOSICAO",VLOOKUP("TOTAL SEM BDI - "&amp;B83,CPUAUX2!$A:$J,9,FALSE),VLOOKUP(B83,I!$A:$E,5,FALSE))</f>
        <v>0.89</v>
      </c>
      <c r="H83" s="72"/>
      <c r="I83" s="71">
        <f t="shared" si="28"/>
        <v>0.89</v>
      </c>
      <c r="J83" s="72"/>
      <c r="M83" s="23">
        <f t="shared" si="29"/>
        <v>43488</v>
      </c>
      <c r="N83" s="23">
        <f>SUMIF(CPU!M:M,B81,CPU!O:O)</f>
        <v>111</v>
      </c>
      <c r="O83" s="23">
        <f t="shared" si="30"/>
        <v>111</v>
      </c>
      <c r="Q83" s="23">
        <f ca="1">SUMIF(CPU!M:M,B81,CPU!R:R)</f>
        <v>44.400000000000006</v>
      </c>
      <c r="R83" s="23">
        <f t="shared" ca="1" si="31"/>
        <v>44.400000000000006</v>
      </c>
    </row>
    <row r="84" spans="1:18" ht="45" customHeight="1" x14ac:dyDescent="0.3">
      <c r="A84" s="23" t="s">
        <v>1025</v>
      </c>
      <c r="B84" s="23">
        <v>43464</v>
      </c>
      <c r="C84" s="23" t="str">
        <f>VLOOKUP(B84,IF(A84="COMPOSICAO",S!$A:$E,I!$A:$E),2,FALSE)</f>
        <v>SINAPI</v>
      </c>
      <c r="D84" s="24" t="str">
        <f>VLOOKUP(B84,IF(A84="COMPOSICAO",S!$A:$E,I!$A:$E),3,FALSE)</f>
        <v>FERRAMENTAS - FAMILIA OPERADOR ESCAVADEIRA - HORISTA (ENCARGOS COMPLEMENTARES - COLETADO CAIXA)</v>
      </c>
      <c r="E84" s="23" t="str">
        <f>VLOOKUP(B84,IF(A84="COMPOSICAO",S!$A:$E,I!$A:$E),4,FALSE)</f>
        <v>H</v>
      </c>
      <c r="F84" s="23">
        <v>1</v>
      </c>
      <c r="G84" s="71">
        <f>IF(A84="COMPOSICAO",VLOOKUP("TOTAL SEM BDI - "&amp;B84,CPUAUX2!$A:$J,9,FALSE),VLOOKUP(B84,I!$A:$E,5,FALSE))</f>
        <v>0.01</v>
      </c>
      <c r="H84" s="72"/>
      <c r="I84" s="71">
        <f t="shared" si="28"/>
        <v>0.01</v>
      </c>
      <c r="J84" s="72"/>
      <c r="M84" s="23">
        <f t="shared" si="29"/>
        <v>43464</v>
      </c>
      <c r="N84" s="23">
        <f>SUMIF(CPU!M:M,B81,CPU!O:O)</f>
        <v>111</v>
      </c>
      <c r="O84" s="23">
        <f t="shared" si="30"/>
        <v>111</v>
      </c>
      <c r="Q84" s="23">
        <f ca="1">SUMIF(CPU!M:M,B81,CPU!R:R)</f>
        <v>44.400000000000006</v>
      </c>
      <c r="R84" s="23">
        <f t="shared" ca="1" si="31"/>
        <v>44.400000000000006</v>
      </c>
    </row>
    <row r="85" spans="1:18" ht="30" customHeight="1" x14ac:dyDescent="0.3">
      <c r="A85" s="23" t="s">
        <v>1025</v>
      </c>
      <c r="B85" s="23">
        <v>37373</v>
      </c>
      <c r="C85" s="23" t="str">
        <f>VLOOKUP(B85,IF(A85="COMPOSICAO",S!$A:$E,I!$A:$E),2,FALSE)</f>
        <v>SINAPI</v>
      </c>
      <c r="D85" s="24" t="str">
        <f>VLOOKUP(B85,IF(A85="COMPOSICAO",S!$A:$E,I!$A:$E),3,FALSE)</f>
        <v>SEGURO - HORISTA (COLETADO CAIXA - ENCARGOS COMPLEMENTARES)</v>
      </c>
      <c r="E85" s="23" t="str">
        <f>VLOOKUP(B85,IF(A85="COMPOSICAO",S!$A:$E,I!$A:$E),4,FALSE)</f>
        <v>H</v>
      </c>
      <c r="F85" s="23">
        <v>1</v>
      </c>
      <c r="G85" s="71">
        <f>IF(A85="COMPOSICAO",VLOOKUP("TOTAL SEM BDI - "&amp;B85,CPUAUX2!$A:$J,9,FALSE),VLOOKUP(B85,I!$A:$E,5,FALSE))</f>
        <v>0.08</v>
      </c>
      <c r="H85" s="72"/>
      <c r="I85" s="71">
        <f t="shared" si="28"/>
        <v>0.08</v>
      </c>
      <c r="J85" s="72"/>
      <c r="M85" s="23">
        <f t="shared" si="29"/>
        <v>37373</v>
      </c>
      <c r="N85" s="23">
        <f>SUMIF(CPU!M:M,B81,CPU!O:O)</f>
        <v>111</v>
      </c>
      <c r="O85" s="23">
        <f t="shared" si="30"/>
        <v>111</v>
      </c>
      <c r="Q85" s="23">
        <f ca="1">SUMIF(CPU!M:M,B81,CPU!R:R)</f>
        <v>44.400000000000006</v>
      </c>
      <c r="R85" s="23">
        <f t="shared" ca="1" si="31"/>
        <v>44.400000000000006</v>
      </c>
    </row>
    <row r="86" spans="1:18" ht="30" customHeight="1" x14ac:dyDescent="0.3">
      <c r="A86" s="23" t="s">
        <v>1025</v>
      </c>
      <c r="B86" s="23">
        <v>37372</v>
      </c>
      <c r="C86" s="23" t="str">
        <f>VLOOKUP(B86,IF(A86="COMPOSICAO",S!$A:$E,I!$A:$E),2,FALSE)</f>
        <v>SINAPI</v>
      </c>
      <c r="D86" s="24" t="str">
        <f>VLOOKUP(B86,IF(A86="COMPOSICAO",S!$A:$E,I!$A:$E),3,FALSE)</f>
        <v>EXAMES - HORISTA (COLETADO CAIXA - ENCARGOS COMPLEMENTARES)</v>
      </c>
      <c r="E86" s="23" t="str">
        <f>VLOOKUP(B86,IF(A86="COMPOSICAO",S!$A:$E,I!$A:$E),4,FALSE)</f>
        <v>H</v>
      </c>
      <c r="F86" s="23">
        <v>1</v>
      </c>
      <c r="G86" s="71">
        <f>IF(A86="COMPOSICAO",VLOOKUP("TOTAL SEM BDI - "&amp;B86,CPUAUX2!$A:$J,9,FALSE),VLOOKUP(B86,I!$A:$E,5,FALSE))</f>
        <v>1.43</v>
      </c>
      <c r="H86" s="72"/>
      <c r="I86" s="71">
        <f t="shared" si="28"/>
        <v>1.43</v>
      </c>
      <c r="J86" s="72"/>
      <c r="M86" s="23">
        <f t="shared" si="29"/>
        <v>37372</v>
      </c>
      <c r="N86" s="23">
        <f>SUMIF(CPU!M:M,B81,CPU!O:O)</f>
        <v>111</v>
      </c>
      <c r="O86" s="23">
        <f t="shared" si="30"/>
        <v>111</v>
      </c>
      <c r="Q86" s="23">
        <f ca="1">SUMIF(CPU!M:M,B81,CPU!R:R)</f>
        <v>44.400000000000006</v>
      </c>
      <c r="R86" s="23">
        <f t="shared" ca="1" si="31"/>
        <v>44.400000000000006</v>
      </c>
    </row>
    <row r="87" spans="1:18" ht="30" customHeight="1" x14ac:dyDescent="0.3">
      <c r="A87" s="23" t="s">
        <v>1025</v>
      </c>
      <c r="B87" s="23">
        <v>37371</v>
      </c>
      <c r="C87" s="23" t="str">
        <f>VLOOKUP(B87,IF(A87="COMPOSICAO",S!$A:$E,I!$A:$E),2,FALSE)</f>
        <v>SINAPI</v>
      </c>
      <c r="D87" s="24" t="str">
        <f>VLOOKUP(B87,IF(A87="COMPOSICAO",S!$A:$E,I!$A:$E),3,FALSE)</f>
        <v>TRANSPORTE - HORISTA (COLETADO CAIXA - ENCARGOS COMPLEMENTARES)</v>
      </c>
      <c r="E87" s="23" t="str">
        <f>VLOOKUP(B87,IF(A87="COMPOSICAO",S!$A:$E,I!$A:$E),4,FALSE)</f>
        <v>H</v>
      </c>
      <c r="F87" s="23">
        <v>1</v>
      </c>
      <c r="G87" s="71">
        <f>IF(A87="COMPOSICAO",VLOOKUP("TOTAL SEM BDI - "&amp;B87,CPUAUX2!$A:$J,9,FALSE),VLOOKUP(B87,I!$A:$E,5,FALSE))</f>
        <v>0.56999999999999995</v>
      </c>
      <c r="H87" s="72"/>
      <c r="I87" s="71">
        <f t="shared" si="28"/>
        <v>0.56999999999999995</v>
      </c>
      <c r="J87" s="72"/>
      <c r="M87" s="23">
        <f t="shared" si="29"/>
        <v>37371</v>
      </c>
      <c r="N87" s="23">
        <f>SUMIF(CPU!M:M,B81,CPU!O:O)</f>
        <v>111</v>
      </c>
      <c r="O87" s="23">
        <f t="shared" si="30"/>
        <v>111</v>
      </c>
      <c r="Q87" s="23">
        <f ca="1">SUMIF(CPU!M:M,B81,CPU!R:R)</f>
        <v>44.400000000000006</v>
      </c>
      <c r="R87" s="23">
        <f t="shared" ca="1" si="31"/>
        <v>44.400000000000006</v>
      </c>
    </row>
    <row r="88" spans="1:18" ht="30" customHeight="1" x14ac:dyDescent="0.3">
      <c r="A88" s="23" t="s">
        <v>1025</v>
      </c>
      <c r="B88" s="23">
        <v>37370</v>
      </c>
      <c r="C88" s="23" t="str">
        <f>VLOOKUP(B88,IF(A88="COMPOSICAO",S!$A:$E,I!$A:$E),2,FALSE)</f>
        <v>SINAPI</v>
      </c>
      <c r="D88" s="24" t="str">
        <f>VLOOKUP(B88,IF(A88="COMPOSICAO",S!$A:$E,I!$A:$E),3,FALSE)</f>
        <v>ALIMENTACAO - HORISTA (COLETADO CAIXA - ENCARGOS COMPLEMENTARES)</v>
      </c>
      <c r="E88" s="23" t="str">
        <f>VLOOKUP(B88,IF(A88="COMPOSICAO",S!$A:$E,I!$A:$E),4,FALSE)</f>
        <v>H</v>
      </c>
      <c r="F88" s="23">
        <v>1</v>
      </c>
      <c r="G88" s="71">
        <f>IF(A88="COMPOSICAO",VLOOKUP("TOTAL SEM BDI - "&amp;B88,CPUAUX2!$A:$J,9,FALSE),VLOOKUP(B88,I!$A:$E,5,FALSE))</f>
        <v>2.46</v>
      </c>
      <c r="H88" s="72"/>
      <c r="I88" s="71">
        <f t="shared" si="28"/>
        <v>2.46</v>
      </c>
      <c r="J88" s="72"/>
      <c r="M88" s="23">
        <f t="shared" si="29"/>
        <v>37370</v>
      </c>
      <c r="N88" s="23">
        <f>SUMIF(CPU!M:M,B81,CPU!O:O)</f>
        <v>111</v>
      </c>
      <c r="O88" s="23">
        <f t="shared" si="30"/>
        <v>111</v>
      </c>
      <c r="Q88" s="23">
        <f ca="1">SUMIF(CPU!M:M,B81,CPU!R:R)</f>
        <v>44.400000000000006</v>
      </c>
      <c r="R88" s="23">
        <f t="shared" ca="1" si="31"/>
        <v>44.400000000000006</v>
      </c>
    </row>
    <row r="89" spans="1:18" ht="30" customHeight="1" x14ac:dyDescent="0.3">
      <c r="A89" s="23" t="s">
        <v>1025</v>
      </c>
      <c r="B89" s="23">
        <v>2701</v>
      </c>
      <c r="C89" s="23" t="str">
        <f>VLOOKUP(B89,IF(A89="COMPOSICAO",S!$A:$E,I!$A:$E),2,FALSE)</f>
        <v>SINAPI</v>
      </c>
      <c r="D89" s="24" t="str">
        <f>VLOOKUP(B89,IF(A89="COMPOSICAO",S!$A:$E,I!$A:$E),3,FALSE)</f>
        <v>INSTALADOR DE TUBULACOES - TUBOS/EQUIPAMENTOS (HORISTA)</v>
      </c>
      <c r="E89" s="23" t="str">
        <f>VLOOKUP(B89,IF(A89="COMPOSICAO",S!$A:$E,I!$A:$E),4,FALSE)</f>
        <v>H</v>
      </c>
      <c r="F89" s="23">
        <v>1</v>
      </c>
      <c r="G89" s="71">
        <f>IF(A89="COMPOSICAO",VLOOKUP("TOTAL SEM BDI - "&amp;B89,CPUAUX2!$A:$J,9,FALSE),VLOOKUP(B89,I!$A:$E,5,FALSE))</f>
        <v>22.67</v>
      </c>
      <c r="H89" s="72"/>
      <c r="I89" s="71">
        <f t="shared" si="28"/>
        <v>22.67</v>
      </c>
      <c r="J89" s="72"/>
      <c r="M89" s="23">
        <f t="shared" si="29"/>
        <v>2701</v>
      </c>
      <c r="N89" s="23">
        <f>SUMIF(CPU!M:M,B81,CPU!O:O)</f>
        <v>111</v>
      </c>
      <c r="O89" s="23">
        <f t="shared" si="30"/>
        <v>111</v>
      </c>
      <c r="Q89" s="23">
        <f ca="1">SUMIF(CPU!M:M,B81,CPU!R:R)</f>
        <v>44.400000000000006</v>
      </c>
      <c r="R89" s="23">
        <f t="shared" ca="1" si="31"/>
        <v>44.400000000000006</v>
      </c>
    </row>
    <row r="90" spans="1:18" x14ac:dyDescent="0.3">
      <c r="A90" s="68" t="str">
        <f>"TOTAL SEM BDI - "&amp;B81</f>
        <v>TOTAL SEM BDI - 88277</v>
      </c>
      <c r="B90" s="69"/>
      <c r="C90" s="69"/>
      <c r="D90" s="69"/>
      <c r="E90" s="69"/>
      <c r="F90" s="69"/>
      <c r="G90" s="69"/>
      <c r="H90" s="70"/>
      <c r="I90" s="71">
        <f>SUM(I81:I89)</f>
        <v>28.44</v>
      </c>
      <c r="J90" s="72"/>
    </row>
    <row r="92" spans="1:18" x14ac:dyDescent="0.3">
      <c r="A92" s="4" t="s">
        <v>1018</v>
      </c>
      <c r="B92" s="4" t="s">
        <v>138</v>
      </c>
      <c r="C92" s="4" t="s">
        <v>139</v>
      </c>
      <c r="D92" s="4" t="s">
        <v>21</v>
      </c>
      <c r="E92" s="4" t="s">
        <v>140</v>
      </c>
      <c r="F92" s="4" t="s">
        <v>506</v>
      </c>
      <c r="G92" s="34" t="s">
        <v>1019</v>
      </c>
      <c r="H92" s="35"/>
      <c r="I92" s="34" t="s">
        <v>15</v>
      </c>
      <c r="J92" s="35"/>
    </row>
    <row r="93" spans="1:18" x14ac:dyDescent="0.3">
      <c r="A93" s="15" t="s">
        <v>1093</v>
      </c>
      <c r="B93" s="15">
        <v>88309</v>
      </c>
      <c r="C93" s="15" t="str">
        <f>VLOOKUP(B93,S!$A:$G,2,FALSE)</f>
        <v>SINAPI</v>
      </c>
      <c r="D93" s="22" t="str">
        <f>VLOOKUP(B93,S!$A:$G,3,FALSE)</f>
        <v>PEDREIRO COM ENCARGOS COMPLEMENTARES</v>
      </c>
      <c r="E93" s="15" t="str">
        <f>VLOOKUP(B93,S!$A:$G,4,FALSE)</f>
        <v>H</v>
      </c>
      <c r="F93" s="15"/>
      <c r="G93" s="73">
        <f>I102</f>
        <v>27.39</v>
      </c>
      <c r="H93" s="74"/>
      <c r="I93" s="73"/>
      <c r="J93" s="74"/>
      <c r="K93" s="16">
        <f>VLOOKUP(B93,S!A:G,5,FALSE)</f>
        <v>27.39</v>
      </c>
      <c r="L93" s="15" t="str">
        <f>IF(K93=G93,"OK, CONFORME TABELA",IF(G93&gt;K93,"ACIMA DA TABELA: ","ABAIXO DA TABELA: ")&amp;TRUNC((G93*100)/K93,2)&amp;" %")</f>
        <v>OK, CONFORME TABELA</v>
      </c>
    </row>
    <row r="94" spans="1:18" ht="30" customHeight="1" x14ac:dyDescent="0.3">
      <c r="A94" s="23" t="s">
        <v>1022</v>
      </c>
      <c r="B94" s="23">
        <v>95371</v>
      </c>
      <c r="C94" s="23" t="str">
        <f>VLOOKUP(B94,IF(A94="COMPOSICAO",S!$A:$E,I!$A:$E),2,FALSE)</f>
        <v>SINAPI</v>
      </c>
      <c r="D94" s="24" t="str">
        <f>VLOOKUP(B94,IF(A94="COMPOSICAO",S!$A:$E,I!$A:$E),3,FALSE)</f>
        <v>CURSO DE CAPACITAÇÃO PARA PEDREIRO (ENCARGOS COMPLEMENTARES) - HORISTA</v>
      </c>
      <c r="E94" s="23" t="str">
        <f>VLOOKUP(B94,IF(A94="COMPOSICAO",S!$A:$E,I!$A:$E),4,FALSE)</f>
        <v>H</v>
      </c>
      <c r="F94" s="23">
        <v>1</v>
      </c>
      <c r="G94" s="71">
        <f>IF(A94="COMPOSICAO",VLOOKUP("TOTAL SEM BDI - "&amp;B94,CPUAUX2!$A:$J,9,FALSE),VLOOKUP(B94,I!$A:$E,5,FALSE))</f>
        <v>0.43</v>
      </c>
      <c r="H94" s="72"/>
      <c r="I94" s="71">
        <f t="shared" ref="I94:I101" si="32">TRUNC(F94*G94,2)</f>
        <v>0.43</v>
      </c>
      <c r="J94" s="72"/>
      <c r="M94" s="23">
        <f t="shared" ref="M94:M101" si="33">B94</f>
        <v>95371</v>
      </c>
      <c r="N94" s="23">
        <f>SUMIF(CPU!M:M,B93,CPU!O:O)</f>
        <v>550.23470999999995</v>
      </c>
      <c r="O94" s="23">
        <f t="shared" ref="O94:O101" si="34">F94*N94</f>
        <v>550.23470999999995</v>
      </c>
      <c r="Q94" s="23">
        <f ca="1">SUMIF(CPU!M:M,B93,CPU!R:R)</f>
        <v>220.093884</v>
      </c>
      <c r="R94" s="23">
        <f t="shared" ref="R94:R101" ca="1" si="35">F94*Q94</f>
        <v>220.093884</v>
      </c>
    </row>
    <row r="95" spans="1:18" ht="30" customHeight="1" x14ac:dyDescent="0.3">
      <c r="A95" s="23" t="s">
        <v>1025</v>
      </c>
      <c r="B95" s="23">
        <v>43489</v>
      </c>
      <c r="C95" s="23" t="str">
        <f>VLOOKUP(B95,IF(A95="COMPOSICAO",S!$A:$E,I!$A:$E),2,FALSE)</f>
        <v>SINAPI</v>
      </c>
      <c r="D95" s="24" t="str">
        <f>VLOOKUP(B95,IF(A95="COMPOSICAO",S!$A:$E,I!$A:$E),3,FALSE)</f>
        <v>EPI - FAMILIA PEDREIRO - HORISTA (ENCARGOS COMPLEMENTARES - COLETADO CAIXA)</v>
      </c>
      <c r="E95" s="23" t="str">
        <f>VLOOKUP(B95,IF(A95="COMPOSICAO",S!$A:$E,I!$A:$E),4,FALSE)</f>
        <v>H</v>
      </c>
      <c r="F95" s="23">
        <v>1</v>
      </c>
      <c r="G95" s="71">
        <f>IF(A95="COMPOSICAO",VLOOKUP("TOTAL SEM BDI - "&amp;B95,CPUAUX2!$A:$J,9,FALSE),VLOOKUP(B95,I!$A:$E,5,FALSE))</f>
        <v>1.31</v>
      </c>
      <c r="H95" s="72"/>
      <c r="I95" s="71">
        <f t="shared" si="32"/>
        <v>1.31</v>
      </c>
      <c r="J95" s="72"/>
      <c r="M95" s="23">
        <f t="shared" si="33"/>
        <v>43489</v>
      </c>
      <c r="N95" s="23">
        <f>SUMIF(CPU!M:M,B93,CPU!O:O)</f>
        <v>550.23470999999995</v>
      </c>
      <c r="O95" s="23">
        <f t="shared" si="34"/>
        <v>550.23470999999995</v>
      </c>
      <c r="Q95" s="23">
        <f ca="1">SUMIF(CPU!M:M,B93,CPU!R:R)</f>
        <v>220.093884</v>
      </c>
      <c r="R95" s="23">
        <f t="shared" ca="1" si="35"/>
        <v>220.093884</v>
      </c>
    </row>
    <row r="96" spans="1:18" ht="30" customHeight="1" x14ac:dyDescent="0.3">
      <c r="A96" s="23" t="s">
        <v>1025</v>
      </c>
      <c r="B96" s="23">
        <v>43465</v>
      </c>
      <c r="C96" s="23" t="str">
        <f>VLOOKUP(B96,IF(A96="COMPOSICAO",S!$A:$E,I!$A:$E),2,FALSE)</f>
        <v>SINAPI</v>
      </c>
      <c r="D96" s="24" t="str">
        <f>VLOOKUP(B96,IF(A96="COMPOSICAO",S!$A:$E,I!$A:$E),3,FALSE)</f>
        <v>FERRAMENTAS - FAMILIA PEDREIRO - HORISTA (ENCARGOS COMPLEMENTARES - COLETADO CAIXA)</v>
      </c>
      <c r="E96" s="23" t="str">
        <f>VLOOKUP(B96,IF(A96="COMPOSICAO",S!$A:$E,I!$A:$E),4,FALSE)</f>
        <v>H</v>
      </c>
      <c r="F96" s="23">
        <v>1</v>
      </c>
      <c r="G96" s="71">
        <f>IF(A96="COMPOSICAO",VLOOKUP("TOTAL SEM BDI - "&amp;B96,CPUAUX2!$A:$J,9,FALSE),VLOOKUP(B96,I!$A:$E,5,FALSE))</f>
        <v>0.78</v>
      </c>
      <c r="H96" s="72"/>
      <c r="I96" s="71">
        <f t="shared" si="32"/>
        <v>0.78</v>
      </c>
      <c r="J96" s="72"/>
      <c r="M96" s="23">
        <f t="shared" si="33"/>
        <v>43465</v>
      </c>
      <c r="N96" s="23">
        <f>SUMIF(CPU!M:M,B93,CPU!O:O)</f>
        <v>550.23470999999995</v>
      </c>
      <c r="O96" s="23">
        <f t="shared" si="34"/>
        <v>550.23470999999995</v>
      </c>
      <c r="Q96" s="23">
        <f ca="1">SUMIF(CPU!M:M,B93,CPU!R:R)</f>
        <v>220.093884</v>
      </c>
      <c r="R96" s="23">
        <f t="shared" ca="1" si="35"/>
        <v>220.093884</v>
      </c>
    </row>
    <row r="97" spans="1:18" ht="30" customHeight="1" x14ac:dyDescent="0.3">
      <c r="A97" s="23" t="s">
        <v>1025</v>
      </c>
      <c r="B97" s="23">
        <v>37373</v>
      </c>
      <c r="C97" s="23" t="str">
        <f>VLOOKUP(B97,IF(A97="COMPOSICAO",S!$A:$E,I!$A:$E),2,FALSE)</f>
        <v>SINAPI</v>
      </c>
      <c r="D97" s="24" t="str">
        <f>VLOOKUP(B97,IF(A97="COMPOSICAO",S!$A:$E,I!$A:$E),3,FALSE)</f>
        <v>SEGURO - HORISTA (COLETADO CAIXA - ENCARGOS COMPLEMENTARES)</v>
      </c>
      <c r="E97" s="23" t="str">
        <f>VLOOKUP(B97,IF(A97="COMPOSICAO",S!$A:$E,I!$A:$E),4,FALSE)</f>
        <v>H</v>
      </c>
      <c r="F97" s="23">
        <v>1</v>
      </c>
      <c r="G97" s="71">
        <f>IF(A97="COMPOSICAO",VLOOKUP("TOTAL SEM BDI - "&amp;B97,CPUAUX2!$A:$J,9,FALSE),VLOOKUP(B97,I!$A:$E,5,FALSE))</f>
        <v>0.08</v>
      </c>
      <c r="H97" s="72"/>
      <c r="I97" s="71">
        <f t="shared" si="32"/>
        <v>0.08</v>
      </c>
      <c r="J97" s="72"/>
      <c r="M97" s="23">
        <f t="shared" si="33"/>
        <v>37373</v>
      </c>
      <c r="N97" s="23">
        <f>SUMIF(CPU!M:M,B93,CPU!O:O)</f>
        <v>550.23470999999995</v>
      </c>
      <c r="O97" s="23">
        <f t="shared" si="34"/>
        <v>550.23470999999995</v>
      </c>
      <c r="Q97" s="23">
        <f ca="1">SUMIF(CPU!M:M,B93,CPU!R:R)</f>
        <v>220.093884</v>
      </c>
      <c r="R97" s="23">
        <f t="shared" ca="1" si="35"/>
        <v>220.093884</v>
      </c>
    </row>
    <row r="98" spans="1:18" ht="30" customHeight="1" x14ac:dyDescent="0.3">
      <c r="A98" s="23" t="s">
        <v>1025</v>
      </c>
      <c r="B98" s="23">
        <v>37372</v>
      </c>
      <c r="C98" s="23" t="str">
        <f>VLOOKUP(B98,IF(A98="COMPOSICAO",S!$A:$E,I!$A:$E),2,FALSE)</f>
        <v>SINAPI</v>
      </c>
      <c r="D98" s="24" t="str">
        <f>VLOOKUP(B98,IF(A98="COMPOSICAO",S!$A:$E,I!$A:$E),3,FALSE)</f>
        <v>EXAMES - HORISTA (COLETADO CAIXA - ENCARGOS COMPLEMENTARES)</v>
      </c>
      <c r="E98" s="23" t="str">
        <f>VLOOKUP(B98,IF(A98="COMPOSICAO",S!$A:$E,I!$A:$E),4,FALSE)</f>
        <v>H</v>
      </c>
      <c r="F98" s="23">
        <v>1</v>
      </c>
      <c r="G98" s="71">
        <f>IF(A98="COMPOSICAO",VLOOKUP("TOTAL SEM BDI - "&amp;B98,CPUAUX2!$A:$J,9,FALSE),VLOOKUP(B98,I!$A:$E,5,FALSE))</f>
        <v>1.43</v>
      </c>
      <c r="H98" s="72"/>
      <c r="I98" s="71">
        <f t="shared" si="32"/>
        <v>1.43</v>
      </c>
      <c r="J98" s="72"/>
      <c r="M98" s="23">
        <f t="shared" si="33"/>
        <v>37372</v>
      </c>
      <c r="N98" s="23">
        <f>SUMIF(CPU!M:M,B93,CPU!O:O)</f>
        <v>550.23470999999995</v>
      </c>
      <c r="O98" s="23">
        <f t="shared" si="34"/>
        <v>550.23470999999995</v>
      </c>
      <c r="Q98" s="23">
        <f ca="1">SUMIF(CPU!M:M,B93,CPU!R:R)</f>
        <v>220.093884</v>
      </c>
      <c r="R98" s="23">
        <f t="shared" ca="1" si="35"/>
        <v>220.093884</v>
      </c>
    </row>
    <row r="99" spans="1:18" ht="30" customHeight="1" x14ac:dyDescent="0.3">
      <c r="A99" s="23" t="s">
        <v>1025</v>
      </c>
      <c r="B99" s="23">
        <v>37371</v>
      </c>
      <c r="C99" s="23" t="str">
        <f>VLOOKUP(B99,IF(A99="COMPOSICAO",S!$A:$E,I!$A:$E),2,FALSE)</f>
        <v>SINAPI</v>
      </c>
      <c r="D99" s="24" t="str">
        <f>VLOOKUP(B99,IF(A99="COMPOSICAO",S!$A:$E,I!$A:$E),3,FALSE)</f>
        <v>TRANSPORTE - HORISTA (COLETADO CAIXA - ENCARGOS COMPLEMENTARES)</v>
      </c>
      <c r="E99" s="23" t="str">
        <f>VLOOKUP(B99,IF(A99="COMPOSICAO",S!$A:$E,I!$A:$E),4,FALSE)</f>
        <v>H</v>
      </c>
      <c r="F99" s="23">
        <v>1</v>
      </c>
      <c r="G99" s="71">
        <f>IF(A99="COMPOSICAO",VLOOKUP("TOTAL SEM BDI - "&amp;B99,CPUAUX2!$A:$J,9,FALSE),VLOOKUP(B99,I!$A:$E,5,FALSE))</f>
        <v>0.56999999999999995</v>
      </c>
      <c r="H99" s="72"/>
      <c r="I99" s="71">
        <f t="shared" si="32"/>
        <v>0.56999999999999995</v>
      </c>
      <c r="J99" s="72"/>
      <c r="M99" s="23">
        <f t="shared" si="33"/>
        <v>37371</v>
      </c>
      <c r="N99" s="23">
        <f>SUMIF(CPU!M:M,B93,CPU!O:O)</f>
        <v>550.23470999999995</v>
      </c>
      <c r="O99" s="23">
        <f t="shared" si="34"/>
        <v>550.23470999999995</v>
      </c>
      <c r="Q99" s="23">
        <f ca="1">SUMIF(CPU!M:M,B93,CPU!R:R)</f>
        <v>220.093884</v>
      </c>
      <c r="R99" s="23">
        <f t="shared" ca="1" si="35"/>
        <v>220.093884</v>
      </c>
    </row>
    <row r="100" spans="1:18" ht="30" customHeight="1" x14ac:dyDescent="0.3">
      <c r="A100" s="23" t="s">
        <v>1025</v>
      </c>
      <c r="B100" s="23">
        <v>37370</v>
      </c>
      <c r="C100" s="23" t="str">
        <f>VLOOKUP(B100,IF(A100="COMPOSICAO",S!$A:$E,I!$A:$E),2,FALSE)</f>
        <v>SINAPI</v>
      </c>
      <c r="D100" s="24" t="str">
        <f>VLOOKUP(B100,IF(A100="COMPOSICAO",S!$A:$E,I!$A:$E),3,FALSE)</f>
        <v>ALIMENTACAO - HORISTA (COLETADO CAIXA - ENCARGOS COMPLEMENTARES)</v>
      </c>
      <c r="E100" s="23" t="str">
        <f>VLOOKUP(B100,IF(A100="COMPOSICAO",S!$A:$E,I!$A:$E),4,FALSE)</f>
        <v>H</v>
      </c>
      <c r="F100" s="23">
        <v>1</v>
      </c>
      <c r="G100" s="71">
        <f>IF(A100="COMPOSICAO",VLOOKUP("TOTAL SEM BDI - "&amp;B100,CPUAUX2!$A:$J,9,FALSE),VLOOKUP(B100,I!$A:$E,5,FALSE))</f>
        <v>2.46</v>
      </c>
      <c r="H100" s="72"/>
      <c r="I100" s="71">
        <f t="shared" si="32"/>
        <v>2.46</v>
      </c>
      <c r="J100" s="72"/>
      <c r="M100" s="23">
        <f t="shared" si="33"/>
        <v>37370</v>
      </c>
      <c r="N100" s="23">
        <f>SUMIF(CPU!M:M,B93,CPU!O:O)</f>
        <v>550.23470999999995</v>
      </c>
      <c r="O100" s="23">
        <f t="shared" si="34"/>
        <v>550.23470999999995</v>
      </c>
      <c r="Q100" s="23">
        <f ca="1">SUMIF(CPU!M:M,B93,CPU!R:R)</f>
        <v>220.093884</v>
      </c>
      <c r="R100" s="23">
        <f t="shared" ca="1" si="35"/>
        <v>220.093884</v>
      </c>
    </row>
    <row r="101" spans="1:18" x14ac:dyDescent="0.3">
      <c r="A101" s="23" t="s">
        <v>1025</v>
      </c>
      <c r="B101" s="23">
        <v>4750</v>
      </c>
      <c r="C101" s="23" t="str">
        <f>VLOOKUP(B101,IF(A101="COMPOSICAO",S!$A:$E,I!$A:$E),2,FALSE)</f>
        <v>SINAPI</v>
      </c>
      <c r="D101" s="24" t="str">
        <f>VLOOKUP(B101,IF(A101="COMPOSICAO",S!$A:$E,I!$A:$E),3,FALSE)</f>
        <v>PEDREIRO (HORISTA)</v>
      </c>
      <c r="E101" s="23" t="str">
        <f>VLOOKUP(B101,IF(A101="COMPOSICAO",S!$A:$E,I!$A:$E),4,FALSE)</f>
        <v>H</v>
      </c>
      <c r="F101" s="23">
        <v>1</v>
      </c>
      <c r="G101" s="71">
        <f>IF(A101="COMPOSICAO",VLOOKUP("TOTAL SEM BDI - "&amp;B101,CPUAUX2!$A:$J,9,FALSE),VLOOKUP(B101,I!$A:$E,5,FALSE))</f>
        <v>20.329999999999998</v>
      </c>
      <c r="H101" s="72"/>
      <c r="I101" s="71">
        <f t="shared" si="32"/>
        <v>20.329999999999998</v>
      </c>
      <c r="J101" s="72"/>
      <c r="M101" s="23">
        <f t="shared" si="33"/>
        <v>4750</v>
      </c>
      <c r="N101" s="23">
        <f>SUMIF(CPU!M:M,B93,CPU!O:O)</f>
        <v>550.23470999999995</v>
      </c>
      <c r="O101" s="23">
        <f t="shared" si="34"/>
        <v>550.23470999999995</v>
      </c>
      <c r="Q101" s="23">
        <f ca="1">SUMIF(CPU!M:M,B93,CPU!R:R)</f>
        <v>220.093884</v>
      </c>
      <c r="R101" s="23">
        <f t="shared" ca="1" si="35"/>
        <v>220.093884</v>
      </c>
    </row>
    <row r="102" spans="1:18" x14ac:dyDescent="0.3">
      <c r="A102" s="68" t="str">
        <f>"TOTAL SEM BDI - "&amp;B93</f>
        <v>TOTAL SEM BDI - 88309</v>
      </c>
      <c r="B102" s="69"/>
      <c r="C102" s="69"/>
      <c r="D102" s="69"/>
      <c r="E102" s="69"/>
      <c r="F102" s="69"/>
      <c r="G102" s="69"/>
      <c r="H102" s="70"/>
      <c r="I102" s="71">
        <f>SUM(I93:I101)</f>
        <v>27.39</v>
      </c>
      <c r="J102" s="72"/>
    </row>
    <row r="104" spans="1:18" x14ac:dyDescent="0.3">
      <c r="A104" s="4" t="s">
        <v>1018</v>
      </c>
      <c r="B104" s="4" t="s">
        <v>138</v>
      </c>
      <c r="C104" s="4" t="s">
        <v>139</v>
      </c>
      <c r="D104" s="4" t="s">
        <v>21</v>
      </c>
      <c r="E104" s="4" t="s">
        <v>140</v>
      </c>
      <c r="F104" s="4" t="s">
        <v>506</v>
      </c>
      <c r="G104" s="34" t="s">
        <v>1019</v>
      </c>
      <c r="H104" s="35"/>
      <c r="I104" s="34" t="s">
        <v>15</v>
      </c>
      <c r="J104" s="35"/>
    </row>
    <row r="105" spans="1:18" ht="30" customHeight="1" x14ac:dyDescent="0.3">
      <c r="A105" s="15" t="s">
        <v>1093</v>
      </c>
      <c r="B105" s="15">
        <v>88242</v>
      </c>
      <c r="C105" s="15" t="str">
        <f>VLOOKUP(B105,S!$A:$G,2,FALSE)</f>
        <v>SINAPI</v>
      </c>
      <c r="D105" s="22" t="str">
        <f>VLOOKUP(B105,S!$A:$G,3,FALSE)</f>
        <v>AJUDANTE DE PEDREIRO COM ENCARGOS COMPLEMENTARES</v>
      </c>
      <c r="E105" s="15" t="str">
        <f>VLOOKUP(B105,S!$A:$G,4,FALSE)</f>
        <v>H</v>
      </c>
      <c r="F105" s="15"/>
      <c r="G105" s="73">
        <f>I114</f>
        <v>22.42</v>
      </c>
      <c r="H105" s="74"/>
      <c r="I105" s="73"/>
      <c r="J105" s="74"/>
      <c r="K105" s="16">
        <f>VLOOKUP(B105,S!A:G,5,FALSE)</f>
        <v>22.42</v>
      </c>
      <c r="L105" s="15" t="str">
        <f>IF(K105=G105,"OK, CONFORME TABELA",IF(G105&gt;K105,"ACIMA DA TABELA: ","ABAIXO DA TABELA: ")&amp;TRUNC((G105*100)/K105,2)&amp;" %")</f>
        <v>OK, CONFORME TABELA</v>
      </c>
    </row>
    <row r="106" spans="1:18" ht="30" customHeight="1" x14ac:dyDescent="0.3">
      <c r="A106" s="23" t="s">
        <v>1022</v>
      </c>
      <c r="B106" s="23">
        <v>95312</v>
      </c>
      <c r="C106" s="23" t="str">
        <f>VLOOKUP(B106,IF(A106="COMPOSICAO",S!$A:$E,I!$A:$E),2,FALSE)</f>
        <v>SINAPI</v>
      </c>
      <c r="D106" s="24" t="str">
        <f>VLOOKUP(B106,IF(A106="COMPOSICAO",S!$A:$E,I!$A:$E),3,FALSE)</f>
        <v>CURSO DE CAPACITAÇÃO PARA AJUDANTE DE PEDREIRO (ENCARGOS COMPLEMENTARES) - HORISTA</v>
      </c>
      <c r="E106" s="23" t="str">
        <f>VLOOKUP(B106,IF(A106="COMPOSICAO",S!$A:$E,I!$A:$E),4,FALSE)</f>
        <v>H</v>
      </c>
      <c r="F106" s="23">
        <v>1</v>
      </c>
      <c r="G106" s="71">
        <f>IF(A106="COMPOSICAO",VLOOKUP("TOTAL SEM BDI - "&amp;B106,CPUAUX2!$A:$J,9,FALSE),VLOOKUP(B106,I!$A:$E,5,FALSE))</f>
        <v>0.22</v>
      </c>
      <c r="H106" s="72"/>
      <c r="I106" s="71">
        <f t="shared" ref="I106:I113" si="36">TRUNC(F106*G106,2)</f>
        <v>0.22</v>
      </c>
      <c r="J106" s="72"/>
      <c r="M106" s="23">
        <f t="shared" ref="M106:M113" si="37">B106</f>
        <v>95312</v>
      </c>
      <c r="N106" s="23">
        <f>SUMIF(CPU!M:M,B105,CPU!O:O)</f>
        <v>50.060200000000002</v>
      </c>
      <c r="O106" s="23">
        <f t="shared" ref="O106:O113" si="38">F106*N106</f>
        <v>50.060200000000002</v>
      </c>
      <c r="Q106" s="23">
        <f ca="1">SUMIF(CPU!M:M,B105,CPU!R:R)</f>
        <v>20.024080000000001</v>
      </c>
      <c r="R106" s="23">
        <f t="shared" ref="R106:R113" ca="1" si="39">F106*Q106</f>
        <v>20.024080000000001</v>
      </c>
    </row>
    <row r="107" spans="1:18" ht="30" customHeight="1" x14ac:dyDescent="0.3">
      <c r="A107" s="23" t="s">
        <v>1025</v>
      </c>
      <c r="B107" s="23">
        <v>43489</v>
      </c>
      <c r="C107" s="23" t="str">
        <f>VLOOKUP(B107,IF(A107="COMPOSICAO",S!$A:$E,I!$A:$E),2,FALSE)</f>
        <v>SINAPI</v>
      </c>
      <c r="D107" s="24" t="str">
        <f>VLOOKUP(B107,IF(A107="COMPOSICAO",S!$A:$E,I!$A:$E),3,FALSE)</f>
        <v>EPI - FAMILIA PEDREIRO - HORISTA (ENCARGOS COMPLEMENTARES - COLETADO CAIXA)</v>
      </c>
      <c r="E107" s="23" t="str">
        <f>VLOOKUP(B107,IF(A107="COMPOSICAO",S!$A:$E,I!$A:$E),4,FALSE)</f>
        <v>H</v>
      </c>
      <c r="F107" s="23">
        <v>1</v>
      </c>
      <c r="G107" s="71">
        <f>IF(A107="COMPOSICAO",VLOOKUP("TOTAL SEM BDI - "&amp;B107,CPUAUX2!$A:$J,9,FALSE),VLOOKUP(B107,I!$A:$E,5,FALSE))</f>
        <v>1.31</v>
      </c>
      <c r="H107" s="72"/>
      <c r="I107" s="71">
        <f t="shared" si="36"/>
        <v>1.31</v>
      </c>
      <c r="J107" s="72"/>
      <c r="M107" s="23">
        <f t="shared" si="37"/>
        <v>43489</v>
      </c>
      <c r="N107" s="23">
        <f>SUMIF(CPU!M:M,B105,CPU!O:O)</f>
        <v>50.060200000000002</v>
      </c>
      <c r="O107" s="23">
        <f t="shared" si="38"/>
        <v>50.060200000000002</v>
      </c>
      <c r="Q107" s="23">
        <f ca="1">SUMIF(CPU!M:M,B105,CPU!R:R)</f>
        <v>20.024080000000001</v>
      </c>
      <c r="R107" s="23">
        <f t="shared" ca="1" si="39"/>
        <v>20.024080000000001</v>
      </c>
    </row>
    <row r="108" spans="1:18" ht="30" customHeight="1" x14ac:dyDescent="0.3">
      <c r="A108" s="23" t="s">
        <v>1025</v>
      </c>
      <c r="B108" s="23">
        <v>43465</v>
      </c>
      <c r="C108" s="23" t="str">
        <f>VLOOKUP(B108,IF(A108="COMPOSICAO",S!$A:$E,I!$A:$E),2,FALSE)</f>
        <v>SINAPI</v>
      </c>
      <c r="D108" s="24" t="str">
        <f>VLOOKUP(B108,IF(A108="COMPOSICAO",S!$A:$E,I!$A:$E),3,FALSE)</f>
        <v>FERRAMENTAS - FAMILIA PEDREIRO - HORISTA (ENCARGOS COMPLEMENTARES - COLETADO CAIXA)</v>
      </c>
      <c r="E108" s="23" t="str">
        <f>VLOOKUP(B108,IF(A108="COMPOSICAO",S!$A:$E,I!$A:$E),4,FALSE)</f>
        <v>H</v>
      </c>
      <c r="F108" s="23">
        <v>1</v>
      </c>
      <c r="G108" s="71">
        <f>IF(A108="COMPOSICAO",VLOOKUP("TOTAL SEM BDI - "&amp;B108,CPUAUX2!$A:$J,9,FALSE),VLOOKUP(B108,I!$A:$E,5,FALSE))</f>
        <v>0.78</v>
      </c>
      <c r="H108" s="72"/>
      <c r="I108" s="71">
        <f t="shared" si="36"/>
        <v>0.78</v>
      </c>
      <c r="J108" s="72"/>
      <c r="M108" s="23">
        <f t="shared" si="37"/>
        <v>43465</v>
      </c>
      <c r="N108" s="23">
        <f>SUMIF(CPU!M:M,B105,CPU!O:O)</f>
        <v>50.060200000000002</v>
      </c>
      <c r="O108" s="23">
        <f t="shared" si="38"/>
        <v>50.060200000000002</v>
      </c>
      <c r="Q108" s="23">
        <f ca="1">SUMIF(CPU!M:M,B105,CPU!R:R)</f>
        <v>20.024080000000001</v>
      </c>
      <c r="R108" s="23">
        <f t="shared" ca="1" si="39"/>
        <v>20.024080000000001</v>
      </c>
    </row>
    <row r="109" spans="1:18" ht="30" customHeight="1" x14ac:dyDescent="0.3">
      <c r="A109" s="23" t="s">
        <v>1025</v>
      </c>
      <c r="B109" s="23">
        <v>37373</v>
      </c>
      <c r="C109" s="23" t="str">
        <f>VLOOKUP(B109,IF(A109="COMPOSICAO",S!$A:$E,I!$A:$E),2,FALSE)</f>
        <v>SINAPI</v>
      </c>
      <c r="D109" s="24" t="str">
        <f>VLOOKUP(B109,IF(A109="COMPOSICAO",S!$A:$E,I!$A:$E),3,FALSE)</f>
        <v>SEGURO - HORISTA (COLETADO CAIXA - ENCARGOS COMPLEMENTARES)</v>
      </c>
      <c r="E109" s="23" t="str">
        <f>VLOOKUP(B109,IF(A109="COMPOSICAO",S!$A:$E,I!$A:$E),4,FALSE)</f>
        <v>H</v>
      </c>
      <c r="F109" s="23">
        <v>1</v>
      </c>
      <c r="G109" s="71">
        <f>IF(A109="COMPOSICAO",VLOOKUP("TOTAL SEM BDI - "&amp;B109,CPUAUX2!$A:$J,9,FALSE),VLOOKUP(B109,I!$A:$E,5,FALSE))</f>
        <v>0.08</v>
      </c>
      <c r="H109" s="72"/>
      <c r="I109" s="71">
        <f t="shared" si="36"/>
        <v>0.08</v>
      </c>
      <c r="J109" s="72"/>
      <c r="M109" s="23">
        <f t="shared" si="37"/>
        <v>37373</v>
      </c>
      <c r="N109" s="23">
        <f>SUMIF(CPU!M:M,B105,CPU!O:O)</f>
        <v>50.060200000000002</v>
      </c>
      <c r="O109" s="23">
        <f t="shared" si="38"/>
        <v>50.060200000000002</v>
      </c>
      <c r="Q109" s="23">
        <f ca="1">SUMIF(CPU!M:M,B105,CPU!R:R)</f>
        <v>20.024080000000001</v>
      </c>
      <c r="R109" s="23">
        <f t="shared" ca="1" si="39"/>
        <v>20.024080000000001</v>
      </c>
    </row>
    <row r="110" spans="1:18" ht="30" customHeight="1" x14ac:dyDescent="0.3">
      <c r="A110" s="23" t="s">
        <v>1025</v>
      </c>
      <c r="B110" s="23">
        <v>37372</v>
      </c>
      <c r="C110" s="23" t="str">
        <f>VLOOKUP(B110,IF(A110="COMPOSICAO",S!$A:$E,I!$A:$E),2,FALSE)</f>
        <v>SINAPI</v>
      </c>
      <c r="D110" s="24" t="str">
        <f>VLOOKUP(B110,IF(A110="COMPOSICAO",S!$A:$E,I!$A:$E),3,FALSE)</f>
        <v>EXAMES - HORISTA (COLETADO CAIXA - ENCARGOS COMPLEMENTARES)</v>
      </c>
      <c r="E110" s="23" t="str">
        <f>VLOOKUP(B110,IF(A110="COMPOSICAO",S!$A:$E,I!$A:$E),4,FALSE)</f>
        <v>H</v>
      </c>
      <c r="F110" s="23">
        <v>1</v>
      </c>
      <c r="G110" s="71">
        <f>IF(A110="COMPOSICAO",VLOOKUP("TOTAL SEM BDI - "&amp;B110,CPUAUX2!$A:$J,9,FALSE),VLOOKUP(B110,I!$A:$E,5,FALSE))</f>
        <v>1.43</v>
      </c>
      <c r="H110" s="72"/>
      <c r="I110" s="71">
        <f t="shared" si="36"/>
        <v>1.43</v>
      </c>
      <c r="J110" s="72"/>
      <c r="M110" s="23">
        <f t="shared" si="37"/>
        <v>37372</v>
      </c>
      <c r="N110" s="23">
        <f>SUMIF(CPU!M:M,B105,CPU!O:O)</f>
        <v>50.060200000000002</v>
      </c>
      <c r="O110" s="23">
        <f t="shared" si="38"/>
        <v>50.060200000000002</v>
      </c>
      <c r="Q110" s="23">
        <f ca="1">SUMIF(CPU!M:M,B105,CPU!R:R)</f>
        <v>20.024080000000001</v>
      </c>
      <c r="R110" s="23">
        <f t="shared" ca="1" si="39"/>
        <v>20.024080000000001</v>
      </c>
    </row>
    <row r="111" spans="1:18" ht="30" customHeight="1" x14ac:dyDescent="0.3">
      <c r="A111" s="23" t="s">
        <v>1025</v>
      </c>
      <c r="B111" s="23">
        <v>37371</v>
      </c>
      <c r="C111" s="23" t="str">
        <f>VLOOKUP(B111,IF(A111="COMPOSICAO",S!$A:$E,I!$A:$E),2,FALSE)</f>
        <v>SINAPI</v>
      </c>
      <c r="D111" s="24" t="str">
        <f>VLOOKUP(B111,IF(A111="COMPOSICAO",S!$A:$E,I!$A:$E),3,FALSE)</f>
        <v>TRANSPORTE - HORISTA (COLETADO CAIXA - ENCARGOS COMPLEMENTARES)</v>
      </c>
      <c r="E111" s="23" t="str">
        <f>VLOOKUP(B111,IF(A111="COMPOSICAO",S!$A:$E,I!$A:$E),4,FALSE)</f>
        <v>H</v>
      </c>
      <c r="F111" s="23">
        <v>1</v>
      </c>
      <c r="G111" s="71">
        <f>IF(A111="COMPOSICAO",VLOOKUP("TOTAL SEM BDI - "&amp;B111,CPUAUX2!$A:$J,9,FALSE),VLOOKUP(B111,I!$A:$E,5,FALSE))</f>
        <v>0.56999999999999995</v>
      </c>
      <c r="H111" s="72"/>
      <c r="I111" s="71">
        <f t="shared" si="36"/>
        <v>0.56999999999999995</v>
      </c>
      <c r="J111" s="72"/>
      <c r="M111" s="23">
        <f t="shared" si="37"/>
        <v>37371</v>
      </c>
      <c r="N111" s="23">
        <f>SUMIF(CPU!M:M,B105,CPU!O:O)</f>
        <v>50.060200000000002</v>
      </c>
      <c r="O111" s="23">
        <f t="shared" si="38"/>
        <v>50.060200000000002</v>
      </c>
      <c r="Q111" s="23">
        <f ca="1">SUMIF(CPU!M:M,B105,CPU!R:R)</f>
        <v>20.024080000000001</v>
      </c>
      <c r="R111" s="23">
        <f t="shared" ca="1" si="39"/>
        <v>20.024080000000001</v>
      </c>
    </row>
    <row r="112" spans="1:18" ht="30" customHeight="1" x14ac:dyDescent="0.3">
      <c r="A112" s="23" t="s">
        <v>1025</v>
      </c>
      <c r="B112" s="23">
        <v>37370</v>
      </c>
      <c r="C112" s="23" t="str">
        <f>VLOOKUP(B112,IF(A112="COMPOSICAO",S!$A:$E,I!$A:$E),2,FALSE)</f>
        <v>SINAPI</v>
      </c>
      <c r="D112" s="24" t="str">
        <f>VLOOKUP(B112,IF(A112="COMPOSICAO",S!$A:$E,I!$A:$E),3,FALSE)</f>
        <v>ALIMENTACAO - HORISTA (COLETADO CAIXA - ENCARGOS COMPLEMENTARES)</v>
      </c>
      <c r="E112" s="23" t="str">
        <f>VLOOKUP(B112,IF(A112="COMPOSICAO",S!$A:$E,I!$A:$E),4,FALSE)</f>
        <v>H</v>
      </c>
      <c r="F112" s="23">
        <v>1</v>
      </c>
      <c r="G112" s="71">
        <f>IF(A112="COMPOSICAO",VLOOKUP("TOTAL SEM BDI - "&amp;B112,CPUAUX2!$A:$J,9,FALSE),VLOOKUP(B112,I!$A:$E,5,FALSE))</f>
        <v>2.46</v>
      </c>
      <c r="H112" s="72"/>
      <c r="I112" s="71">
        <f t="shared" si="36"/>
        <v>2.46</v>
      </c>
      <c r="J112" s="72"/>
      <c r="M112" s="23">
        <f t="shared" si="37"/>
        <v>37370</v>
      </c>
      <c r="N112" s="23">
        <f>SUMIF(CPU!M:M,B105,CPU!O:O)</f>
        <v>50.060200000000002</v>
      </c>
      <c r="O112" s="23">
        <f t="shared" si="38"/>
        <v>50.060200000000002</v>
      </c>
      <c r="Q112" s="23">
        <f ca="1">SUMIF(CPU!M:M,B105,CPU!R:R)</f>
        <v>20.024080000000001</v>
      </c>
      <c r="R112" s="23">
        <f t="shared" ca="1" si="39"/>
        <v>20.024080000000001</v>
      </c>
    </row>
    <row r="113" spans="1:18" x14ac:dyDescent="0.3">
      <c r="A113" s="23" t="s">
        <v>1025</v>
      </c>
      <c r="B113" s="23">
        <v>6127</v>
      </c>
      <c r="C113" s="23" t="str">
        <f>VLOOKUP(B113,IF(A113="COMPOSICAO",S!$A:$E,I!$A:$E),2,FALSE)</f>
        <v>SINAPI</v>
      </c>
      <c r="D113" s="24" t="str">
        <f>VLOOKUP(B113,IF(A113="COMPOSICAO",S!$A:$E,I!$A:$E),3,FALSE)</f>
        <v>AUXILIAR DE PEDREIRO (HORISTA)</v>
      </c>
      <c r="E113" s="23" t="str">
        <f>VLOOKUP(B113,IF(A113="COMPOSICAO",S!$A:$E,I!$A:$E),4,FALSE)</f>
        <v>H</v>
      </c>
      <c r="F113" s="23">
        <v>1</v>
      </c>
      <c r="G113" s="71">
        <f>IF(A113="COMPOSICAO",VLOOKUP("TOTAL SEM BDI - "&amp;B113,CPUAUX2!$A:$J,9,FALSE),VLOOKUP(B113,I!$A:$E,5,FALSE))</f>
        <v>15.57</v>
      </c>
      <c r="H113" s="72"/>
      <c r="I113" s="71">
        <f t="shared" si="36"/>
        <v>15.57</v>
      </c>
      <c r="J113" s="72"/>
      <c r="M113" s="23">
        <f t="shared" si="37"/>
        <v>6127</v>
      </c>
      <c r="N113" s="23">
        <f>SUMIF(CPU!M:M,B105,CPU!O:O)</f>
        <v>50.060200000000002</v>
      </c>
      <c r="O113" s="23">
        <f t="shared" si="38"/>
        <v>50.060200000000002</v>
      </c>
      <c r="Q113" s="23">
        <f ca="1">SUMIF(CPU!M:M,B105,CPU!R:R)</f>
        <v>20.024080000000001</v>
      </c>
      <c r="R113" s="23">
        <f t="shared" ca="1" si="39"/>
        <v>20.024080000000001</v>
      </c>
    </row>
    <row r="114" spans="1:18" x14ac:dyDescent="0.3">
      <c r="A114" s="68" t="str">
        <f>"TOTAL SEM BDI - "&amp;B105</f>
        <v>TOTAL SEM BDI - 88242</v>
      </c>
      <c r="B114" s="69"/>
      <c r="C114" s="69"/>
      <c r="D114" s="69"/>
      <c r="E114" s="69"/>
      <c r="F114" s="69"/>
      <c r="G114" s="69"/>
      <c r="H114" s="70"/>
      <c r="I114" s="71">
        <f>SUM(I105:I113)</f>
        <v>22.42</v>
      </c>
      <c r="J114" s="72"/>
    </row>
    <row r="116" spans="1:18" x14ac:dyDescent="0.3">
      <c r="A116" s="4" t="s">
        <v>1018</v>
      </c>
      <c r="B116" s="4" t="s">
        <v>138</v>
      </c>
      <c r="C116" s="4" t="s">
        <v>139</v>
      </c>
      <c r="D116" s="4" t="s">
        <v>21</v>
      </c>
      <c r="E116" s="4" t="s">
        <v>140</v>
      </c>
      <c r="F116" s="4" t="s">
        <v>506</v>
      </c>
      <c r="G116" s="34" t="s">
        <v>1019</v>
      </c>
      <c r="H116" s="35"/>
      <c r="I116" s="34" t="s">
        <v>15</v>
      </c>
      <c r="J116" s="35"/>
    </row>
    <row r="117" spans="1:18" ht="45" customHeight="1" x14ac:dyDescent="0.3">
      <c r="A117" s="15" t="s">
        <v>1094</v>
      </c>
      <c r="B117" s="15">
        <v>88628</v>
      </c>
      <c r="C117" s="15" t="str">
        <f>VLOOKUP(B117,S!$A:$G,2,FALSE)</f>
        <v>SINAPI</v>
      </c>
      <c r="D117" s="22" t="str">
        <f>VLOOKUP(B117,S!$A:$G,3,FALSE)</f>
        <v>ARGAMASSA TRAÇO 1:3 (EM VOLUME DE CIMENTO E AREIA MÉDIA ÚMIDA), PREPARO MECÂNICO COM BETONEIRA 400 L. AF_08/2019</v>
      </c>
      <c r="E117" s="15" t="str">
        <f>VLOOKUP(B117,S!$A:$G,4,FALSE)</f>
        <v>M3</v>
      </c>
      <c r="F117" s="15"/>
      <c r="G117" s="73">
        <f>I123</f>
        <v>681.15</v>
      </c>
      <c r="H117" s="74"/>
      <c r="I117" s="73"/>
      <c r="J117" s="74"/>
      <c r="K117" s="16">
        <f>VLOOKUP(B117,S!A:G,5,FALSE)</f>
        <v>681.15</v>
      </c>
      <c r="L117" s="15" t="str">
        <f>IF(K117=G117,"OK, CONFORME TABELA",IF(G117&gt;K117,"ACIMA DA TABELA: ","ABAIXO DA TABELA: ")&amp;TRUNC((G117*100)/K117,2)&amp;" %")</f>
        <v>OK, CONFORME TABELA</v>
      </c>
    </row>
    <row r="118" spans="1:18" ht="60" customHeight="1" x14ac:dyDescent="0.3">
      <c r="A118" s="23" t="s">
        <v>1022</v>
      </c>
      <c r="B118" s="23">
        <v>88831</v>
      </c>
      <c r="C118" s="23" t="str">
        <f>VLOOKUP(B118,IF(A118="COMPOSICAO",S!$A:$E,I!$A:$E),2,FALSE)</f>
        <v>SINAPI</v>
      </c>
      <c r="D118" s="24" t="str">
        <f>VLOOKUP(B118,IF(A118="COMPOSICAO",S!$A:$E,I!$A:$E),3,FALSE)</f>
        <v>BETONEIRA CAPACIDADE NOMINAL DE 400 L, CAPACIDADE DE MISTURA 280 L, MOTOR ELÉTRICO TRIFÁSICO POTÊNCIA DE 2 CV, SEM CARREGADOR - CHI DIURNO. AF_05/2023</v>
      </c>
      <c r="E118" s="23" t="str">
        <f>VLOOKUP(B118,IF(A118="COMPOSICAO",S!$A:$E,I!$A:$E),4,FALSE)</f>
        <v>CHI</v>
      </c>
      <c r="F118" s="23">
        <v>2.62</v>
      </c>
      <c r="G118" s="71">
        <f>IF(A118="COMPOSICAO",VLOOKUP("TOTAL SEM BDI - "&amp;B118,CPUAUX2!$A:$J,9,FALSE),VLOOKUP(B118,I!$A:$E,5,FALSE))</f>
        <v>0.5</v>
      </c>
      <c r="H118" s="72"/>
      <c r="I118" s="71">
        <f>TRUNC(F118*G118,2)</f>
        <v>1.31</v>
      </c>
      <c r="J118" s="72"/>
      <c r="M118" s="23">
        <f>B118</f>
        <v>88831</v>
      </c>
      <c r="N118" s="23">
        <f>SUMIF(CPU!M:M,B117,CPU!O:O)</f>
        <v>2.91655</v>
      </c>
      <c r="O118" s="23">
        <f>F118*N118</f>
        <v>7.6413609999999998</v>
      </c>
      <c r="Q118" s="23">
        <f ca="1">SUMIF(CPU!M:M,B117,CPU!R:R)</f>
        <v>1.16662</v>
      </c>
      <c r="R118" s="23">
        <f ca="1">F118*Q118</f>
        <v>3.0565443999999999</v>
      </c>
    </row>
    <row r="119" spans="1:18" ht="60" customHeight="1" x14ac:dyDescent="0.3">
      <c r="A119" s="23" t="s">
        <v>1022</v>
      </c>
      <c r="B119" s="23">
        <v>88830</v>
      </c>
      <c r="C119" s="23" t="str">
        <f>VLOOKUP(B119,IF(A119="COMPOSICAO",S!$A:$E,I!$A:$E),2,FALSE)</f>
        <v>SINAPI</v>
      </c>
      <c r="D119" s="24" t="str">
        <f>VLOOKUP(B119,IF(A119="COMPOSICAO",S!$A:$E,I!$A:$E),3,FALSE)</f>
        <v>BETONEIRA CAPACIDADE NOMINAL DE 400 L, CAPACIDADE DE MISTURA 280 L, MOTOR ELÉTRICO TRIFÁSICO POTÊNCIA DE 2 CV, SEM CARREGADOR - CHP DIURNO. AF_05/2023</v>
      </c>
      <c r="E119" s="23" t="str">
        <f>VLOOKUP(B119,IF(A119="COMPOSICAO",S!$A:$E,I!$A:$E),4,FALSE)</f>
        <v>CHP</v>
      </c>
      <c r="F119" s="23">
        <v>0.8</v>
      </c>
      <c r="G119" s="71">
        <f>IF(A119="COMPOSICAO",VLOOKUP("TOTAL SEM BDI - "&amp;B119,CPUAUX2!$A:$J,9,FALSE),VLOOKUP(B119,I!$A:$E,5,FALSE))</f>
        <v>2.3200000000000003</v>
      </c>
      <c r="H119" s="72"/>
      <c r="I119" s="71">
        <f>TRUNC(F119*G119,2)</f>
        <v>1.85</v>
      </c>
      <c r="J119" s="72"/>
      <c r="M119" s="23">
        <f>B119</f>
        <v>88830</v>
      </c>
      <c r="N119" s="23">
        <f>SUMIF(CPU!M:M,B117,CPU!O:O)</f>
        <v>2.91655</v>
      </c>
      <c r="O119" s="23">
        <f>F119*N119</f>
        <v>2.33324</v>
      </c>
      <c r="Q119" s="23">
        <f ca="1">SUMIF(CPU!M:M,B117,CPU!R:R)</f>
        <v>1.16662</v>
      </c>
      <c r="R119" s="23">
        <f ca="1">F119*Q119</f>
        <v>0.93329600000000001</v>
      </c>
    </row>
    <row r="120" spans="1:18" ht="30" customHeight="1" x14ac:dyDescent="0.3">
      <c r="A120" s="23" t="s">
        <v>1022</v>
      </c>
      <c r="B120" s="23">
        <v>88377</v>
      </c>
      <c r="C120" s="23" t="str">
        <f>VLOOKUP(B120,IF(A120="COMPOSICAO",S!$A:$E,I!$A:$E),2,FALSE)</f>
        <v>SINAPI</v>
      </c>
      <c r="D120" s="24" t="str">
        <f>VLOOKUP(B120,IF(A120="COMPOSICAO",S!$A:$E,I!$A:$E),3,FALSE)</f>
        <v>OPERADOR DE BETONEIRA ESTACIONÁRIA/MISTURADOR COM ENCARGOS COMPLEMENTARES</v>
      </c>
      <c r="E120" s="23" t="str">
        <f>VLOOKUP(B120,IF(A120="COMPOSICAO",S!$A:$E,I!$A:$E),4,FALSE)</f>
        <v>H</v>
      </c>
      <c r="F120" s="23">
        <f>3.42/pcf</f>
        <v>3.42</v>
      </c>
      <c r="G120" s="71">
        <f>IF(A120="COMPOSICAO",VLOOKUP("TOTAL SEM BDI - "&amp;B120,CPUAUX2!$A:$J,9,FALSE),VLOOKUP(B120,I!$A:$E,5,FALSE))</f>
        <v>27.09</v>
      </c>
      <c r="H120" s="72"/>
      <c r="I120" s="71">
        <f>TRUNC(F120*G120,2)</f>
        <v>92.64</v>
      </c>
      <c r="J120" s="72"/>
      <c r="M120" s="23">
        <f>B120</f>
        <v>88377</v>
      </c>
      <c r="N120" s="23">
        <f>SUMIF(CPU!M:M,B117,CPU!O:O)</f>
        <v>2.91655</v>
      </c>
      <c r="O120" s="23">
        <f>F120*N120</f>
        <v>9.9746009999999998</v>
      </c>
      <c r="Q120" s="23">
        <f ca="1">SUMIF(CPU!M:M,B117,CPU!R:R)</f>
        <v>1.16662</v>
      </c>
      <c r="R120" s="23">
        <f ca="1">F120*Q120</f>
        <v>3.9898403999999998</v>
      </c>
    </row>
    <row r="121" spans="1:18" x14ac:dyDescent="0.3">
      <c r="A121" s="23" t="s">
        <v>1025</v>
      </c>
      <c r="B121" s="23">
        <v>1379</v>
      </c>
      <c r="C121" s="23" t="str">
        <f>VLOOKUP(B121,IF(A121="COMPOSICAO",S!$A:$E,I!$A:$E),2,FALSE)</f>
        <v>SINAPI</v>
      </c>
      <c r="D121" s="24" t="str">
        <f>VLOOKUP(B121,IF(A121="COMPOSICAO",S!$A:$E,I!$A:$E),3,FALSE)</f>
        <v>CIMENTO PORTLAND COMPOSTO CP II-32</v>
      </c>
      <c r="E121" s="23" t="str">
        <f>VLOOKUP(B121,IF(A121="COMPOSICAO",S!$A:$E,I!$A:$E),4,FALSE)</f>
        <v>KG</v>
      </c>
      <c r="F121" s="23">
        <v>483.7</v>
      </c>
      <c r="G121" s="71">
        <f>IF(A121="COMPOSICAO",VLOOKUP("TOTAL SEM BDI - "&amp;B121,CPUAUX2!$A:$J,9,FALSE),VLOOKUP(B121,I!$A:$E,5,FALSE))</f>
        <v>1</v>
      </c>
      <c r="H121" s="72"/>
      <c r="I121" s="71">
        <f>TRUNC(F121*G121,2)</f>
        <v>483.7</v>
      </c>
      <c r="J121" s="72"/>
      <c r="M121" s="23">
        <f>B121</f>
        <v>1379</v>
      </c>
      <c r="N121" s="23">
        <f>SUMIF(CPU!M:M,B117,CPU!O:O)</f>
        <v>2.91655</v>
      </c>
      <c r="O121" s="23">
        <f>F121*N121</f>
        <v>1410.7352349999999</v>
      </c>
      <c r="Q121" s="23">
        <f ca="1">SUMIF(CPU!M:M,B117,CPU!R:R)</f>
        <v>1.16662</v>
      </c>
      <c r="R121" s="23">
        <f ca="1">F121*Q121</f>
        <v>564.29409399999997</v>
      </c>
    </row>
    <row r="122" spans="1:18" ht="30" customHeight="1" x14ac:dyDescent="0.3">
      <c r="A122" s="23" t="s">
        <v>1025</v>
      </c>
      <c r="B122" s="23">
        <v>370</v>
      </c>
      <c r="C122" s="23" t="str">
        <f>VLOOKUP(B122,IF(A122="COMPOSICAO",S!$A:$E,I!$A:$E),2,FALSE)</f>
        <v>SINAPI</v>
      </c>
      <c r="D122" s="24" t="str">
        <f>VLOOKUP(B122,IF(A122="COMPOSICAO",S!$A:$E,I!$A:$E),3,FALSE)</f>
        <v>AREIA MEDIA - POSTO JAZIDA/FORNECEDOR (RETIRADO NA JAZIDA, SEM TRANSPORTE)</v>
      </c>
      <c r="E122" s="23" t="str">
        <f>VLOOKUP(B122,IF(A122="COMPOSICAO",S!$A:$E,I!$A:$E),4,FALSE)</f>
        <v>M3</v>
      </c>
      <c r="F122" s="23">
        <v>1.07</v>
      </c>
      <c r="G122" s="71">
        <f>IF(A122="COMPOSICAO",VLOOKUP("TOTAL SEM BDI - "&amp;B122,CPUAUX2!$A:$J,9,FALSE),VLOOKUP(B122,I!$A:$E,5,FALSE))</f>
        <v>95</v>
      </c>
      <c r="H122" s="72"/>
      <c r="I122" s="71">
        <f>TRUNC(F122*G122,2)</f>
        <v>101.65</v>
      </c>
      <c r="J122" s="72"/>
      <c r="M122" s="23">
        <f>B122</f>
        <v>370</v>
      </c>
      <c r="N122" s="23">
        <f>SUMIF(CPU!M:M,B117,CPU!O:O)</f>
        <v>2.91655</v>
      </c>
      <c r="O122" s="23">
        <f>F122*N122</f>
        <v>3.1207085000000001</v>
      </c>
      <c r="Q122" s="23">
        <f ca="1">SUMIF(CPU!M:M,B117,CPU!R:R)</f>
        <v>1.16662</v>
      </c>
      <c r="R122" s="23">
        <f ca="1">F122*Q122</f>
        <v>1.2482834</v>
      </c>
    </row>
    <row r="123" spans="1:18" x14ac:dyDescent="0.3">
      <c r="A123" s="68" t="str">
        <f>"TOTAL SEM BDI - "&amp;B117</f>
        <v>TOTAL SEM BDI - 88628</v>
      </c>
      <c r="B123" s="69"/>
      <c r="C123" s="69"/>
      <c r="D123" s="69"/>
      <c r="E123" s="69"/>
      <c r="F123" s="69"/>
      <c r="G123" s="69"/>
      <c r="H123" s="70"/>
      <c r="I123" s="71">
        <f>SUM(I117:I122)</f>
        <v>681.15</v>
      </c>
      <c r="J123" s="72"/>
    </row>
    <row r="125" spans="1:18" x14ac:dyDescent="0.3">
      <c r="A125" s="4" t="s">
        <v>1018</v>
      </c>
      <c r="B125" s="4" t="s">
        <v>138</v>
      </c>
      <c r="C125" s="4" t="s">
        <v>139</v>
      </c>
      <c r="D125" s="4" t="s">
        <v>21</v>
      </c>
      <c r="E125" s="4" t="s">
        <v>140</v>
      </c>
      <c r="F125" s="4" t="s">
        <v>506</v>
      </c>
      <c r="G125" s="34" t="s">
        <v>1019</v>
      </c>
      <c r="H125" s="35"/>
      <c r="I125" s="34" t="s">
        <v>15</v>
      </c>
      <c r="J125" s="35"/>
    </row>
    <row r="126" spans="1:18" ht="60" customHeight="1" x14ac:dyDescent="0.3">
      <c r="A126" s="15" t="s">
        <v>1095</v>
      </c>
      <c r="B126" s="15">
        <v>94964</v>
      </c>
      <c r="C126" s="15" t="str">
        <f>VLOOKUP(B126,S!$A:$G,2,FALSE)</f>
        <v>SINAPI</v>
      </c>
      <c r="D126" s="22" t="str">
        <f>VLOOKUP(B126,S!$A:$G,3,FALSE)</f>
        <v>CONCRETO FCK = 20MPA, TRAÇO 1:2,7:3 (EM MASSA SECA DE CIMENTO/ AREIA MÉDIA/ BRITA 1) - PREPARO MECÂNICO COM BETONEIRA 400 L. AF_05/2021</v>
      </c>
      <c r="E126" s="15" t="str">
        <f>VLOOKUP(B126,S!$A:$G,4,FALSE)</f>
        <v>M3</v>
      </c>
      <c r="F126" s="15"/>
      <c r="G126" s="73">
        <f>I134</f>
        <v>641.65</v>
      </c>
      <c r="H126" s="74"/>
      <c r="I126" s="73"/>
      <c r="J126" s="74"/>
      <c r="K126" s="16">
        <f>VLOOKUP(B126,S!A:G,5,FALSE)</f>
        <v>641.65</v>
      </c>
      <c r="L126" s="15" t="str">
        <f>IF(K126=G126,"OK, CONFORME TABELA",IF(G126&gt;K126,"ACIMA DA TABELA: ","ABAIXO DA TABELA: ")&amp;TRUNC((G126*100)/K126,2)&amp;" %")</f>
        <v>OK, CONFORME TABELA</v>
      </c>
    </row>
    <row r="127" spans="1:18" ht="60" customHeight="1" x14ac:dyDescent="0.3">
      <c r="A127" s="23" t="s">
        <v>1022</v>
      </c>
      <c r="B127" s="23">
        <v>88831</v>
      </c>
      <c r="C127" s="23" t="str">
        <f>VLOOKUP(B127,IF(A127="COMPOSICAO",S!$A:$E,I!$A:$E),2,FALSE)</f>
        <v>SINAPI</v>
      </c>
      <c r="D127" s="24" t="str">
        <f>VLOOKUP(B127,IF(A127="COMPOSICAO",S!$A:$E,I!$A:$E),3,FALSE)</f>
        <v>BETONEIRA CAPACIDADE NOMINAL DE 400 L, CAPACIDADE DE MISTURA 280 L, MOTOR ELÉTRICO TRIFÁSICO POTÊNCIA DE 2 CV, SEM CARREGADOR - CHI DIURNO. AF_05/2023</v>
      </c>
      <c r="E127" s="23" t="str">
        <f>VLOOKUP(B127,IF(A127="COMPOSICAO",S!$A:$E,I!$A:$E),4,FALSE)</f>
        <v>CHI</v>
      </c>
      <c r="F127" s="23">
        <v>0.77869999999999995</v>
      </c>
      <c r="G127" s="71">
        <f>IF(A127="COMPOSICAO",VLOOKUP("TOTAL SEM BDI - "&amp;B127,CPUAUX2!$A:$J,9,FALSE),VLOOKUP(B127,I!$A:$E,5,FALSE))</f>
        <v>0.5</v>
      </c>
      <c r="H127" s="72"/>
      <c r="I127" s="71">
        <f t="shared" ref="I127:I133" si="40">TRUNC(F127*G127,2)</f>
        <v>0.38</v>
      </c>
      <c r="J127" s="72"/>
      <c r="M127" s="23">
        <f t="shared" ref="M127:M133" si="41">B127</f>
        <v>88831</v>
      </c>
      <c r="N127" s="23">
        <f>SUMIF(CPU!M:M,B126,CPU!O:O)</f>
        <v>3.508</v>
      </c>
      <c r="O127" s="23">
        <f t="shared" ref="O127:O133" si="42">F127*N127</f>
        <v>2.7316795999999997</v>
      </c>
      <c r="Q127" s="23">
        <f ca="1">SUMIF(CPU!M:M,B126,CPU!R:R)</f>
        <v>1.4032</v>
      </c>
      <c r="R127" s="23">
        <f t="shared" ref="R127:R133" ca="1" si="43">F127*Q127</f>
        <v>1.0926718399999999</v>
      </c>
    </row>
    <row r="128" spans="1:18" ht="60" customHeight="1" x14ac:dyDescent="0.3">
      <c r="A128" s="23" t="s">
        <v>1022</v>
      </c>
      <c r="B128" s="23">
        <v>88830</v>
      </c>
      <c r="C128" s="23" t="str">
        <f>VLOOKUP(B128,IF(A128="COMPOSICAO",S!$A:$E,I!$A:$E),2,FALSE)</f>
        <v>SINAPI</v>
      </c>
      <c r="D128" s="24" t="str">
        <f>VLOOKUP(B128,IF(A128="COMPOSICAO",S!$A:$E,I!$A:$E),3,FALSE)</f>
        <v>BETONEIRA CAPACIDADE NOMINAL DE 400 L, CAPACIDADE DE MISTURA 280 L, MOTOR ELÉTRICO TRIFÁSICO POTÊNCIA DE 2 CV, SEM CARREGADOR - CHP DIURNO. AF_05/2023</v>
      </c>
      <c r="E128" s="23" t="str">
        <f>VLOOKUP(B128,IF(A128="COMPOSICAO",S!$A:$E,I!$A:$E),4,FALSE)</f>
        <v>CHP</v>
      </c>
      <c r="F128" s="23">
        <v>0.82589999999999997</v>
      </c>
      <c r="G128" s="71">
        <f>IF(A128="COMPOSICAO",VLOOKUP("TOTAL SEM BDI - "&amp;B128,CPUAUX2!$A:$J,9,FALSE),VLOOKUP(B128,I!$A:$E,5,FALSE))</f>
        <v>2.3200000000000003</v>
      </c>
      <c r="H128" s="72"/>
      <c r="I128" s="71">
        <f t="shared" si="40"/>
        <v>1.91</v>
      </c>
      <c r="J128" s="72"/>
      <c r="M128" s="23">
        <f t="shared" si="41"/>
        <v>88830</v>
      </c>
      <c r="N128" s="23">
        <f>SUMIF(CPU!M:M,B126,CPU!O:O)</f>
        <v>3.508</v>
      </c>
      <c r="O128" s="23">
        <f t="shared" si="42"/>
        <v>2.8972571999999999</v>
      </c>
      <c r="Q128" s="23">
        <f ca="1">SUMIF(CPU!M:M,B126,CPU!R:R)</f>
        <v>1.4032</v>
      </c>
      <c r="R128" s="23">
        <f t="shared" ca="1" si="43"/>
        <v>1.1589028799999999</v>
      </c>
    </row>
    <row r="129" spans="1:18" ht="30" customHeight="1" x14ac:dyDescent="0.3">
      <c r="A129" s="23" t="s">
        <v>1022</v>
      </c>
      <c r="B129" s="23">
        <v>88377</v>
      </c>
      <c r="C129" s="23" t="str">
        <f>VLOOKUP(B129,IF(A129="COMPOSICAO",S!$A:$E,I!$A:$E),2,FALSE)</f>
        <v>SINAPI</v>
      </c>
      <c r="D129" s="24" t="str">
        <f>VLOOKUP(B129,IF(A129="COMPOSICAO",S!$A:$E,I!$A:$E),3,FALSE)</f>
        <v>OPERADOR DE BETONEIRA ESTACIONÁRIA/MISTURADOR COM ENCARGOS COMPLEMENTARES</v>
      </c>
      <c r="E129" s="23" t="str">
        <f>VLOOKUP(B129,IF(A129="COMPOSICAO",S!$A:$E,I!$A:$E),4,FALSE)</f>
        <v>H</v>
      </c>
      <c r="F129" s="23">
        <f>1.6046/pcf</f>
        <v>1.6046</v>
      </c>
      <c r="G129" s="71">
        <f>IF(A129="COMPOSICAO",VLOOKUP("TOTAL SEM BDI - "&amp;B129,CPUAUX2!$A:$J,9,FALSE),VLOOKUP(B129,I!$A:$E,5,FALSE))</f>
        <v>27.09</v>
      </c>
      <c r="H129" s="72"/>
      <c r="I129" s="71">
        <f t="shared" si="40"/>
        <v>43.46</v>
      </c>
      <c r="J129" s="72"/>
      <c r="M129" s="23">
        <f t="shared" si="41"/>
        <v>88377</v>
      </c>
      <c r="N129" s="23">
        <f>SUMIF(CPU!M:M,B126,CPU!O:O)</f>
        <v>3.508</v>
      </c>
      <c r="O129" s="23">
        <f t="shared" si="42"/>
        <v>5.6289368</v>
      </c>
      <c r="Q129" s="23">
        <f ca="1">SUMIF(CPU!M:M,B126,CPU!R:R)</f>
        <v>1.4032</v>
      </c>
      <c r="R129" s="23">
        <f t="shared" ca="1" si="43"/>
        <v>2.2515747200000003</v>
      </c>
    </row>
    <row r="130" spans="1:18" x14ac:dyDescent="0.3">
      <c r="A130" s="23" t="s">
        <v>1022</v>
      </c>
      <c r="B130" s="23">
        <v>88316</v>
      </c>
      <c r="C130" s="23" t="str">
        <f>VLOOKUP(B130,IF(A130="COMPOSICAO",S!$A:$E,I!$A:$E),2,FALSE)</f>
        <v>SINAPI</v>
      </c>
      <c r="D130" s="24" t="str">
        <f>VLOOKUP(B130,IF(A130="COMPOSICAO",S!$A:$E,I!$A:$E),3,FALSE)</f>
        <v>SERVENTE COM ENCARGOS COMPLEMENTARES</v>
      </c>
      <c r="E130" s="23" t="str">
        <f>VLOOKUP(B130,IF(A130="COMPOSICAO",S!$A:$E,I!$A:$E),4,FALSE)</f>
        <v>H</v>
      </c>
      <c r="F130" s="23">
        <f>2.5333/pcf</f>
        <v>2.5333000000000001</v>
      </c>
      <c r="G130" s="71">
        <f>IF(A130="COMPOSICAO",VLOOKUP("TOTAL SEM BDI - "&amp;B130,CPUAUX2!$A:$J,9,FALSE),VLOOKUP(B130,I!$A:$E,5,FALSE))</f>
        <v>21.71</v>
      </c>
      <c r="H130" s="72"/>
      <c r="I130" s="71">
        <f t="shared" si="40"/>
        <v>54.99</v>
      </c>
      <c r="J130" s="72"/>
      <c r="M130" s="23">
        <f t="shared" si="41"/>
        <v>88316</v>
      </c>
      <c r="N130" s="23">
        <f>SUMIF(CPU!M:M,B126,CPU!O:O)</f>
        <v>3.508</v>
      </c>
      <c r="O130" s="23">
        <f t="shared" si="42"/>
        <v>8.8868164000000007</v>
      </c>
      <c r="Q130" s="23">
        <f ca="1">SUMIF(CPU!M:M,B126,CPU!R:R)</f>
        <v>1.4032</v>
      </c>
      <c r="R130" s="23">
        <f t="shared" ca="1" si="43"/>
        <v>3.5547265600000002</v>
      </c>
    </row>
    <row r="131" spans="1:18" ht="30" customHeight="1" x14ac:dyDescent="0.3">
      <c r="A131" s="23" t="s">
        <v>1025</v>
      </c>
      <c r="B131" s="23">
        <v>4721</v>
      </c>
      <c r="C131" s="23" t="str">
        <f>VLOOKUP(B131,IF(A131="COMPOSICAO",S!$A:$E,I!$A:$E),2,FALSE)</f>
        <v>SINAPI</v>
      </c>
      <c r="D131" s="24" t="str">
        <f>VLOOKUP(B131,IF(A131="COMPOSICAO",S!$A:$E,I!$A:$E),3,FALSE)</f>
        <v>PEDRA BRITADA N. 1 (9,5 A 19 MM) POSTO PEDREIRA/FORNECEDOR, SEM FRETE</v>
      </c>
      <c r="E131" s="23" t="str">
        <f>VLOOKUP(B131,IF(A131="COMPOSICAO",S!$A:$E,I!$A:$E),4,FALSE)</f>
        <v>M3</v>
      </c>
      <c r="F131" s="23">
        <v>0.58720000000000006</v>
      </c>
      <c r="G131" s="71">
        <f>IF(A131="COMPOSICAO",VLOOKUP("TOTAL SEM BDI - "&amp;B131,CPUAUX2!$A:$J,9,FALSE),VLOOKUP(B131,I!$A:$E,5,FALSE))</f>
        <v>248.89</v>
      </c>
      <c r="H131" s="72"/>
      <c r="I131" s="71">
        <f t="shared" si="40"/>
        <v>146.13999999999999</v>
      </c>
      <c r="J131" s="72"/>
      <c r="M131" s="23">
        <f t="shared" si="41"/>
        <v>4721</v>
      </c>
      <c r="N131" s="23">
        <f>SUMIF(CPU!M:M,B126,CPU!O:O)</f>
        <v>3.508</v>
      </c>
      <c r="O131" s="23">
        <f t="shared" si="42"/>
        <v>2.0598976000000002</v>
      </c>
      <c r="Q131" s="23">
        <f ca="1">SUMIF(CPU!M:M,B126,CPU!R:R)</f>
        <v>1.4032</v>
      </c>
      <c r="R131" s="23">
        <f t="shared" ca="1" si="43"/>
        <v>0.82395904000000009</v>
      </c>
    </row>
    <row r="132" spans="1:18" x14ac:dyDescent="0.3">
      <c r="A132" s="23" t="s">
        <v>1025</v>
      </c>
      <c r="B132" s="23">
        <v>1379</v>
      </c>
      <c r="C132" s="23" t="str">
        <f>VLOOKUP(B132,IF(A132="COMPOSICAO",S!$A:$E,I!$A:$E),2,FALSE)</f>
        <v>SINAPI</v>
      </c>
      <c r="D132" s="24" t="str">
        <f>VLOOKUP(B132,IF(A132="COMPOSICAO",S!$A:$E,I!$A:$E),3,FALSE)</f>
        <v>CIMENTO PORTLAND COMPOSTO CP II-32</v>
      </c>
      <c r="E132" s="23" t="str">
        <f>VLOOKUP(B132,IF(A132="COMPOSICAO",S!$A:$E,I!$A:$E),4,FALSE)</f>
        <v>KG</v>
      </c>
      <c r="F132" s="23">
        <v>322.97770000000003</v>
      </c>
      <c r="G132" s="71">
        <f>IF(A132="COMPOSICAO",VLOOKUP("TOTAL SEM BDI - "&amp;B132,CPUAUX2!$A:$J,9,FALSE),VLOOKUP(B132,I!$A:$E,5,FALSE))</f>
        <v>1</v>
      </c>
      <c r="H132" s="72"/>
      <c r="I132" s="71">
        <f t="shared" si="40"/>
        <v>322.97000000000003</v>
      </c>
      <c r="J132" s="72"/>
      <c r="M132" s="23">
        <f t="shared" si="41"/>
        <v>1379</v>
      </c>
      <c r="N132" s="23">
        <f>SUMIF(CPU!M:M,B126,CPU!O:O)</f>
        <v>3.508</v>
      </c>
      <c r="O132" s="23">
        <f t="shared" si="42"/>
        <v>1133.0057716000001</v>
      </c>
      <c r="Q132" s="23">
        <f ca="1">SUMIF(CPU!M:M,B126,CPU!R:R)</f>
        <v>1.4032</v>
      </c>
      <c r="R132" s="23">
        <f t="shared" ca="1" si="43"/>
        <v>453.20230864000001</v>
      </c>
    </row>
    <row r="133" spans="1:18" ht="30" customHeight="1" x14ac:dyDescent="0.3">
      <c r="A133" s="23" t="s">
        <v>1025</v>
      </c>
      <c r="B133" s="23">
        <v>370</v>
      </c>
      <c r="C133" s="23" t="str">
        <f>VLOOKUP(B133,IF(A133="COMPOSICAO",S!$A:$E,I!$A:$E),2,FALSE)</f>
        <v>SINAPI</v>
      </c>
      <c r="D133" s="24" t="str">
        <f>VLOOKUP(B133,IF(A133="COMPOSICAO",S!$A:$E,I!$A:$E),3,FALSE)</f>
        <v>AREIA MEDIA - POSTO JAZIDA/FORNECEDOR (RETIRADO NA JAZIDA, SEM TRANSPORTE)</v>
      </c>
      <c r="E133" s="23" t="str">
        <f>VLOOKUP(B133,IF(A133="COMPOSICAO",S!$A:$E,I!$A:$E),4,FALSE)</f>
        <v>M3</v>
      </c>
      <c r="F133" s="23">
        <v>0.75580000000000003</v>
      </c>
      <c r="G133" s="71">
        <f>IF(A133="COMPOSICAO",VLOOKUP("TOTAL SEM BDI - "&amp;B133,CPUAUX2!$A:$J,9,FALSE),VLOOKUP(B133,I!$A:$E,5,FALSE))</f>
        <v>95</v>
      </c>
      <c r="H133" s="72"/>
      <c r="I133" s="71">
        <f t="shared" si="40"/>
        <v>71.8</v>
      </c>
      <c r="J133" s="72"/>
      <c r="M133" s="23">
        <f t="shared" si="41"/>
        <v>370</v>
      </c>
      <c r="N133" s="23">
        <f>SUMIF(CPU!M:M,B126,CPU!O:O)</f>
        <v>3.508</v>
      </c>
      <c r="O133" s="23">
        <f t="shared" si="42"/>
        <v>2.6513464</v>
      </c>
      <c r="Q133" s="23">
        <f ca="1">SUMIF(CPU!M:M,B126,CPU!R:R)</f>
        <v>1.4032</v>
      </c>
      <c r="R133" s="23">
        <f t="shared" ca="1" si="43"/>
        <v>1.0605385600000001</v>
      </c>
    </row>
    <row r="134" spans="1:18" x14ac:dyDescent="0.3">
      <c r="A134" s="68" t="str">
        <f>"TOTAL SEM BDI - "&amp;B126</f>
        <v>TOTAL SEM BDI - 94964</v>
      </c>
      <c r="B134" s="69"/>
      <c r="C134" s="69"/>
      <c r="D134" s="69"/>
      <c r="E134" s="69"/>
      <c r="F134" s="69"/>
      <c r="G134" s="69"/>
      <c r="H134" s="70"/>
      <c r="I134" s="71">
        <f>SUM(I126:I133)</f>
        <v>641.65</v>
      </c>
      <c r="J134" s="72"/>
    </row>
    <row r="136" spans="1:18" x14ac:dyDescent="0.3">
      <c r="A136" s="4" t="s">
        <v>1018</v>
      </c>
      <c r="B136" s="4" t="s">
        <v>138</v>
      </c>
      <c r="C136" s="4" t="s">
        <v>139</v>
      </c>
      <c r="D136" s="4" t="s">
        <v>21</v>
      </c>
      <c r="E136" s="4" t="s">
        <v>140</v>
      </c>
      <c r="F136" s="4" t="s">
        <v>506</v>
      </c>
      <c r="G136" s="34" t="s">
        <v>1019</v>
      </c>
      <c r="H136" s="35"/>
      <c r="I136" s="34" t="s">
        <v>15</v>
      </c>
      <c r="J136" s="35"/>
    </row>
    <row r="137" spans="1:18" ht="60" customHeight="1" x14ac:dyDescent="0.3">
      <c r="A137" s="15" t="s">
        <v>1096</v>
      </c>
      <c r="B137" s="15">
        <v>97086</v>
      </c>
      <c r="C137" s="15" t="str">
        <f>VLOOKUP(B137,S!$A:$G,2,FALSE)</f>
        <v>SINAPI</v>
      </c>
      <c r="D137" s="22" t="str">
        <f>VLOOKUP(B137,S!$A:$G,3,FALSE)</f>
        <v>FABRICAÇÃO, MONTAGEM E DESMONTAGEM DE FORMA PARA RADIER, PISO DE CONCRETO OU LAJE SOBRE SOLO, EM MADEIRA SERRADA, 4 UTILIZAÇÕES. AF_09/2021</v>
      </c>
      <c r="E137" s="15" t="str">
        <f>VLOOKUP(B137,S!$A:$G,4,FALSE)</f>
        <v>M2</v>
      </c>
      <c r="F137" s="15"/>
      <c r="G137" s="73">
        <f>I145</f>
        <v>122.46000000000001</v>
      </c>
      <c r="H137" s="74"/>
      <c r="I137" s="73"/>
      <c r="J137" s="74"/>
      <c r="K137" s="16">
        <f>VLOOKUP(B137,S!A:G,5,FALSE)</f>
        <v>122.46</v>
      </c>
      <c r="L137" s="15" t="str">
        <f>IF(K137=G137,"OK, CONFORME TABELA",IF(G137&gt;K137,"ACIMA DA TABELA: ","ABAIXO DA TABELA: ")&amp;TRUNC((G137*100)/K137,2)&amp;" %")</f>
        <v>OK, CONFORME TABELA</v>
      </c>
    </row>
    <row r="138" spans="1:18" ht="30" customHeight="1" x14ac:dyDescent="0.3">
      <c r="A138" s="23" t="s">
        <v>1022</v>
      </c>
      <c r="B138" s="23">
        <v>88262</v>
      </c>
      <c r="C138" s="23" t="str">
        <f>VLOOKUP(B138,IF(A138="COMPOSICAO",S!$A:$E,I!$A:$E),2,FALSE)</f>
        <v>SINAPI</v>
      </c>
      <c r="D138" s="24" t="str">
        <f>VLOOKUP(B138,IF(A138="COMPOSICAO",S!$A:$E,I!$A:$E),3,FALSE)</f>
        <v>CARPINTEIRO DE FORMAS COM ENCARGOS COMPLEMENTARES</v>
      </c>
      <c r="E138" s="23" t="str">
        <f>VLOOKUP(B138,IF(A138="COMPOSICAO",S!$A:$E,I!$A:$E),4,FALSE)</f>
        <v>H</v>
      </c>
      <c r="F138" s="23">
        <f>2.357/pcf</f>
        <v>2.3570000000000002</v>
      </c>
      <c r="G138" s="71">
        <f>IF(A138="COMPOSICAO",VLOOKUP("TOTAL SEM BDI - "&amp;B138,CPUAUX2!$A:$J,9,FALSE),VLOOKUP(B138,I!$A:$E,5,FALSE))</f>
        <v>26.97</v>
      </c>
      <c r="H138" s="72"/>
      <c r="I138" s="71">
        <f t="shared" ref="I138:I144" si="44">TRUNC(F138*G138,2)</f>
        <v>63.56</v>
      </c>
      <c r="J138" s="72"/>
      <c r="M138" s="23">
        <f t="shared" ref="M138:M144" si="45">B138</f>
        <v>88262</v>
      </c>
      <c r="N138" s="23">
        <f>SUMIF(CPU!M:M,B137,CPU!O:O)</f>
        <v>3</v>
      </c>
      <c r="O138" s="23">
        <f t="shared" ref="O138:O144" si="46">F138*N138</f>
        <v>7.0710000000000006</v>
      </c>
      <c r="Q138" s="23">
        <f ca="1">SUMIF(CPU!M:M,B137,CPU!R:R)</f>
        <v>1.2</v>
      </c>
      <c r="R138" s="23">
        <f t="shared" ref="R138:R144" ca="1" si="47">F138*Q138</f>
        <v>2.8284000000000002</v>
      </c>
    </row>
    <row r="139" spans="1:18" ht="30" customHeight="1" x14ac:dyDescent="0.3">
      <c r="A139" s="23" t="s">
        <v>1022</v>
      </c>
      <c r="B139" s="23">
        <v>88239</v>
      </c>
      <c r="C139" s="23" t="str">
        <f>VLOOKUP(B139,IF(A139="COMPOSICAO",S!$A:$E,I!$A:$E),2,FALSE)</f>
        <v>SINAPI</v>
      </c>
      <c r="D139" s="24" t="str">
        <f>VLOOKUP(B139,IF(A139="COMPOSICAO",S!$A:$E,I!$A:$E),3,FALSE)</f>
        <v>AJUDANTE DE CARPINTEIRO COM ENCARGOS COMPLEMENTARES</v>
      </c>
      <c r="E139" s="23" t="str">
        <f>VLOOKUP(B139,IF(A139="COMPOSICAO",S!$A:$E,I!$A:$E),4,FALSE)</f>
        <v>H</v>
      </c>
      <c r="F139" s="23">
        <f>1.444/pcf</f>
        <v>1.444</v>
      </c>
      <c r="G139" s="71">
        <f>IF(A139="COMPOSICAO",VLOOKUP("TOTAL SEM BDI - "&amp;B139,CPUAUX2!$A:$J,9,FALSE),VLOOKUP(B139,I!$A:$E,5,FALSE))</f>
        <v>22.2</v>
      </c>
      <c r="H139" s="72"/>
      <c r="I139" s="71">
        <f t="shared" si="44"/>
        <v>32.049999999999997</v>
      </c>
      <c r="J139" s="72"/>
      <c r="M139" s="23">
        <f t="shared" si="45"/>
        <v>88239</v>
      </c>
      <c r="N139" s="23">
        <f>SUMIF(CPU!M:M,B137,CPU!O:O)</f>
        <v>3</v>
      </c>
      <c r="O139" s="23">
        <f t="shared" si="46"/>
        <v>4.3319999999999999</v>
      </c>
      <c r="Q139" s="23">
        <f ca="1">SUMIF(CPU!M:M,B137,CPU!R:R)</f>
        <v>1.2</v>
      </c>
      <c r="R139" s="23">
        <f t="shared" ca="1" si="47"/>
        <v>1.7327999999999999</v>
      </c>
    </row>
    <row r="140" spans="1:18" ht="45" customHeight="1" x14ac:dyDescent="0.3">
      <c r="A140" s="23" t="s">
        <v>1025</v>
      </c>
      <c r="B140" s="23">
        <v>6193</v>
      </c>
      <c r="C140" s="23" t="str">
        <f>VLOOKUP(B140,IF(A140="COMPOSICAO",S!$A:$E,I!$A:$E),2,FALSE)</f>
        <v>SINAPI</v>
      </c>
      <c r="D140" s="24" t="str">
        <f>VLOOKUP(B140,IF(A140="COMPOSICAO",S!$A:$E,I!$A:$E),3,FALSE)</f>
        <v>TABUA NAO APARELHADA *2,5 X 20* CM, EM MACARANDUBA/MASSARANDUBA, ANGELIM OU EQUIVALENTE DA REGIAO - BRUTA</v>
      </c>
      <c r="E140" s="23" t="str">
        <f>VLOOKUP(B140,IF(A140="COMPOSICAO",S!$A:$E,I!$A:$E),4,FALSE)</f>
        <v>M</v>
      </c>
      <c r="F140" s="23">
        <v>1.38</v>
      </c>
      <c r="G140" s="71">
        <f>IF(A140="COMPOSICAO",VLOOKUP("TOTAL SEM BDI - "&amp;B140,CPUAUX2!$A:$J,9,FALSE),VLOOKUP(B140,I!$A:$E,5,FALSE))</f>
        <v>14.13</v>
      </c>
      <c r="H140" s="72"/>
      <c r="I140" s="71">
        <f t="shared" si="44"/>
        <v>19.489999999999998</v>
      </c>
      <c r="J140" s="72"/>
      <c r="M140" s="23">
        <f t="shared" si="45"/>
        <v>6193</v>
      </c>
      <c r="N140" s="23">
        <f>SUMIF(CPU!M:M,B137,CPU!O:O)</f>
        <v>3</v>
      </c>
      <c r="O140" s="23">
        <f t="shared" si="46"/>
        <v>4.1399999999999997</v>
      </c>
      <c r="Q140" s="23">
        <f ca="1">SUMIF(CPU!M:M,B137,CPU!R:R)</f>
        <v>1.2</v>
      </c>
      <c r="R140" s="23">
        <f t="shared" ca="1" si="47"/>
        <v>1.6559999999999999</v>
      </c>
    </row>
    <row r="141" spans="1:18" ht="30" customHeight="1" x14ac:dyDescent="0.3">
      <c r="A141" s="23" t="s">
        <v>1025</v>
      </c>
      <c r="B141" s="23">
        <v>5068</v>
      </c>
      <c r="C141" s="23" t="str">
        <f>VLOOKUP(B141,IF(A141="COMPOSICAO",S!$A:$E,I!$A:$E),2,FALSE)</f>
        <v>SINAPI</v>
      </c>
      <c r="D141" s="24" t="str">
        <f>VLOOKUP(B141,IF(A141="COMPOSICAO",S!$A:$E,I!$A:$E),3,FALSE)</f>
        <v>PREGO DE ACO POLIDO COM CABECA 17 X 21 (2 X 11)</v>
      </c>
      <c r="E141" s="23" t="str">
        <f>VLOOKUP(B141,IF(A141="COMPOSICAO",S!$A:$E,I!$A:$E),4,FALSE)</f>
        <v>KG</v>
      </c>
      <c r="F141" s="23">
        <v>9.5000000000000001E-2</v>
      </c>
      <c r="G141" s="71">
        <f>IF(A141="COMPOSICAO",VLOOKUP("TOTAL SEM BDI - "&amp;B141,CPUAUX2!$A:$J,9,FALSE),VLOOKUP(B141,I!$A:$E,5,FALSE))</f>
        <v>20.34</v>
      </c>
      <c r="H141" s="72"/>
      <c r="I141" s="71">
        <f t="shared" si="44"/>
        <v>1.93</v>
      </c>
      <c r="J141" s="72"/>
      <c r="M141" s="23">
        <f t="shared" si="45"/>
        <v>5068</v>
      </c>
      <c r="N141" s="23">
        <f>SUMIF(CPU!M:M,B137,CPU!O:O)</f>
        <v>3</v>
      </c>
      <c r="O141" s="23">
        <f t="shared" si="46"/>
        <v>0.28500000000000003</v>
      </c>
      <c r="Q141" s="23">
        <f ca="1">SUMIF(CPU!M:M,B137,CPU!R:R)</f>
        <v>1.2</v>
      </c>
      <c r="R141" s="23">
        <f t="shared" ca="1" si="47"/>
        <v>0.11399999999999999</v>
      </c>
    </row>
    <row r="142" spans="1:18" ht="30" customHeight="1" x14ac:dyDescent="0.3">
      <c r="A142" s="23" t="s">
        <v>1025</v>
      </c>
      <c r="B142" s="23">
        <v>4517</v>
      </c>
      <c r="C142" s="23" t="str">
        <f>VLOOKUP(B142,IF(A142="COMPOSICAO",S!$A:$E,I!$A:$E),2,FALSE)</f>
        <v>SINAPI</v>
      </c>
      <c r="D142" s="24" t="str">
        <f>VLOOKUP(B142,IF(A142="COMPOSICAO",S!$A:$E,I!$A:$E),3,FALSE)</f>
        <v>SARRAFO *2,5 X 7,5* CM EM PINUS, MISTA OU EQUIVALENTE DA REGIAO - BRUTA</v>
      </c>
      <c r="E142" s="23" t="str">
        <f>VLOOKUP(B142,IF(A142="COMPOSICAO",S!$A:$E,I!$A:$E),4,FALSE)</f>
        <v>M</v>
      </c>
      <c r="F142" s="23">
        <v>0.44</v>
      </c>
      <c r="G142" s="71">
        <f>IF(A142="COMPOSICAO",VLOOKUP("TOTAL SEM BDI - "&amp;B142,CPUAUX2!$A:$J,9,FALSE),VLOOKUP(B142,I!$A:$E,5,FALSE))</f>
        <v>3.52</v>
      </c>
      <c r="H142" s="72"/>
      <c r="I142" s="71">
        <f t="shared" si="44"/>
        <v>1.54</v>
      </c>
      <c r="J142" s="72"/>
      <c r="M142" s="23">
        <f t="shared" si="45"/>
        <v>4517</v>
      </c>
      <c r="N142" s="23">
        <f>SUMIF(CPU!M:M,B137,CPU!O:O)</f>
        <v>3</v>
      </c>
      <c r="O142" s="23">
        <f t="shared" si="46"/>
        <v>1.32</v>
      </c>
      <c r="Q142" s="23">
        <f ca="1">SUMIF(CPU!M:M,B137,CPU!R:R)</f>
        <v>1.2</v>
      </c>
      <c r="R142" s="23">
        <f t="shared" ca="1" si="47"/>
        <v>0.52800000000000002</v>
      </c>
    </row>
    <row r="143" spans="1:18" ht="30" customHeight="1" x14ac:dyDescent="0.3">
      <c r="A143" s="23" t="s">
        <v>1025</v>
      </c>
      <c r="B143" s="23">
        <v>4491</v>
      </c>
      <c r="C143" s="23" t="str">
        <f>VLOOKUP(B143,IF(A143="COMPOSICAO",S!$A:$E,I!$A:$E),2,FALSE)</f>
        <v>SINAPI</v>
      </c>
      <c r="D143" s="24" t="str">
        <f>VLOOKUP(B143,IF(A143="COMPOSICAO",S!$A:$E,I!$A:$E),3,FALSE)</f>
        <v>PONTALETE *7,5 X 7,5* CM EM PINUS, MISTA OU EQUIVALENTE DA REGIAO - BRUTA</v>
      </c>
      <c r="E143" s="23" t="str">
        <f>VLOOKUP(B143,IF(A143="COMPOSICAO",S!$A:$E,I!$A:$E),4,FALSE)</f>
        <v>M</v>
      </c>
      <c r="F143" s="23">
        <v>0.37</v>
      </c>
      <c r="G143" s="71">
        <f>IF(A143="COMPOSICAO",VLOOKUP("TOTAL SEM BDI - "&amp;B143,CPUAUX2!$A:$J,9,FALSE),VLOOKUP(B143,I!$A:$E,5,FALSE))</f>
        <v>10.050000000000001</v>
      </c>
      <c r="H143" s="72"/>
      <c r="I143" s="71">
        <f t="shared" si="44"/>
        <v>3.71</v>
      </c>
      <c r="J143" s="72"/>
      <c r="M143" s="23">
        <f t="shared" si="45"/>
        <v>4491</v>
      </c>
      <c r="N143" s="23">
        <f>SUMIF(CPU!M:M,B137,CPU!O:O)</f>
        <v>3</v>
      </c>
      <c r="O143" s="23">
        <f t="shared" si="46"/>
        <v>1.1099999999999999</v>
      </c>
      <c r="Q143" s="23">
        <f ca="1">SUMIF(CPU!M:M,B137,CPU!R:R)</f>
        <v>1.2</v>
      </c>
      <c r="R143" s="23">
        <f t="shared" ca="1" si="47"/>
        <v>0.44400000000000001</v>
      </c>
    </row>
    <row r="144" spans="1:18" ht="30" customHeight="1" x14ac:dyDescent="0.3">
      <c r="A144" s="23" t="s">
        <v>1025</v>
      </c>
      <c r="B144" s="23">
        <v>2692</v>
      </c>
      <c r="C144" s="23" t="str">
        <f>VLOOKUP(B144,IF(A144="COMPOSICAO",S!$A:$E,I!$A:$E),2,FALSE)</f>
        <v>SINAPI</v>
      </c>
      <c r="D144" s="24" t="str">
        <f>VLOOKUP(B144,IF(A144="COMPOSICAO",S!$A:$E,I!$A:$E),3,FALSE)</f>
        <v>DESMOLDANTE PROTETOR PARA FORMAS DE MADEIRA, DE BASE OLEOSA EMULSIONADA EM AGUA</v>
      </c>
      <c r="E144" s="23" t="str">
        <f>VLOOKUP(B144,IF(A144="COMPOSICAO",S!$A:$E,I!$A:$E),4,FALSE)</f>
        <v>L</v>
      </c>
      <c r="F144" s="23">
        <v>1.7000000000000001E-2</v>
      </c>
      <c r="G144" s="71">
        <f>IF(A144="COMPOSICAO",VLOOKUP("TOTAL SEM BDI - "&amp;B144,CPUAUX2!$A:$J,9,FALSE),VLOOKUP(B144,I!$A:$E,5,FALSE))</f>
        <v>10.75</v>
      </c>
      <c r="H144" s="72"/>
      <c r="I144" s="71">
        <f t="shared" si="44"/>
        <v>0.18</v>
      </c>
      <c r="J144" s="72"/>
      <c r="M144" s="23">
        <f t="shared" si="45"/>
        <v>2692</v>
      </c>
      <c r="N144" s="23">
        <f>SUMIF(CPU!M:M,B137,CPU!O:O)</f>
        <v>3</v>
      </c>
      <c r="O144" s="23">
        <f t="shared" si="46"/>
        <v>5.1000000000000004E-2</v>
      </c>
      <c r="Q144" s="23">
        <f ca="1">SUMIF(CPU!M:M,B137,CPU!R:R)</f>
        <v>1.2</v>
      </c>
      <c r="R144" s="23">
        <f t="shared" ca="1" si="47"/>
        <v>2.0400000000000001E-2</v>
      </c>
    </row>
    <row r="145" spans="1:18" x14ac:dyDescent="0.3">
      <c r="A145" s="68" t="str">
        <f>"TOTAL SEM BDI - "&amp;B137</f>
        <v>TOTAL SEM BDI - 97086</v>
      </c>
      <c r="B145" s="69"/>
      <c r="C145" s="69"/>
      <c r="D145" s="69"/>
      <c r="E145" s="69"/>
      <c r="F145" s="69"/>
      <c r="G145" s="69"/>
      <c r="H145" s="70"/>
      <c r="I145" s="71">
        <f>SUM(I137:I144)</f>
        <v>122.46000000000001</v>
      </c>
      <c r="J145" s="72"/>
    </row>
    <row r="147" spans="1:18" x14ac:dyDescent="0.3">
      <c r="A147" s="4" t="s">
        <v>1018</v>
      </c>
      <c r="B147" s="4" t="s">
        <v>138</v>
      </c>
      <c r="C147" s="4" t="s">
        <v>139</v>
      </c>
      <c r="D147" s="4" t="s">
        <v>21</v>
      </c>
      <c r="E147" s="4" t="s">
        <v>140</v>
      </c>
      <c r="F147" s="4" t="s">
        <v>506</v>
      </c>
      <c r="G147" s="34" t="s">
        <v>1019</v>
      </c>
      <c r="H147" s="35"/>
      <c r="I147" s="34" t="s">
        <v>15</v>
      </c>
      <c r="J147" s="35"/>
    </row>
    <row r="148" spans="1:18" ht="30" customHeight="1" x14ac:dyDescent="0.3">
      <c r="A148" s="15" t="s">
        <v>1093</v>
      </c>
      <c r="B148" s="15">
        <v>88250</v>
      </c>
      <c r="C148" s="15" t="str">
        <f>VLOOKUP(B148,S!$A:$G,2,FALSE)</f>
        <v>SINAPI</v>
      </c>
      <c r="D148" s="22" t="str">
        <f>VLOOKUP(B148,S!$A:$G,3,FALSE)</f>
        <v>AUXILIAR DE MECÂNICO COM ENCARGOS COMPLEMENTARES</v>
      </c>
      <c r="E148" s="15" t="str">
        <f>VLOOKUP(B148,S!$A:$G,4,FALSE)</f>
        <v>H</v>
      </c>
      <c r="F148" s="15"/>
      <c r="G148" s="73">
        <f>I157</f>
        <v>21.18</v>
      </c>
      <c r="H148" s="74"/>
      <c r="I148" s="73"/>
      <c r="J148" s="74"/>
      <c r="K148" s="16">
        <f>VLOOKUP(B148,S!A:G,5,FALSE)</f>
        <v>21.18</v>
      </c>
      <c r="L148" s="15" t="str">
        <f>IF(K148=G148,"OK, CONFORME TABELA",IF(G148&gt;K148,"ACIMA DA TABELA: ","ABAIXO DA TABELA: ")&amp;TRUNC((G148*100)/K148,2)&amp;" %")</f>
        <v>OK, CONFORME TABELA</v>
      </c>
    </row>
    <row r="149" spans="1:18" ht="30" customHeight="1" x14ac:dyDescent="0.3">
      <c r="A149" s="23" t="s">
        <v>1022</v>
      </c>
      <c r="B149" s="23">
        <v>95319</v>
      </c>
      <c r="C149" s="23" t="str">
        <f>VLOOKUP(B149,IF(A149="COMPOSICAO",S!$A:$E,I!$A:$E),2,FALSE)</f>
        <v>SINAPI</v>
      </c>
      <c r="D149" s="24" t="str">
        <f>VLOOKUP(B149,IF(A149="COMPOSICAO",S!$A:$E,I!$A:$E),3,FALSE)</f>
        <v>CURSO DE CAPACITAÇÃO PARA AUXILIAR DE MECÂNICO (ENCARGOS COMPLEMENTARES) - HORISTA</v>
      </c>
      <c r="E149" s="23" t="str">
        <f>VLOOKUP(B149,IF(A149="COMPOSICAO",S!$A:$E,I!$A:$E),4,FALSE)</f>
        <v>H</v>
      </c>
      <c r="F149" s="23">
        <v>1</v>
      </c>
      <c r="G149" s="71">
        <f>IF(A149="COMPOSICAO",VLOOKUP("TOTAL SEM BDI - "&amp;B149,CPUAUX2!$A:$J,9,FALSE),VLOOKUP(B149,I!$A:$E,5,FALSE))</f>
        <v>0.17</v>
      </c>
      <c r="H149" s="72"/>
      <c r="I149" s="71">
        <f t="shared" ref="I149:I156" si="48">TRUNC(F149*G149,2)</f>
        <v>0.17</v>
      </c>
      <c r="J149" s="72"/>
      <c r="M149" s="23">
        <f t="shared" ref="M149:M156" si="49">B149</f>
        <v>95319</v>
      </c>
      <c r="N149" s="23">
        <f>SUMIF(CPU!M:M,B148,CPU!O:O)</f>
        <v>330</v>
      </c>
      <c r="O149" s="23">
        <f t="shared" ref="O149:O156" si="50">F149*N149</f>
        <v>330</v>
      </c>
      <c r="Q149" s="23">
        <f ca="1">SUMIF(CPU!M:M,B148,CPU!R:R)</f>
        <v>132</v>
      </c>
      <c r="R149" s="23">
        <f t="shared" ref="R149:R156" ca="1" si="51">F149*Q149</f>
        <v>132</v>
      </c>
    </row>
    <row r="150" spans="1:18" ht="30" customHeight="1" x14ac:dyDescent="0.3">
      <c r="A150" s="23" t="s">
        <v>1025</v>
      </c>
      <c r="B150" s="23">
        <v>43488</v>
      </c>
      <c r="C150" s="23" t="str">
        <f>VLOOKUP(B150,IF(A150="COMPOSICAO",S!$A:$E,I!$A:$E),2,FALSE)</f>
        <v>SINAPI</v>
      </c>
      <c r="D150" s="24" t="str">
        <f>VLOOKUP(B150,IF(A150="COMPOSICAO",S!$A:$E,I!$A:$E),3,FALSE)</f>
        <v>EPI - FAMILIA OPERADOR ESCAVADEIRA - HORISTA (ENCARGOS COMPLEMENTARES - COLETADO CAIXA)</v>
      </c>
      <c r="E150" s="23" t="str">
        <f>VLOOKUP(B150,IF(A150="COMPOSICAO",S!$A:$E,I!$A:$E),4,FALSE)</f>
        <v>H</v>
      </c>
      <c r="F150" s="23">
        <v>1</v>
      </c>
      <c r="G150" s="71">
        <f>IF(A150="COMPOSICAO",VLOOKUP("TOTAL SEM BDI - "&amp;B150,CPUAUX2!$A:$J,9,FALSE),VLOOKUP(B150,I!$A:$E,5,FALSE))</f>
        <v>0.89</v>
      </c>
      <c r="H150" s="72"/>
      <c r="I150" s="71">
        <f t="shared" si="48"/>
        <v>0.89</v>
      </c>
      <c r="J150" s="72"/>
      <c r="M150" s="23">
        <f t="shared" si="49"/>
        <v>43488</v>
      </c>
      <c r="N150" s="23">
        <f>SUMIF(CPU!M:M,B148,CPU!O:O)</f>
        <v>330</v>
      </c>
      <c r="O150" s="23">
        <f t="shared" si="50"/>
        <v>330</v>
      </c>
      <c r="Q150" s="23">
        <f ca="1">SUMIF(CPU!M:M,B148,CPU!R:R)</f>
        <v>132</v>
      </c>
      <c r="R150" s="23">
        <f t="shared" ca="1" si="51"/>
        <v>132</v>
      </c>
    </row>
    <row r="151" spans="1:18" ht="45" customHeight="1" x14ac:dyDescent="0.3">
      <c r="A151" s="23" t="s">
        <v>1025</v>
      </c>
      <c r="B151" s="23">
        <v>43464</v>
      </c>
      <c r="C151" s="23" t="str">
        <f>VLOOKUP(B151,IF(A151="COMPOSICAO",S!$A:$E,I!$A:$E),2,FALSE)</f>
        <v>SINAPI</v>
      </c>
      <c r="D151" s="24" t="str">
        <f>VLOOKUP(B151,IF(A151="COMPOSICAO",S!$A:$E,I!$A:$E),3,FALSE)</f>
        <v>FERRAMENTAS - FAMILIA OPERADOR ESCAVADEIRA - HORISTA (ENCARGOS COMPLEMENTARES - COLETADO CAIXA)</v>
      </c>
      <c r="E151" s="23" t="str">
        <f>VLOOKUP(B151,IF(A151="COMPOSICAO",S!$A:$E,I!$A:$E),4,FALSE)</f>
        <v>H</v>
      </c>
      <c r="F151" s="23">
        <v>1</v>
      </c>
      <c r="G151" s="71">
        <f>IF(A151="COMPOSICAO",VLOOKUP("TOTAL SEM BDI - "&amp;B151,CPUAUX2!$A:$J,9,FALSE),VLOOKUP(B151,I!$A:$E,5,FALSE))</f>
        <v>0.01</v>
      </c>
      <c r="H151" s="72"/>
      <c r="I151" s="71">
        <f t="shared" si="48"/>
        <v>0.01</v>
      </c>
      <c r="J151" s="72"/>
      <c r="M151" s="23">
        <f t="shared" si="49"/>
        <v>43464</v>
      </c>
      <c r="N151" s="23">
        <f>SUMIF(CPU!M:M,B148,CPU!O:O)</f>
        <v>330</v>
      </c>
      <c r="O151" s="23">
        <f t="shared" si="50"/>
        <v>330</v>
      </c>
      <c r="Q151" s="23">
        <f ca="1">SUMIF(CPU!M:M,B148,CPU!R:R)</f>
        <v>132</v>
      </c>
      <c r="R151" s="23">
        <f t="shared" ca="1" si="51"/>
        <v>132</v>
      </c>
    </row>
    <row r="152" spans="1:18" ht="30" customHeight="1" x14ac:dyDescent="0.3">
      <c r="A152" s="23" t="s">
        <v>1025</v>
      </c>
      <c r="B152" s="23">
        <v>37373</v>
      </c>
      <c r="C152" s="23" t="str">
        <f>VLOOKUP(B152,IF(A152="COMPOSICAO",S!$A:$E,I!$A:$E),2,FALSE)</f>
        <v>SINAPI</v>
      </c>
      <c r="D152" s="24" t="str">
        <f>VLOOKUP(B152,IF(A152="COMPOSICAO",S!$A:$E,I!$A:$E),3,FALSE)</f>
        <v>SEGURO - HORISTA (COLETADO CAIXA - ENCARGOS COMPLEMENTARES)</v>
      </c>
      <c r="E152" s="23" t="str">
        <f>VLOOKUP(B152,IF(A152="COMPOSICAO",S!$A:$E,I!$A:$E),4,FALSE)</f>
        <v>H</v>
      </c>
      <c r="F152" s="23">
        <v>1</v>
      </c>
      <c r="G152" s="71">
        <f>IF(A152="COMPOSICAO",VLOOKUP("TOTAL SEM BDI - "&amp;B152,CPUAUX2!$A:$J,9,FALSE),VLOOKUP(B152,I!$A:$E,5,FALSE))</f>
        <v>0.08</v>
      </c>
      <c r="H152" s="72"/>
      <c r="I152" s="71">
        <f t="shared" si="48"/>
        <v>0.08</v>
      </c>
      <c r="J152" s="72"/>
      <c r="M152" s="23">
        <f t="shared" si="49"/>
        <v>37373</v>
      </c>
      <c r="N152" s="23">
        <f>SUMIF(CPU!M:M,B148,CPU!O:O)</f>
        <v>330</v>
      </c>
      <c r="O152" s="23">
        <f t="shared" si="50"/>
        <v>330</v>
      </c>
      <c r="Q152" s="23">
        <f ca="1">SUMIF(CPU!M:M,B148,CPU!R:R)</f>
        <v>132</v>
      </c>
      <c r="R152" s="23">
        <f t="shared" ca="1" si="51"/>
        <v>132</v>
      </c>
    </row>
    <row r="153" spans="1:18" ht="30" customHeight="1" x14ac:dyDescent="0.3">
      <c r="A153" s="23" t="s">
        <v>1025</v>
      </c>
      <c r="B153" s="23">
        <v>37372</v>
      </c>
      <c r="C153" s="23" t="str">
        <f>VLOOKUP(B153,IF(A153="COMPOSICAO",S!$A:$E,I!$A:$E),2,FALSE)</f>
        <v>SINAPI</v>
      </c>
      <c r="D153" s="24" t="str">
        <f>VLOOKUP(B153,IF(A153="COMPOSICAO",S!$A:$E,I!$A:$E),3,FALSE)</f>
        <v>EXAMES - HORISTA (COLETADO CAIXA - ENCARGOS COMPLEMENTARES)</v>
      </c>
      <c r="E153" s="23" t="str">
        <f>VLOOKUP(B153,IF(A153="COMPOSICAO",S!$A:$E,I!$A:$E),4,FALSE)</f>
        <v>H</v>
      </c>
      <c r="F153" s="23">
        <v>1</v>
      </c>
      <c r="G153" s="71">
        <f>IF(A153="COMPOSICAO",VLOOKUP("TOTAL SEM BDI - "&amp;B153,CPUAUX2!$A:$J,9,FALSE),VLOOKUP(B153,I!$A:$E,5,FALSE))</f>
        <v>1.43</v>
      </c>
      <c r="H153" s="72"/>
      <c r="I153" s="71">
        <f t="shared" si="48"/>
        <v>1.43</v>
      </c>
      <c r="J153" s="72"/>
      <c r="M153" s="23">
        <f t="shared" si="49"/>
        <v>37372</v>
      </c>
      <c r="N153" s="23">
        <f>SUMIF(CPU!M:M,B148,CPU!O:O)</f>
        <v>330</v>
      </c>
      <c r="O153" s="23">
        <f t="shared" si="50"/>
        <v>330</v>
      </c>
      <c r="Q153" s="23">
        <f ca="1">SUMIF(CPU!M:M,B148,CPU!R:R)</f>
        <v>132</v>
      </c>
      <c r="R153" s="23">
        <f t="shared" ca="1" si="51"/>
        <v>132</v>
      </c>
    </row>
    <row r="154" spans="1:18" ht="30" customHeight="1" x14ac:dyDescent="0.3">
      <c r="A154" s="23" t="s">
        <v>1025</v>
      </c>
      <c r="B154" s="23">
        <v>37371</v>
      </c>
      <c r="C154" s="23" t="str">
        <f>VLOOKUP(B154,IF(A154="COMPOSICAO",S!$A:$E,I!$A:$E),2,FALSE)</f>
        <v>SINAPI</v>
      </c>
      <c r="D154" s="24" t="str">
        <f>VLOOKUP(B154,IF(A154="COMPOSICAO",S!$A:$E,I!$A:$E),3,FALSE)</f>
        <v>TRANSPORTE - HORISTA (COLETADO CAIXA - ENCARGOS COMPLEMENTARES)</v>
      </c>
      <c r="E154" s="23" t="str">
        <f>VLOOKUP(B154,IF(A154="COMPOSICAO",S!$A:$E,I!$A:$E),4,FALSE)</f>
        <v>H</v>
      </c>
      <c r="F154" s="23">
        <v>1</v>
      </c>
      <c r="G154" s="71">
        <f>IF(A154="COMPOSICAO",VLOOKUP("TOTAL SEM BDI - "&amp;B154,CPUAUX2!$A:$J,9,FALSE),VLOOKUP(B154,I!$A:$E,5,FALSE))</f>
        <v>0.56999999999999995</v>
      </c>
      <c r="H154" s="72"/>
      <c r="I154" s="71">
        <f t="shared" si="48"/>
        <v>0.56999999999999995</v>
      </c>
      <c r="J154" s="72"/>
      <c r="M154" s="23">
        <f t="shared" si="49"/>
        <v>37371</v>
      </c>
      <c r="N154" s="23">
        <f>SUMIF(CPU!M:M,B148,CPU!O:O)</f>
        <v>330</v>
      </c>
      <c r="O154" s="23">
        <f t="shared" si="50"/>
        <v>330</v>
      </c>
      <c r="Q154" s="23">
        <f ca="1">SUMIF(CPU!M:M,B148,CPU!R:R)</f>
        <v>132</v>
      </c>
      <c r="R154" s="23">
        <f t="shared" ca="1" si="51"/>
        <v>132</v>
      </c>
    </row>
    <row r="155" spans="1:18" ht="30" customHeight="1" x14ac:dyDescent="0.3">
      <c r="A155" s="23" t="s">
        <v>1025</v>
      </c>
      <c r="B155" s="23">
        <v>37370</v>
      </c>
      <c r="C155" s="23" t="str">
        <f>VLOOKUP(B155,IF(A155="COMPOSICAO",S!$A:$E,I!$A:$E),2,FALSE)</f>
        <v>SINAPI</v>
      </c>
      <c r="D155" s="24" t="str">
        <f>VLOOKUP(B155,IF(A155="COMPOSICAO",S!$A:$E,I!$A:$E),3,FALSE)</f>
        <v>ALIMENTACAO - HORISTA (COLETADO CAIXA - ENCARGOS COMPLEMENTARES)</v>
      </c>
      <c r="E155" s="23" t="str">
        <f>VLOOKUP(B155,IF(A155="COMPOSICAO",S!$A:$E,I!$A:$E),4,FALSE)</f>
        <v>H</v>
      </c>
      <c r="F155" s="23">
        <v>1</v>
      </c>
      <c r="G155" s="71">
        <f>IF(A155="COMPOSICAO",VLOOKUP("TOTAL SEM BDI - "&amp;B155,CPUAUX2!$A:$J,9,FALSE),VLOOKUP(B155,I!$A:$E,5,FALSE))</f>
        <v>2.46</v>
      </c>
      <c r="H155" s="72"/>
      <c r="I155" s="71">
        <f t="shared" si="48"/>
        <v>2.46</v>
      </c>
      <c r="J155" s="72"/>
      <c r="M155" s="23">
        <f t="shared" si="49"/>
        <v>37370</v>
      </c>
      <c r="N155" s="23">
        <f>SUMIF(CPU!M:M,B148,CPU!O:O)</f>
        <v>330</v>
      </c>
      <c r="O155" s="23">
        <f t="shared" si="50"/>
        <v>330</v>
      </c>
      <c r="Q155" s="23">
        <f ca="1">SUMIF(CPU!M:M,B148,CPU!R:R)</f>
        <v>132</v>
      </c>
      <c r="R155" s="23">
        <f t="shared" ca="1" si="51"/>
        <v>132</v>
      </c>
    </row>
    <row r="156" spans="1:18" x14ac:dyDescent="0.3">
      <c r="A156" s="23" t="s">
        <v>1025</v>
      </c>
      <c r="B156" s="23">
        <v>251</v>
      </c>
      <c r="C156" s="23" t="str">
        <f>VLOOKUP(B156,IF(A156="COMPOSICAO",S!$A:$E,I!$A:$E),2,FALSE)</f>
        <v>SINAPI</v>
      </c>
      <c r="D156" s="24" t="str">
        <f>VLOOKUP(B156,IF(A156="COMPOSICAO",S!$A:$E,I!$A:$E),3,FALSE)</f>
        <v>AUXILIAR DE MECANICO (HORISTA)</v>
      </c>
      <c r="E156" s="23" t="str">
        <f>VLOOKUP(B156,IF(A156="COMPOSICAO",S!$A:$E,I!$A:$E),4,FALSE)</f>
        <v>H</v>
      </c>
      <c r="F156" s="23">
        <v>1</v>
      </c>
      <c r="G156" s="71">
        <f>IF(A156="COMPOSICAO",VLOOKUP("TOTAL SEM BDI - "&amp;B156,CPUAUX2!$A:$J,9,FALSE),VLOOKUP(B156,I!$A:$E,5,FALSE))</f>
        <v>15.57</v>
      </c>
      <c r="H156" s="72"/>
      <c r="I156" s="71">
        <f t="shared" si="48"/>
        <v>15.57</v>
      </c>
      <c r="J156" s="72"/>
      <c r="M156" s="23">
        <f t="shared" si="49"/>
        <v>251</v>
      </c>
      <c r="N156" s="23">
        <f>SUMIF(CPU!M:M,B148,CPU!O:O)</f>
        <v>330</v>
      </c>
      <c r="O156" s="23">
        <f t="shared" si="50"/>
        <v>330</v>
      </c>
      <c r="Q156" s="23">
        <f ca="1">SUMIF(CPU!M:M,B148,CPU!R:R)</f>
        <v>132</v>
      </c>
      <c r="R156" s="23">
        <f t="shared" ca="1" si="51"/>
        <v>132</v>
      </c>
    </row>
    <row r="157" spans="1:18" x14ac:dyDescent="0.3">
      <c r="A157" s="68" t="str">
        <f>"TOTAL SEM BDI - "&amp;B148</f>
        <v>TOTAL SEM BDI - 88250</v>
      </c>
      <c r="B157" s="69"/>
      <c r="C157" s="69"/>
      <c r="D157" s="69"/>
      <c r="E157" s="69"/>
      <c r="F157" s="69"/>
      <c r="G157" s="69"/>
      <c r="H157" s="70"/>
      <c r="I157" s="71">
        <f>SUM(I148:I156)</f>
        <v>21.18</v>
      </c>
      <c r="J157" s="72"/>
    </row>
    <row r="159" spans="1:18" x14ac:dyDescent="0.3">
      <c r="A159" s="4" t="s">
        <v>1018</v>
      </c>
      <c r="B159" s="4" t="s">
        <v>138</v>
      </c>
      <c r="C159" s="4" t="s">
        <v>139</v>
      </c>
      <c r="D159" s="4" t="s">
        <v>21</v>
      </c>
      <c r="E159" s="4" t="s">
        <v>140</v>
      </c>
      <c r="F159" s="4" t="s">
        <v>506</v>
      </c>
      <c r="G159" s="34" t="s">
        <v>1019</v>
      </c>
      <c r="H159" s="35"/>
      <c r="I159" s="34" t="s">
        <v>15</v>
      </c>
      <c r="J159" s="35"/>
    </row>
    <row r="160" spans="1:18" x14ac:dyDescent="0.3">
      <c r="A160" s="15" t="s">
        <v>516</v>
      </c>
      <c r="B160" s="15" t="s">
        <v>1043</v>
      </c>
      <c r="C160" s="15" t="str">
        <f>VLOOKUP(B160,S!$A:$G,2,FALSE)</f>
        <v>ORSE</v>
      </c>
      <c r="D160" s="22" t="str">
        <f>VLOOKUP(B160,S!$A:$G,3,FALSE)</f>
        <v>ANÁLISE FÍSICO-QUÍMICA DA ÁGUA</v>
      </c>
      <c r="E160" s="15" t="str">
        <f>VLOOKUP(B160,S!$A:$G,4,FALSE)</f>
        <v>UN</v>
      </c>
      <c r="F160" s="15"/>
      <c r="G160" s="73">
        <f>I162</f>
        <v>565.21</v>
      </c>
      <c r="H160" s="74"/>
      <c r="I160" s="73"/>
      <c r="J160" s="74"/>
      <c r="K160" s="16">
        <f>VLOOKUP(B160,S!A:G,5,FALSE)</f>
        <v>565.21</v>
      </c>
      <c r="L160" s="15" t="str">
        <f>IF(K160=G160,"OK, CONFORME TABELA",IF(G160&gt;K160,"ACIMA DA TABELA: ","ABAIXO DA TABELA: ")&amp;TRUNC((G160*100)/K160,2)&amp;" %")</f>
        <v>OK, CONFORME TABELA</v>
      </c>
    </row>
    <row r="161" spans="1:18" x14ac:dyDescent="0.3">
      <c r="A161" s="23" t="s">
        <v>1025</v>
      </c>
      <c r="B161" s="23" t="s">
        <v>1097</v>
      </c>
      <c r="C161" s="23" t="str">
        <f>VLOOKUP(B161,IF(A161="COMPOSICAO",S!$A:$E,I!$A:$E),2,FALSE)</f>
        <v>ORSE</v>
      </c>
      <c r="D161" s="24" t="str">
        <f>VLOOKUP(B161,IF(A161="COMPOSICAO",S!$A:$E,I!$A:$E),3,FALSE)</f>
        <v>ANÁLISE FÍSICO-QUÍMICA DE ÁGUA</v>
      </c>
      <c r="E161" s="23" t="str">
        <f>VLOOKUP(B161,IF(A161="COMPOSICAO",S!$A:$E,I!$A:$E),4,FALSE)</f>
        <v>UN</v>
      </c>
      <c r="F161" s="23">
        <v>1</v>
      </c>
      <c r="G161" s="71">
        <f>IF(A161="COMPOSICAO",VLOOKUP("TOTAL SEM BDI - "&amp;B161,CPUAUX2!$A:$J,9,FALSE),VLOOKUP(B161,I!$A:$E,5,FALSE))</f>
        <v>565.21</v>
      </c>
      <c r="H161" s="72"/>
      <c r="I161" s="71">
        <f>TRUNC(F161*G161,2)</f>
        <v>565.21</v>
      </c>
      <c r="J161" s="72"/>
      <c r="M161" s="23" t="str">
        <f>B161</f>
        <v>05022/ORSE</v>
      </c>
      <c r="N161" s="23">
        <f>SUMIF(CPU!M:M,B160,CPU!O:O)</f>
        <v>5</v>
      </c>
      <c r="O161" s="23">
        <f>F161*N161</f>
        <v>5</v>
      </c>
      <c r="Q161" s="23">
        <f ca="1">SUMIF(CPU!M:M,B160,CPU!R:R)</f>
        <v>2</v>
      </c>
      <c r="R161" s="23">
        <f ca="1">F161*Q161</f>
        <v>2</v>
      </c>
    </row>
    <row r="162" spans="1:18" x14ac:dyDescent="0.3">
      <c r="A162" s="68" t="str">
        <f>"TOTAL SEM BDI - "&amp;B160</f>
        <v>TOTAL SEM BDI - 06312/ORSE</v>
      </c>
      <c r="B162" s="69"/>
      <c r="C162" s="69"/>
      <c r="D162" s="69"/>
      <c r="E162" s="69"/>
      <c r="F162" s="69"/>
      <c r="G162" s="69"/>
      <c r="H162" s="70"/>
      <c r="I162" s="71">
        <f>SUM(I160:I161)</f>
        <v>565.21</v>
      </c>
      <c r="J162" s="72"/>
    </row>
    <row r="164" spans="1:18" x14ac:dyDescent="0.3">
      <c r="A164" s="4" t="s">
        <v>1018</v>
      </c>
      <c r="B164" s="4" t="s">
        <v>138</v>
      </c>
      <c r="C164" s="4" t="s">
        <v>139</v>
      </c>
      <c r="D164" s="4" t="s">
        <v>21</v>
      </c>
      <c r="E164" s="4" t="s">
        <v>140</v>
      </c>
      <c r="F164" s="4" t="s">
        <v>506</v>
      </c>
      <c r="G164" s="34" t="s">
        <v>1019</v>
      </c>
      <c r="H164" s="35"/>
      <c r="I164" s="34" t="s">
        <v>15</v>
      </c>
      <c r="J164" s="35"/>
    </row>
    <row r="165" spans="1:18" ht="30" customHeight="1" x14ac:dyDescent="0.3">
      <c r="A165" s="15" t="s">
        <v>1093</v>
      </c>
      <c r="B165" s="15">
        <v>88267</v>
      </c>
      <c r="C165" s="15" t="str">
        <f>VLOOKUP(B165,S!$A:$G,2,FALSE)</f>
        <v>SINAPI</v>
      </c>
      <c r="D165" s="22" t="str">
        <f>VLOOKUP(B165,S!$A:$G,3,FALSE)</f>
        <v>ENCANADOR OU BOMBEIRO HIDRÁULICO COM ENCARGOS COMPLEMENTARES</v>
      </c>
      <c r="E165" s="15" t="str">
        <f>VLOOKUP(B165,S!$A:$G,4,FALSE)</f>
        <v>H</v>
      </c>
      <c r="F165" s="15"/>
      <c r="G165" s="73">
        <f>I174</f>
        <v>26.669999999999998</v>
      </c>
      <c r="H165" s="74"/>
      <c r="I165" s="73"/>
      <c r="J165" s="74"/>
      <c r="K165" s="16">
        <f>VLOOKUP(B165,S!A:G,5,FALSE)</f>
        <v>26.67</v>
      </c>
      <c r="L165" s="15" t="str">
        <f>IF(K165=G165,"OK, CONFORME TABELA",IF(G165&gt;K165,"ACIMA DA TABELA: ","ABAIXO DA TABELA: ")&amp;TRUNC((G165*100)/K165,2)&amp;" %")</f>
        <v>OK, CONFORME TABELA</v>
      </c>
    </row>
    <row r="166" spans="1:18" ht="45" customHeight="1" x14ac:dyDescent="0.3">
      <c r="A166" s="23" t="s">
        <v>1022</v>
      </c>
      <c r="B166" s="23">
        <v>95335</v>
      </c>
      <c r="C166" s="23" t="str">
        <f>VLOOKUP(B166,IF(A166="COMPOSICAO",S!$A:$E,I!$A:$E),2,FALSE)</f>
        <v>SINAPI</v>
      </c>
      <c r="D166" s="24" t="str">
        <f>VLOOKUP(B166,IF(A166="COMPOSICAO",S!$A:$E,I!$A:$E),3,FALSE)</f>
        <v>CURSO DE CAPACITAÇÃO PARA ENCANADOR OU BOMBEIRO HIDRÁULICO (ENCARGOS COMPLEMENTARES) - HORISTA</v>
      </c>
      <c r="E166" s="23" t="str">
        <f>VLOOKUP(B166,IF(A166="COMPOSICAO",S!$A:$E,I!$A:$E),4,FALSE)</f>
        <v>H</v>
      </c>
      <c r="F166" s="23">
        <v>1</v>
      </c>
      <c r="G166" s="71">
        <f>IF(A166="COMPOSICAO",VLOOKUP("TOTAL SEM BDI - "&amp;B166,CPUAUX2!$A:$J,9,FALSE),VLOOKUP(B166,I!$A:$E,5,FALSE))</f>
        <v>0.36</v>
      </c>
      <c r="H166" s="72"/>
      <c r="I166" s="71">
        <f t="shared" ref="I166:I173" si="52">TRUNC(F166*G166,2)</f>
        <v>0.36</v>
      </c>
      <c r="J166" s="72"/>
      <c r="M166" s="23">
        <f t="shared" ref="M166:M173" si="53">B166</f>
        <v>95335</v>
      </c>
      <c r="N166" s="23">
        <f>SUMIF(CPU!M:M,B165,CPU!O:O)</f>
        <v>106.298</v>
      </c>
      <c r="O166" s="23">
        <f t="shared" ref="O166:O173" si="54">F166*N166</f>
        <v>106.298</v>
      </c>
      <c r="Q166" s="23">
        <f ca="1">SUMIF(CPU!M:M,B165,CPU!R:R)</f>
        <v>42.519199999999991</v>
      </c>
      <c r="R166" s="23">
        <f t="shared" ref="R166:R173" ca="1" si="55">F166*Q166</f>
        <v>42.519199999999991</v>
      </c>
    </row>
    <row r="167" spans="1:18" ht="30" customHeight="1" x14ac:dyDescent="0.3">
      <c r="A167" s="23" t="s">
        <v>1025</v>
      </c>
      <c r="B167" s="23">
        <v>43485</v>
      </c>
      <c r="C167" s="23" t="str">
        <f>VLOOKUP(B167,IF(A167="COMPOSICAO",S!$A:$E,I!$A:$E),2,FALSE)</f>
        <v>SINAPI</v>
      </c>
      <c r="D167" s="24" t="str">
        <f>VLOOKUP(B167,IF(A167="COMPOSICAO",S!$A:$E,I!$A:$E),3,FALSE)</f>
        <v>EPI - FAMILIA ENCANADOR - HORISTA (ENCARGOS COMPLEMENTARES - COLETADO CAIXA)</v>
      </c>
      <c r="E167" s="23" t="str">
        <f>VLOOKUP(B167,IF(A167="COMPOSICAO",S!$A:$E,I!$A:$E),4,FALSE)</f>
        <v>H</v>
      </c>
      <c r="F167" s="23">
        <v>1</v>
      </c>
      <c r="G167" s="71">
        <f>IF(A167="COMPOSICAO",VLOOKUP("TOTAL SEM BDI - "&amp;B167,CPUAUX2!$A:$J,9,FALSE),VLOOKUP(B167,I!$A:$E,5,FALSE))</f>
        <v>1.1299999999999999</v>
      </c>
      <c r="H167" s="72"/>
      <c r="I167" s="71">
        <f t="shared" si="52"/>
        <v>1.1299999999999999</v>
      </c>
      <c r="J167" s="72"/>
      <c r="M167" s="23">
        <f t="shared" si="53"/>
        <v>43485</v>
      </c>
      <c r="N167" s="23">
        <f>SUMIF(CPU!M:M,B165,CPU!O:O)</f>
        <v>106.298</v>
      </c>
      <c r="O167" s="23">
        <f t="shared" si="54"/>
        <v>106.298</v>
      </c>
      <c r="Q167" s="23">
        <f ca="1">SUMIF(CPU!M:M,B165,CPU!R:R)</f>
        <v>42.519199999999991</v>
      </c>
      <c r="R167" s="23">
        <f t="shared" ca="1" si="55"/>
        <v>42.519199999999991</v>
      </c>
    </row>
    <row r="168" spans="1:18" ht="30" customHeight="1" x14ac:dyDescent="0.3">
      <c r="A168" s="23" t="s">
        <v>1025</v>
      </c>
      <c r="B168" s="23">
        <v>43461</v>
      </c>
      <c r="C168" s="23" t="str">
        <f>VLOOKUP(B168,IF(A168="COMPOSICAO",S!$A:$E,I!$A:$E),2,FALSE)</f>
        <v>SINAPI</v>
      </c>
      <c r="D168" s="24" t="str">
        <f>VLOOKUP(B168,IF(A168="COMPOSICAO",S!$A:$E,I!$A:$E),3,FALSE)</f>
        <v>FERRAMENTAS - FAMILIA ENCANADOR - HORISTA (ENCARGOS COMPLEMENTARES - COLETADO CAIXA)</v>
      </c>
      <c r="E168" s="23" t="str">
        <f>VLOOKUP(B168,IF(A168="COMPOSICAO",S!$A:$E,I!$A:$E),4,FALSE)</f>
        <v>H</v>
      </c>
      <c r="F168" s="23">
        <v>1</v>
      </c>
      <c r="G168" s="71">
        <f>IF(A168="COMPOSICAO",VLOOKUP("TOTAL SEM BDI - "&amp;B168,CPUAUX2!$A:$J,9,FALSE),VLOOKUP(B168,I!$A:$E,5,FALSE))</f>
        <v>0.31</v>
      </c>
      <c r="H168" s="72"/>
      <c r="I168" s="71">
        <f t="shared" si="52"/>
        <v>0.31</v>
      </c>
      <c r="J168" s="72"/>
      <c r="M168" s="23">
        <f t="shared" si="53"/>
        <v>43461</v>
      </c>
      <c r="N168" s="23">
        <f>SUMIF(CPU!M:M,B165,CPU!O:O)</f>
        <v>106.298</v>
      </c>
      <c r="O168" s="23">
        <f t="shared" si="54"/>
        <v>106.298</v>
      </c>
      <c r="Q168" s="23">
        <f ca="1">SUMIF(CPU!M:M,B165,CPU!R:R)</f>
        <v>42.519199999999991</v>
      </c>
      <c r="R168" s="23">
        <f t="shared" ca="1" si="55"/>
        <v>42.519199999999991</v>
      </c>
    </row>
    <row r="169" spans="1:18" ht="30" customHeight="1" x14ac:dyDescent="0.3">
      <c r="A169" s="23" t="s">
        <v>1025</v>
      </c>
      <c r="B169" s="23">
        <v>37373</v>
      </c>
      <c r="C169" s="23" t="str">
        <f>VLOOKUP(B169,IF(A169="COMPOSICAO",S!$A:$E,I!$A:$E),2,FALSE)</f>
        <v>SINAPI</v>
      </c>
      <c r="D169" s="24" t="str">
        <f>VLOOKUP(B169,IF(A169="COMPOSICAO",S!$A:$E,I!$A:$E),3,FALSE)</f>
        <v>SEGURO - HORISTA (COLETADO CAIXA - ENCARGOS COMPLEMENTARES)</v>
      </c>
      <c r="E169" s="23" t="str">
        <f>VLOOKUP(B169,IF(A169="COMPOSICAO",S!$A:$E,I!$A:$E),4,FALSE)</f>
        <v>H</v>
      </c>
      <c r="F169" s="23">
        <v>1</v>
      </c>
      <c r="G169" s="71">
        <f>IF(A169="COMPOSICAO",VLOOKUP("TOTAL SEM BDI - "&amp;B169,CPUAUX2!$A:$J,9,FALSE),VLOOKUP(B169,I!$A:$E,5,FALSE))</f>
        <v>0.08</v>
      </c>
      <c r="H169" s="72"/>
      <c r="I169" s="71">
        <f t="shared" si="52"/>
        <v>0.08</v>
      </c>
      <c r="J169" s="72"/>
      <c r="M169" s="23">
        <f t="shared" si="53"/>
        <v>37373</v>
      </c>
      <c r="N169" s="23">
        <f>SUMIF(CPU!M:M,B165,CPU!O:O)</f>
        <v>106.298</v>
      </c>
      <c r="O169" s="23">
        <f t="shared" si="54"/>
        <v>106.298</v>
      </c>
      <c r="Q169" s="23">
        <f ca="1">SUMIF(CPU!M:M,B165,CPU!R:R)</f>
        <v>42.519199999999991</v>
      </c>
      <c r="R169" s="23">
        <f t="shared" ca="1" si="55"/>
        <v>42.519199999999991</v>
      </c>
    </row>
    <row r="170" spans="1:18" ht="30" customHeight="1" x14ac:dyDescent="0.3">
      <c r="A170" s="23" t="s">
        <v>1025</v>
      </c>
      <c r="B170" s="23">
        <v>37372</v>
      </c>
      <c r="C170" s="23" t="str">
        <f>VLOOKUP(B170,IF(A170="COMPOSICAO",S!$A:$E,I!$A:$E),2,FALSE)</f>
        <v>SINAPI</v>
      </c>
      <c r="D170" s="24" t="str">
        <f>VLOOKUP(B170,IF(A170="COMPOSICAO",S!$A:$E,I!$A:$E),3,FALSE)</f>
        <v>EXAMES - HORISTA (COLETADO CAIXA - ENCARGOS COMPLEMENTARES)</v>
      </c>
      <c r="E170" s="23" t="str">
        <f>VLOOKUP(B170,IF(A170="COMPOSICAO",S!$A:$E,I!$A:$E),4,FALSE)</f>
        <v>H</v>
      </c>
      <c r="F170" s="23">
        <v>1</v>
      </c>
      <c r="G170" s="71">
        <f>IF(A170="COMPOSICAO",VLOOKUP("TOTAL SEM BDI - "&amp;B170,CPUAUX2!$A:$J,9,FALSE),VLOOKUP(B170,I!$A:$E,5,FALSE))</f>
        <v>1.43</v>
      </c>
      <c r="H170" s="72"/>
      <c r="I170" s="71">
        <f t="shared" si="52"/>
        <v>1.43</v>
      </c>
      <c r="J170" s="72"/>
      <c r="M170" s="23">
        <f t="shared" si="53"/>
        <v>37372</v>
      </c>
      <c r="N170" s="23">
        <f>SUMIF(CPU!M:M,B165,CPU!O:O)</f>
        <v>106.298</v>
      </c>
      <c r="O170" s="23">
        <f t="shared" si="54"/>
        <v>106.298</v>
      </c>
      <c r="Q170" s="23">
        <f ca="1">SUMIF(CPU!M:M,B165,CPU!R:R)</f>
        <v>42.519199999999991</v>
      </c>
      <c r="R170" s="23">
        <f t="shared" ca="1" si="55"/>
        <v>42.519199999999991</v>
      </c>
    </row>
    <row r="171" spans="1:18" ht="30" customHeight="1" x14ac:dyDescent="0.3">
      <c r="A171" s="23" t="s">
        <v>1025</v>
      </c>
      <c r="B171" s="23">
        <v>37371</v>
      </c>
      <c r="C171" s="23" t="str">
        <f>VLOOKUP(B171,IF(A171="COMPOSICAO",S!$A:$E,I!$A:$E),2,FALSE)</f>
        <v>SINAPI</v>
      </c>
      <c r="D171" s="24" t="str">
        <f>VLOOKUP(B171,IF(A171="COMPOSICAO",S!$A:$E,I!$A:$E),3,FALSE)</f>
        <v>TRANSPORTE - HORISTA (COLETADO CAIXA - ENCARGOS COMPLEMENTARES)</v>
      </c>
      <c r="E171" s="23" t="str">
        <f>VLOOKUP(B171,IF(A171="COMPOSICAO",S!$A:$E,I!$A:$E),4,FALSE)</f>
        <v>H</v>
      </c>
      <c r="F171" s="23">
        <v>1</v>
      </c>
      <c r="G171" s="71">
        <f>IF(A171="COMPOSICAO",VLOOKUP("TOTAL SEM BDI - "&amp;B171,CPUAUX2!$A:$J,9,FALSE),VLOOKUP(B171,I!$A:$E,5,FALSE))</f>
        <v>0.56999999999999995</v>
      </c>
      <c r="H171" s="72"/>
      <c r="I171" s="71">
        <f t="shared" si="52"/>
        <v>0.56999999999999995</v>
      </c>
      <c r="J171" s="72"/>
      <c r="M171" s="23">
        <f t="shared" si="53"/>
        <v>37371</v>
      </c>
      <c r="N171" s="23">
        <f>SUMIF(CPU!M:M,B165,CPU!O:O)</f>
        <v>106.298</v>
      </c>
      <c r="O171" s="23">
        <f t="shared" si="54"/>
        <v>106.298</v>
      </c>
      <c r="Q171" s="23">
        <f ca="1">SUMIF(CPU!M:M,B165,CPU!R:R)</f>
        <v>42.519199999999991</v>
      </c>
      <c r="R171" s="23">
        <f t="shared" ca="1" si="55"/>
        <v>42.519199999999991</v>
      </c>
    </row>
    <row r="172" spans="1:18" ht="30" customHeight="1" x14ac:dyDescent="0.3">
      <c r="A172" s="23" t="s">
        <v>1025</v>
      </c>
      <c r="B172" s="23">
        <v>37370</v>
      </c>
      <c r="C172" s="23" t="str">
        <f>VLOOKUP(B172,IF(A172="COMPOSICAO",S!$A:$E,I!$A:$E),2,FALSE)</f>
        <v>SINAPI</v>
      </c>
      <c r="D172" s="24" t="str">
        <f>VLOOKUP(B172,IF(A172="COMPOSICAO",S!$A:$E,I!$A:$E),3,FALSE)</f>
        <v>ALIMENTACAO - HORISTA (COLETADO CAIXA - ENCARGOS COMPLEMENTARES)</v>
      </c>
      <c r="E172" s="23" t="str">
        <f>VLOOKUP(B172,IF(A172="COMPOSICAO",S!$A:$E,I!$A:$E),4,FALSE)</f>
        <v>H</v>
      </c>
      <c r="F172" s="23">
        <v>1</v>
      </c>
      <c r="G172" s="71">
        <f>IF(A172="COMPOSICAO",VLOOKUP("TOTAL SEM BDI - "&amp;B172,CPUAUX2!$A:$J,9,FALSE),VLOOKUP(B172,I!$A:$E,5,FALSE))</f>
        <v>2.46</v>
      </c>
      <c r="H172" s="72"/>
      <c r="I172" s="71">
        <f t="shared" si="52"/>
        <v>2.46</v>
      </c>
      <c r="J172" s="72"/>
      <c r="M172" s="23">
        <f t="shared" si="53"/>
        <v>37370</v>
      </c>
      <c r="N172" s="23">
        <f>SUMIF(CPU!M:M,B165,CPU!O:O)</f>
        <v>106.298</v>
      </c>
      <c r="O172" s="23">
        <f t="shared" si="54"/>
        <v>106.298</v>
      </c>
      <c r="Q172" s="23">
        <f ca="1">SUMIF(CPU!M:M,B165,CPU!R:R)</f>
        <v>42.519199999999991</v>
      </c>
      <c r="R172" s="23">
        <f t="shared" ca="1" si="55"/>
        <v>42.519199999999991</v>
      </c>
    </row>
    <row r="173" spans="1:18" x14ac:dyDescent="0.3">
      <c r="A173" s="23" t="s">
        <v>1025</v>
      </c>
      <c r="B173" s="23">
        <v>2696</v>
      </c>
      <c r="C173" s="23" t="str">
        <f>VLOOKUP(B173,IF(A173="COMPOSICAO",S!$A:$E,I!$A:$E),2,FALSE)</f>
        <v>SINAPI</v>
      </c>
      <c r="D173" s="24" t="str">
        <f>VLOOKUP(B173,IF(A173="COMPOSICAO",S!$A:$E,I!$A:$E),3,FALSE)</f>
        <v>ENCANADOR OU BOMBEIRO HIDRAULICO (HORISTA)</v>
      </c>
      <c r="E173" s="23" t="str">
        <f>VLOOKUP(B173,IF(A173="COMPOSICAO",S!$A:$E,I!$A:$E),4,FALSE)</f>
        <v>H</v>
      </c>
      <c r="F173" s="23">
        <v>1</v>
      </c>
      <c r="G173" s="71">
        <f>IF(A173="COMPOSICAO",VLOOKUP("TOTAL SEM BDI - "&amp;B173,CPUAUX2!$A:$J,9,FALSE),VLOOKUP(B173,I!$A:$E,5,FALSE))</f>
        <v>20.329999999999998</v>
      </c>
      <c r="H173" s="72"/>
      <c r="I173" s="71">
        <f t="shared" si="52"/>
        <v>20.329999999999998</v>
      </c>
      <c r="J173" s="72"/>
      <c r="M173" s="23">
        <f t="shared" si="53"/>
        <v>2696</v>
      </c>
      <c r="N173" s="23">
        <f>SUMIF(CPU!M:M,B165,CPU!O:O)</f>
        <v>106.298</v>
      </c>
      <c r="O173" s="23">
        <f t="shared" si="54"/>
        <v>106.298</v>
      </c>
      <c r="Q173" s="23">
        <f ca="1">SUMIF(CPU!M:M,B165,CPU!R:R)</f>
        <v>42.519199999999991</v>
      </c>
      <c r="R173" s="23">
        <f t="shared" ca="1" si="55"/>
        <v>42.519199999999991</v>
      </c>
    </row>
    <row r="174" spans="1:18" x14ac:dyDescent="0.3">
      <c r="A174" s="68" t="str">
        <f>"TOTAL SEM BDI - "&amp;B165</f>
        <v>TOTAL SEM BDI - 88267</v>
      </c>
      <c r="B174" s="69"/>
      <c r="C174" s="69"/>
      <c r="D174" s="69"/>
      <c r="E174" s="69"/>
      <c r="F174" s="69"/>
      <c r="G174" s="69"/>
      <c r="H174" s="70"/>
      <c r="I174" s="71">
        <f>SUM(I165:I173)</f>
        <v>26.669999999999998</v>
      </c>
      <c r="J174" s="72"/>
    </row>
    <row r="176" spans="1:18" x14ac:dyDescent="0.3">
      <c r="A176" s="4" t="s">
        <v>1018</v>
      </c>
      <c r="B176" s="4" t="s">
        <v>138</v>
      </c>
      <c r="C176" s="4" t="s">
        <v>139</v>
      </c>
      <c r="D176" s="4" t="s">
        <v>21</v>
      </c>
      <c r="E176" s="4" t="s">
        <v>140</v>
      </c>
      <c r="F176" s="4" t="s">
        <v>506</v>
      </c>
      <c r="G176" s="34" t="s">
        <v>1019</v>
      </c>
      <c r="H176" s="35"/>
      <c r="I176" s="34" t="s">
        <v>15</v>
      </c>
      <c r="J176" s="35"/>
    </row>
    <row r="177" spans="1:18" ht="30" customHeight="1" x14ac:dyDescent="0.3">
      <c r="A177" s="15" t="s">
        <v>1093</v>
      </c>
      <c r="B177" s="15">
        <v>88248</v>
      </c>
      <c r="C177" s="15" t="str">
        <f>VLOOKUP(B177,S!$A:$G,2,FALSE)</f>
        <v>SINAPI</v>
      </c>
      <c r="D177" s="22" t="str">
        <f>VLOOKUP(B177,S!$A:$G,3,FALSE)</f>
        <v>AUXILIAR DE ENCANADOR OU BOMBEIRO HIDRÁULICO COM ENCARGOS COMPLEMENTARES</v>
      </c>
      <c r="E177" s="15" t="str">
        <f>VLOOKUP(B177,S!$A:$G,4,FALSE)</f>
        <v>H</v>
      </c>
      <c r="F177" s="15"/>
      <c r="G177" s="73">
        <f>I186</f>
        <v>21.82</v>
      </c>
      <c r="H177" s="74"/>
      <c r="I177" s="73"/>
      <c r="J177" s="74"/>
      <c r="K177" s="16">
        <f>VLOOKUP(B177,S!A:G,5,FALSE)</f>
        <v>21.82</v>
      </c>
      <c r="L177" s="15" t="str">
        <f>IF(K177=G177,"OK, CONFORME TABELA",IF(G177&gt;K177,"ACIMA DA TABELA: ","ABAIXO DA TABELA: ")&amp;TRUNC((G177*100)/K177,2)&amp;" %")</f>
        <v>OK, CONFORME TABELA</v>
      </c>
    </row>
    <row r="178" spans="1:18" ht="45" customHeight="1" x14ac:dyDescent="0.3">
      <c r="A178" s="23" t="s">
        <v>1022</v>
      </c>
      <c r="B178" s="23">
        <v>95317</v>
      </c>
      <c r="C178" s="23" t="str">
        <f>VLOOKUP(B178,IF(A178="COMPOSICAO",S!$A:$E,I!$A:$E),2,FALSE)</f>
        <v>SINAPI</v>
      </c>
      <c r="D178" s="24" t="str">
        <f>VLOOKUP(B178,IF(A178="COMPOSICAO",S!$A:$E,I!$A:$E),3,FALSE)</f>
        <v>CURSO DE CAPACITAÇÃO PARA AUXILIAR DE ENCANADOR OU BOMBEIRO HIDRÁULICO (ENCARGOS COMPLEMENTARES) - HORISTA</v>
      </c>
      <c r="E178" s="23" t="str">
        <f>VLOOKUP(B178,IF(A178="COMPOSICAO",S!$A:$E,I!$A:$E),4,FALSE)</f>
        <v>H</v>
      </c>
      <c r="F178" s="23">
        <v>1</v>
      </c>
      <c r="G178" s="71">
        <f>IF(A178="COMPOSICAO",VLOOKUP("TOTAL SEM BDI - "&amp;B178,CPUAUX2!$A:$J,9,FALSE),VLOOKUP(B178,I!$A:$E,5,FALSE))</f>
        <v>0.27</v>
      </c>
      <c r="H178" s="72"/>
      <c r="I178" s="71">
        <f t="shared" ref="I178:I185" si="56">TRUNC(F178*G178,2)</f>
        <v>0.27</v>
      </c>
      <c r="J178" s="72"/>
      <c r="M178" s="23">
        <f t="shared" ref="M178:M185" si="57">B178</f>
        <v>95317</v>
      </c>
      <c r="N178" s="23">
        <f>SUMIF(CPU!M:M,B177,CPU!O:O)</f>
        <v>227.12799999999999</v>
      </c>
      <c r="O178" s="23">
        <f t="shared" ref="O178:O185" si="58">F178*N178</f>
        <v>227.12799999999999</v>
      </c>
      <c r="Q178" s="23">
        <f ca="1">SUMIF(CPU!M:M,B177,CPU!R:R)</f>
        <v>90.851199999999992</v>
      </c>
      <c r="R178" s="23">
        <f t="shared" ref="R178:R185" ca="1" si="59">F178*Q178</f>
        <v>90.851199999999992</v>
      </c>
    </row>
    <row r="179" spans="1:18" ht="30" customHeight="1" x14ac:dyDescent="0.3">
      <c r="A179" s="23" t="s">
        <v>1025</v>
      </c>
      <c r="B179" s="23">
        <v>43485</v>
      </c>
      <c r="C179" s="23" t="str">
        <f>VLOOKUP(B179,IF(A179="COMPOSICAO",S!$A:$E,I!$A:$E),2,FALSE)</f>
        <v>SINAPI</v>
      </c>
      <c r="D179" s="24" t="str">
        <f>VLOOKUP(B179,IF(A179="COMPOSICAO",S!$A:$E,I!$A:$E),3,FALSE)</f>
        <v>EPI - FAMILIA ENCANADOR - HORISTA (ENCARGOS COMPLEMENTARES - COLETADO CAIXA)</v>
      </c>
      <c r="E179" s="23" t="str">
        <f>VLOOKUP(B179,IF(A179="COMPOSICAO",S!$A:$E,I!$A:$E),4,FALSE)</f>
        <v>H</v>
      </c>
      <c r="F179" s="23">
        <v>1</v>
      </c>
      <c r="G179" s="71">
        <f>IF(A179="COMPOSICAO",VLOOKUP("TOTAL SEM BDI - "&amp;B179,CPUAUX2!$A:$J,9,FALSE),VLOOKUP(B179,I!$A:$E,5,FALSE))</f>
        <v>1.1299999999999999</v>
      </c>
      <c r="H179" s="72"/>
      <c r="I179" s="71">
        <f t="shared" si="56"/>
        <v>1.1299999999999999</v>
      </c>
      <c r="J179" s="72"/>
      <c r="M179" s="23">
        <f t="shared" si="57"/>
        <v>43485</v>
      </c>
      <c r="N179" s="23">
        <f>SUMIF(CPU!M:M,B177,CPU!O:O)</f>
        <v>227.12799999999999</v>
      </c>
      <c r="O179" s="23">
        <f t="shared" si="58"/>
        <v>227.12799999999999</v>
      </c>
      <c r="Q179" s="23">
        <f ca="1">SUMIF(CPU!M:M,B177,CPU!R:R)</f>
        <v>90.851199999999992</v>
      </c>
      <c r="R179" s="23">
        <f t="shared" ca="1" si="59"/>
        <v>90.851199999999992</v>
      </c>
    </row>
    <row r="180" spans="1:18" ht="30" customHeight="1" x14ac:dyDescent="0.3">
      <c r="A180" s="23" t="s">
        <v>1025</v>
      </c>
      <c r="B180" s="23">
        <v>43461</v>
      </c>
      <c r="C180" s="23" t="str">
        <f>VLOOKUP(B180,IF(A180="COMPOSICAO",S!$A:$E,I!$A:$E),2,FALSE)</f>
        <v>SINAPI</v>
      </c>
      <c r="D180" s="24" t="str">
        <f>VLOOKUP(B180,IF(A180="COMPOSICAO",S!$A:$E,I!$A:$E),3,FALSE)</f>
        <v>FERRAMENTAS - FAMILIA ENCANADOR - HORISTA (ENCARGOS COMPLEMENTARES - COLETADO CAIXA)</v>
      </c>
      <c r="E180" s="23" t="str">
        <f>VLOOKUP(B180,IF(A180="COMPOSICAO",S!$A:$E,I!$A:$E),4,FALSE)</f>
        <v>H</v>
      </c>
      <c r="F180" s="23">
        <v>1</v>
      </c>
      <c r="G180" s="71">
        <f>IF(A180="COMPOSICAO",VLOOKUP("TOTAL SEM BDI - "&amp;B180,CPUAUX2!$A:$J,9,FALSE),VLOOKUP(B180,I!$A:$E,5,FALSE))</f>
        <v>0.31</v>
      </c>
      <c r="H180" s="72"/>
      <c r="I180" s="71">
        <f t="shared" si="56"/>
        <v>0.31</v>
      </c>
      <c r="J180" s="72"/>
      <c r="M180" s="23">
        <f t="shared" si="57"/>
        <v>43461</v>
      </c>
      <c r="N180" s="23">
        <f>SUMIF(CPU!M:M,B177,CPU!O:O)</f>
        <v>227.12799999999999</v>
      </c>
      <c r="O180" s="23">
        <f t="shared" si="58"/>
        <v>227.12799999999999</v>
      </c>
      <c r="Q180" s="23">
        <f ca="1">SUMIF(CPU!M:M,B177,CPU!R:R)</f>
        <v>90.851199999999992</v>
      </c>
      <c r="R180" s="23">
        <f t="shared" ca="1" si="59"/>
        <v>90.851199999999992</v>
      </c>
    </row>
    <row r="181" spans="1:18" ht="30" customHeight="1" x14ac:dyDescent="0.3">
      <c r="A181" s="23" t="s">
        <v>1025</v>
      </c>
      <c r="B181" s="23">
        <v>37373</v>
      </c>
      <c r="C181" s="23" t="str">
        <f>VLOOKUP(B181,IF(A181="COMPOSICAO",S!$A:$E,I!$A:$E),2,FALSE)</f>
        <v>SINAPI</v>
      </c>
      <c r="D181" s="24" t="str">
        <f>VLOOKUP(B181,IF(A181="COMPOSICAO",S!$A:$E,I!$A:$E),3,FALSE)</f>
        <v>SEGURO - HORISTA (COLETADO CAIXA - ENCARGOS COMPLEMENTARES)</v>
      </c>
      <c r="E181" s="23" t="str">
        <f>VLOOKUP(B181,IF(A181="COMPOSICAO",S!$A:$E,I!$A:$E),4,FALSE)</f>
        <v>H</v>
      </c>
      <c r="F181" s="23">
        <v>1</v>
      </c>
      <c r="G181" s="71">
        <f>IF(A181="COMPOSICAO",VLOOKUP("TOTAL SEM BDI - "&amp;B181,CPUAUX2!$A:$J,9,FALSE),VLOOKUP(B181,I!$A:$E,5,FALSE))</f>
        <v>0.08</v>
      </c>
      <c r="H181" s="72"/>
      <c r="I181" s="71">
        <f t="shared" si="56"/>
        <v>0.08</v>
      </c>
      <c r="J181" s="72"/>
      <c r="M181" s="23">
        <f t="shared" si="57"/>
        <v>37373</v>
      </c>
      <c r="N181" s="23">
        <f>SUMIF(CPU!M:M,B177,CPU!O:O)</f>
        <v>227.12799999999999</v>
      </c>
      <c r="O181" s="23">
        <f t="shared" si="58"/>
        <v>227.12799999999999</v>
      </c>
      <c r="Q181" s="23">
        <f ca="1">SUMIF(CPU!M:M,B177,CPU!R:R)</f>
        <v>90.851199999999992</v>
      </c>
      <c r="R181" s="23">
        <f t="shared" ca="1" si="59"/>
        <v>90.851199999999992</v>
      </c>
    </row>
    <row r="182" spans="1:18" ht="30" customHeight="1" x14ac:dyDescent="0.3">
      <c r="A182" s="23" t="s">
        <v>1025</v>
      </c>
      <c r="B182" s="23">
        <v>37372</v>
      </c>
      <c r="C182" s="23" t="str">
        <f>VLOOKUP(B182,IF(A182="COMPOSICAO",S!$A:$E,I!$A:$E),2,FALSE)</f>
        <v>SINAPI</v>
      </c>
      <c r="D182" s="24" t="str">
        <f>VLOOKUP(B182,IF(A182="COMPOSICAO",S!$A:$E,I!$A:$E),3,FALSE)</f>
        <v>EXAMES - HORISTA (COLETADO CAIXA - ENCARGOS COMPLEMENTARES)</v>
      </c>
      <c r="E182" s="23" t="str">
        <f>VLOOKUP(B182,IF(A182="COMPOSICAO",S!$A:$E,I!$A:$E),4,FALSE)</f>
        <v>H</v>
      </c>
      <c r="F182" s="23">
        <v>1</v>
      </c>
      <c r="G182" s="71">
        <f>IF(A182="COMPOSICAO",VLOOKUP("TOTAL SEM BDI - "&amp;B182,CPUAUX2!$A:$J,9,FALSE),VLOOKUP(B182,I!$A:$E,5,FALSE))</f>
        <v>1.43</v>
      </c>
      <c r="H182" s="72"/>
      <c r="I182" s="71">
        <f t="shared" si="56"/>
        <v>1.43</v>
      </c>
      <c r="J182" s="72"/>
      <c r="M182" s="23">
        <f t="shared" si="57"/>
        <v>37372</v>
      </c>
      <c r="N182" s="23">
        <f>SUMIF(CPU!M:M,B177,CPU!O:O)</f>
        <v>227.12799999999999</v>
      </c>
      <c r="O182" s="23">
        <f t="shared" si="58"/>
        <v>227.12799999999999</v>
      </c>
      <c r="Q182" s="23">
        <f ca="1">SUMIF(CPU!M:M,B177,CPU!R:R)</f>
        <v>90.851199999999992</v>
      </c>
      <c r="R182" s="23">
        <f t="shared" ca="1" si="59"/>
        <v>90.851199999999992</v>
      </c>
    </row>
    <row r="183" spans="1:18" ht="30" customHeight="1" x14ac:dyDescent="0.3">
      <c r="A183" s="23" t="s">
        <v>1025</v>
      </c>
      <c r="B183" s="23">
        <v>37371</v>
      </c>
      <c r="C183" s="23" t="str">
        <f>VLOOKUP(B183,IF(A183="COMPOSICAO",S!$A:$E,I!$A:$E),2,FALSE)</f>
        <v>SINAPI</v>
      </c>
      <c r="D183" s="24" t="str">
        <f>VLOOKUP(B183,IF(A183="COMPOSICAO",S!$A:$E,I!$A:$E),3,FALSE)</f>
        <v>TRANSPORTE - HORISTA (COLETADO CAIXA - ENCARGOS COMPLEMENTARES)</v>
      </c>
      <c r="E183" s="23" t="str">
        <f>VLOOKUP(B183,IF(A183="COMPOSICAO",S!$A:$E,I!$A:$E),4,FALSE)</f>
        <v>H</v>
      </c>
      <c r="F183" s="23">
        <v>1</v>
      </c>
      <c r="G183" s="71">
        <f>IF(A183="COMPOSICAO",VLOOKUP("TOTAL SEM BDI - "&amp;B183,CPUAUX2!$A:$J,9,FALSE),VLOOKUP(B183,I!$A:$E,5,FALSE))</f>
        <v>0.56999999999999995</v>
      </c>
      <c r="H183" s="72"/>
      <c r="I183" s="71">
        <f t="shared" si="56"/>
        <v>0.56999999999999995</v>
      </c>
      <c r="J183" s="72"/>
      <c r="M183" s="23">
        <f t="shared" si="57"/>
        <v>37371</v>
      </c>
      <c r="N183" s="23">
        <f>SUMIF(CPU!M:M,B177,CPU!O:O)</f>
        <v>227.12799999999999</v>
      </c>
      <c r="O183" s="23">
        <f t="shared" si="58"/>
        <v>227.12799999999999</v>
      </c>
      <c r="Q183" s="23">
        <f ca="1">SUMIF(CPU!M:M,B177,CPU!R:R)</f>
        <v>90.851199999999992</v>
      </c>
      <c r="R183" s="23">
        <f t="shared" ca="1" si="59"/>
        <v>90.851199999999992</v>
      </c>
    </row>
    <row r="184" spans="1:18" ht="30" customHeight="1" x14ac:dyDescent="0.3">
      <c r="A184" s="23" t="s">
        <v>1025</v>
      </c>
      <c r="B184" s="23">
        <v>37370</v>
      </c>
      <c r="C184" s="23" t="str">
        <f>VLOOKUP(B184,IF(A184="COMPOSICAO",S!$A:$E,I!$A:$E),2,FALSE)</f>
        <v>SINAPI</v>
      </c>
      <c r="D184" s="24" t="str">
        <f>VLOOKUP(B184,IF(A184="COMPOSICAO",S!$A:$E,I!$A:$E),3,FALSE)</f>
        <v>ALIMENTACAO - HORISTA (COLETADO CAIXA - ENCARGOS COMPLEMENTARES)</v>
      </c>
      <c r="E184" s="23" t="str">
        <f>VLOOKUP(B184,IF(A184="COMPOSICAO",S!$A:$E,I!$A:$E),4,FALSE)</f>
        <v>H</v>
      </c>
      <c r="F184" s="23">
        <v>1</v>
      </c>
      <c r="G184" s="71">
        <f>IF(A184="COMPOSICAO",VLOOKUP("TOTAL SEM BDI - "&amp;B184,CPUAUX2!$A:$J,9,FALSE),VLOOKUP(B184,I!$A:$E,5,FALSE))</f>
        <v>2.46</v>
      </c>
      <c r="H184" s="72"/>
      <c r="I184" s="71">
        <f t="shared" si="56"/>
        <v>2.46</v>
      </c>
      <c r="J184" s="72"/>
      <c r="M184" s="23">
        <f t="shared" si="57"/>
        <v>37370</v>
      </c>
      <c r="N184" s="23">
        <f>SUMIF(CPU!M:M,B177,CPU!O:O)</f>
        <v>227.12799999999999</v>
      </c>
      <c r="O184" s="23">
        <f t="shared" si="58"/>
        <v>227.12799999999999</v>
      </c>
      <c r="Q184" s="23">
        <f ca="1">SUMIF(CPU!M:M,B177,CPU!R:R)</f>
        <v>90.851199999999992</v>
      </c>
      <c r="R184" s="23">
        <f t="shared" ca="1" si="59"/>
        <v>90.851199999999992</v>
      </c>
    </row>
    <row r="185" spans="1:18" ht="30" customHeight="1" x14ac:dyDescent="0.3">
      <c r="A185" s="23" t="s">
        <v>1025</v>
      </c>
      <c r="B185" s="23">
        <v>246</v>
      </c>
      <c r="C185" s="23" t="str">
        <f>VLOOKUP(B185,IF(A185="COMPOSICAO",S!$A:$E,I!$A:$E),2,FALSE)</f>
        <v>SINAPI</v>
      </c>
      <c r="D185" s="24" t="str">
        <f>VLOOKUP(B185,IF(A185="COMPOSICAO",S!$A:$E,I!$A:$E),3,FALSE)</f>
        <v>AUXILIAR DE ENCANADOR OU BOMBEIRO HIDRAULICO (HORISTA)</v>
      </c>
      <c r="E185" s="23" t="str">
        <f>VLOOKUP(B185,IF(A185="COMPOSICAO",S!$A:$E,I!$A:$E),4,FALSE)</f>
        <v>H</v>
      </c>
      <c r="F185" s="23">
        <v>1</v>
      </c>
      <c r="G185" s="71">
        <f>IF(A185="COMPOSICAO",VLOOKUP("TOTAL SEM BDI - "&amp;B185,CPUAUX2!$A:$J,9,FALSE),VLOOKUP(B185,I!$A:$E,5,FALSE))</f>
        <v>15.57</v>
      </c>
      <c r="H185" s="72"/>
      <c r="I185" s="71">
        <f t="shared" si="56"/>
        <v>15.57</v>
      </c>
      <c r="J185" s="72"/>
      <c r="M185" s="23">
        <f t="shared" si="57"/>
        <v>246</v>
      </c>
      <c r="N185" s="23">
        <f>SUMIF(CPU!M:M,B177,CPU!O:O)</f>
        <v>227.12799999999999</v>
      </c>
      <c r="O185" s="23">
        <f t="shared" si="58"/>
        <v>227.12799999999999</v>
      </c>
      <c r="Q185" s="23">
        <f ca="1">SUMIF(CPU!M:M,B177,CPU!R:R)</f>
        <v>90.851199999999992</v>
      </c>
      <c r="R185" s="23">
        <f t="shared" ca="1" si="59"/>
        <v>90.851199999999992</v>
      </c>
    </row>
    <row r="186" spans="1:18" x14ac:dyDescent="0.3">
      <c r="A186" s="68" t="str">
        <f>"TOTAL SEM BDI - "&amp;B177</f>
        <v>TOTAL SEM BDI - 88248</v>
      </c>
      <c r="B186" s="69"/>
      <c r="C186" s="69"/>
      <c r="D186" s="69"/>
      <c r="E186" s="69"/>
      <c r="F186" s="69"/>
      <c r="G186" s="69"/>
      <c r="H186" s="70"/>
      <c r="I186" s="71">
        <f>SUM(I177:I185)</f>
        <v>21.82</v>
      </c>
      <c r="J186" s="72"/>
    </row>
    <row r="188" spans="1:18" x14ac:dyDescent="0.3">
      <c r="A188" s="4" t="s">
        <v>1018</v>
      </c>
      <c r="B188" s="4" t="s">
        <v>138</v>
      </c>
      <c r="C188" s="4" t="s">
        <v>139</v>
      </c>
      <c r="D188" s="4" t="s">
        <v>21</v>
      </c>
      <c r="E188" s="4" t="s">
        <v>140</v>
      </c>
      <c r="F188" s="4" t="s">
        <v>506</v>
      </c>
      <c r="G188" s="34" t="s">
        <v>1019</v>
      </c>
      <c r="H188" s="35"/>
      <c r="I188" s="34" t="s">
        <v>15</v>
      </c>
      <c r="J188" s="35"/>
    </row>
    <row r="189" spans="1:18" x14ac:dyDescent="0.3">
      <c r="A189" s="15" t="s">
        <v>1093</v>
      </c>
      <c r="B189" s="15">
        <v>88264</v>
      </c>
      <c r="C189" s="15" t="str">
        <f>VLOOKUP(B189,S!$A:$G,2,FALSE)</f>
        <v>SINAPI</v>
      </c>
      <c r="D189" s="22" t="str">
        <f>VLOOKUP(B189,S!$A:$G,3,FALSE)</f>
        <v>ELETRICISTA COM ENCARGOS COMPLEMENTARES</v>
      </c>
      <c r="E189" s="15" t="str">
        <f>VLOOKUP(B189,S!$A:$G,4,FALSE)</f>
        <v>H</v>
      </c>
      <c r="F189" s="15"/>
      <c r="G189" s="73">
        <f>I198</f>
        <v>27.74</v>
      </c>
      <c r="H189" s="74"/>
      <c r="I189" s="73"/>
      <c r="J189" s="74"/>
      <c r="K189" s="16">
        <f>VLOOKUP(B189,S!A:G,5,FALSE)</f>
        <v>27.74</v>
      </c>
      <c r="L189" s="15" t="str">
        <f>IF(K189=G189,"OK, CONFORME TABELA",IF(G189&gt;K189,"ACIMA DA TABELA: ","ABAIXO DA TABELA: ")&amp;TRUNC((G189*100)/K189,2)&amp;" %")</f>
        <v>OK, CONFORME TABELA</v>
      </c>
    </row>
    <row r="190" spans="1:18" ht="30" customHeight="1" x14ac:dyDescent="0.3">
      <c r="A190" s="23" t="s">
        <v>1022</v>
      </c>
      <c r="B190" s="23">
        <v>95332</v>
      </c>
      <c r="C190" s="23" t="str">
        <f>VLOOKUP(B190,IF(A190="COMPOSICAO",S!$A:$E,I!$A:$E),2,FALSE)</f>
        <v>SINAPI</v>
      </c>
      <c r="D190" s="24" t="str">
        <f>VLOOKUP(B190,IF(A190="COMPOSICAO",S!$A:$E,I!$A:$E),3,FALSE)</f>
        <v>CURSO DE CAPACITAÇÃO PARA ELETRICISTA (ENCARGOS COMPLEMENTARES) - HORISTA</v>
      </c>
      <c r="E190" s="23" t="str">
        <f>VLOOKUP(B190,IF(A190="COMPOSICAO",S!$A:$E,I!$A:$E),4,FALSE)</f>
        <v>H</v>
      </c>
      <c r="F190" s="23">
        <v>1</v>
      </c>
      <c r="G190" s="71">
        <f>IF(A190="COMPOSICAO",VLOOKUP("TOTAL SEM BDI - "&amp;B190,CPUAUX2!$A:$J,9,FALSE),VLOOKUP(B190,I!$A:$E,5,FALSE))</f>
        <v>0.75</v>
      </c>
      <c r="H190" s="72"/>
      <c r="I190" s="71">
        <f t="shared" ref="I190:I197" si="60">TRUNC(F190*G190,2)</f>
        <v>0.75</v>
      </c>
      <c r="J190" s="72"/>
      <c r="M190" s="23">
        <f t="shared" ref="M190:M197" si="61">B190</f>
        <v>95332</v>
      </c>
      <c r="N190" s="23">
        <f>SUMIF(CPU!M:M,B189,CPU!O:O)</f>
        <v>146.22699999999998</v>
      </c>
      <c r="O190" s="23">
        <f t="shared" ref="O190:O197" si="62">F190*N190</f>
        <v>146.22699999999998</v>
      </c>
      <c r="Q190" s="23">
        <f ca="1">SUMIF(CPU!M:M,B189,CPU!R:R)</f>
        <v>58.490799999999993</v>
      </c>
      <c r="R190" s="23">
        <f t="shared" ref="R190:R197" ca="1" si="63">F190*Q190</f>
        <v>58.490799999999993</v>
      </c>
    </row>
    <row r="191" spans="1:18" ht="30" customHeight="1" x14ac:dyDescent="0.3">
      <c r="A191" s="23" t="s">
        <v>1025</v>
      </c>
      <c r="B191" s="23">
        <v>43484</v>
      </c>
      <c r="C191" s="23" t="str">
        <f>VLOOKUP(B191,IF(A191="COMPOSICAO",S!$A:$E,I!$A:$E),2,FALSE)</f>
        <v>SINAPI</v>
      </c>
      <c r="D191" s="24" t="str">
        <f>VLOOKUP(B191,IF(A191="COMPOSICAO",S!$A:$E,I!$A:$E),3,FALSE)</f>
        <v>EPI - FAMILIA ELETRICISTA - HORISTA (ENCARGOS COMPLEMENTARES - COLETADO CAIXA)</v>
      </c>
      <c r="E191" s="23" t="str">
        <f>VLOOKUP(B191,IF(A191="COMPOSICAO",S!$A:$E,I!$A:$E),4,FALSE)</f>
        <v>H</v>
      </c>
      <c r="F191" s="23">
        <v>1</v>
      </c>
      <c r="G191" s="71">
        <f>IF(A191="COMPOSICAO",VLOOKUP("TOTAL SEM BDI - "&amp;B191,CPUAUX2!$A:$J,9,FALSE),VLOOKUP(B191,I!$A:$E,5,FALSE))</f>
        <v>1.26</v>
      </c>
      <c r="H191" s="72"/>
      <c r="I191" s="71">
        <f t="shared" si="60"/>
        <v>1.26</v>
      </c>
      <c r="J191" s="72"/>
      <c r="M191" s="23">
        <f t="shared" si="61"/>
        <v>43484</v>
      </c>
      <c r="N191" s="23">
        <f>SUMIF(CPU!M:M,B189,CPU!O:O)</f>
        <v>146.22699999999998</v>
      </c>
      <c r="O191" s="23">
        <f t="shared" si="62"/>
        <v>146.22699999999998</v>
      </c>
      <c r="Q191" s="23">
        <f ca="1">SUMIF(CPU!M:M,B189,CPU!R:R)</f>
        <v>58.490799999999993</v>
      </c>
      <c r="R191" s="23">
        <f t="shared" ca="1" si="63"/>
        <v>58.490799999999993</v>
      </c>
    </row>
    <row r="192" spans="1:18" ht="30" customHeight="1" x14ac:dyDescent="0.3">
      <c r="A192" s="23" t="s">
        <v>1025</v>
      </c>
      <c r="B192" s="23">
        <v>43460</v>
      </c>
      <c r="C192" s="23" t="str">
        <f>VLOOKUP(B192,IF(A192="COMPOSICAO",S!$A:$E,I!$A:$E),2,FALSE)</f>
        <v>SINAPI</v>
      </c>
      <c r="D192" s="24" t="str">
        <f>VLOOKUP(B192,IF(A192="COMPOSICAO",S!$A:$E,I!$A:$E),3,FALSE)</f>
        <v>FERRAMENTAS - FAMILIA ELETRICISTA - HORISTA (ENCARGOS COMPLEMENTARES - COLETADO CAIXA)</v>
      </c>
      <c r="E192" s="23" t="str">
        <f>VLOOKUP(B192,IF(A192="COMPOSICAO",S!$A:$E,I!$A:$E),4,FALSE)</f>
        <v>H</v>
      </c>
      <c r="F192" s="23">
        <v>1</v>
      </c>
      <c r="G192" s="71">
        <f>IF(A192="COMPOSICAO",VLOOKUP("TOTAL SEM BDI - "&amp;B192,CPUAUX2!$A:$J,9,FALSE),VLOOKUP(B192,I!$A:$E,5,FALSE))</f>
        <v>0.86</v>
      </c>
      <c r="H192" s="72"/>
      <c r="I192" s="71">
        <f t="shared" si="60"/>
        <v>0.86</v>
      </c>
      <c r="J192" s="72"/>
      <c r="M192" s="23">
        <f t="shared" si="61"/>
        <v>43460</v>
      </c>
      <c r="N192" s="23">
        <f>SUMIF(CPU!M:M,B189,CPU!O:O)</f>
        <v>146.22699999999998</v>
      </c>
      <c r="O192" s="23">
        <f t="shared" si="62"/>
        <v>146.22699999999998</v>
      </c>
      <c r="Q192" s="23">
        <f ca="1">SUMIF(CPU!M:M,B189,CPU!R:R)</f>
        <v>58.490799999999993</v>
      </c>
      <c r="R192" s="23">
        <f t="shared" ca="1" si="63"/>
        <v>58.490799999999993</v>
      </c>
    </row>
    <row r="193" spans="1:18" ht="30" customHeight="1" x14ac:dyDescent="0.3">
      <c r="A193" s="23" t="s">
        <v>1025</v>
      </c>
      <c r="B193" s="23">
        <v>37373</v>
      </c>
      <c r="C193" s="23" t="str">
        <f>VLOOKUP(B193,IF(A193="COMPOSICAO",S!$A:$E,I!$A:$E),2,FALSE)</f>
        <v>SINAPI</v>
      </c>
      <c r="D193" s="24" t="str">
        <f>VLOOKUP(B193,IF(A193="COMPOSICAO",S!$A:$E,I!$A:$E),3,FALSE)</f>
        <v>SEGURO - HORISTA (COLETADO CAIXA - ENCARGOS COMPLEMENTARES)</v>
      </c>
      <c r="E193" s="23" t="str">
        <f>VLOOKUP(B193,IF(A193="COMPOSICAO",S!$A:$E,I!$A:$E),4,FALSE)</f>
        <v>H</v>
      </c>
      <c r="F193" s="23">
        <v>1</v>
      </c>
      <c r="G193" s="71">
        <f>IF(A193="COMPOSICAO",VLOOKUP("TOTAL SEM BDI - "&amp;B193,CPUAUX2!$A:$J,9,FALSE),VLOOKUP(B193,I!$A:$E,5,FALSE))</f>
        <v>0.08</v>
      </c>
      <c r="H193" s="72"/>
      <c r="I193" s="71">
        <f t="shared" si="60"/>
        <v>0.08</v>
      </c>
      <c r="J193" s="72"/>
      <c r="M193" s="23">
        <f t="shared" si="61"/>
        <v>37373</v>
      </c>
      <c r="N193" s="23">
        <f>SUMIF(CPU!M:M,B189,CPU!O:O)</f>
        <v>146.22699999999998</v>
      </c>
      <c r="O193" s="23">
        <f t="shared" si="62"/>
        <v>146.22699999999998</v>
      </c>
      <c r="Q193" s="23">
        <f ca="1">SUMIF(CPU!M:M,B189,CPU!R:R)</f>
        <v>58.490799999999993</v>
      </c>
      <c r="R193" s="23">
        <f t="shared" ca="1" si="63"/>
        <v>58.490799999999993</v>
      </c>
    </row>
    <row r="194" spans="1:18" ht="30" customHeight="1" x14ac:dyDescent="0.3">
      <c r="A194" s="23" t="s">
        <v>1025</v>
      </c>
      <c r="B194" s="23">
        <v>37372</v>
      </c>
      <c r="C194" s="23" t="str">
        <f>VLOOKUP(B194,IF(A194="COMPOSICAO",S!$A:$E,I!$A:$E),2,FALSE)</f>
        <v>SINAPI</v>
      </c>
      <c r="D194" s="24" t="str">
        <f>VLOOKUP(B194,IF(A194="COMPOSICAO",S!$A:$E,I!$A:$E),3,FALSE)</f>
        <v>EXAMES - HORISTA (COLETADO CAIXA - ENCARGOS COMPLEMENTARES)</v>
      </c>
      <c r="E194" s="23" t="str">
        <f>VLOOKUP(B194,IF(A194="COMPOSICAO",S!$A:$E,I!$A:$E),4,FALSE)</f>
        <v>H</v>
      </c>
      <c r="F194" s="23">
        <v>1</v>
      </c>
      <c r="G194" s="71">
        <f>IF(A194="COMPOSICAO",VLOOKUP("TOTAL SEM BDI - "&amp;B194,CPUAUX2!$A:$J,9,FALSE),VLOOKUP(B194,I!$A:$E,5,FALSE))</f>
        <v>1.43</v>
      </c>
      <c r="H194" s="72"/>
      <c r="I194" s="71">
        <f t="shared" si="60"/>
        <v>1.43</v>
      </c>
      <c r="J194" s="72"/>
      <c r="M194" s="23">
        <f t="shared" si="61"/>
        <v>37372</v>
      </c>
      <c r="N194" s="23">
        <f>SUMIF(CPU!M:M,B189,CPU!O:O)</f>
        <v>146.22699999999998</v>
      </c>
      <c r="O194" s="23">
        <f t="shared" si="62"/>
        <v>146.22699999999998</v>
      </c>
      <c r="Q194" s="23">
        <f ca="1">SUMIF(CPU!M:M,B189,CPU!R:R)</f>
        <v>58.490799999999993</v>
      </c>
      <c r="R194" s="23">
        <f t="shared" ca="1" si="63"/>
        <v>58.490799999999993</v>
      </c>
    </row>
    <row r="195" spans="1:18" ht="30" customHeight="1" x14ac:dyDescent="0.3">
      <c r="A195" s="23" t="s">
        <v>1025</v>
      </c>
      <c r="B195" s="23">
        <v>37371</v>
      </c>
      <c r="C195" s="23" t="str">
        <f>VLOOKUP(B195,IF(A195="COMPOSICAO",S!$A:$E,I!$A:$E),2,FALSE)</f>
        <v>SINAPI</v>
      </c>
      <c r="D195" s="24" t="str">
        <f>VLOOKUP(B195,IF(A195="COMPOSICAO",S!$A:$E,I!$A:$E),3,FALSE)</f>
        <v>TRANSPORTE - HORISTA (COLETADO CAIXA - ENCARGOS COMPLEMENTARES)</v>
      </c>
      <c r="E195" s="23" t="str">
        <f>VLOOKUP(B195,IF(A195="COMPOSICAO",S!$A:$E,I!$A:$E),4,FALSE)</f>
        <v>H</v>
      </c>
      <c r="F195" s="23">
        <v>1</v>
      </c>
      <c r="G195" s="71">
        <f>IF(A195="COMPOSICAO",VLOOKUP("TOTAL SEM BDI - "&amp;B195,CPUAUX2!$A:$J,9,FALSE),VLOOKUP(B195,I!$A:$E,5,FALSE))</f>
        <v>0.56999999999999995</v>
      </c>
      <c r="H195" s="72"/>
      <c r="I195" s="71">
        <f t="shared" si="60"/>
        <v>0.56999999999999995</v>
      </c>
      <c r="J195" s="72"/>
      <c r="M195" s="23">
        <f t="shared" si="61"/>
        <v>37371</v>
      </c>
      <c r="N195" s="23">
        <f>SUMIF(CPU!M:M,B189,CPU!O:O)</f>
        <v>146.22699999999998</v>
      </c>
      <c r="O195" s="23">
        <f t="shared" si="62"/>
        <v>146.22699999999998</v>
      </c>
      <c r="Q195" s="23">
        <f ca="1">SUMIF(CPU!M:M,B189,CPU!R:R)</f>
        <v>58.490799999999993</v>
      </c>
      <c r="R195" s="23">
        <f t="shared" ca="1" si="63"/>
        <v>58.490799999999993</v>
      </c>
    </row>
    <row r="196" spans="1:18" ht="30" customHeight="1" x14ac:dyDescent="0.3">
      <c r="A196" s="23" t="s">
        <v>1025</v>
      </c>
      <c r="B196" s="23">
        <v>37370</v>
      </c>
      <c r="C196" s="23" t="str">
        <f>VLOOKUP(B196,IF(A196="COMPOSICAO",S!$A:$E,I!$A:$E),2,FALSE)</f>
        <v>SINAPI</v>
      </c>
      <c r="D196" s="24" t="str">
        <f>VLOOKUP(B196,IF(A196="COMPOSICAO",S!$A:$E,I!$A:$E),3,FALSE)</f>
        <v>ALIMENTACAO - HORISTA (COLETADO CAIXA - ENCARGOS COMPLEMENTARES)</v>
      </c>
      <c r="E196" s="23" t="str">
        <f>VLOOKUP(B196,IF(A196="COMPOSICAO",S!$A:$E,I!$A:$E),4,FALSE)</f>
        <v>H</v>
      </c>
      <c r="F196" s="23">
        <v>1</v>
      </c>
      <c r="G196" s="71">
        <f>IF(A196="COMPOSICAO",VLOOKUP("TOTAL SEM BDI - "&amp;B196,CPUAUX2!$A:$J,9,FALSE),VLOOKUP(B196,I!$A:$E,5,FALSE))</f>
        <v>2.46</v>
      </c>
      <c r="H196" s="72"/>
      <c r="I196" s="71">
        <f t="shared" si="60"/>
        <v>2.46</v>
      </c>
      <c r="J196" s="72"/>
      <c r="M196" s="23">
        <f t="shared" si="61"/>
        <v>37370</v>
      </c>
      <c r="N196" s="23">
        <f>SUMIF(CPU!M:M,B189,CPU!O:O)</f>
        <v>146.22699999999998</v>
      </c>
      <c r="O196" s="23">
        <f t="shared" si="62"/>
        <v>146.22699999999998</v>
      </c>
      <c r="Q196" s="23">
        <f ca="1">SUMIF(CPU!M:M,B189,CPU!R:R)</f>
        <v>58.490799999999993</v>
      </c>
      <c r="R196" s="23">
        <f t="shared" ca="1" si="63"/>
        <v>58.490799999999993</v>
      </c>
    </row>
    <row r="197" spans="1:18" x14ac:dyDescent="0.3">
      <c r="A197" s="23" t="s">
        <v>1025</v>
      </c>
      <c r="B197" s="23">
        <v>2436</v>
      </c>
      <c r="C197" s="23" t="str">
        <f>VLOOKUP(B197,IF(A197="COMPOSICAO",S!$A:$E,I!$A:$E),2,FALSE)</f>
        <v>SINAPI</v>
      </c>
      <c r="D197" s="24" t="str">
        <f>VLOOKUP(B197,IF(A197="COMPOSICAO",S!$A:$E,I!$A:$E),3,FALSE)</f>
        <v>ELETRICISTA (HORISTA)</v>
      </c>
      <c r="E197" s="23" t="str">
        <f>VLOOKUP(B197,IF(A197="COMPOSICAO",S!$A:$E,I!$A:$E),4,FALSE)</f>
        <v>H</v>
      </c>
      <c r="F197" s="23">
        <v>1</v>
      </c>
      <c r="G197" s="71">
        <f>IF(A197="COMPOSICAO",VLOOKUP("TOTAL SEM BDI - "&amp;B197,CPUAUX2!$A:$J,9,FALSE),VLOOKUP(B197,I!$A:$E,5,FALSE))</f>
        <v>20.329999999999998</v>
      </c>
      <c r="H197" s="72"/>
      <c r="I197" s="71">
        <f t="shared" si="60"/>
        <v>20.329999999999998</v>
      </c>
      <c r="J197" s="72"/>
      <c r="M197" s="23">
        <f t="shared" si="61"/>
        <v>2436</v>
      </c>
      <c r="N197" s="23">
        <f>SUMIF(CPU!M:M,B189,CPU!O:O)</f>
        <v>146.22699999999998</v>
      </c>
      <c r="O197" s="23">
        <f t="shared" si="62"/>
        <v>146.22699999999998</v>
      </c>
      <c r="Q197" s="23">
        <f ca="1">SUMIF(CPU!M:M,B189,CPU!R:R)</f>
        <v>58.490799999999993</v>
      </c>
      <c r="R197" s="23">
        <f t="shared" ca="1" si="63"/>
        <v>58.490799999999993</v>
      </c>
    </row>
    <row r="198" spans="1:18" x14ac:dyDescent="0.3">
      <c r="A198" s="68" t="str">
        <f>"TOTAL SEM BDI - "&amp;B189</f>
        <v>TOTAL SEM BDI - 88264</v>
      </c>
      <c r="B198" s="69"/>
      <c r="C198" s="69"/>
      <c r="D198" s="69"/>
      <c r="E198" s="69"/>
      <c r="F198" s="69"/>
      <c r="G198" s="69"/>
      <c r="H198" s="70"/>
      <c r="I198" s="71">
        <f>SUM(I189:I197)</f>
        <v>27.74</v>
      </c>
      <c r="J198" s="72"/>
    </row>
    <row r="200" spans="1:18" x14ac:dyDescent="0.3">
      <c r="A200" s="4" t="s">
        <v>1018</v>
      </c>
      <c r="B200" s="4" t="s">
        <v>138</v>
      </c>
      <c r="C200" s="4" t="s">
        <v>139</v>
      </c>
      <c r="D200" s="4" t="s">
        <v>21</v>
      </c>
      <c r="E200" s="4" t="s">
        <v>140</v>
      </c>
      <c r="F200" s="4" t="s">
        <v>506</v>
      </c>
      <c r="G200" s="34" t="s">
        <v>1019</v>
      </c>
      <c r="H200" s="35"/>
      <c r="I200" s="34" t="s">
        <v>15</v>
      </c>
      <c r="J200" s="35"/>
    </row>
    <row r="201" spans="1:18" ht="30" customHeight="1" x14ac:dyDescent="0.3">
      <c r="A201" s="15" t="s">
        <v>1093</v>
      </c>
      <c r="B201" s="15">
        <v>88247</v>
      </c>
      <c r="C201" s="15" t="str">
        <f>VLOOKUP(B201,S!$A:$G,2,FALSE)</f>
        <v>SINAPI</v>
      </c>
      <c r="D201" s="22" t="str">
        <f>VLOOKUP(B201,S!$A:$G,3,FALSE)</f>
        <v>AUXILIAR DE ELETRICISTA COM ENCARGOS COMPLEMENTARES</v>
      </c>
      <c r="E201" s="15" t="str">
        <f>VLOOKUP(B201,S!$A:$G,4,FALSE)</f>
        <v>H</v>
      </c>
      <c r="F201" s="15"/>
      <c r="G201" s="73">
        <f>I210</f>
        <v>22.810000000000002</v>
      </c>
      <c r="H201" s="74"/>
      <c r="I201" s="73"/>
      <c r="J201" s="74"/>
      <c r="K201" s="16">
        <f>VLOOKUP(B201,S!A:G,5,FALSE)</f>
        <v>22.81</v>
      </c>
      <c r="L201" s="15" t="str">
        <f>IF(K201=G201,"OK, CONFORME TABELA",IF(G201&gt;K201,"ACIMA DA TABELA: ","ABAIXO DA TABELA: ")&amp;TRUNC((G201*100)/K201,2)&amp;" %")</f>
        <v>OK, CONFORME TABELA</v>
      </c>
    </row>
    <row r="202" spans="1:18" ht="30" customHeight="1" x14ac:dyDescent="0.3">
      <c r="A202" s="23" t="s">
        <v>1022</v>
      </c>
      <c r="B202" s="23">
        <v>95316</v>
      </c>
      <c r="C202" s="23" t="str">
        <f>VLOOKUP(B202,IF(A202="COMPOSICAO",S!$A:$E,I!$A:$E),2,FALSE)</f>
        <v>SINAPI</v>
      </c>
      <c r="D202" s="24" t="str">
        <f>VLOOKUP(B202,IF(A202="COMPOSICAO",S!$A:$E,I!$A:$E),3,FALSE)</f>
        <v>CURSO DE CAPACITAÇÃO PARA AUXILIAR DE ELETRICISTA (ENCARGOS COMPLEMENTARES) - HORISTA</v>
      </c>
      <c r="E202" s="23" t="str">
        <f>VLOOKUP(B202,IF(A202="COMPOSICAO",S!$A:$E,I!$A:$E),4,FALSE)</f>
        <v>H</v>
      </c>
      <c r="F202" s="23">
        <v>1</v>
      </c>
      <c r="G202" s="71">
        <f>IF(A202="COMPOSICAO",VLOOKUP("TOTAL SEM BDI - "&amp;B202,CPUAUX2!$A:$J,9,FALSE),VLOOKUP(B202,I!$A:$E,5,FALSE))</f>
        <v>0.57999999999999996</v>
      </c>
      <c r="H202" s="72"/>
      <c r="I202" s="71">
        <f t="shared" ref="I202:I209" si="64">TRUNC(F202*G202,2)</f>
        <v>0.57999999999999996</v>
      </c>
      <c r="J202" s="72"/>
      <c r="M202" s="23">
        <f t="shared" ref="M202:M209" si="65">B202</f>
        <v>95316</v>
      </c>
      <c r="N202" s="23">
        <f>SUMIF(CPU!M:M,B201,CPU!O:O)</f>
        <v>130.1989375</v>
      </c>
      <c r="O202" s="23">
        <f t="shared" ref="O202:O209" si="66">F202*N202</f>
        <v>130.1989375</v>
      </c>
      <c r="Q202" s="23">
        <f ca="1">SUMIF(CPU!M:M,B201,CPU!R:R)</f>
        <v>52.079574999999984</v>
      </c>
      <c r="R202" s="23">
        <f t="shared" ref="R202:R209" ca="1" si="67">F202*Q202</f>
        <v>52.079574999999984</v>
      </c>
    </row>
    <row r="203" spans="1:18" ht="30" customHeight="1" x14ac:dyDescent="0.3">
      <c r="A203" s="23" t="s">
        <v>1025</v>
      </c>
      <c r="B203" s="23">
        <v>43484</v>
      </c>
      <c r="C203" s="23" t="str">
        <f>VLOOKUP(B203,IF(A203="COMPOSICAO",S!$A:$E,I!$A:$E),2,FALSE)</f>
        <v>SINAPI</v>
      </c>
      <c r="D203" s="24" t="str">
        <f>VLOOKUP(B203,IF(A203="COMPOSICAO",S!$A:$E,I!$A:$E),3,FALSE)</f>
        <v>EPI - FAMILIA ELETRICISTA - HORISTA (ENCARGOS COMPLEMENTARES - COLETADO CAIXA)</v>
      </c>
      <c r="E203" s="23" t="str">
        <f>VLOOKUP(B203,IF(A203="COMPOSICAO",S!$A:$E,I!$A:$E),4,FALSE)</f>
        <v>H</v>
      </c>
      <c r="F203" s="23">
        <v>1</v>
      </c>
      <c r="G203" s="71">
        <f>IF(A203="COMPOSICAO",VLOOKUP("TOTAL SEM BDI - "&amp;B203,CPUAUX2!$A:$J,9,FALSE),VLOOKUP(B203,I!$A:$E,5,FALSE))</f>
        <v>1.26</v>
      </c>
      <c r="H203" s="72"/>
      <c r="I203" s="71">
        <f t="shared" si="64"/>
        <v>1.26</v>
      </c>
      <c r="J203" s="72"/>
      <c r="M203" s="23">
        <f t="shared" si="65"/>
        <v>43484</v>
      </c>
      <c r="N203" s="23">
        <f>SUMIF(CPU!M:M,B201,CPU!O:O)</f>
        <v>130.1989375</v>
      </c>
      <c r="O203" s="23">
        <f t="shared" si="66"/>
        <v>130.1989375</v>
      </c>
      <c r="Q203" s="23">
        <f ca="1">SUMIF(CPU!M:M,B201,CPU!R:R)</f>
        <v>52.079574999999984</v>
      </c>
      <c r="R203" s="23">
        <f t="shared" ca="1" si="67"/>
        <v>52.079574999999984</v>
      </c>
    </row>
    <row r="204" spans="1:18" ht="30" customHeight="1" x14ac:dyDescent="0.3">
      <c r="A204" s="23" t="s">
        <v>1025</v>
      </c>
      <c r="B204" s="23">
        <v>43460</v>
      </c>
      <c r="C204" s="23" t="str">
        <f>VLOOKUP(B204,IF(A204="COMPOSICAO",S!$A:$E,I!$A:$E),2,FALSE)</f>
        <v>SINAPI</v>
      </c>
      <c r="D204" s="24" t="str">
        <f>VLOOKUP(B204,IF(A204="COMPOSICAO",S!$A:$E,I!$A:$E),3,FALSE)</f>
        <v>FERRAMENTAS - FAMILIA ELETRICISTA - HORISTA (ENCARGOS COMPLEMENTARES - COLETADO CAIXA)</v>
      </c>
      <c r="E204" s="23" t="str">
        <f>VLOOKUP(B204,IF(A204="COMPOSICAO",S!$A:$E,I!$A:$E),4,FALSE)</f>
        <v>H</v>
      </c>
      <c r="F204" s="23">
        <v>1</v>
      </c>
      <c r="G204" s="71">
        <f>IF(A204="COMPOSICAO",VLOOKUP("TOTAL SEM BDI - "&amp;B204,CPUAUX2!$A:$J,9,FALSE),VLOOKUP(B204,I!$A:$E,5,FALSE))</f>
        <v>0.86</v>
      </c>
      <c r="H204" s="72"/>
      <c r="I204" s="71">
        <f t="shared" si="64"/>
        <v>0.86</v>
      </c>
      <c r="J204" s="72"/>
      <c r="M204" s="23">
        <f t="shared" si="65"/>
        <v>43460</v>
      </c>
      <c r="N204" s="23">
        <f>SUMIF(CPU!M:M,B201,CPU!O:O)</f>
        <v>130.1989375</v>
      </c>
      <c r="O204" s="23">
        <f t="shared" si="66"/>
        <v>130.1989375</v>
      </c>
      <c r="Q204" s="23">
        <f ca="1">SUMIF(CPU!M:M,B201,CPU!R:R)</f>
        <v>52.079574999999984</v>
      </c>
      <c r="R204" s="23">
        <f t="shared" ca="1" si="67"/>
        <v>52.079574999999984</v>
      </c>
    </row>
    <row r="205" spans="1:18" ht="30" customHeight="1" x14ac:dyDescent="0.3">
      <c r="A205" s="23" t="s">
        <v>1025</v>
      </c>
      <c r="B205" s="23">
        <v>37373</v>
      </c>
      <c r="C205" s="23" t="str">
        <f>VLOOKUP(B205,IF(A205="COMPOSICAO",S!$A:$E,I!$A:$E),2,FALSE)</f>
        <v>SINAPI</v>
      </c>
      <c r="D205" s="24" t="str">
        <f>VLOOKUP(B205,IF(A205="COMPOSICAO",S!$A:$E,I!$A:$E),3,FALSE)</f>
        <v>SEGURO - HORISTA (COLETADO CAIXA - ENCARGOS COMPLEMENTARES)</v>
      </c>
      <c r="E205" s="23" t="str">
        <f>VLOOKUP(B205,IF(A205="COMPOSICAO",S!$A:$E,I!$A:$E),4,FALSE)</f>
        <v>H</v>
      </c>
      <c r="F205" s="23">
        <v>1</v>
      </c>
      <c r="G205" s="71">
        <f>IF(A205="COMPOSICAO",VLOOKUP("TOTAL SEM BDI - "&amp;B205,CPUAUX2!$A:$J,9,FALSE),VLOOKUP(B205,I!$A:$E,5,FALSE))</f>
        <v>0.08</v>
      </c>
      <c r="H205" s="72"/>
      <c r="I205" s="71">
        <f t="shared" si="64"/>
        <v>0.08</v>
      </c>
      <c r="J205" s="72"/>
      <c r="M205" s="23">
        <f t="shared" si="65"/>
        <v>37373</v>
      </c>
      <c r="N205" s="23">
        <f>SUMIF(CPU!M:M,B201,CPU!O:O)</f>
        <v>130.1989375</v>
      </c>
      <c r="O205" s="23">
        <f t="shared" si="66"/>
        <v>130.1989375</v>
      </c>
      <c r="Q205" s="23">
        <f ca="1">SUMIF(CPU!M:M,B201,CPU!R:R)</f>
        <v>52.079574999999984</v>
      </c>
      <c r="R205" s="23">
        <f t="shared" ca="1" si="67"/>
        <v>52.079574999999984</v>
      </c>
    </row>
    <row r="206" spans="1:18" ht="30" customHeight="1" x14ac:dyDescent="0.3">
      <c r="A206" s="23" t="s">
        <v>1025</v>
      </c>
      <c r="B206" s="23">
        <v>37372</v>
      </c>
      <c r="C206" s="23" t="str">
        <f>VLOOKUP(B206,IF(A206="COMPOSICAO",S!$A:$E,I!$A:$E),2,FALSE)</f>
        <v>SINAPI</v>
      </c>
      <c r="D206" s="24" t="str">
        <f>VLOOKUP(B206,IF(A206="COMPOSICAO",S!$A:$E,I!$A:$E),3,FALSE)</f>
        <v>EXAMES - HORISTA (COLETADO CAIXA - ENCARGOS COMPLEMENTARES)</v>
      </c>
      <c r="E206" s="23" t="str">
        <f>VLOOKUP(B206,IF(A206="COMPOSICAO",S!$A:$E,I!$A:$E),4,FALSE)</f>
        <v>H</v>
      </c>
      <c r="F206" s="23">
        <v>1</v>
      </c>
      <c r="G206" s="71">
        <f>IF(A206="COMPOSICAO",VLOOKUP("TOTAL SEM BDI - "&amp;B206,CPUAUX2!$A:$J,9,FALSE),VLOOKUP(B206,I!$A:$E,5,FALSE))</f>
        <v>1.43</v>
      </c>
      <c r="H206" s="72"/>
      <c r="I206" s="71">
        <f t="shared" si="64"/>
        <v>1.43</v>
      </c>
      <c r="J206" s="72"/>
      <c r="M206" s="23">
        <f t="shared" si="65"/>
        <v>37372</v>
      </c>
      <c r="N206" s="23">
        <f>SUMIF(CPU!M:M,B201,CPU!O:O)</f>
        <v>130.1989375</v>
      </c>
      <c r="O206" s="23">
        <f t="shared" si="66"/>
        <v>130.1989375</v>
      </c>
      <c r="Q206" s="23">
        <f ca="1">SUMIF(CPU!M:M,B201,CPU!R:R)</f>
        <v>52.079574999999984</v>
      </c>
      <c r="R206" s="23">
        <f t="shared" ca="1" si="67"/>
        <v>52.079574999999984</v>
      </c>
    </row>
    <row r="207" spans="1:18" ht="30" customHeight="1" x14ac:dyDescent="0.3">
      <c r="A207" s="23" t="s">
        <v>1025</v>
      </c>
      <c r="B207" s="23">
        <v>37371</v>
      </c>
      <c r="C207" s="23" t="str">
        <f>VLOOKUP(B207,IF(A207="COMPOSICAO",S!$A:$E,I!$A:$E),2,FALSE)</f>
        <v>SINAPI</v>
      </c>
      <c r="D207" s="24" t="str">
        <f>VLOOKUP(B207,IF(A207="COMPOSICAO",S!$A:$E,I!$A:$E),3,FALSE)</f>
        <v>TRANSPORTE - HORISTA (COLETADO CAIXA - ENCARGOS COMPLEMENTARES)</v>
      </c>
      <c r="E207" s="23" t="str">
        <f>VLOOKUP(B207,IF(A207="COMPOSICAO",S!$A:$E,I!$A:$E),4,FALSE)</f>
        <v>H</v>
      </c>
      <c r="F207" s="23">
        <v>1</v>
      </c>
      <c r="G207" s="71">
        <f>IF(A207="COMPOSICAO",VLOOKUP("TOTAL SEM BDI - "&amp;B207,CPUAUX2!$A:$J,9,FALSE),VLOOKUP(B207,I!$A:$E,5,FALSE))</f>
        <v>0.56999999999999995</v>
      </c>
      <c r="H207" s="72"/>
      <c r="I207" s="71">
        <f t="shared" si="64"/>
        <v>0.56999999999999995</v>
      </c>
      <c r="J207" s="72"/>
      <c r="M207" s="23">
        <f t="shared" si="65"/>
        <v>37371</v>
      </c>
      <c r="N207" s="23">
        <f>SUMIF(CPU!M:M,B201,CPU!O:O)</f>
        <v>130.1989375</v>
      </c>
      <c r="O207" s="23">
        <f t="shared" si="66"/>
        <v>130.1989375</v>
      </c>
      <c r="Q207" s="23">
        <f ca="1">SUMIF(CPU!M:M,B201,CPU!R:R)</f>
        <v>52.079574999999984</v>
      </c>
      <c r="R207" s="23">
        <f t="shared" ca="1" si="67"/>
        <v>52.079574999999984</v>
      </c>
    </row>
    <row r="208" spans="1:18" ht="30" customHeight="1" x14ac:dyDescent="0.3">
      <c r="A208" s="23" t="s">
        <v>1025</v>
      </c>
      <c r="B208" s="23">
        <v>37370</v>
      </c>
      <c r="C208" s="23" t="str">
        <f>VLOOKUP(B208,IF(A208="COMPOSICAO",S!$A:$E,I!$A:$E),2,FALSE)</f>
        <v>SINAPI</v>
      </c>
      <c r="D208" s="24" t="str">
        <f>VLOOKUP(B208,IF(A208="COMPOSICAO",S!$A:$E,I!$A:$E),3,FALSE)</f>
        <v>ALIMENTACAO - HORISTA (COLETADO CAIXA - ENCARGOS COMPLEMENTARES)</v>
      </c>
      <c r="E208" s="23" t="str">
        <f>VLOOKUP(B208,IF(A208="COMPOSICAO",S!$A:$E,I!$A:$E),4,FALSE)</f>
        <v>H</v>
      </c>
      <c r="F208" s="23">
        <v>1</v>
      </c>
      <c r="G208" s="71">
        <f>IF(A208="COMPOSICAO",VLOOKUP("TOTAL SEM BDI - "&amp;B208,CPUAUX2!$A:$J,9,FALSE),VLOOKUP(B208,I!$A:$E,5,FALSE))</f>
        <v>2.46</v>
      </c>
      <c r="H208" s="72"/>
      <c r="I208" s="71">
        <f t="shared" si="64"/>
        <v>2.46</v>
      </c>
      <c r="J208" s="72"/>
      <c r="M208" s="23">
        <f t="shared" si="65"/>
        <v>37370</v>
      </c>
      <c r="N208" s="23">
        <f>SUMIF(CPU!M:M,B201,CPU!O:O)</f>
        <v>130.1989375</v>
      </c>
      <c r="O208" s="23">
        <f t="shared" si="66"/>
        <v>130.1989375</v>
      </c>
      <c r="Q208" s="23">
        <f ca="1">SUMIF(CPU!M:M,B201,CPU!R:R)</f>
        <v>52.079574999999984</v>
      </c>
      <c r="R208" s="23">
        <f t="shared" ca="1" si="67"/>
        <v>52.079574999999984</v>
      </c>
    </row>
    <row r="209" spans="1:18" x14ac:dyDescent="0.3">
      <c r="A209" s="23" t="s">
        <v>1025</v>
      </c>
      <c r="B209" s="23">
        <v>247</v>
      </c>
      <c r="C209" s="23" t="str">
        <f>VLOOKUP(B209,IF(A209="COMPOSICAO",S!$A:$E,I!$A:$E),2,FALSE)</f>
        <v>SINAPI</v>
      </c>
      <c r="D209" s="24" t="str">
        <f>VLOOKUP(B209,IF(A209="COMPOSICAO",S!$A:$E,I!$A:$E),3,FALSE)</f>
        <v>AJUDANTE DE ELETRICISTA (HORISTA)</v>
      </c>
      <c r="E209" s="23" t="str">
        <f>VLOOKUP(B209,IF(A209="COMPOSICAO",S!$A:$E,I!$A:$E),4,FALSE)</f>
        <v>H</v>
      </c>
      <c r="F209" s="23">
        <v>1</v>
      </c>
      <c r="G209" s="71">
        <f>IF(A209="COMPOSICAO",VLOOKUP("TOTAL SEM BDI - "&amp;B209,CPUAUX2!$A:$J,9,FALSE),VLOOKUP(B209,I!$A:$E,5,FALSE))</f>
        <v>15.57</v>
      </c>
      <c r="H209" s="72"/>
      <c r="I209" s="71">
        <f t="shared" si="64"/>
        <v>15.57</v>
      </c>
      <c r="J209" s="72"/>
      <c r="M209" s="23">
        <f t="shared" si="65"/>
        <v>247</v>
      </c>
      <c r="N209" s="23">
        <f>SUMIF(CPU!M:M,B201,CPU!O:O)</f>
        <v>130.1989375</v>
      </c>
      <c r="O209" s="23">
        <f t="shared" si="66"/>
        <v>130.1989375</v>
      </c>
      <c r="Q209" s="23">
        <f ca="1">SUMIF(CPU!M:M,B201,CPU!R:R)</f>
        <v>52.079574999999984</v>
      </c>
      <c r="R209" s="23">
        <f t="shared" ca="1" si="67"/>
        <v>52.079574999999984</v>
      </c>
    </row>
    <row r="210" spans="1:18" x14ac:dyDescent="0.3">
      <c r="A210" s="68" t="str">
        <f>"TOTAL SEM BDI - "&amp;B201</f>
        <v>TOTAL SEM BDI - 88247</v>
      </c>
      <c r="B210" s="69"/>
      <c r="C210" s="69"/>
      <c r="D210" s="69"/>
      <c r="E210" s="69"/>
      <c r="F210" s="69"/>
      <c r="G210" s="69"/>
      <c r="H210" s="70"/>
      <c r="I210" s="71">
        <f>SUM(I201:I209)</f>
        <v>22.810000000000002</v>
      </c>
      <c r="J210" s="72"/>
    </row>
    <row r="212" spans="1:18" x14ac:dyDescent="0.3">
      <c r="A212" s="4" t="s">
        <v>1018</v>
      </c>
      <c r="B212" s="4" t="s">
        <v>138</v>
      </c>
      <c r="C212" s="4" t="s">
        <v>139</v>
      </c>
      <c r="D212" s="4" t="s">
        <v>21</v>
      </c>
      <c r="E212" s="4" t="s">
        <v>140</v>
      </c>
      <c r="F212" s="4" t="s">
        <v>506</v>
      </c>
      <c r="G212" s="34" t="s">
        <v>1019</v>
      </c>
      <c r="H212" s="35"/>
      <c r="I212" s="34" t="s">
        <v>15</v>
      </c>
      <c r="J212" s="35"/>
    </row>
    <row r="213" spans="1:18" ht="45" customHeight="1" x14ac:dyDescent="0.3">
      <c r="A213" s="15" t="s">
        <v>1095</v>
      </c>
      <c r="B213" s="15">
        <v>94974</v>
      </c>
      <c r="C213" s="15" t="str">
        <f>VLOOKUP(B213,S!$A:$G,2,FALSE)</f>
        <v>SINAPI</v>
      </c>
      <c r="D213" s="22" t="str">
        <f>VLOOKUP(B213,S!$A:$G,3,FALSE)</f>
        <v>CONCRETO MAGRO PARA LASTRO, TRAÇO 1:4,5:4,5 (EM MASSA SECA DE CIMENTO/ AREIA MÉDIA/ BRITA 1) - PREPARO MANUAL. AF_05/2021</v>
      </c>
      <c r="E213" s="15" t="str">
        <f>VLOOKUP(B213,S!$A:$G,4,FALSE)</f>
        <v>M3</v>
      </c>
      <c r="F213" s="15"/>
      <c r="G213" s="73">
        <f>I218</f>
        <v>585.11</v>
      </c>
      <c r="H213" s="74"/>
      <c r="I213" s="73"/>
      <c r="J213" s="74"/>
      <c r="K213" s="16">
        <f>VLOOKUP(B213,S!A:G,5,FALSE)</f>
        <v>585.11</v>
      </c>
      <c r="L213" s="15" t="str">
        <f>IF(K213=G213,"OK, CONFORME TABELA",IF(G213&gt;K213,"ACIMA DA TABELA: ","ABAIXO DA TABELA: ")&amp;TRUNC((G213*100)/K213,2)&amp;" %")</f>
        <v>OK, CONFORME TABELA</v>
      </c>
    </row>
    <row r="214" spans="1:18" x14ac:dyDescent="0.3">
      <c r="A214" s="23" t="s">
        <v>1022</v>
      </c>
      <c r="B214" s="23">
        <v>88316</v>
      </c>
      <c r="C214" s="23" t="str">
        <f>VLOOKUP(B214,IF(A214="COMPOSICAO",S!$A:$E,I!$A:$E),2,FALSE)</f>
        <v>SINAPI</v>
      </c>
      <c r="D214" s="24" t="str">
        <f>VLOOKUP(B214,IF(A214="COMPOSICAO",S!$A:$E,I!$A:$E),3,FALSE)</f>
        <v>SERVENTE COM ENCARGOS COMPLEMENTARES</v>
      </c>
      <c r="E214" s="23" t="str">
        <f>VLOOKUP(B214,IF(A214="COMPOSICAO",S!$A:$E,I!$A:$E),4,FALSE)</f>
        <v>H</v>
      </c>
      <c r="F214" s="23">
        <f>6.2858/pcf</f>
        <v>6.2858000000000001</v>
      </c>
      <c r="G214" s="71">
        <f>IF(A214="COMPOSICAO",VLOOKUP("TOTAL SEM BDI - "&amp;B214,CPUAUX2!$A:$J,9,FALSE),VLOOKUP(B214,I!$A:$E,5,FALSE))</f>
        <v>21.71</v>
      </c>
      <c r="H214" s="72"/>
      <c r="I214" s="71">
        <f>TRUNC(F214*G214,2)</f>
        <v>136.46</v>
      </c>
      <c r="J214" s="72"/>
      <c r="M214" s="23">
        <f>B214</f>
        <v>88316</v>
      </c>
      <c r="N214" s="23">
        <f>SUMIF(CPU!M:M,B213,CPU!O:O)</f>
        <v>0.88</v>
      </c>
      <c r="O214" s="23">
        <f>F214*N214</f>
        <v>5.531504</v>
      </c>
      <c r="Q214" s="23">
        <f ca="1">SUMIF(CPU!M:M,B213,CPU!R:R)</f>
        <v>0.35199999999999998</v>
      </c>
      <c r="R214" s="23">
        <f ca="1">F214*Q214</f>
        <v>2.2126015999999997</v>
      </c>
    </row>
    <row r="215" spans="1:18" ht="30" customHeight="1" x14ac:dyDescent="0.3">
      <c r="A215" s="23" t="s">
        <v>1025</v>
      </c>
      <c r="B215" s="23">
        <v>4721</v>
      </c>
      <c r="C215" s="23" t="str">
        <f>VLOOKUP(B215,IF(A215="COMPOSICAO",S!$A:$E,I!$A:$E),2,FALSE)</f>
        <v>SINAPI</v>
      </c>
      <c r="D215" s="24" t="str">
        <f>VLOOKUP(B215,IF(A215="COMPOSICAO",S!$A:$E,I!$A:$E),3,FALSE)</f>
        <v>PEDRA BRITADA N. 1 (9,5 A 19 MM) POSTO PEDREIRA/FORNECEDOR, SEM FRETE</v>
      </c>
      <c r="E215" s="23" t="str">
        <f>VLOOKUP(B215,IF(A215="COMPOSICAO",S!$A:$E,I!$A:$E),4,FALSE)</f>
        <v>M3</v>
      </c>
      <c r="F215" s="23">
        <v>0.59709999999999996</v>
      </c>
      <c r="G215" s="71">
        <f>IF(A215="COMPOSICAO",VLOOKUP("TOTAL SEM BDI - "&amp;B215,CPUAUX2!$A:$J,9,FALSE),VLOOKUP(B215,I!$A:$E,5,FALSE))</f>
        <v>248.89</v>
      </c>
      <c r="H215" s="72"/>
      <c r="I215" s="71">
        <f>TRUNC(F215*G215,2)</f>
        <v>148.61000000000001</v>
      </c>
      <c r="J215" s="72"/>
      <c r="M215" s="23">
        <f>B215</f>
        <v>4721</v>
      </c>
      <c r="N215" s="23">
        <f>SUMIF(CPU!M:M,B213,CPU!O:O)</f>
        <v>0.88</v>
      </c>
      <c r="O215" s="23">
        <f>F215*N215</f>
        <v>0.52544800000000003</v>
      </c>
      <c r="Q215" s="23">
        <f ca="1">SUMIF(CPU!M:M,B213,CPU!R:R)</f>
        <v>0.35199999999999998</v>
      </c>
      <c r="R215" s="23">
        <f ca="1">F215*Q215</f>
        <v>0.21017919999999998</v>
      </c>
    </row>
    <row r="216" spans="1:18" x14ac:dyDescent="0.3">
      <c r="A216" s="23" t="s">
        <v>1025</v>
      </c>
      <c r="B216" s="23">
        <v>1379</v>
      </c>
      <c r="C216" s="23" t="str">
        <f>VLOOKUP(B216,IF(A216="COMPOSICAO",S!$A:$E,I!$A:$E),2,FALSE)</f>
        <v>SINAPI</v>
      </c>
      <c r="D216" s="24" t="str">
        <f>VLOOKUP(B216,IF(A216="COMPOSICAO",S!$A:$E,I!$A:$E),3,FALSE)</f>
        <v>CIMENTO PORTLAND COMPOSTO CP II-32</v>
      </c>
      <c r="E216" s="23" t="str">
        <f>VLOOKUP(B216,IF(A216="COMPOSICAO",S!$A:$E,I!$A:$E),4,FALSE)</f>
        <v>KG</v>
      </c>
      <c r="F216" s="23">
        <v>218.93</v>
      </c>
      <c r="G216" s="71">
        <f>IF(A216="COMPOSICAO",VLOOKUP("TOTAL SEM BDI - "&amp;B216,CPUAUX2!$A:$J,9,FALSE),VLOOKUP(B216,I!$A:$E,5,FALSE))</f>
        <v>1</v>
      </c>
      <c r="H216" s="72"/>
      <c r="I216" s="71">
        <f>TRUNC(F216*G216,2)</f>
        <v>218.93</v>
      </c>
      <c r="J216" s="72"/>
      <c r="M216" s="23">
        <f>B216</f>
        <v>1379</v>
      </c>
      <c r="N216" s="23">
        <f>SUMIF(CPU!M:M,B213,CPU!O:O)</f>
        <v>0.88</v>
      </c>
      <c r="O216" s="23">
        <f>F216*N216</f>
        <v>192.6584</v>
      </c>
      <c r="Q216" s="23">
        <f ca="1">SUMIF(CPU!M:M,B213,CPU!R:R)</f>
        <v>0.35199999999999998</v>
      </c>
      <c r="R216" s="23">
        <f ca="1">F216*Q216</f>
        <v>77.063360000000003</v>
      </c>
    </row>
    <row r="217" spans="1:18" ht="30" customHeight="1" x14ac:dyDescent="0.3">
      <c r="A217" s="23" t="s">
        <v>1025</v>
      </c>
      <c r="B217" s="23">
        <v>370</v>
      </c>
      <c r="C217" s="23" t="str">
        <f>VLOOKUP(B217,IF(A217="COMPOSICAO",S!$A:$E,I!$A:$E),2,FALSE)</f>
        <v>SINAPI</v>
      </c>
      <c r="D217" s="24" t="str">
        <f>VLOOKUP(B217,IF(A217="COMPOSICAO",S!$A:$E,I!$A:$E),3,FALSE)</f>
        <v>AREIA MEDIA - POSTO JAZIDA/FORNECEDOR (RETIRADO NA JAZIDA, SEM TRANSPORTE)</v>
      </c>
      <c r="E217" s="23" t="str">
        <f>VLOOKUP(B217,IF(A217="COMPOSICAO",S!$A:$E,I!$A:$E),4,FALSE)</f>
        <v>M3</v>
      </c>
      <c r="F217" s="23">
        <v>0.8538</v>
      </c>
      <c r="G217" s="71">
        <f>IF(A217="COMPOSICAO",VLOOKUP("TOTAL SEM BDI - "&amp;B217,CPUAUX2!$A:$J,9,FALSE),VLOOKUP(B217,I!$A:$E,5,FALSE))</f>
        <v>95</v>
      </c>
      <c r="H217" s="72"/>
      <c r="I217" s="71">
        <f>TRUNC(F217*G217,2)</f>
        <v>81.11</v>
      </c>
      <c r="J217" s="72"/>
      <c r="M217" s="23">
        <f>B217</f>
        <v>370</v>
      </c>
      <c r="N217" s="23">
        <f>SUMIF(CPU!M:M,B213,CPU!O:O)</f>
        <v>0.88</v>
      </c>
      <c r="O217" s="23">
        <f>F217*N217</f>
        <v>0.75134400000000001</v>
      </c>
      <c r="Q217" s="23">
        <f ca="1">SUMIF(CPU!M:M,B213,CPU!R:R)</f>
        <v>0.35199999999999998</v>
      </c>
      <c r="R217" s="23">
        <f ca="1">F217*Q217</f>
        <v>0.30053759999999996</v>
      </c>
    </row>
    <row r="218" spans="1:18" x14ac:dyDescent="0.3">
      <c r="A218" s="68" t="str">
        <f>"TOTAL SEM BDI - "&amp;B213</f>
        <v>TOTAL SEM BDI - 94974</v>
      </c>
      <c r="B218" s="69"/>
      <c r="C218" s="69"/>
      <c r="D218" s="69"/>
      <c r="E218" s="69"/>
      <c r="F218" s="69"/>
      <c r="G218" s="69"/>
      <c r="H218" s="70"/>
      <c r="I218" s="71">
        <f>SUM(I213:I217)</f>
        <v>585.11</v>
      </c>
      <c r="J218" s="72"/>
    </row>
    <row r="220" spans="1:18" x14ac:dyDescent="0.3">
      <c r="A220" s="4" t="s">
        <v>1018</v>
      </c>
      <c r="B220" s="4" t="s">
        <v>138</v>
      </c>
      <c r="C220" s="4" t="s">
        <v>139</v>
      </c>
      <c r="D220" s="4" t="s">
        <v>21</v>
      </c>
      <c r="E220" s="4" t="s">
        <v>140</v>
      </c>
      <c r="F220" s="4" t="s">
        <v>506</v>
      </c>
      <c r="G220" s="34" t="s">
        <v>1019</v>
      </c>
      <c r="H220" s="35"/>
      <c r="I220" s="34" t="s">
        <v>15</v>
      </c>
      <c r="J220" s="35"/>
    </row>
    <row r="221" spans="1:18" ht="45" customHeight="1" x14ac:dyDescent="0.3">
      <c r="A221" s="15" t="s">
        <v>1098</v>
      </c>
      <c r="B221" s="15">
        <v>91693</v>
      </c>
      <c r="C221" s="15" t="str">
        <f>VLOOKUP(B221,S!$A:$G,2,FALSE)</f>
        <v>SINAPI</v>
      </c>
      <c r="D221" s="22" t="str">
        <f>VLOOKUP(B221,S!$A:$G,3,FALSE)</f>
        <v>SERRA CIRCULAR DE BANCADA COM MOTOR ELÉTRICO POTÊNCIA DE 5HP, COM COIFA PARA DISCO 10" - CHI DIURNO. AF_08/2015</v>
      </c>
      <c r="E221" s="15" t="str">
        <f>VLOOKUP(B221,S!$A:$G,4,FALSE)</f>
        <v>CHI</v>
      </c>
      <c r="F221" s="15"/>
      <c r="G221" s="73">
        <f>I225</f>
        <v>27.3</v>
      </c>
      <c r="H221" s="74"/>
      <c r="I221" s="73"/>
      <c r="J221" s="74"/>
      <c r="K221" s="16">
        <f>VLOOKUP(B221,S!A:G,5,FALSE)</f>
        <v>27.3</v>
      </c>
      <c r="L221" s="15" t="str">
        <f>IF(K221=G221,"OK, CONFORME TABELA",IF(G221&gt;K221,"ACIMA DA TABELA: ","ABAIXO DA TABELA: ")&amp;TRUNC((G221*100)/K221,2)&amp;" %")</f>
        <v>OK, CONFORME TABELA</v>
      </c>
    </row>
    <row r="222" spans="1:18" ht="45" customHeight="1" x14ac:dyDescent="0.3">
      <c r="A222" s="23" t="s">
        <v>1022</v>
      </c>
      <c r="B222" s="23">
        <v>91689</v>
      </c>
      <c r="C222" s="23" t="str">
        <f>VLOOKUP(B222,IF(A222="COMPOSICAO",S!$A:$E,I!$A:$E),2,FALSE)</f>
        <v>SINAPI</v>
      </c>
      <c r="D222" s="24" t="str">
        <f>VLOOKUP(B222,IF(A222="COMPOSICAO",S!$A:$E,I!$A:$E),3,FALSE)</f>
        <v>SERRA CIRCULAR DE BANCADA COM MOTOR ELÉTRICO POTÊNCIA DE 5HP, COM COIFA PARA DISCO 10" - JUROS. AF_08/2015</v>
      </c>
      <c r="E222" s="23" t="str">
        <f>VLOOKUP(B222,IF(A222="COMPOSICAO",S!$A:$E,I!$A:$E),4,FALSE)</f>
        <v>H</v>
      </c>
      <c r="F222" s="23">
        <v>1</v>
      </c>
      <c r="G222" s="71">
        <f>IF(A222="COMPOSICAO",VLOOKUP("TOTAL SEM BDI - "&amp;B222,CPUAUX2!$A:$J,9,FALSE),VLOOKUP(B222,I!$A:$E,5,FALSE))</f>
        <v>0.02</v>
      </c>
      <c r="H222" s="72"/>
      <c r="I222" s="71">
        <f>TRUNC(F222*G222,2)</f>
        <v>0.02</v>
      </c>
      <c r="J222" s="72"/>
      <c r="M222" s="23">
        <f>B222</f>
        <v>91689</v>
      </c>
      <c r="N222" s="23">
        <f>SUMIF(CPU!M:M,B221,CPU!O:O)</f>
        <v>6.16</v>
      </c>
      <c r="O222" s="23">
        <f>F222*N222</f>
        <v>6.16</v>
      </c>
      <c r="Q222" s="23">
        <f ca="1">SUMIF(CPU!M:M,B221,CPU!R:R)</f>
        <v>2.464</v>
      </c>
      <c r="R222" s="23">
        <f ca="1">F222*Q222</f>
        <v>2.464</v>
      </c>
    </row>
    <row r="223" spans="1:18" ht="45" customHeight="1" x14ac:dyDescent="0.3">
      <c r="A223" s="23" t="s">
        <v>1022</v>
      </c>
      <c r="B223" s="23">
        <v>91688</v>
      </c>
      <c r="C223" s="23" t="str">
        <f>VLOOKUP(B223,IF(A223="COMPOSICAO",S!$A:$E,I!$A:$E),2,FALSE)</f>
        <v>SINAPI</v>
      </c>
      <c r="D223" s="24" t="str">
        <f>VLOOKUP(B223,IF(A223="COMPOSICAO",S!$A:$E,I!$A:$E),3,FALSE)</f>
        <v>SERRA CIRCULAR DE BANCADA COM MOTOR ELÉTRICO POTÊNCIA DE 5HP, COM COIFA PARA DISCO 10" - DEPRECIAÇÃO. AF_08/2015</v>
      </c>
      <c r="E223" s="23" t="str">
        <f>VLOOKUP(B223,IF(A223="COMPOSICAO",S!$A:$E,I!$A:$E),4,FALSE)</f>
        <v>H</v>
      </c>
      <c r="F223" s="23">
        <v>1</v>
      </c>
      <c r="G223" s="71">
        <f>IF(A223="COMPOSICAO",VLOOKUP("TOTAL SEM BDI - "&amp;B223,CPUAUX2!$A:$J,9,FALSE),VLOOKUP(B223,I!$A:$E,5,FALSE))</f>
        <v>0.12</v>
      </c>
      <c r="H223" s="72"/>
      <c r="I223" s="71">
        <f>TRUNC(F223*G223,2)</f>
        <v>0.12</v>
      </c>
      <c r="J223" s="72"/>
      <c r="M223" s="23">
        <f>B223</f>
        <v>91688</v>
      </c>
      <c r="N223" s="23">
        <f>SUMIF(CPU!M:M,B221,CPU!O:O)</f>
        <v>6.16</v>
      </c>
      <c r="O223" s="23">
        <f>F223*N223</f>
        <v>6.16</v>
      </c>
      <c r="Q223" s="23">
        <f ca="1">SUMIF(CPU!M:M,B221,CPU!R:R)</f>
        <v>2.464</v>
      </c>
      <c r="R223" s="23">
        <f ca="1">F223*Q223</f>
        <v>2.464</v>
      </c>
    </row>
    <row r="224" spans="1:18" ht="30" customHeight="1" x14ac:dyDescent="0.3">
      <c r="A224" s="23" t="s">
        <v>1022</v>
      </c>
      <c r="B224" s="23">
        <v>88297</v>
      </c>
      <c r="C224" s="23" t="str">
        <f>VLOOKUP(B224,IF(A224="COMPOSICAO",S!$A:$E,I!$A:$E),2,FALSE)</f>
        <v>SINAPI</v>
      </c>
      <c r="D224" s="24" t="str">
        <f>VLOOKUP(B224,IF(A224="COMPOSICAO",S!$A:$E,I!$A:$E),3,FALSE)</f>
        <v>OPERADOR DE MÁQUINAS E EQUIPAMENTOS COM ENCARGOS COMPLEMENTARES</v>
      </c>
      <c r="E224" s="23" t="str">
        <f>VLOOKUP(B224,IF(A224="COMPOSICAO",S!$A:$E,I!$A:$E),4,FALSE)</f>
        <v>H</v>
      </c>
      <c r="F224" s="23">
        <v>1</v>
      </c>
      <c r="G224" s="71">
        <f>IF(A224="COMPOSICAO",VLOOKUP("TOTAL SEM BDI - "&amp;B224,CPUAUX2!$A:$J,9,FALSE),VLOOKUP(B224,I!$A:$E,5,FALSE))</f>
        <v>27.16</v>
      </c>
      <c r="H224" s="72"/>
      <c r="I224" s="71">
        <f>TRUNC(F224*G224,2)</f>
        <v>27.16</v>
      </c>
      <c r="J224" s="72"/>
      <c r="M224" s="23">
        <f>B224</f>
        <v>88297</v>
      </c>
      <c r="N224" s="23">
        <f>SUMIF(CPU!M:M,B221,CPU!O:O)</f>
        <v>6.16</v>
      </c>
      <c r="O224" s="23">
        <f>F224*N224</f>
        <v>6.16</v>
      </c>
      <c r="Q224" s="23">
        <f ca="1">SUMIF(CPU!M:M,B221,CPU!R:R)</f>
        <v>2.464</v>
      </c>
      <c r="R224" s="23">
        <f ca="1">F224*Q224</f>
        <v>2.464</v>
      </c>
    </row>
    <row r="225" spans="1:18" x14ac:dyDescent="0.3">
      <c r="A225" s="68" t="str">
        <f>"TOTAL SEM BDI - "&amp;B221</f>
        <v>TOTAL SEM BDI - 91693</v>
      </c>
      <c r="B225" s="69"/>
      <c r="C225" s="69"/>
      <c r="D225" s="69"/>
      <c r="E225" s="69"/>
      <c r="F225" s="69"/>
      <c r="G225" s="69"/>
      <c r="H225" s="70"/>
      <c r="I225" s="71">
        <f>SUM(I221:I224)</f>
        <v>27.3</v>
      </c>
      <c r="J225" s="72"/>
    </row>
    <row r="227" spans="1:18" x14ac:dyDescent="0.3">
      <c r="A227" s="4" t="s">
        <v>1018</v>
      </c>
      <c r="B227" s="4" t="s">
        <v>138</v>
      </c>
      <c r="C227" s="4" t="s">
        <v>139</v>
      </c>
      <c r="D227" s="4" t="s">
        <v>21</v>
      </c>
      <c r="E227" s="4" t="s">
        <v>140</v>
      </c>
      <c r="F227" s="4" t="s">
        <v>506</v>
      </c>
      <c r="G227" s="34" t="s">
        <v>1019</v>
      </c>
      <c r="H227" s="35"/>
      <c r="I227" s="34" t="s">
        <v>15</v>
      </c>
      <c r="J227" s="35"/>
    </row>
    <row r="228" spans="1:18" ht="45" customHeight="1" x14ac:dyDescent="0.3">
      <c r="A228" s="15" t="s">
        <v>1098</v>
      </c>
      <c r="B228" s="15">
        <v>91692</v>
      </c>
      <c r="C228" s="15" t="str">
        <f>VLOOKUP(B228,S!$A:$G,2,FALSE)</f>
        <v>SINAPI</v>
      </c>
      <c r="D228" s="22" t="str">
        <f>VLOOKUP(B228,S!$A:$G,3,FALSE)</f>
        <v>SERRA CIRCULAR DE BANCADA COM MOTOR ELÉTRICO POTÊNCIA DE 5HP, COM COIFA PARA DISCO 10" - CHP DIURNO. AF_08/2015</v>
      </c>
      <c r="E228" s="15" t="str">
        <f>VLOOKUP(B228,S!$A:$G,4,FALSE)</f>
        <v>CHP</v>
      </c>
      <c r="F228" s="15"/>
      <c r="G228" s="73">
        <f>I234</f>
        <v>28.87</v>
      </c>
      <c r="H228" s="74"/>
      <c r="I228" s="73"/>
      <c r="J228" s="74"/>
      <c r="K228" s="16">
        <f>VLOOKUP(B228,S!A:G,5,FALSE)</f>
        <v>28.87</v>
      </c>
      <c r="L228" s="15" t="str">
        <f>IF(K228=G228,"OK, CONFORME TABELA",IF(G228&gt;K228,"ACIMA DA TABELA: ","ABAIXO DA TABELA: ")&amp;TRUNC((G228*100)/K228,2)&amp;" %")</f>
        <v>OK, CONFORME TABELA</v>
      </c>
    </row>
    <row r="229" spans="1:18" ht="45" customHeight="1" x14ac:dyDescent="0.3">
      <c r="A229" s="23" t="s">
        <v>1022</v>
      </c>
      <c r="B229" s="23">
        <v>91691</v>
      </c>
      <c r="C229" s="23" t="str">
        <f>VLOOKUP(B229,IF(A229="COMPOSICAO",S!$A:$E,I!$A:$E),2,FALSE)</f>
        <v>SINAPI</v>
      </c>
      <c r="D229" s="24" t="str">
        <f>VLOOKUP(B229,IF(A229="COMPOSICAO",S!$A:$E,I!$A:$E),3,FALSE)</f>
        <v>SERRA CIRCULAR DE BANCADA COM MOTOR ELÉTRICO POTÊNCIA DE 5HP, COM COIFA PARA DISCO 10" - MATERIAIS NA OPERAÇÃO. AF_08/2015</v>
      </c>
      <c r="E229" s="23" t="str">
        <f>VLOOKUP(B229,IF(A229="COMPOSICAO",S!$A:$E,I!$A:$E),4,FALSE)</f>
        <v>H</v>
      </c>
      <c r="F229" s="23">
        <v>1</v>
      </c>
      <c r="G229" s="71">
        <f>IF(A229="COMPOSICAO",VLOOKUP("TOTAL SEM BDI - "&amp;B229,CPUAUX2!$A:$J,9,FALSE),VLOOKUP(B229,I!$A:$E,5,FALSE))</f>
        <v>1.49</v>
      </c>
      <c r="H229" s="72"/>
      <c r="I229" s="71">
        <f>TRUNC(F229*G229,2)</f>
        <v>1.49</v>
      </c>
      <c r="J229" s="72"/>
      <c r="M229" s="23">
        <f>B229</f>
        <v>91691</v>
      </c>
      <c r="N229" s="23">
        <f>SUMIF(CPU!M:M,B228,CPU!O:O)</f>
        <v>1.54</v>
      </c>
      <c r="O229" s="23">
        <f>F229*N229</f>
        <v>1.54</v>
      </c>
      <c r="Q229" s="23">
        <f ca="1">SUMIF(CPU!M:M,B228,CPU!R:R)</f>
        <v>0.61599999999999999</v>
      </c>
      <c r="R229" s="23">
        <f ca="1">F229*Q229</f>
        <v>0.61599999999999999</v>
      </c>
    </row>
    <row r="230" spans="1:18" ht="45" customHeight="1" x14ac:dyDescent="0.3">
      <c r="A230" s="23" t="s">
        <v>1022</v>
      </c>
      <c r="B230" s="23">
        <v>91690</v>
      </c>
      <c r="C230" s="23" t="str">
        <f>VLOOKUP(B230,IF(A230="COMPOSICAO",S!$A:$E,I!$A:$E),2,FALSE)</f>
        <v>SINAPI</v>
      </c>
      <c r="D230" s="24" t="str">
        <f>VLOOKUP(B230,IF(A230="COMPOSICAO",S!$A:$E,I!$A:$E),3,FALSE)</f>
        <v>SERRA CIRCULAR DE BANCADA COM MOTOR ELÉTRICO POTÊNCIA DE 5HP, COM COIFA PARA DISCO 10" - MANUTENÇÃO. AF_08/2015</v>
      </c>
      <c r="E230" s="23" t="str">
        <f>VLOOKUP(B230,IF(A230="COMPOSICAO",S!$A:$E,I!$A:$E),4,FALSE)</f>
        <v>H</v>
      </c>
      <c r="F230" s="23">
        <v>1</v>
      </c>
      <c r="G230" s="71">
        <f>IF(A230="COMPOSICAO",VLOOKUP("TOTAL SEM BDI - "&amp;B230,CPUAUX2!$A:$J,9,FALSE),VLOOKUP(B230,I!$A:$E,5,FALSE))</f>
        <v>0.08</v>
      </c>
      <c r="H230" s="72"/>
      <c r="I230" s="71">
        <f>TRUNC(F230*G230,2)</f>
        <v>0.08</v>
      </c>
      <c r="J230" s="72"/>
      <c r="M230" s="23">
        <f>B230</f>
        <v>91690</v>
      </c>
      <c r="N230" s="23">
        <f>SUMIF(CPU!M:M,B228,CPU!O:O)</f>
        <v>1.54</v>
      </c>
      <c r="O230" s="23">
        <f>F230*N230</f>
        <v>1.54</v>
      </c>
      <c r="Q230" s="23">
        <f ca="1">SUMIF(CPU!M:M,B228,CPU!R:R)</f>
        <v>0.61599999999999999</v>
      </c>
      <c r="R230" s="23">
        <f ca="1">F230*Q230</f>
        <v>0.61599999999999999</v>
      </c>
    </row>
    <row r="231" spans="1:18" ht="45" customHeight="1" x14ac:dyDescent="0.3">
      <c r="A231" s="23" t="s">
        <v>1022</v>
      </c>
      <c r="B231" s="23">
        <v>91689</v>
      </c>
      <c r="C231" s="23" t="str">
        <f>VLOOKUP(B231,IF(A231="COMPOSICAO",S!$A:$E,I!$A:$E),2,FALSE)</f>
        <v>SINAPI</v>
      </c>
      <c r="D231" s="24" t="str">
        <f>VLOOKUP(B231,IF(A231="COMPOSICAO",S!$A:$E,I!$A:$E),3,FALSE)</f>
        <v>SERRA CIRCULAR DE BANCADA COM MOTOR ELÉTRICO POTÊNCIA DE 5HP, COM COIFA PARA DISCO 10" - JUROS. AF_08/2015</v>
      </c>
      <c r="E231" s="23" t="str">
        <f>VLOOKUP(B231,IF(A231="COMPOSICAO",S!$A:$E,I!$A:$E),4,FALSE)</f>
        <v>H</v>
      </c>
      <c r="F231" s="23">
        <v>1</v>
      </c>
      <c r="G231" s="71">
        <f>IF(A231="COMPOSICAO",VLOOKUP("TOTAL SEM BDI - "&amp;B231,CPUAUX2!$A:$J,9,FALSE),VLOOKUP(B231,I!$A:$E,5,FALSE))</f>
        <v>0.02</v>
      </c>
      <c r="H231" s="72"/>
      <c r="I231" s="71">
        <f>TRUNC(F231*G231,2)</f>
        <v>0.02</v>
      </c>
      <c r="J231" s="72"/>
      <c r="M231" s="23">
        <f>B231</f>
        <v>91689</v>
      </c>
      <c r="N231" s="23">
        <f>SUMIF(CPU!M:M,B228,CPU!O:O)</f>
        <v>1.54</v>
      </c>
      <c r="O231" s="23">
        <f>F231*N231</f>
        <v>1.54</v>
      </c>
      <c r="Q231" s="23">
        <f ca="1">SUMIF(CPU!M:M,B228,CPU!R:R)</f>
        <v>0.61599999999999999</v>
      </c>
      <c r="R231" s="23">
        <f ca="1">F231*Q231</f>
        <v>0.61599999999999999</v>
      </c>
    </row>
    <row r="232" spans="1:18" ht="45" customHeight="1" x14ac:dyDescent="0.3">
      <c r="A232" s="23" t="s">
        <v>1022</v>
      </c>
      <c r="B232" s="23">
        <v>91688</v>
      </c>
      <c r="C232" s="23" t="str">
        <f>VLOOKUP(B232,IF(A232="COMPOSICAO",S!$A:$E,I!$A:$E),2,FALSE)</f>
        <v>SINAPI</v>
      </c>
      <c r="D232" s="24" t="str">
        <f>VLOOKUP(B232,IF(A232="COMPOSICAO",S!$A:$E,I!$A:$E),3,FALSE)</f>
        <v>SERRA CIRCULAR DE BANCADA COM MOTOR ELÉTRICO POTÊNCIA DE 5HP, COM COIFA PARA DISCO 10" - DEPRECIAÇÃO. AF_08/2015</v>
      </c>
      <c r="E232" s="23" t="str">
        <f>VLOOKUP(B232,IF(A232="COMPOSICAO",S!$A:$E,I!$A:$E),4,FALSE)</f>
        <v>H</v>
      </c>
      <c r="F232" s="23">
        <v>1</v>
      </c>
      <c r="G232" s="71">
        <f>IF(A232="COMPOSICAO",VLOOKUP("TOTAL SEM BDI - "&amp;B232,CPUAUX2!$A:$J,9,FALSE),VLOOKUP(B232,I!$A:$E,5,FALSE))</f>
        <v>0.12</v>
      </c>
      <c r="H232" s="72"/>
      <c r="I232" s="71">
        <f>TRUNC(F232*G232,2)</f>
        <v>0.12</v>
      </c>
      <c r="J232" s="72"/>
      <c r="M232" s="23">
        <f>B232</f>
        <v>91688</v>
      </c>
      <c r="N232" s="23">
        <f>SUMIF(CPU!M:M,B228,CPU!O:O)</f>
        <v>1.54</v>
      </c>
      <c r="O232" s="23">
        <f>F232*N232</f>
        <v>1.54</v>
      </c>
      <c r="Q232" s="23">
        <f ca="1">SUMIF(CPU!M:M,B228,CPU!R:R)</f>
        <v>0.61599999999999999</v>
      </c>
      <c r="R232" s="23">
        <f ca="1">F232*Q232</f>
        <v>0.61599999999999999</v>
      </c>
    </row>
    <row r="233" spans="1:18" ht="30" customHeight="1" x14ac:dyDescent="0.3">
      <c r="A233" s="23" t="s">
        <v>1022</v>
      </c>
      <c r="B233" s="23">
        <v>88297</v>
      </c>
      <c r="C233" s="23" t="str">
        <f>VLOOKUP(B233,IF(A233="COMPOSICAO",S!$A:$E,I!$A:$E),2,FALSE)</f>
        <v>SINAPI</v>
      </c>
      <c r="D233" s="24" t="str">
        <f>VLOOKUP(B233,IF(A233="COMPOSICAO",S!$A:$E,I!$A:$E),3,FALSE)</f>
        <v>OPERADOR DE MÁQUINAS E EQUIPAMENTOS COM ENCARGOS COMPLEMENTARES</v>
      </c>
      <c r="E233" s="23" t="str">
        <f>VLOOKUP(B233,IF(A233="COMPOSICAO",S!$A:$E,I!$A:$E),4,FALSE)</f>
        <v>H</v>
      </c>
      <c r="F233" s="23">
        <v>1</v>
      </c>
      <c r="G233" s="71">
        <f>IF(A233="COMPOSICAO",VLOOKUP("TOTAL SEM BDI - "&amp;B233,CPUAUX2!$A:$J,9,FALSE),VLOOKUP(B233,I!$A:$E,5,FALSE))</f>
        <v>27.16</v>
      </c>
      <c r="H233" s="72"/>
      <c r="I233" s="71">
        <f>TRUNC(F233*G233,2)</f>
        <v>27.16</v>
      </c>
      <c r="J233" s="72"/>
      <c r="M233" s="23">
        <f>B233</f>
        <v>88297</v>
      </c>
      <c r="N233" s="23">
        <f>SUMIF(CPU!M:M,B228,CPU!O:O)</f>
        <v>1.54</v>
      </c>
      <c r="O233" s="23">
        <f>F233*N233</f>
        <v>1.54</v>
      </c>
      <c r="Q233" s="23">
        <f ca="1">SUMIF(CPU!M:M,B228,CPU!R:R)</f>
        <v>0.61599999999999999</v>
      </c>
      <c r="R233" s="23">
        <f ca="1">F233*Q233</f>
        <v>0.61599999999999999</v>
      </c>
    </row>
    <row r="234" spans="1:18" x14ac:dyDescent="0.3">
      <c r="A234" s="68" t="str">
        <f>"TOTAL SEM BDI - "&amp;B228</f>
        <v>TOTAL SEM BDI - 91692</v>
      </c>
      <c r="B234" s="69"/>
      <c r="C234" s="69"/>
      <c r="D234" s="69"/>
      <c r="E234" s="69"/>
      <c r="F234" s="69"/>
      <c r="G234" s="69"/>
      <c r="H234" s="70"/>
      <c r="I234" s="71">
        <f>SUM(I228:I233)</f>
        <v>28.87</v>
      </c>
      <c r="J234" s="72"/>
    </row>
    <row r="236" spans="1:18" x14ac:dyDescent="0.3">
      <c r="A236" s="4" t="s">
        <v>1018</v>
      </c>
      <c r="B236" s="4" t="s">
        <v>138</v>
      </c>
      <c r="C236" s="4" t="s">
        <v>139</v>
      </c>
      <c r="D236" s="4" t="s">
        <v>21</v>
      </c>
      <c r="E236" s="4" t="s">
        <v>140</v>
      </c>
      <c r="F236" s="4" t="s">
        <v>506</v>
      </c>
      <c r="G236" s="34" t="s">
        <v>1019</v>
      </c>
      <c r="H236" s="35"/>
      <c r="I236" s="34" t="s">
        <v>15</v>
      </c>
      <c r="J236" s="35"/>
    </row>
    <row r="237" spans="1:18" ht="30" customHeight="1" x14ac:dyDescent="0.3">
      <c r="A237" s="15" t="s">
        <v>1093</v>
      </c>
      <c r="B237" s="15">
        <v>88262</v>
      </c>
      <c r="C237" s="15" t="str">
        <f>VLOOKUP(B237,S!$A:$G,2,FALSE)</f>
        <v>SINAPI</v>
      </c>
      <c r="D237" s="22" t="str">
        <f>VLOOKUP(B237,S!$A:$G,3,FALSE)</f>
        <v>CARPINTEIRO DE FORMAS COM ENCARGOS COMPLEMENTARES</v>
      </c>
      <c r="E237" s="15" t="str">
        <f>VLOOKUP(B237,S!$A:$G,4,FALSE)</f>
        <v>H</v>
      </c>
      <c r="F237" s="15"/>
      <c r="G237" s="73">
        <f>I246</f>
        <v>26.97</v>
      </c>
      <c r="H237" s="74"/>
      <c r="I237" s="73"/>
      <c r="J237" s="74"/>
      <c r="K237" s="16">
        <f>VLOOKUP(B237,S!A:G,5,FALSE)</f>
        <v>26.97</v>
      </c>
      <c r="L237" s="15" t="str">
        <f>IF(K237=G237,"OK, CONFORME TABELA",IF(G237&gt;K237,"ACIMA DA TABELA: ","ABAIXO DA TABELA: ")&amp;TRUNC((G237*100)/K237,2)&amp;" %")</f>
        <v>OK, CONFORME TABELA</v>
      </c>
    </row>
    <row r="238" spans="1:18" ht="30" customHeight="1" x14ac:dyDescent="0.3">
      <c r="A238" s="23" t="s">
        <v>1022</v>
      </c>
      <c r="B238" s="23">
        <v>95330</v>
      </c>
      <c r="C238" s="23" t="str">
        <f>VLOOKUP(B238,IF(A238="COMPOSICAO",S!$A:$E,I!$A:$E),2,FALSE)</f>
        <v>SINAPI</v>
      </c>
      <c r="D238" s="24" t="str">
        <f>VLOOKUP(B238,IF(A238="COMPOSICAO",S!$A:$E,I!$A:$E),3,FALSE)</f>
        <v>CURSO DE CAPACITAÇÃO PARA CARPINTEIRO DE FÔRMAS (ENCARGOS COMPLEMENTARES) - HORISTA</v>
      </c>
      <c r="E238" s="23" t="str">
        <f>VLOOKUP(B238,IF(A238="COMPOSICAO",S!$A:$E,I!$A:$E),4,FALSE)</f>
        <v>H</v>
      </c>
      <c r="F238" s="23">
        <v>1</v>
      </c>
      <c r="G238" s="71">
        <f>IF(A238="COMPOSICAO",VLOOKUP("TOTAL SEM BDI - "&amp;B238,CPUAUX2!$A:$J,9,FALSE),VLOOKUP(B238,I!$A:$E,5,FALSE))</f>
        <v>0.23</v>
      </c>
      <c r="H238" s="72"/>
      <c r="I238" s="71">
        <f t="shared" ref="I238:I245" si="68">TRUNC(F238*G238,2)</f>
        <v>0.23</v>
      </c>
      <c r="J238" s="72"/>
      <c r="M238" s="23">
        <f t="shared" ref="M238:M245" si="69">B238</f>
        <v>95330</v>
      </c>
      <c r="N238" s="23">
        <f>SUMIF(CPU!M:M,B237,CPU!O:O)</f>
        <v>183.5368</v>
      </c>
      <c r="O238" s="23">
        <f t="shared" ref="O238:O245" si="70">F238*N238</f>
        <v>183.5368</v>
      </c>
      <c r="Q238" s="23">
        <f ca="1">SUMIF(CPU!M:M,B237,CPU!R:R)</f>
        <v>73.414720000000003</v>
      </c>
      <c r="R238" s="23">
        <f t="shared" ref="R238:R245" ca="1" si="71">F238*Q238</f>
        <v>73.414720000000003</v>
      </c>
    </row>
    <row r="239" spans="1:18" ht="30" customHeight="1" x14ac:dyDescent="0.3">
      <c r="A239" s="23" t="s">
        <v>1025</v>
      </c>
      <c r="B239" s="23">
        <v>43483</v>
      </c>
      <c r="C239" s="23" t="str">
        <f>VLOOKUP(B239,IF(A239="COMPOSICAO",S!$A:$E,I!$A:$E),2,FALSE)</f>
        <v>SINAPI</v>
      </c>
      <c r="D239" s="24" t="str">
        <f>VLOOKUP(B239,IF(A239="COMPOSICAO",S!$A:$E,I!$A:$E),3,FALSE)</f>
        <v>EPI - FAMILIA CARPINTEIRO DE FORMAS - HORISTA (ENCARGOS COMPLEMENTARES - COLETADO CAIXA)</v>
      </c>
      <c r="E239" s="23" t="str">
        <f>VLOOKUP(B239,IF(A239="COMPOSICAO",S!$A:$E,I!$A:$E),4,FALSE)</f>
        <v>H</v>
      </c>
      <c r="F239" s="23">
        <v>1</v>
      </c>
      <c r="G239" s="71">
        <f>IF(A239="COMPOSICAO",VLOOKUP("TOTAL SEM BDI - "&amp;B239,CPUAUX2!$A:$J,9,FALSE),VLOOKUP(B239,I!$A:$E,5,FALSE))</f>
        <v>1.43</v>
      </c>
      <c r="H239" s="72"/>
      <c r="I239" s="71">
        <f t="shared" si="68"/>
        <v>1.43</v>
      </c>
      <c r="J239" s="72"/>
      <c r="M239" s="23">
        <f t="shared" si="69"/>
        <v>43483</v>
      </c>
      <c r="N239" s="23">
        <f>SUMIF(CPU!M:M,B237,CPU!O:O)</f>
        <v>183.5368</v>
      </c>
      <c r="O239" s="23">
        <f t="shared" si="70"/>
        <v>183.5368</v>
      </c>
      <c r="Q239" s="23">
        <f ca="1">SUMIF(CPU!M:M,B237,CPU!R:R)</f>
        <v>73.414720000000003</v>
      </c>
      <c r="R239" s="23">
        <f t="shared" ca="1" si="71"/>
        <v>73.414720000000003</v>
      </c>
    </row>
    <row r="240" spans="1:18" ht="45" customHeight="1" x14ac:dyDescent="0.3">
      <c r="A240" s="23" t="s">
        <v>1025</v>
      </c>
      <c r="B240" s="23">
        <v>43459</v>
      </c>
      <c r="C240" s="23" t="str">
        <f>VLOOKUP(B240,IF(A240="COMPOSICAO",S!$A:$E,I!$A:$E),2,FALSE)</f>
        <v>SINAPI</v>
      </c>
      <c r="D240" s="24" t="str">
        <f>VLOOKUP(B240,IF(A240="COMPOSICAO",S!$A:$E,I!$A:$E),3,FALSE)</f>
        <v>FERRAMENTAS - FAMILIA CARPINTEIRO DE FORMAS - HORISTA (ENCARGOS COMPLEMENTARES - COLETADO CAIXA)</v>
      </c>
      <c r="E240" s="23" t="str">
        <f>VLOOKUP(B240,IF(A240="COMPOSICAO",S!$A:$E,I!$A:$E),4,FALSE)</f>
        <v>H</v>
      </c>
      <c r="F240" s="23">
        <v>1</v>
      </c>
      <c r="G240" s="71">
        <f>IF(A240="COMPOSICAO",VLOOKUP("TOTAL SEM BDI - "&amp;B240,CPUAUX2!$A:$J,9,FALSE),VLOOKUP(B240,I!$A:$E,5,FALSE))</f>
        <v>0.44</v>
      </c>
      <c r="H240" s="72"/>
      <c r="I240" s="71">
        <f t="shared" si="68"/>
        <v>0.44</v>
      </c>
      <c r="J240" s="72"/>
      <c r="M240" s="23">
        <f t="shared" si="69"/>
        <v>43459</v>
      </c>
      <c r="N240" s="23">
        <f>SUMIF(CPU!M:M,B237,CPU!O:O)</f>
        <v>183.5368</v>
      </c>
      <c r="O240" s="23">
        <f t="shared" si="70"/>
        <v>183.5368</v>
      </c>
      <c r="Q240" s="23">
        <f ca="1">SUMIF(CPU!M:M,B237,CPU!R:R)</f>
        <v>73.414720000000003</v>
      </c>
      <c r="R240" s="23">
        <f t="shared" ca="1" si="71"/>
        <v>73.414720000000003</v>
      </c>
    </row>
    <row r="241" spans="1:18" ht="30" customHeight="1" x14ac:dyDescent="0.3">
      <c r="A241" s="23" t="s">
        <v>1025</v>
      </c>
      <c r="B241" s="23">
        <v>37373</v>
      </c>
      <c r="C241" s="23" t="str">
        <f>VLOOKUP(B241,IF(A241="COMPOSICAO",S!$A:$E,I!$A:$E),2,FALSE)</f>
        <v>SINAPI</v>
      </c>
      <c r="D241" s="24" t="str">
        <f>VLOOKUP(B241,IF(A241="COMPOSICAO",S!$A:$E,I!$A:$E),3,FALSE)</f>
        <v>SEGURO - HORISTA (COLETADO CAIXA - ENCARGOS COMPLEMENTARES)</v>
      </c>
      <c r="E241" s="23" t="str">
        <f>VLOOKUP(B241,IF(A241="COMPOSICAO",S!$A:$E,I!$A:$E),4,FALSE)</f>
        <v>H</v>
      </c>
      <c r="F241" s="23">
        <v>1</v>
      </c>
      <c r="G241" s="71">
        <f>IF(A241="COMPOSICAO",VLOOKUP("TOTAL SEM BDI - "&amp;B241,CPUAUX2!$A:$J,9,FALSE),VLOOKUP(B241,I!$A:$E,5,FALSE))</f>
        <v>0.08</v>
      </c>
      <c r="H241" s="72"/>
      <c r="I241" s="71">
        <f t="shared" si="68"/>
        <v>0.08</v>
      </c>
      <c r="J241" s="72"/>
      <c r="M241" s="23">
        <f t="shared" si="69"/>
        <v>37373</v>
      </c>
      <c r="N241" s="23">
        <f>SUMIF(CPU!M:M,B237,CPU!O:O)</f>
        <v>183.5368</v>
      </c>
      <c r="O241" s="23">
        <f t="shared" si="70"/>
        <v>183.5368</v>
      </c>
      <c r="Q241" s="23">
        <f ca="1">SUMIF(CPU!M:M,B237,CPU!R:R)</f>
        <v>73.414720000000003</v>
      </c>
      <c r="R241" s="23">
        <f t="shared" ca="1" si="71"/>
        <v>73.414720000000003</v>
      </c>
    </row>
    <row r="242" spans="1:18" ht="30" customHeight="1" x14ac:dyDescent="0.3">
      <c r="A242" s="23" t="s">
        <v>1025</v>
      </c>
      <c r="B242" s="23">
        <v>37372</v>
      </c>
      <c r="C242" s="23" t="str">
        <f>VLOOKUP(B242,IF(A242="COMPOSICAO",S!$A:$E,I!$A:$E),2,FALSE)</f>
        <v>SINAPI</v>
      </c>
      <c r="D242" s="24" t="str">
        <f>VLOOKUP(B242,IF(A242="COMPOSICAO",S!$A:$E,I!$A:$E),3,FALSE)</f>
        <v>EXAMES - HORISTA (COLETADO CAIXA - ENCARGOS COMPLEMENTARES)</v>
      </c>
      <c r="E242" s="23" t="str">
        <f>VLOOKUP(B242,IF(A242="COMPOSICAO",S!$A:$E,I!$A:$E),4,FALSE)</f>
        <v>H</v>
      </c>
      <c r="F242" s="23">
        <v>1</v>
      </c>
      <c r="G242" s="71">
        <f>IF(A242="COMPOSICAO",VLOOKUP("TOTAL SEM BDI - "&amp;B242,CPUAUX2!$A:$J,9,FALSE),VLOOKUP(B242,I!$A:$E,5,FALSE))</f>
        <v>1.43</v>
      </c>
      <c r="H242" s="72"/>
      <c r="I242" s="71">
        <f t="shared" si="68"/>
        <v>1.43</v>
      </c>
      <c r="J242" s="72"/>
      <c r="M242" s="23">
        <f t="shared" si="69"/>
        <v>37372</v>
      </c>
      <c r="N242" s="23">
        <f>SUMIF(CPU!M:M,B237,CPU!O:O)</f>
        <v>183.5368</v>
      </c>
      <c r="O242" s="23">
        <f t="shared" si="70"/>
        <v>183.5368</v>
      </c>
      <c r="Q242" s="23">
        <f ca="1">SUMIF(CPU!M:M,B237,CPU!R:R)</f>
        <v>73.414720000000003</v>
      </c>
      <c r="R242" s="23">
        <f t="shared" ca="1" si="71"/>
        <v>73.414720000000003</v>
      </c>
    </row>
    <row r="243" spans="1:18" ht="30" customHeight="1" x14ac:dyDescent="0.3">
      <c r="A243" s="23" t="s">
        <v>1025</v>
      </c>
      <c r="B243" s="23">
        <v>37371</v>
      </c>
      <c r="C243" s="23" t="str">
        <f>VLOOKUP(B243,IF(A243="COMPOSICAO",S!$A:$E,I!$A:$E),2,FALSE)</f>
        <v>SINAPI</v>
      </c>
      <c r="D243" s="24" t="str">
        <f>VLOOKUP(B243,IF(A243="COMPOSICAO",S!$A:$E,I!$A:$E),3,FALSE)</f>
        <v>TRANSPORTE - HORISTA (COLETADO CAIXA - ENCARGOS COMPLEMENTARES)</v>
      </c>
      <c r="E243" s="23" t="str">
        <f>VLOOKUP(B243,IF(A243="COMPOSICAO",S!$A:$E,I!$A:$E),4,FALSE)</f>
        <v>H</v>
      </c>
      <c r="F243" s="23">
        <v>1</v>
      </c>
      <c r="G243" s="71">
        <f>IF(A243="COMPOSICAO",VLOOKUP("TOTAL SEM BDI - "&amp;B243,CPUAUX2!$A:$J,9,FALSE),VLOOKUP(B243,I!$A:$E,5,FALSE))</f>
        <v>0.56999999999999995</v>
      </c>
      <c r="H243" s="72"/>
      <c r="I243" s="71">
        <f t="shared" si="68"/>
        <v>0.56999999999999995</v>
      </c>
      <c r="J243" s="72"/>
      <c r="M243" s="23">
        <f t="shared" si="69"/>
        <v>37371</v>
      </c>
      <c r="N243" s="23">
        <f>SUMIF(CPU!M:M,B237,CPU!O:O)</f>
        <v>183.5368</v>
      </c>
      <c r="O243" s="23">
        <f t="shared" si="70"/>
        <v>183.5368</v>
      </c>
      <c r="Q243" s="23">
        <f ca="1">SUMIF(CPU!M:M,B237,CPU!R:R)</f>
        <v>73.414720000000003</v>
      </c>
      <c r="R243" s="23">
        <f t="shared" ca="1" si="71"/>
        <v>73.414720000000003</v>
      </c>
    </row>
    <row r="244" spans="1:18" ht="30" customHeight="1" x14ac:dyDescent="0.3">
      <c r="A244" s="23" t="s">
        <v>1025</v>
      </c>
      <c r="B244" s="23">
        <v>37370</v>
      </c>
      <c r="C244" s="23" t="str">
        <f>VLOOKUP(B244,IF(A244="COMPOSICAO",S!$A:$E,I!$A:$E),2,FALSE)</f>
        <v>SINAPI</v>
      </c>
      <c r="D244" s="24" t="str">
        <f>VLOOKUP(B244,IF(A244="COMPOSICAO",S!$A:$E,I!$A:$E),3,FALSE)</f>
        <v>ALIMENTACAO - HORISTA (COLETADO CAIXA - ENCARGOS COMPLEMENTARES)</v>
      </c>
      <c r="E244" s="23" t="str">
        <f>VLOOKUP(B244,IF(A244="COMPOSICAO",S!$A:$E,I!$A:$E),4,FALSE)</f>
        <v>H</v>
      </c>
      <c r="F244" s="23">
        <v>1</v>
      </c>
      <c r="G244" s="71">
        <f>IF(A244="COMPOSICAO",VLOOKUP("TOTAL SEM BDI - "&amp;B244,CPUAUX2!$A:$J,9,FALSE),VLOOKUP(B244,I!$A:$E,5,FALSE))</f>
        <v>2.46</v>
      </c>
      <c r="H244" s="72"/>
      <c r="I244" s="71">
        <f t="shared" si="68"/>
        <v>2.46</v>
      </c>
      <c r="J244" s="72"/>
      <c r="M244" s="23">
        <f t="shared" si="69"/>
        <v>37370</v>
      </c>
      <c r="N244" s="23">
        <f>SUMIF(CPU!M:M,B237,CPU!O:O)</f>
        <v>183.5368</v>
      </c>
      <c r="O244" s="23">
        <f t="shared" si="70"/>
        <v>183.5368</v>
      </c>
      <c r="Q244" s="23">
        <f ca="1">SUMIF(CPU!M:M,B237,CPU!R:R)</f>
        <v>73.414720000000003</v>
      </c>
      <c r="R244" s="23">
        <f t="shared" ca="1" si="71"/>
        <v>73.414720000000003</v>
      </c>
    </row>
    <row r="245" spans="1:18" ht="15" customHeight="1" x14ac:dyDescent="0.3">
      <c r="A245" s="23" t="s">
        <v>1025</v>
      </c>
      <c r="B245" s="23">
        <v>1213</v>
      </c>
      <c r="C245" s="23" t="str">
        <f>VLOOKUP(B245,IF(A245="COMPOSICAO",S!$A:$E,I!$A:$E),2,FALSE)</f>
        <v>SINAPI</v>
      </c>
      <c r="D245" s="24" t="str">
        <f>VLOOKUP(B245,IF(A245="COMPOSICAO",S!$A:$E,I!$A:$E),3,FALSE)</f>
        <v>CARPINTEIRO DE FORMAS PARA CONCRETO (HORISTA)</v>
      </c>
      <c r="E245" s="23" t="str">
        <f>VLOOKUP(B245,IF(A245="COMPOSICAO",S!$A:$E,I!$A:$E),4,FALSE)</f>
        <v>H</v>
      </c>
      <c r="F245" s="23">
        <v>1</v>
      </c>
      <c r="G245" s="71">
        <f>IF(A245="COMPOSICAO",VLOOKUP("TOTAL SEM BDI - "&amp;B245,CPUAUX2!$A:$J,9,FALSE),VLOOKUP(B245,I!$A:$E,5,FALSE))</f>
        <v>20.329999999999998</v>
      </c>
      <c r="H245" s="72"/>
      <c r="I245" s="71">
        <f t="shared" si="68"/>
        <v>20.329999999999998</v>
      </c>
      <c r="J245" s="72"/>
      <c r="M245" s="23">
        <f t="shared" si="69"/>
        <v>1213</v>
      </c>
      <c r="N245" s="23">
        <f>SUMIF(CPU!M:M,B237,CPU!O:O)</f>
        <v>183.5368</v>
      </c>
      <c r="O245" s="23">
        <f t="shared" si="70"/>
        <v>183.5368</v>
      </c>
      <c r="Q245" s="23">
        <f ca="1">SUMIF(CPU!M:M,B237,CPU!R:R)</f>
        <v>73.414720000000003</v>
      </c>
      <c r="R245" s="23">
        <f t="shared" ca="1" si="71"/>
        <v>73.414720000000003</v>
      </c>
    </row>
    <row r="246" spans="1:18" x14ac:dyDescent="0.3">
      <c r="A246" s="68" t="str">
        <f>"TOTAL SEM BDI - "&amp;B237</f>
        <v>TOTAL SEM BDI - 88262</v>
      </c>
      <c r="B246" s="69"/>
      <c r="C246" s="69"/>
      <c r="D246" s="69"/>
      <c r="E246" s="69"/>
      <c r="F246" s="69"/>
      <c r="G246" s="69"/>
      <c r="H246" s="70"/>
      <c r="I246" s="71">
        <f>SUM(I237:I245)</f>
        <v>26.97</v>
      </c>
      <c r="J246" s="72"/>
    </row>
    <row r="248" spans="1:18" x14ac:dyDescent="0.3">
      <c r="A248" s="4" t="s">
        <v>1018</v>
      </c>
      <c r="B248" s="4" t="s">
        <v>138</v>
      </c>
      <c r="C248" s="4" t="s">
        <v>139</v>
      </c>
      <c r="D248" s="4" t="s">
        <v>21</v>
      </c>
      <c r="E248" s="4" t="s">
        <v>140</v>
      </c>
      <c r="F248" s="4" t="s">
        <v>506</v>
      </c>
      <c r="G248" s="34" t="s">
        <v>1019</v>
      </c>
      <c r="H248" s="35"/>
      <c r="I248" s="34" t="s">
        <v>15</v>
      </c>
      <c r="J248" s="35"/>
    </row>
    <row r="249" spans="1:18" ht="30" customHeight="1" x14ac:dyDescent="0.3">
      <c r="A249" s="15" t="s">
        <v>1093</v>
      </c>
      <c r="B249" s="15">
        <v>88239</v>
      </c>
      <c r="C249" s="15" t="str">
        <f>VLOOKUP(B249,S!$A:$G,2,FALSE)</f>
        <v>SINAPI</v>
      </c>
      <c r="D249" s="22" t="str">
        <f>VLOOKUP(B249,S!$A:$G,3,FALSE)</f>
        <v>AJUDANTE DE CARPINTEIRO COM ENCARGOS COMPLEMENTARES</v>
      </c>
      <c r="E249" s="15" t="str">
        <f>VLOOKUP(B249,S!$A:$G,4,FALSE)</f>
        <v>H</v>
      </c>
      <c r="F249" s="15"/>
      <c r="G249" s="73">
        <f>I258</f>
        <v>22.2</v>
      </c>
      <c r="H249" s="74"/>
      <c r="I249" s="73"/>
      <c r="J249" s="74"/>
      <c r="K249" s="16">
        <f>VLOOKUP(B249,S!A:G,5,FALSE)</f>
        <v>22.2</v>
      </c>
      <c r="L249" s="15" t="str">
        <f>IF(K249=G249,"OK, CONFORME TABELA",IF(G249&gt;K249,"ACIMA DA TABELA: ","ABAIXO DA TABELA: ")&amp;TRUNC((G249*100)/K249,2)&amp;" %")</f>
        <v>OK, CONFORME TABELA</v>
      </c>
    </row>
    <row r="250" spans="1:18" ht="30" customHeight="1" x14ac:dyDescent="0.3">
      <c r="A250" s="23" t="s">
        <v>1022</v>
      </c>
      <c r="B250" s="23">
        <v>95309</v>
      </c>
      <c r="C250" s="23" t="str">
        <f>VLOOKUP(B250,IF(A250="COMPOSICAO",S!$A:$E,I!$A:$E),2,FALSE)</f>
        <v>SINAPI</v>
      </c>
      <c r="D250" s="24" t="str">
        <f>VLOOKUP(B250,IF(A250="COMPOSICAO",S!$A:$E,I!$A:$E),3,FALSE)</f>
        <v>CURSO DE CAPACITAÇÃO PARA AJUDANTE DE CARPINTEIRO (ENCARGOS COMPLEMENTARES) - HORISTA</v>
      </c>
      <c r="E250" s="23" t="str">
        <f>VLOOKUP(B250,IF(A250="COMPOSICAO",S!$A:$E,I!$A:$E),4,FALSE)</f>
        <v>H</v>
      </c>
      <c r="F250" s="23">
        <v>1</v>
      </c>
      <c r="G250" s="71">
        <f>IF(A250="COMPOSICAO",VLOOKUP("TOTAL SEM BDI - "&amp;B250,CPUAUX2!$A:$J,9,FALSE),VLOOKUP(B250,I!$A:$E,5,FALSE))</f>
        <v>0.22</v>
      </c>
      <c r="H250" s="72"/>
      <c r="I250" s="71">
        <f t="shared" ref="I250:I257" si="72">TRUNC(F250*G250,2)</f>
        <v>0.22</v>
      </c>
      <c r="J250" s="72"/>
      <c r="M250" s="23">
        <f t="shared" ref="M250:M257" si="73">B250</f>
        <v>95309</v>
      </c>
      <c r="N250" s="23">
        <f>SUMIF(CPU!M:M,B249,CPU!O:O)</f>
        <v>179.99629999999999</v>
      </c>
      <c r="O250" s="23">
        <f t="shared" ref="O250:O257" si="74">F250*N250</f>
        <v>179.99629999999999</v>
      </c>
      <c r="Q250" s="23">
        <f ca="1">SUMIF(CPU!M:M,B249,CPU!R:R)</f>
        <v>71.998519999999999</v>
      </c>
      <c r="R250" s="23">
        <f t="shared" ref="R250:R257" ca="1" si="75">F250*Q250</f>
        <v>71.998519999999999</v>
      </c>
    </row>
    <row r="251" spans="1:18" ht="30" customHeight="1" x14ac:dyDescent="0.3">
      <c r="A251" s="23" t="s">
        <v>1025</v>
      </c>
      <c r="B251" s="23">
        <v>43483</v>
      </c>
      <c r="C251" s="23" t="str">
        <f>VLOOKUP(B251,IF(A251="COMPOSICAO",S!$A:$E,I!$A:$E),2,FALSE)</f>
        <v>SINAPI</v>
      </c>
      <c r="D251" s="24" t="str">
        <f>VLOOKUP(B251,IF(A251="COMPOSICAO",S!$A:$E,I!$A:$E),3,FALSE)</f>
        <v>EPI - FAMILIA CARPINTEIRO DE FORMAS - HORISTA (ENCARGOS COMPLEMENTARES - COLETADO CAIXA)</v>
      </c>
      <c r="E251" s="23" t="str">
        <f>VLOOKUP(B251,IF(A251="COMPOSICAO",S!$A:$E,I!$A:$E),4,FALSE)</f>
        <v>H</v>
      </c>
      <c r="F251" s="23">
        <v>1</v>
      </c>
      <c r="G251" s="71">
        <f>IF(A251="COMPOSICAO",VLOOKUP("TOTAL SEM BDI - "&amp;B251,CPUAUX2!$A:$J,9,FALSE),VLOOKUP(B251,I!$A:$E,5,FALSE))</f>
        <v>1.43</v>
      </c>
      <c r="H251" s="72"/>
      <c r="I251" s="71">
        <f t="shared" si="72"/>
        <v>1.43</v>
      </c>
      <c r="J251" s="72"/>
      <c r="M251" s="23">
        <f t="shared" si="73"/>
        <v>43483</v>
      </c>
      <c r="N251" s="23">
        <f>SUMIF(CPU!M:M,B249,CPU!O:O)</f>
        <v>179.99629999999999</v>
      </c>
      <c r="O251" s="23">
        <f t="shared" si="74"/>
        <v>179.99629999999999</v>
      </c>
      <c r="Q251" s="23">
        <f ca="1">SUMIF(CPU!M:M,B249,CPU!R:R)</f>
        <v>71.998519999999999</v>
      </c>
      <c r="R251" s="23">
        <f t="shared" ca="1" si="75"/>
        <v>71.998519999999999</v>
      </c>
    </row>
    <row r="252" spans="1:18" ht="45" customHeight="1" x14ac:dyDescent="0.3">
      <c r="A252" s="23" t="s">
        <v>1025</v>
      </c>
      <c r="B252" s="23">
        <v>43459</v>
      </c>
      <c r="C252" s="23" t="str">
        <f>VLOOKUP(B252,IF(A252="COMPOSICAO",S!$A:$E,I!$A:$E),2,FALSE)</f>
        <v>SINAPI</v>
      </c>
      <c r="D252" s="24" t="str">
        <f>VLOOKUP(B252,IF(A252="COMPOSICAO",S!$A:$E,I!$A:$E),3,FALSE)</f>
        <v>FERRAMENTAS - FAMILIA CARPINTEIRO DE FORMAS - HORISTA (ENCARGOS COMPLEMENTARES - COLETADO CAIXA)</v>
      </c>
      <c r="E252" s="23" t="str">
        <f>VLOOKUP(B252,IF(A252="COMPOSICAO",S!$A:$E,I!$A:$E),4,FALSE)</f>
        <v>H</v>
      </c>
      <c r="F252" s="23">
        <v>1</v>
      </c>
      <c r="G252" s="71">
        <f>IF(A252="COMPOSICAO",VLOOKUP("TOTAL SEM BDI - "&amp;B252,CPUAUX2!$A:$J,9,FALSE),VLOOKUP(B252,I!$A:$E,5,FALSE))</f>
        <v>0.44</v>
      </c>
      <c r="H252" s="72"/>
      <c r="I252" s="71">
        <f t="shared" si="72"/>
        <v>0.44</v>
      </c>
      <c r="J252" s="72"/>
      <c r="M252" s="23">
        <f t="shared" si="73"/>
        <v>43459</v>
      </c>
      <c r="N252" s="23">
        <f>SUMIF(CPU!M:M,B249,CPU!O:O)</f>
        <v>179.99629999999999</v>
      </c>
      <c r="O252" s="23">
        <f t="shared" si="74"/>
        <v>179.99629999999999</v>
      </c>
      <c r="Q252" s="23">
        <f ca="1">SUMIF(CPU!M:M,B249,CPU!R:R)</f>
        <v>71.998519999999999</v>
      </c>
      <c r="R252" s="23">
        <f t="shared" ca="1" si="75"/>
        <v>71.998519999999999</v>
      </c>
    </row>
    <row r="253" spans="1:18" ht="30" customHeight="1" x14ac:dyDescent="0.3">
      <c r="A253" s="23" t="s">
        <v>1025</v>
      </c>
      <c r="B253" s="23">
        <v>37373</v>
      </c>
      <c r="C253" s="23" t="str">
        <f>VLOOKUP(B253,IF(A253="COMPOSICAO",S!$A:$E,I!$A:$E),2,FALSE)</f>
        <v>SINAPI</v>
      </c>
      <c r="D253" s="24" t="str">
        <f>VLOOKUP(B253,IF(A253="COMPOSICAO",S!$A:$E,I!$A:$E),3,FALSE)</f>
        <v>SEGURO - HORISTA (COLETADO CAIXA - ENCARGOS COMPLEMENTARES)</v>
      </c>
      <c r="E253" s="23" t="str">
        <f>VLOOKUP(B253,IF(A253="COMPOSICAO",S!$A:$E,I!$A:$E),4,FALSE)</f>
        <v>H</v>
      </c>
      <c r="F253" s="23">
        <v>1</v>
      </c>
      <c r="G253" s="71">
        <f>IF(A253="COMPOSICAO",VLOOKUP("TOTAL SEM BDI - "&amp;B253,CPUAUX2!$A:$J,9,FALSE),VLOOKUP(B253,I!$A:$E,5,FALSE))</f>
        <v>0.08</v>
      </c>
      <c r="H253" s="72"/>
      <c r="I253" s="71">
        <f t="shared" si="72"/>
        <v>0.08</v>
      </c>
      <c r="J253" s="72"/>
      <c r="M253" s="23">
        <f t="shared" si="73"/>
        <v>37373</v>
      </c>
      <c r="N253" s="23">
        <f>SUMIF(CPU!M:M,B249,CPU!O:O)</f>
        <v>179.99629999999999</v>
      </c>
      <c r="O253" s="23">
        <f t="shared" si="74"/>
        <v>179.99629999999999</v>
      </c>
      <c r="Q253" s="23">
        <f ca="1">SUMIF(CPU!M:M,B249,CPU!R:R)</f>
        <v>71.998519999999999</v>
      </c>
      <c r="R253" s="23">
        <f t="shared" ca="1" si="75"/>
        <v>71.998519999999999</v>
      </c>
    </row>
    <row r="254" spans="1:18" ht="30" customHeight="1" x14ac:dyDescent="0.3">
      <c r="A254" s="23" t="s">
        <v>1025</v>
      </c>
      <c r="B254" s="23">
        <v>37372</v>
      </c>
      <c r="C254" s="23" t="str">
        <f>VLOOKUP(B254,IF(A254="COMPOSICAO",S!$A:$E,I!$A:$E),2,FALSE)</f>
        <v>SINAPI</v>
      </c>
      <c r="D254" s="24" t="str">
        <f>VLOOKUP(B254,IF(A254="COMPOSICAO",S!$A:$E,I!$A:$E),3,FALSE)</f>
        <v>EXAMES - HORISTA (COLETADO CAIXA - ENCARGOS COMPLEMENTARES)</v>
      </c>
      <c r="E254" s="23" t="str">
        <f>VLOOKUP(B254,IF(A254="COMPOSICAO",S!$A:$E,I!$A:$E),4,FALSE)</f>
        <v>H</v>
      </c>
      <c r="F254" s="23">
        <v>1</v>
      </c>
      <c r="G254" s="71">
        <f>IF(A254="COMPOSICAO",VLOOKUP("TOTAL SEM BDI - "&amp;B254,CPUAUX2!$A:$J,9,FALSE),VLOOKUP(B254,I!$A:$E,5,FALSE))</f>
        <v>1.43</v>
      </c>
      <c r="H254" s="72"/>
      <c r="I254" s="71">
        <f t="shared" si="72"/>
        <v>1.43</v>
      </c>
      <c r="J254" s="72"/>
      <c r="M254" s="23">
        <f t="shared" si="73"/>
        <v>37372</v>
      </c>
      <c r="N254" s="23">
        <f>SUMIF(CPU!M:M,B249,CPU!O:O)</f>
        <v>179.99629999999999</v>
      </c>
      <c r="O254" s="23">
        <f t="shared" si="74"/>
        <v>179.99629999999999</v>
      </c>
      <c r="Q254" s="23">
        <f ca="1">SUMIF(CPU!M:M,B249,CPU!R:R)</f>
        <v>71.998519999999999</v>
      </c>
      <c r="R254" s="23">
        <f t="shared" ca="1" si="75"/>
        <v>71.998519999999999</v>
      </c>
    </row>
    <row r="255" spans="1:18" ht="30" customHeight="1" x14ac:dyDescent="0.3">
      <c r="A255" s="23" t="s">
        <v>1025</v>
      </c>
      <c r="B255" s="23">
        <v>37371</v>
      </c>
      <c r="C255" s="23" t="str">
        <f>VLOOKUP(B255,IF(A255="COMPOSICAO",S!$A:$E,I!$A:$E),2,FALSE)</f>
        <v>SINAPI</v>
      </c>
      <c r="D255" s="24" t="str">
        <f>VLOOKUP(B255,IF(A255="COMPOSICAO",S!$A:$E,I!$A:$E),3,FALSE)</f>
        <v>TRANSPORTE - HORISTA (COLETADO CAIXA - ENCARGOS COMPLEMENTARES)</v>
      </c>
      <c r="E255" s="23" t="str">
        <f>VLOOKUP(B255,IF(A255="COMPOSICAO",S!$A:$E,I!$A:$E),4,FALSE)</f>
        <v>H</v>
      </c>
      <c r="F255" s="23">
        <v>1</v>
      </c>
      <c r="G255" s="71">
        <f>IF(A255="COMPOSICAO",VLOOKUP("TOTAL SEM BDI - "&amp;B255,CPUAUX2!$A:$J,9,FALSE),VLOOKUP(B255,I!$A:$E,5,FALSE))</f>
        <v>0.56999999999999995</v>
      </c>
      <c r="H255" s="72"/>
      <c r="I255" s="71">
        <f t="shared" si="72"/>
        <v>0.56999999999999995</v>
      </c>
      <c r="J255" s="72"/>
      <c r="M255" s="23">
        <f t="shared" si="73"/>
        <v>37371</v>
      </c>
      <c r="N255" s="23">
        <f>SUMIF(CPU!M:M,B249,CPU!O:O)</f>
        <v>179.99629999999999</v>
      </c>
      <c r="O255" s="23">
        <f t="shared" si="74"/>
        <v>179.99629999999999</v>
      </c>
      <c r="Q255" s="23">
        <f ca="1">SUMIF(CPU!M:M,B249,CPU!R:R)</f>
        <v>71.998519999999999</v>
      </c>
      <c r="R255" s="23">
        <f t="shared" ca="1" si="75"/>
        <v>71.998519999999999</v>
      </c>
    </row>
    <row r="256" spans="1:18" ht="30" customHeight="1" x14ac:dyDescent="0.3">
      <c r="A256" s="23" t="s">
        <v>1025</v>
      </c>
      <c r="B256" s="23">
        <v>37370</v>
      </c>
      <c r="C256" s="23" t="str">
        <f>VLOOKUP(B256,IF(A256="COMPOSICAO",S!$A:$E,I!$A:$E),2,FALSE)</f>
        <v>SINAPI</v>
      </c>
      <c r="D256" s="24" t="str">
        <f>VLOOKUP(B256,IF(A256="COMPOSICAO",S!$A:$E,I!$A:$E),3,FALSE)</f>
        <v>ALIMENTACAO - HORISTA (COLETADO CAIXA - ENCARGOS COMPLEMENTARES)</v>
      </c>
      <c r="E256" s="23" t="str">
        <f>VLOOKUP(B256,IF(A256="COMPOSICAO",S!$A:$E,I!$A:$E),4,FALSE)</f>
        <v>H</v>
      </c>
      <c r="F256" s="23">
        <v>1</v>
      </c>
      <c r="G256" s="71">
        <f>IF(A256="COMPOSICAO",VLOOKUP("TOTAL SEM BDI - "&amp;B256,CPUAUX2!$A:$J,9,FALSE),VLOOKUP(B256,I!$A:$E,5,FALSE))</f>
        <v>2.46</v>
      </c>
      <c r="H256" s="72"/>
      <c r="I256" s="71">
        <f t="shared" si="72"/>
        <v>2.46</v>
      </c>
      <c r="J256" s="72"/>
      <c r="M256" s="23">
        <f t="shared" si="73"/>
        <v>37370</v>
      </c>
      <c r="N256" s="23">
        <f>SUMIF(CPU!M:M,B249,CPU!O:O)</f>
        <v>179.99629999999999</v>
      </c>
      <c r="O256" s="23">
        <f t="shared" si="74"/>
        <v>179.99629999999999</v>
      </c>
      <c r="Q256" s="23">
        <f ca="1">SUMIF(CPU!M:M,B249,CPU!R:R)</f>
        <v>71.998519999999999</v>
      </c>
      <c r="R256" s="23">
        <f t="shared" ca="1" si="75"/>
        <v>71.998519999999999</v>
      </c>
    </row>
    <row r="257" spans="1:18" x14ac:dyDescent="0.3">
      <c r="A257" s="23" t="s">
        <v>1025</v>
      </c>
      <c r="B257" s="23">
        <v>6117</v>
      </c>
      <c r="C257" s="23" t="str">
        <f>VLOOKUP(B257,IF(A257="COMPOSICAO",S!$A:$E,I!$A:$E),2,FALSE)</f>
        <v>SINAPI</v>
      </c>
      <c r="D257" s="24" t="str">
        <f>VLOOKUP(B257,IF(A257="COMPOSICAO",S!$A:$E,I!$A:$E),3,FALSE)</f>
        <v>CARPINTEIRO AUXILIAR (HORISTA)</v>
      </c>
      <c r="E257" s="23" t="str">
        <f>VLOOKUP(B257,IF(A257="COMPOSICAO",S!$A:$E,I!$A:$E),4,FALSE)</f>
        <v>H</v>
      </c>
      <c r="F257" s="23">
        <v>1</v>
      </c>
      <c r="G257" s="71">
        <f>IF(A257="COMPOSICAO",VLOOKUP("TOTAL SEM BDI - "&amp;B257,CPUAUX2!$A:$J,9,FALSE),VLOOKUP(B257,I!$A:$E,5,FALSE))</f>
        <v>15.57</v>
      </c>
      <c r="H257" s="72"/>
      <c r="I257" s="71">
        <f t="shared" si="72"/>
        <v>15.57</v>
      </c>
      <c r="J257" s="72"/>
      <c r="M257" s="23">
        <f t="shared" si="73"/>
        <v>6117</v>
      </c>
      <c r="N257" s="23">
        <f>SUMIF(CPU!M:M,B249,CPU!O:O)</f>
        <v>179.99629999999999</v>
      </c>
      <c r="O257" s="23">
        <f t="shared" si="74"/>
        <v>179.99629999999999</v>
      </c>
      <c r="Q257" s="23">
        <f ca="1">SUMIF(CPU!M:M,B249,CPU!R:R)</f>
        <v>71.998519999999999</v>
      </c>
      <c r="R257" s="23">
        <f t="shared" ca="1" si="75"/>
        <v>71.998519999999999</v>
      </c>
    </row>
    <row r="258" spans="1:18" x14ac:dyDescent="0.3">
      <c r="A258" s="68" t="str">
        <f>"TOTAL SEM BDI - "&amp;B249</f>
        <v>TOTAL SEM BDI - 88239</v>
      </c>
      <c r="B258" s="69"/>
      <c r="C258" s="69"/>
      <c r="D258" s="69"/>
      <c r="E258" s="69"/>
      <c r="F258" s="69"/>
      <c r="G258" s="69"/>
      <c r="H258" s="70"/>
      <c r="I258" s="71">
        <f>SUM(I249:I257)</f>
        <v>22.2</v>
      </c>
      <c r="J258" s="72"/>
    </row>
    <row r="260" spans="1:18" x14ac:dyDescent="0.3">
      <c r="A260" s="4" t="s">
        <v>1018</v>
      </c>
      <c r="B260" s="4" t="s">
        <v>138</v>
      </c>
      <c r="C260" s="4" t="s">
        <v>139</v>
      </c>
      <c r="D260" s="4" t="s">
        <v>21</v>
      </c>
      <c r="E260" s="4" t="s">
        <v>140</v>
      </c>
      <c r="F260" s="4" t="s">
        <v>506</v>
      </c>
      <c r="G260" s="34" t="s">
        <v>1019</v>
      </c>
      <c r="H260" s="35"/>
      <c r="I260" s="34" t="s">
        <v>15</v>
      </c>
      <c r="J260" s="35"/>
    </row>
    <row r="261" spans="1:18" ht="60" customHeight="1" x14ac:dyDescent="0.3">
      <c r="A261" s="15" t="s">
        <v>1095</v>
      </c>
      <c r="B261" s="15">
        <v>94968</v>
      </c>
      <c r="C261" s="15" t="str">
        <f>VLOOKUP(B261,S!$A:$G,2,FALSE)</f>
        <v>SINAPI</v>
      </c>
      <c r="D261" s="22" t="str">
        <f>VLOOKUP(B261,S!$A:$G,3,FALSE)</f>
        <v>CONCRETO MAGRO PARA LASTRO, TRAÇO 1:4,5:4,5 (EM MASSA SECA DE CIMENTO/ AREIA MÉDIA/ BRITA 1) - PREPARO MECÂNICO COM BETONEIRA 600 L. AF_05/2021</v>
      </c>
      <c r="E261" s="15" t="str">
        <f>VLOOKUP(B261,S!$A:$G,4,FALSE)</f>
        <v>M3</v>
      </c>
      <c r="F261" s="15"/>
      <c r="G261" s="73">
        <f>I269</f>
        <v>525.04</v>
      </c>
      <c r="H261" s="74"/>
      <c r="I261" s="73"/>
      <c r="J261" s="74"/>
      <c r="K261" s="16">
        <f>VLOOKUP(B261,S!A:G,5,FALSE)</f>
        <v>525.04</v>
      </c>
      <c r="L261" s="15" t="str">
        <f>IF(K261=G261,"OK, CONFORME TABELA",IF(G261&gt;K261,"ACIMA DA TABELA: ","ABAIXO DA TABELA: ")&amp;TRUNC((G261*100)/K261,2)&amp;" %")</f>
        <v>OK, CONFORME TABELA</v>
      </c>
    </row>
    <row r="262" spans="1:18" ht="60" customHeight="1" x14ac:dyDescent="0.3">
      <c r="A262" s="23" t="s">
        <v>1022</v>
      </c>
      <c r="B262" s="23">
        <v>89226</v>
      </c>
      <c r="C262" s="23" t="str">
        <f>VLOOKUP(B262,IF(A262="COMPOSICAO",S!$A:$E,I!$A:$E),2,FALSE)</f>
        <v>SINAPI</v>
      </c>
      <c r="D262" s="24" t="str">
        <f>VLOOKUP(B262,IF(A262="COMPOSICAO",S!$A:$E,I!$A:$E),3,FALSE)</f>
        <v>BETONEIRA CAPACIDADE NOMINAL DE 600 L, CAPACIDADE DE MISTURA 360 L, MOTOR ELÉTRICO TRIFÁSICO POTÊNCIA DE 4 CV, SEM CARREGADOR - CHI DIURNO. AF_05/2023</v>
      </c>
      <c r="E262" s="23" t="str">
        <f>VLOOKUP(B262,IF(A262="COMPOSICAO",S!$A:$E,I!$A:$E),4,FALSE)</f>
        <v>CHI</v>
      </c>
      <c r="F262" s="23">
        <v>0.6462</v>
      </c>
      <c r="G262" s="71">
        <f>IF(A262="COMPOSICAO",VLOOKUP("TOTAL SEM BDI - "&amp;B262,CPUAUX2!$A:$J,9,FALSE),VLOOKUP(B262,I!$A:$E,5,FALSE))</f>
        <v>2.0499999999999998</v>
      </c>
      <c r="H262" s="72"/>
      <c r="I262" s="71">
        <f t="shared" ref="I262:I268" si="76">TRUNC(F262*G262,2)</f>
        <v>1.32</v>
      </c>
      <c r="J262" s="72"/>
      <c r="M262" s="23">
        <f t="shared" ref="M262:M268" si="77">B262</f>
        <v>89226</v>
      </c>
      <c r="N262" s="23">
        <f>SUMIF(CPU!M:M,B261,CPU!O:O)</f>
        <v>1.11531</v>
      </c>
      <c r="O262" s="23">
        <f t="shared" ref="O262:O268" si="78">F262*N262</f>
        <v>0.72071332200000005</v>
      </c>
      <c r="Q262" s="23">
        <f ca="1">SUMIF(CPU!M:M,B261,CPU!R:R)</f>
        <v>0.44612400000000002</v>
      </c>
      <c r="R262" s="23">
        <f t="shared" ref="R262:R268" ca="1" si="79">F262*Q262</f>
        <v>0.28828532880000002</v>
      </c>
    </row>
    <row r="263" spans="1:18" ht="60" customHeight="1" x14ac:dyDescent="0.3">
      <c r="A263" s="23" t="s">
        <v>1022</v>
      </c>
      <c r="B263" s="23">
        <v>89225</v>
      </c>
      <c r="C263" s="23" t="str">
        <f>VLOOKUP(B263,IF(A263="COMPOSICAO",S!$A:$E,I!$A:$E),2,FALSE)</f>
        <v>SINAPI</v>
      </c>
      <c r="D263" s="24" t="str">
        <f>VLOOKUP(B263,IF(A263="COMPOSICAO",S!$A:$E,I!$A:$E),3,FALSE)</f>
        <v>BETONEIRA CAPACIDADE NOMINAL DE 600 L, CAPACIDADE DE MISTURA 360 L, MOTOR ELÉTRICO TRIFÁSICO POTÊNCIA DE 4 CV, SEM CARREGADOR - CHP DIURNO. AF_05/2023</v>
      </c>
      <c r="E263" s="23" t="str">
        <f>VLOOKUP(B263,IF(A263="COMPOSICAO",S!$A:$E,I!$A:$E),4,FALSE)</f>
        <v>CHP</v>
      </c>
      <c r="F263" s="23">
        <v>0.68530000000000002</v>
      </c>
      <c r="G263" s="71">
        <f>IF(A263="COMPOSICAO",VLOOKUP("TOTAL SEM BDI - "&amp;B263,CPUAUX2!$A:$J,9,FALSE),VLOOKUP(B263,I!$A:$E,5,FALSE))</f>
        <v>6.63</v>
      </c>
      <c r="H263" s="72"/>
      <c r="I263" s="71">
        <f t="shared" si="76"/>
        <v>4.54</v>
      </c>
      <c r="J263" s="72"/>
      <c r="M263" s="23">
        <f t="shared" si="77"/>
        <v>89225</v>
      </c>
      <c r="N263" s="23">
        <f>SUMIF(CPU!M:M,B261,CPU!O:O)</f>
        <v>1.11531</v>
      </c>
      <c r="O263" s="23">
        <f t="shared" si="78"/>
        <v>0.764321943</v>
      </c>
      <c r="Q263" s="23">
        <f ca="1">SUMIF(CPU!M:M,B261,CPU!R:R)</f>
        <v>0.44612400000000002</v>
      </c>
      <c r="R263" s="23">
        <f t="shared" ca="1" si="79"/>
        <v>0.30572877720000002</v>
      </c>
    </row>
    <row r="264" spans="1:18" ht="30" customHeight="1" x14ac:dyDescent="0.3">
      <c r="A264" s="23" t="s">
        <v>1022</v>
      </c>
      <c r="B264" s="23">
        <v>88377</v>
      </c>
      <c r="C264" s="23" t="str">
        <f>VLOOKUP(B264,IF(A264="COMPOSICAO",S!$A:$E,I!$A:$E),2,FALSE)</f>
        <v>SINAPI</v>
      </c>
      <c r="D264" s="24" t="str">
        <f>VLOOKUP(B264,IF(A264="COMPOSICAO",S!$A:$E,I!$A:$E),3,FALSE)</f>
        <v>OPERADOR DE BETONEIRA ESTACIONÁRIA/MISTURADOR COM ENCARGOS COMPLEMENTARES</v>
      </c>
      <c r="E264" s="23" t="str">
        <f>VLOOKUP(B264,IF(A264="COMPOSICAO",S!$A:$E,I!$A:$E),4,FALSE)</f>
        <v>H</v>
      </c>
      <c r="F264" s="23">
        <f>1.3315/pcf</f>
        <v>1.3314999999999999</v>
      </c>
      <c r="G264" s="71">
        <f>IF(A264="COMPOSICAO",VLOOKUP("TOTAL SEM BDI - "&amp;B264,CPUAUX2!$A:$J,9,FALSE),VLOOKUP(B264,I!$A:$E,5,FALSE))</f>
        <v>27.09</v>
      </c>
      <c r="H264" s="72"/>
      <c r="I264" s="71">
        <f t="shared" si="76"/>
        <v>36.07</v>
      </c>
      <c r="J264" s="72"/>
      <c r="M264" s="23">
        <f t="shared" si="77"/>
        <v>88377</v>
      </c>
      <c r="N264" s="23">
        <f>SUMIF(CPU!M:M,B261,CPU!O:O)</f>
        <v>1.11531</v>
      </c>
      <c r="O264" s="23">
        <f t="shared" si="78"/>
        <v>1.4850352649999998</v>
      </c>
      <c r="Q264" s="23">
        <f ca="1">SUMIF(CPU!M:M,B261,CPU!R:R)</f>
        <v>0.44612400000000002</v>
      </c>
      <c r="R264" s="23">
        <f t="shared" ca="1" si="79"/>
        <v>0.59401410599999993</v>
      </c>
    </row>
    <row r="265" spans="1:18" x14ac:dyDescent="0.3">
      <c r="A265" s="23" t="s">
        <v>1022</v>
      </c>
      <c r="B265" s="23">
        <v>88316</v>
      </c>
      <c r="C265" s="23" t="str">
        <f>VLOOKUP(B265,IF(A265="COMPOSICAO",S!$A:$E,I!$A:$E),2,FALSE)</f>
        <v>SINAPI</v>
      </c>
      <c r="D265" s="24" t="str">
        <f>VLOOKUP(B265,IF(A265="COMPOSICAO",S!$A:$E,I!$A:$E),3,FALSE)</f>
        <v>SERVENTE COM ENCARGOS COMPLEMENTARES</v>
      </c>
      <c r="E265" s="23" t="str">
        <f>VLOOKUP(B265,IF(A265="COMPOSICAO",S!$A:$E,I!$A:$E),4,FALSE)</f>
        <v>H</v>
      </c>
      <c r="F265" s="23">
        <f>2.1058/pcf</f>
        <v>2.1057999999999999</v>
      </c>
      <c r="G265" s="71">
        <f>IF(A265="COMPOSICAO",VLOOKUP("TOTAL SEM BDI - "&amp;B265,CPUAUX2!$A:$J,9,FALSE),VLOOKUP(B265,I!$A:$E,5,FALSE))</f>
        <v>21.71</v>
      </c>
      <c r="H265" s="72"/>
      <c r="I265" s="71">
        <f t="shared" si="76"/>
        <v>45.71</v>
      </c>
      <c r="J265" s="72"/>
      <c r="M265" s="23">
        <f t="shared" si="77"/>
        <v>88316</v>
      </c>
      <c r="N265" s="23">
        <f>SUMIF(CPU!M:M,B261,CPU!O:O)</f>
        <v>1.11531</v>
      </c>
      <c r="O265" s="23">
        <f t="shared" si="78"/>
        <v>2.3486197980000001</v>
      </c>
      <c r="Q265" s="23">
        <f ca="1">SUMIF(CPU!M:M,B261,CPU!R:R)</f>
        <v>0.44612400000000002</v>
      </c>
      <c r="R265" s="23">
        <f t="shared" ca="1" si="79"/>
        <v>0.93944791920000004</v>
      </c>
    </row>
    <row r="266" spans="1:18" ht="30" customHeight="1" x14ac:dyDescent="0.3">
      <c r="A266" s="23" t="s">
        <v>1025</v>
      </c>
      <c r="B266" s="23">
        <v>4721</v>
      </c>
      <c r="C266" s="23" t="str">
        <f>VLOOKUP(B266,IF(A266="COMPOSICAO",S!$A:$E,I!$A:$E),2,FALSE)</f>
        <v>SINAPI</v>
      </c>
      <c r="D266" s="24" t="str">
        <f>VLOOKUP(B266,IF(A266="COMPOSICAO",S!$A:$E,I!$A:$E),3,FALSE)</f>
        <v>PEDRA BRITADA N. 1 (9,5 A 19 MM) POSTO PEDREIRA/FORNECEDOR, SEM FRETE</v>
      </c>
      <c r="E266" s="23" t="str">
        <f>VLOOKUP(B266,IF(A266="COMPOSICAO",S!$A:$E,I!$A:$E),4,FALSE)</f>
        <v>M3</v>
      </c>
      <c r="F266" s="23">
        <v>0.58209999999999995</v>
      </c>
      <c r="G266" s="71">
        <f>IF(A266="COMPOSICAO",VLOOKUP("TOTAL SEM BDI - "&amp;B266,CPUAUX2!$A:$J,9,FALSE),VLOOKUP(B266,I!$A:$E,5,FALSE))</f>
        <v>248.89</v>
      </c>
      <c r="H266" s="72"/>
      <c r="I266" s="71">
        <f t="shared" si="76"/>
        <v>144.87</v>
      </c>
      <c r="J266" s="72"/>
      <c r="M266" s="23">
        <f t="shared" si="77"/>
        <v>4721</v>
      </c>
      <c r="N266" s="23">
        <f>SUMIF(CPU!M:M,B261,CPU!O:O)</f>
        <v>1.11531</v>
      </c>
      <c r="O266" s="23">
        <f t="shared" si="78"/>
        <v>0.64922195099999991</v>
      </c>
      <c r="Q266" s="23">
        <f ca="1">SUMIF(CPU!M:M,B261,CPU!R:R)</f>
        <v>0.44612400000000002</v>
      </c>
      <c r="R266" s="23">
        <f t="shared" ca="1" si="79"/>
        <v>0.25968878039999999</v>
      </c>
    </row>
    <row r="267" spans="1:18" x14ac:dyDescent="0.3">
      <c r="A267" s="23" t="s">
        <v>1025</v>
      </c>
      <c r="B267" s="23">
        <v>1379</v>
      </c>
      <c r="C267" s="23" t="str">
        <f>VLOOKUP(B267,IF(A267="COMPOSICAO",S!$A:$E,I!$A:$E),2,FALSE)</f>
        <v>SINAPI</v>
      </c>
      <c r="D267" s="24" t="str">
        <f>VLOOKUP(B267,IF(A267="COMPOSICAO",S!$A:$E,I!$A:$E),3,FALSE)</f>
        <v>CIMENTO PORTLAND COMPOSTO CP II-32</v>
      </c>
      <c r="E267" s="23" t="str">
        <f>VLOOKUP(B267,IF(A267="COMPOSICAO",S!$A:$E,I!$A:$E),4,FALSE)</f>
        <v>KG</v>
      </c>
      <c r="F267" s="23">
        <v>213.45310000000001</v>
      </c>
      <c r="G267" s="71">
        <f>IF(A267="COMPOSICAO",VLOOKUP("TOTAL SEM BDI - "&amp;B267,CPUAUX2!$A:$J,9,FALSE),VLOOKUP(B267,I!$A:$E,5,FALSE))</f>
        <v>1</v>
      </c>
      <c r="H267" s="72"/>
      <c r="I267" s="71">
        <f t="shared" si="76"/>
        <v>213.45</v>
      </c>
      <c r="J267" s="72"/>
      <c r="M267" s="23">
        <f t="shared" si="77"/>
        <v>1379</v>
      </c>
      <c r="N267" s="23">
        <f>SUMIF(CPU!M:M,B261,CPU!O:O)</f>
        <v>1.11531</v>
      </c>
      <c r="O267" s="23">
        <f t="shared" si="78"/>
        <v>238.066376961</v>
      </c>
      <c r="Q267" s="23">
        <f ca="1">SUMIF(CPU!M:M,B261,CPU!R:R)</f>
        <v>0.44612400000000002</v>
      </c>
      <c r="R267" s="23">
        <f t="shared" ca="1" si="79"/>
        <v>95.226550784400004</v>
      </c>
    </row>
    <row r="268" spans="1:18" ht="30" customHeight="1" x14ac:dyDescent="0.3">
      <c r="A268" s="23" t="s">
        <v>1025</v>
      </c>
      <c r="B268" s="23">
        <v>370</v>
      </c>
      <c r="C268" s="23" t="str">
        <f>VLOOKUP(B268,IF(A268="COMPOSICAO",S!$A:$E,I!$A:$E),2,FALSE)</f>
        <v>SINAPI</v>
      </c>
      <c r="D268" s="24" t="str">
        <f>VLOOKUP(B268,IF(A268="COMPOSICAO",S!$A:$E,I!$A:$E),3,FALSE)</f>
        <v>AREIA MEDIA - POSTO JAZIDA/FORNECEDOR (RETIRADO NA JAZIDA, SEM TRANSPORTE)</v>
      </c>
      <c r="E268" s="23" t="str">
        <f>VLOOKUP(B268,IF(A268="COMPOSICAO",S!$A:$E,I!$A:$E),4,FALSE)</f>
        <v>M3</v>
      </c>
      <c r="F268" s="23">
        <v>0.83250000000000002</v>
      </c>
      <c r="G268" s="71">
        <f>IF(A268="COMPOSICAO",VLOOKUP("TOTAL SEM BDI - "&amp;B268,CPUAUX2!$A:$J,9,FALSE),VLOOKUP(B268,I!$A:$E,5,FALSE))</f>
        <v>95</v>
      </c>
      <c r="H268" s="72"/>
      <c r="I268" s="71">
        <f t="shared" si="76"/>
        <v>79.08</v>
      </c>
      <c r="J268" s="72"/>
      <c r="M268" s="23">
        <f t="shared" si="77"/>
        <v>370</v>
      </c>
      <c r="N268" s="23">
        <f>SUMIF(CPU!M:M,B261,CPU!O:O)</f>
        <v>1.11531</v>
      </c>
      <c r="O268" s="23">
        <f t="shared" si="78"/>
        <v>0.92849557500000002</v>
      </c>
      <c r="Q268" s="23">
        <f ca="1">SUMIF(CPU!M:M,B261,CPU!R:R)</f>
        <v>0.44612400000000002</v>
      </c>
      <c r="R268" s="23">
        <f t="shared" ca="1" si="79"/>
        <v>0.37139823000000005</v>
      </c>
    </row>
    <row r="269" spans="1:18" x14ac:dyDescent="0.3">
      <c r="A269" s="68" t="str">
        <f>"TOTAL SEM BDI - "&amp;B261</f>
        <v>TOTAL SEM BDI - 94968</v>
      </c>
      <c r="B269" s="69"/>
      <c r="C269" s="69"/>
      <c r="D269" s="69"/>
      <c r="E269" s="69"/>
      <c r="F269" s="69"/>
      <c r="G269" s="69"/>
      <c r="H269" s="70"/>
      <c r="I269" s="71">
        <f>SUM(I261:I268)</f>
        <v>525.04</v>
      </c>
      <c r="J269" s="72"/>
    </row>
    <row r="271" spans="1:18" x14ac:dyDescent="0.3">
      <c r="A271" s="4" t="s">
        <v>1018</v>
      </c>
      <c r="B271" s="4" t="s">
        <v>138</v>
      </c>
      <c r="C271" s="4" t="s">
        <v>139</v>
      </c>
      <c r="D271" s="4" t="s">
        <v>21</v>
      </c>
      <c r="E271" s="4" t="s">
        <v>140</v>
      </c>
      <c r="F271" s="4" t="s">
        <v>506</v>
      </c>
      <c r="G271" s="34" t="s">
        <v>1019</v>
      </c>
      <c r="H271" s="35"/>
      <c r="I271" s="34" t="s">
        <v>15</v>
      </c>
      <c r="J271" s="35"/>
    </row>
    <row r="272" spans="1:18" ht="45" customHeight="1" x14ac:dyDescent="0.3">
      <c r="A272" s="15" t="s">
        <v>1094</v>
      </c>
      <c r="B272" s="15">
        <v>88629</v>
      </c>
      <c r="C272" s="15" t="str">
        <f>VLOOKUP(B272,S!$A:$G,2,FALSE)</f>
        <v>SINAPI</v>
      </c>
      <c r="D272" s="22" t="str">
        <f>VLOOKUP(B272,S!$A:$G,3,FALSE)</f>
        <v>ARGAMASSA TRAÇO 1:3 (EM VOLUME DE CIMENTO E AREIA MÉDIA ÚMIDA), PREPARO MANUAL. AF_08/2019</v>
      </c>
      <c r="E272" s="15" t="str">
        <f>VLOOKUP(B272,S!$A:$G,4,FALSE)</f>
        <v>M3</v>
      </c>
      <c r="F272" s="15"/>
      <c r="G272" s="73">
        <f>I276</f>
        <v>770.66</v>
      </c>
      <c r="H272" s="74"/>
      <c r="I272" s="73"/>
      <c r="J272" s="74"/>
      <c r="K272" s="16">
        <f>VLOOKUP(B272,S!A:G,5,FALSE)</f>
        <v>770.66</v>
      </c>
      <c r="L272" s="15" t="str">
        <f>IF(K272=G272,"OK, CONFORME TABELA",IF(G272&gt;K272,"ACIMA DA TABELA: ","ABAIXO DA TABELA: ")&amp;TRUNC((G272*100)/K272,2)&amp;" %")</f>
        <v>OK, CONFORME TABELA</v>
      </c>
    </row>
    <row r="273" spans="1:18" x14ac:dyDescent="0.3">
      <c r="A273" s="23" t="s">
        <v>1022</v>
      </c>
      <c r="B273" s="23">
        <v>88316</v>
      </c>
      <c r="C273" s="23" t="str">
        <f>VLOOKUP(B273,IF(A273="COMPOSICAO",S!$A:$E,I!$A:$E),2,FALSE)</f>
        <v>SINAPI</v>
      </c>
      <c r="D273" s="24" t="str">
        <f>VLOOKUP(B273,IF(A273="COMPOSICAO",S!$A:$E,I!$A:$E),3,FALSE)</f>
        <v>SERVENTE COM ENCARGOS COMPLEMENTARES</v>
      </c>
      <c r="E273" s="23" t="str">
        <f>VLOOKUP(B273,IF(A273="COMPOSICAO",S!$A:$E,I!$A:$E),4,FALSE)</f>
        <v>H</v>
      </c>
      <c r="F273" s="23">
        <f>8.57/pcf</f>
        <v>8.57</v>
      </c>
      <c r="G273" s="71">
        <f>IF(A273="COMPOSICAO",VLOOKUP("TOTAL SEM BDI - "&amp;B273,CPUAUX2!$A:$J,9,FALSE),VLOOKUP(B273,I!$A:$E,5,FALSE))</f>
        <v>21.71</v>
      </c>
      <c r="H273" s="72"/>
      <c r="I273" s="71">
        <f>TRUNC(F273*G273,2)</f>
        <v>186.05</v>
      </c>
      <c r="J273" s="72"/>
      <c r="M273" s="23">
        <f>B273</f>
        <v>88316</v>
      </c>
      <c r="N273" s="23">
        <f>SUMIF(CPU!M:M,B272,CPU!O:O)</f>
        <v>2.2942399999999998</v>
      </c>
      <c r="O273" s="23">
        <f>F273*N273</f>
        <v>19.6616368</v>
      </c>
      <c r="Q273" s="23">
        <f ca="1">SUMIF(CPU!M:M,B272,CPU!R:R)</f>
        <v>0.91769599999999996</v>
      </c>
      <c r="R273" s="23">
        <f ca="1">F273*Q273</f>
        <v>7.8646547199999999</v>
      </c>
    </row>
    <row r="274" spans="1:18" x14ac:dyDescent="0.3">
      <c r="A274" s="23" t="s">
        <v>1025</v>
      </c>
      <c r="B274" s="23">
        <v>1379</v>
      </c>
      <c r="C274" s="23" t="str">
        <f>VLOOKUP(B274,IF(A274="COMPOSICAO",S!$A:$E,I!$A:$E),2,FALSE)</f>
        <v>SINAPI</v>
      </c>
      <c r="D274" s="24" t="str">
        <f>VLOOKUP(B274,IF(A274="COMPOSICAO",S!$A:$E,I!$A:$E),3,FALSE)</f>
        <v>CIMENTO PORTLAND COMPOSTO CP II-32</v>
      </c>
      <c r="E274" s="23" t="str">
        <f>VLOOKUP(B274,IF(A274="COMPOSICAO",S!$A:$E,I!$A:$E),4,FALSE)</f>
        <v>KG</v>
      </c>
      <c r="F274" s="23">
        <v>482.96</v>
      </c>
      <c r="G274" s="71">
        <f>IF(A274="COMPOSICAO",VLOOKUP("TOTAL SEM BDI - "&amp;B274,CPUAUX2!$A:$J,9,FALSE),VLOOKUP(B274,I!$A:$E,5,FALSE))</f>
        <v>1</v>
      </c>
      <c r="H274" s="72"/>
      <c r="I274" s="71">
        <f>TRUNC(F274*G274,2)</f>
        <v>482.96</v>
      </c>
      <c r="J274" s="72"/>
      <c r="M274" s="23">
        <f>B274</f>
        <v>1379</v>
      </c>
      <c r="N274" s="23">
        <f>SUMIF(CPU!M:M,B272,CPU!O:O)</f>
        <v>2.2942399999999998</v>
      </c>
      <c r="O274" s="23">
        <f>F274*N274</f>
        <v>1108.0261503999998</v>
      </c>
      <c r="Q274" s="23">
        <f ca="1">SUMIF(CPU!M:M,B272,CPU!R:R)</f>
        <v>0.91769599999999996</v>
      </c>
      <c r="R274" s="23">
        <f ca="1">F274*Q274</f>
        <v>443.21046015999997</v>
      </c>
    </row>
    <row r="275" spans="1:18" ht="30" customHeight="1" x14ac:dyDescent="0.3">
      <c r="A275" s="23" t="s">
        <v>1025</v>
      </c>
      <c r="B275" s="23">
        <v>370</v>
      </c>
      <c r="C275" s="23" t="str">
        <f>VLOOKUP(B275,IF(A275="COMPOSICAO",S!$A:$E,I!$A:$E),2,FALSE)</f>
        <v>SINAPI</v>
      </c>
      <c r="D275" s="24" t="str">
        <f>VLOOKUP(B275,IF(A275="COMPOSICAO",S!$A:$E,I!$A:$E),3,FALSE)</f>
        <v>AREIA MEDIA - POSTO JAZIDA/FORNECEDOR (RETIRADO NA JAZIDA, SEM TRANSPORTE)</v>
      </c>
      <c r="E275" s="23" t="str">
        <f>VLOOKUP(B275,IF(A275="COMPOSICAO",S!$A:$E,I!$A:$E),4,FALSE)</f>
        <v>M3</v>
      </c>
      <c r="F275" s="23">
        <v>1.07</v>
      </c>
      <c r="G275" s="71">
        <f>IF(A275="COMPOSICAO",VLOOKUP("TOTAL SEM BDI - "&amp;B275,CPUAUX2!$A:$J,9,FALSE),VLOOKUP(B275,I!$A:$E,5,FALSE))</f>
        <v>95</v>
      </c>
      <c r="H275" s="72"/>
      <c r="I275" s="71">
        <f>TRUNC(F275*G275,2)</f>
        <v>101.65</v>
      </c>
      <c r="J275" s="72"/>
      <c r="M275" s="23">
        <f>B275</f>
        <v>370</v>
      </c>
      <c r="N275" s="23">
        <f>SUMIF(CPU!M:M,B272,CPU!O:O)</f>
        <v>2.2942399999999998</v>
      </c>
      <c r="O275" s="23">
        <f>F275*N275</f>
        <v>2.4548367999999998</v>
      </c>
      <c r="Q275" s="23">
        <f ca="1">SUMIF(CPU!M:M,B272,CPU!R:R)</f>
        <v>0.91769599999999996</v>
      </c>
      <c r="R275" s="23">
        <f ca="1">F275*Q275</f>
        <v>0.98193472000000004</v>
      </c>
    </row>
    <row r="276" spans="1:18" x14ac:dyDescent="0.3">
      <c r="A276" s="68" t="str">
        <f>"TOTAL SEM BDI - "&amp;B272</f>
        <v>TOTAL SEM BDI - 88629</v>
      </c>
      <c r="B276" s="69"/>
      <c r="C276" s="69"/>
      <c r="D276" s="69"/>
      <c r="E276" s="69"/>
      <c r="F276" s="69"/>
      <c r="G276" s="69"/>
      <c r="H276" s="70"/>
      <c r="I276" s="71">
        <f>SUM(I272:I275)</f>
        <v>770.66</v>
      </c>
      <c r="J276" s="72"/>
    </row>
    <row r="278" spans="1:18" x14ac:dyDescent="0.3">
      <c r="A278" s="4" t="s">
        <v>1018</v>
      </c>
      <c r="B278" s="4" t="s">
        <v>138</v>
      </c>
      <c r="C278" s="4" t="s">
        <v>139</v>
      </c>
      <c r="D278" s="4" t="s">
        <v>21</v>
      </c>
      <c r="E278" s="4" t="s">
        <v>140</v>
      </c>
      <c r="F278" s="4" t="s">
        <v>506</v>
      </c>
      <c r="G278" s="34" t="s">
        <v>1019</v>
      </c>
      <c r="H278" s="35"/>
      <c r="I278" s="34" t="s">
        <v>15</v>
      </c>
      <c r="J278" s="35"/>
    </row>
    <row r="279" spans="1:18" ht="60" customHeight="1" x14ac:dyDescent="0.3">
      <c r="A279" s="15" t="s">
        <v>1094</v>
      </c>
      <c r="B279" s="15">
        <v>87369</v>
      </c>
      <c r="C279" s="15" t="str">
        <f>VLOOKUP(B279,S!$A:$G,2,FALSE)</f>
        <v>SINAPI</v>
      </c>
      <c r="D279" s="22" t="str">
        <f>VLOOKUP(B279,S!$A:$G,3,FALSE)</f>
        <v>ARGAMASSA TRAÇO 1:2:8 (EM VOLUME DE CIMENTO, CAL E AREIA MÉDIA ÚMIDA) PARA EMBOÇO/MASSA ÚNICA/ASSENTAMENTO DE ALVENARIA DE VEDAÇÃO, PREPARO MANUAL. AF_08/2019</v>
      </c>
      <c r="E279" s="15" t="str">
        <f>VLOOKUP(B279,S!$A:$G,4,FALSE)</f>
        <v>M3</v>
      </c>
      <c r="F279" s="15"/>
      <c r="G279" s="73">
        <f>I284</f>
        <v>754</v>
      </c>
      <c r="H279" s="74"/>
      <c r="I279" s="73"/>
      <c r="J279" s="74"/>
      <c r="K279" s="16">
        <f>VLOOKUP(B279,S!A:G,5,FALSE)</f>
        <v>754</v>
      </c>
      <c r="L279" s="15" t="str">
        <f>IF(K279=G279,"OK, CONFORME TABELA",IF(G279&gt;K279,"ACIMA DA TABELA: ","ABAIXO DA TABELA: ")&amp;TRUNC((G279*100)/K279,2)&amp;" %")</f>
        <v>OK, CONFORME TABELA</v>
      </c>
    </row>
    <row r="280" spans="1:18" x14ac:dyDescent="0.3">
      <c r="A280" s="23" t="s">
        <v>1022</v>
      </c>
      <c r="B280" s="23">
        <v>88316</v>
      </c>
      <c r="C280" s="23" t="str">
        <f>VLOOKUP(B280,IF(A280="COMPOSICAO",S!$A:$E,I!$A:$E),2,FALSE)</f>
        <v>SINAPI</v>
      </c>
      <c r="D280" s="24" t="str">
        <f>VLOOKUP(B280,IF(A280="COMPOSICAO",S!$A:$E,I!$A:$E),3,FALSE)</f>
        <v>SERVENTE COM ENCARGOS COMPLEMENTARES</v>
      </c>
      <c r="E280" s="23" t="str">
        <f>VLOOKUP(B280,IF(A280="COMPOSICAO",S!$A:$E,I!$A:$E),4,FALSE)</f>
        <v>H</v>
      </c>
      <c r="F280" s="23">
        <f>11.1/pcf</f>
        <v>11.1</v>
      </c>
      <c r="G280" s="71">
        <f>IF(A280="COMPOSICAO",VLOOKUP("TOTAL SEM BDI - "&amp;B280,CPUAUX2!$A:$J,9,FALSE),VLOOKUP(B280,I!$A:$E,5,FALSE))</f>
        <v>21.71</v>
      </c>
      <c r="H280" s="72"/>
      <c r="I280" s="71">
        <f>TRUNC(F280*G280,2)</f>
        <v>240.98</v>
      </c>
      <c r="J280" s="72"/>
      <c r="M280" s="23">
        <f>B280</f>
        <v>88316</v>
      </c>
      <c r="N280" s="23">
        <f>SUMIF(CPU!M:M,B279,CPU!O:O)</f>
        <v>6.9062250000000001</v>
      </c>
      <c r="O280" s="23">
        <f>F280*N280</f>
        <v>76.659097500000001</v>
      </c>
      <c r="Q280" s="23">
        <f ca="1">SUMIF(CPU!M:M,B279,CPU!R:R)</f>
        <v>2.7624900000000001</v>
      </c>
      <c r="R280" s="23">
        <f ca="1">F280*Q280</f>
        <v>30.663639</v>
      </c>
    </row>
    <row r="281" spans="1:18" x14ac:dyDescent="0.3">
      <c r="A281" s="23" t="s">
        <v>1025</v>
      </c>
      <c r="B281" s="23">
        <v>1379</v>
      </c>
      <c r="C281" s="23" t="str">
        <f>VLOOKUP(B281,IF(A281="COMPOSICAO",S!$A:$E,I!$A:$E),2,FALSE)</f>
        <v>SINAPI</v>
      </c>
      <c r="D281" s="24" t="str">
        <f>VLOOKUP(B281,IF(A281="COMPOSICAO",S!$A:$E,I!$A:$E),3,FALSE)</f>
        <v>CIMENTO PORTLAND COMPOSTO CP II-32</v>
      </c>
      <c r="E281" s="23" t="str">
        <f>VLOOKUP(B281,IF(A281="COMPOSICAO",S!$A:$E,I!$A:$E),4,FALSE)</f>
        <v>KG</v>
      </c>
      <c r="F281" s="23">
        <v>192.52</v>
      </c>
      <c r="G281" s="71">
        <f>IF(A281="COMPOSICAO",VLOOKUP("TOTAL SEM BDI - "&amp;B281,CPUAUX2!$A:$J,9,FALSE),VLOOKUP(B281,I!$A:$E,5,FALSE))</f>
        <v>1</v>
      </c>
      <c r="H281" s="72"/>
      <c r="I281" s="71">
        <f>TRUNC(F281*G281,2)</f>
        <v>192.52</v>
      </c>
      <c r="J281" s="72"/>
      <c r="M281" s="23">
        <f>B281</f>
        <v>1379</v>
      </c>
      <c r="N281" s="23">
        <f>SUMIF(CPU!M:M,B279,CPU!O:O)</f>
        <v>6.9062250000000001</v>
      </c>
      <c r="O281" s="23">
        <f>F281*N281</f>
        <v>1329.5864370000002</v>
      </c>
      <c r="Q281" s="23">
        <f ca="1">SUMIF(CPU!M:M,B279,CPU!R:R)</f>
        <v>2.7624900000000001</v>
      </c>
      <c r="R281" s="23">
        <f ca="1">F281*Q281</f>
        <v>531.83457480000004</v>
      </c>
    </row>
    <row r="282" spans="1:18" x14ac:dyDescent="0.3">
      <c r="A282" s="23" t="s">
        <v>1025</v>
      </c>
      <c r="B282" s="23">
        <v>1106</v>
      </c>
      <c r="C282" s="23" t="str">
        <f>VLOOKUP(B282,IF(A282="COMPOSICAO",S!$A:$E,I!$A:$E),2,FALSE)</f>
        <v>SINAPI</v>
      </c>
      <c r="D282" s="24" t="str">
        <f>VLOOKUP(B282,IF(A282="COMPOSICAO",S!$A:$E,I!$A:$E),3,FALSE)</f>
        <v>CAL HIDRATADA CH-I PARA ARGAMASSAS</v>
      </c>
      <c r="E282" s="23" t="str">
        <f>VLOOKUP(B282,IF(A282="COMPOSICAO",S!$A:$E,I!$A:$E),4,FALSE)</f>
        <v>KG</v>
      </c>
      <c r="F282" s="23">
        <v>171.13</v>
      </c>
      <c r="G282" s="71">
        <f>IF(A282="COMPOSICAO",VLOOKUP("TOTAL SEM BDI - "&amp;B282,CPUAUX2!$A:$J,9,FALSE),VLOOKUP(B282,I!$A:$E,5,FALSE))</f>
        <v>1.24</v>
      </c>
      <c r="H282" s="72"/>
      <c r="I282" s="71">
        <f>TRUNC(F282*G282,2)</f>
        <v>212.2</v>
      </c>
      <c r="J282" s="72"/>
      <c r="M282" s="23">
        <f>B282</f>
        <v>1106</v>
      </c>
      <c r="N282" s="23">
        <f>SUMIF(CPU!M:M,B279,CPU!O:O)</f>
        <v>6.9062250000000001</v>
      </c>
      <c r="O282" s="23">
        <f>F282*N282</f>
        <v>1181.8622842499999</v>
      </c>
      <c r="Q282" s="23">
        <f ca="1">SUMIF(CPU!M:M,B279,CPU!R:R)</f>
        <v>2.7624900000000001</v>
      </c>
      <c r="R282" s="23">
        <f ca="1">F282*Q282</f>
        <v>472.74491369999998</v>
      </c>
    </row>
    <row r="283" spans="1:18" ht="30" customHeight="1" x14ac:dyDescent="0.3">
      <c r="A283" s="23" t="s">
        <v>1025</v>
      </c>
      <c r="B283" s="23">
        <v>370</v>
      </c>
      <c r="C283" s="23" t="str">
        <f>VLOOKUP(B283,IF(A283="COMPOSICAO",S!$A:$E,I!$A:$E),2,FALSE)</f>
        <v>SINAPI</v>
      </c>
      <c r="D283" s="24" t="str">
        <f>VLOOKUP(B283,IF(A283="COMPOSICAO",S!$A:$E,I!$A:$E),3,FALSE)</f>
        <v>AREIA MEDIA - POSTO JAZIDA/FORNECEDOR (RETIRADO NA JAZIDA, SEM TRANSPORTE)</v>
      </c>
      <c r="E283" s="23" t="str">
        <f>VLOOKUP(B283,IF(A283="COMPOSICAO",S!$A:$E,I!$A:$E),4,FALSE)</f>
        <v>M3</v>
      </c>
      <c r="F283" s="23">
        <v>1.1399999999999999</v>
      </c>
      <c r="G283" s="71">
        <f>IF(A283="COMPOSICAO",VLOOKUP("TOTAL SEM BDI - "&amp;B283,CPUAUX2!$A:$J,9,FALSE),VLOOKUP(B283,I!$A:$E,5,FALSE))</f>
        <v>95</v>
      </c>
      <c r="H283" s="72"/>
      <c r="I283" s="71">
        <f>TRUNC(F283*G283,2)</f>
        <v>108.3</v>
      </c>
      <c r="J283" s="72"/>
      <c r="M283" s="23">
        <f>B283</f>
        <v>370</v>
      </c>
      <c r="N283" s="23">
        <f>SUMIF(CPU!M:M,B279,CPU!O:O)</f>
        <v>6.9062250000000001</v>
      </c>
      <c r="O283" s="23">
        <f>F283*N283</f>
        <v>7.8730964999999991</v>
      </c>
      <c r="Q283" s="23">
        <f ca="1">SUMIF(CPU!M:M,B279,CPU!R:R)</f>
        <v>2.7624900000000001</v>
      </c>
      <c r="R283" s="23">
        <f ca="1">F283*Q283</f>
        <v>3.1492385999999999</v>
      </c>
    </row>
    <row r="284" spans="1:18" x14ac:dyDescent="0.3">
      <c r="A284" s="68" t="str">
        <f>"TOTAL SEM BDI - "&amp;B279</f>
        <v>TOTAL SEM BDI - 87369</v>
      </c>
      <c r="B284" s="69"/>
      <c r="C284" s="69"/>
      <c r="D284" s="69"/>
      <c r="E284" s="69"/>
      <c r="F284" s="69"/>
      <c r="G284" s="69"/>
      <c r="H284" s="70"/>
      <c r="I284" s="71">
        <f>SUM(I279:I283)</f>
        <v>754</v>
      </c>
      <c r="J284" s="72"/>
    </row>
    <row r="286" spans="1:18" x14ac:dyDescent="0.3">
      <c r="A286" s="4" t="s">
        <v>1018</v>
      </c>
      <c r="B286" s="4" t="s">
        <v>138</v>
      </c>
      <c r="C286" s="4" t="s">
        <v>139</v>
      </c>
      <c r="D286" s="4" t="s">
        <v>21</v>
      </c>
      <c r="E286" s="4" t="s">
        <v>140</v>
      </c>
      <c r="F286" s="4" t="s">
        <v>506</v>
      </c>
      <c r="G286" s="34" t="s">
        <v>1019</v>
      </c>
      <c r="H286" s="35"/>
      <c r="I286" s="34" t="s">
        <v>15</v>
      </c>
      <c r="J286" s="35"/>
    </row>
    <row r="287" spans="1:18" ht="30" customHeight="1" x14ac:dyDescent="0.3">
      <c r="A287" s="15" t="s">
        <v>1099</v>
      </c>
      <c r="B287" s="15">
        <v>92270</v>
      </c>
      <c r="C287" s="15" t="str">
        <f>VLOOKUP(B287,S!$A:$G,2,FALSE)</f>
        <v>SINAPI</v>
      </c>
      <c r="D287" s="22" t="str">
        <f>VLOOKUP(B287,S!$A:$G,3,FALSE)</f>
        <v>FABRICAÇÃO DE FÔRMA PARA VIGAS, COM MADEIRA SERRADA, E = 25 MM. AF_09/2020</v>
      </c>
      <c r="E287" s="15" t="str">
        <f>VLOOKUP(B287,S!$A:$G,4,FALSE)</f>
        <v>M2</v>
      </c>
      <c r="F287" s="15"/>
      <c r="G287" s="73">
        <f>I295</f>
        <v>142.23999999999998</v>
      </c>
      <c r="H287" s="74"/>
      <c r="I287" s="73"/>
      <c r="J287" s="74"/>
      <c r="K287" s="16">
        <f>VLOOKUP(B287,S!A:G,5,FALSE)</f>
        <v>142.24</v>
      </c>
      <c r="L287" s="15" t="str">
        <f>IF(K287=G287,"OK, CONFORME TABELA",IF(G287&gt;K287,"ACIMA DA TABELA: ","ABAIXO DA TABELA: ")&amp;TRUNC((G287*100)/K287,2)&amp;" %")</f>
        <v>OK, CONFORME TABELA</v>
      </c>
    </row>
    <row r="288" spans="1:18" ht="45" customHeight="1" x14ac:dyDescent="0.3">
      <c r="A288" s="23" t="s">
        <v>1022</v>
      </c>
      <c r="B288" s="23">
        <v>91693</v>
      </c>
      <c r="C288" s="23" t="str">
        <f>VLOOKUP(B288,IF(A288="COMPOSICAO",S!$A:$E,I!$A:$E),2,FALSE)</f>
        <v>SINAPI</v>
      </c>
      <c r="D288" s="24" t="str">
        <f>VLOOKUP(B288,IF(A288="COMPOSICAO",S!$A:$E,I!$A:$E),3,FALSE)</f>
        <v>SERRA CIRCULAR DE BANCADA COM MOTOR ELÉTRICO POTÊNCIA DE 5HP, COM COIFA PARA DISCO 10" - CHI DIURNO. AF_08/2015</v>
      </c>
      <c r="E288" s="23" t="str">
        <f>VLOOKUP(B288,IF(A288="COMPOSICAO",S!$A:$E,I!$A:$E),4,FALSE)</f>
        <v>CHI</v>
      </c>
      <c r="F288" s="23">
        <v>0.224</v>
      </c>
      <c r="G288" s="71">
        <f>IF(A288="COMPOSICAO",VLOOKUP("TOTAL SEM BDI - "&amp;B288,CPUAUX2!$A:$J,9,FALSE),VLOOKUP(B288,I!$A:$E,5,FALSE))</f>
        <v>27.3</v>
      </c>
      <c r="H288" s="72"/>
      <c r="I288" s="71">
        <f t="shared" ref="I288:I294" si="80">TRUNC(F288*G288,2)</f>
        <v>6.11</v>
      </c>
      <c r="J288" s="72"/>
      <c r="M288" s="23">
        <f t="shared" ref="M288:M294" si="81">B288</f>
        <v>91693</v>
      </c>
      <c r="N288" s="23">
        <f>SUMIF(CPU!M:M,B287,CPU!O:O)</f>
        <v>15.479999999999999</v>
      </c>
      <c r="O288" s="23">
        <f t="shared" ref="O288:O294" si="82">F288*N288</f>
        <v>3.4675199999999999</v>
      </c>
      <c r="Q288" s="23">
        <f ca="1">SUMIF(CPU!M:M,B287,CPU!R:R)</f>
        <v>6.1919999999999993</v>
      </c>
      <c r="R288" s="23">
        <f t="shared" ref="R288:R294" ca="1" si="83">F288*Q288</f>
        <v>1.3870079999999998</v>
      </c>
    </row>
    <row r="289" spans="1:18" ht="45" customHeight="1" x14ac:dyDescent="0.3">
      <c r="A289" s="23" t="s">
        <v>1022</v>
      </c>
      <c r="B289" s="23">
        <v>91692</v>
      </c>
      <c r="C289" s="23" t="str">
        <f>VLOOKUP(B289,IF(A289="COMPOSICAO",S!$A:$E,I!$A:$E),2,FALSE)</f>
        <v>SINAPI</v>
      </c>
      <c r="D289" s="24" t="str">
        <f>VLOOKUP(B289,IF(A289="COMPOSICAO",S!$A:$E,I!$A:$E),3,FALSE)</f>
        <v>SERRA CIRCULAR DE BANCADA COM MOTOR ELÉTRICO POTÊNCIA DE 5HP, COM COIFA PARA DISCO 10" - CHP DIURNO. AF_08/2015</v>
      </c>
      <c r="E289" s="23" t="str">
        <f>VLOOKUP(B289,IF(A289="COMPOSICAO",S!$A:$E,I!$A:$E),4,FALSE)</f>
        <v>CHP</v>
      </c>
      <c r="F289" s="23">
        <v>5.6000000000000001E-2</v>
      </c>
      <c r="G289" s="71">
        <f>IF(A289="COMPOSICAO",VLOOKUP("TOTAL SEM BDI - "&amp;B289,CPUAUX2!$A:$J,9,FALSE),VLOOKUP(B289,I!$A:$E,5,FALSE))</f>
        <v>28.87</v>
      </c>
      <c r="H289" s="72"/>
      <c r="I289" s="71">
        <f t="shared" si="80"/>
        <v>1.61</v>
      </c>
      <c r="J289" s="72"/>
      <c r="M289" s="23">
        <f t="shared" si="81"/>
        <v>91692</v>
      </c>
      <c r="N289" s="23">
        <f>SUMIF(CPU!M:M,B287,CPU!O:O)</f>
        <v>15.479999999999999</v>
      </c>
      <c r="O289" s="23">
        <f t="shared" si="82"/>
        <v>0.86687999999999998</v>
      </c>
      <c r="Q289" s="23">
        <f ca="1">SUMIF(CPU!M:M,B287,CPU!R:R)</f>
        <v>6.1919999999999993</v>
      </c>
      <c r="R289" s="23">
        <f t="shared" ca="1" si="83"/>
        <v>0.34675199999999995</v>
      </c>
    </row>
    <row r="290" spans="1:18" ht="30" customHeight="1" x14ac:dyDescent="0.3">
      <c r="A290" s="23" t="s">
        <v>1022</v>
      </c>
      <c r="B290" s="23">
        <v>88262</v>
      </c>
      <c r="C290" s="23" t="str">
        <f>VLOOKUP(B290,IF(A290="COMPOSICAO",S!$A:$E,I!$A:$E),2,FALSE)</f>
        <v>SINAPI</v>
      </c>
      <c r="D290" s="24" t="str">
        <f>VLOOKUP(B290,IF(A290="COMPOSICAO",S!$A:$E,I!$A:$E),3,FALSE)</f>
        <v>CARPINTEIRO DE FORMAS COM ENCARGOS COMPLEMENTARES</v>
      </c>
      <c r="E290" s="23" t="str">
        <f>VLOOKUP(B290,IF(A290="COMPOSICAO",S!$A:$E,I!$A:$E),4,FALSE)</f>
        <v>H</v>
      </c>
      <c r="F290" s="23">
        <f>0.792/pcf</f>
        <v>0.79200000000000004</v>
      </c>
      <c r="G290" s="71">
        <f>IF(A290="COMPOSICAO",VLOOKUP("TOTAL SEM BDI - "&amp;B290,CPUAUX2!$A:$J,9,FALSE),VLOOKUP(B290,I!$A:$E,5,FALSE))</f>
        <v>26.97</v>
      </c>
      <c r="H290" s="72"/>
      <c r="I290" s="71">
        <f t="shared" si="80"/>
        <v>21.36</v>
      </c>
      <c r="J290" s="72"/>
      <c r="M290" s="23">
        <f t="shared" si="81"/>
        <v>88262</v>
      </c>
      <c r="N290" s="23">
        <f>SUMIF(CPU!M:M,B287,CPU!O:O)</f>
        <v>15.479999999999999</v>
      </c>
      <c r="O290" s="23">
        <f t="shared" si="82"/>
        <v>12.260159999999999</v>
      </c>
      <c r="Q290" s="23">
        <f ca="1">SUMIF(CPU!M:M,B287,CPU!R:R)</f>
        <v>6.1919999999999993</v>
      </c>
      <c r="R290" s="23">
        <f t="shared" ca="1" si="83"/>
        <v>4.904064</v>
      </c>
    </row>
    <row r="291" spans="1:18" ht="30" customHeight="1" x14ac:dyDescent="0.3">
      <c r="A291" s="23" t="s">
        <v>1022</v>
      </c>
      <c r="B291" s="23">
        <v>88239</v>
      </c>
      <c r="C291" s="23" t="str">
        <f>VLOOKUP(B291,IF(A291="COMPOSICAO",S!$A:$E,I!$A:$E),2,FALSE)</f>
        <v>SINAPI</v>
      </c>
      <c r="D291" s="24" t="str">
        <f>VLOOKUP(B291,IF(A291="COMPOSICAO",S!$A:$E,I!$A:$E),3,FALSE)</f>
        <v>AJUDANTE DE CARPINTEIRO COM ENCARGOS COMPLEMENTARES</v>
      </c>
      <c r="E291" s="23" t="str">
        <f>VLOOKUP(B291,IF(A291="COMPOSICAO",S!$A:$E,I!$A:$E),4,FALSE)</f>
        <v>H</v>
      </c>
      <c r="F291" s="23">
        <f>0.179/pcf</f>
        <v>0.17899999999999999</v>
      </c>
      <c r="G291" s="71">
        <f>IF(A291="COMPOSICAO",VLOOKUP("TOTAL SEM BDI - "&amp;B291,CPUAUX2!$A:$J,9,FALSE),VLOOKUP(B291,I!$A:$E,5,FALSE))</f>
        <v>22.2</v>
      </c>
      <c r="H291" s="72"/>
      <c r="I291" s="71">
        <f t="shared" si="80"/>
        <v>3.97</v>
      </c>
      <c r="J291" s="72"/>
      <c r="M291" s="23">
        <f t="shared" si="81"/>
        <v>88239</v>
      </c>
      <c r="N291" s="23">
        <f>SUMIF(CPU!M:M,B287,CPU!O:O)</f>
        <v>15.479999999999999</v>
      </c>
      <c r="O291" s="23">
        <f t="shared" si="82"/>
        <v>2.7709199999999998</v>
      </c>
      <c r="Q291" s="23">
        <f ca="1">SUMIF(CPU!M:M,B287,CPU!R:R)</f>
        <v>6.1919999999999993</v>
      </c>
      <c r="R291" s="23">
        <f t="shared" ca="1" si="83"/>
        <v>1.1083679999999998</v>
      </c>
    </row>
    <row r="292" spans="1:18" ht="45" customHeight="1" x14ac:dyDescent="0.3">
      <c r="A292" s="23" t="s">
        <v>1025</v>
      </c>
      <c r="B292" s="23">
        <v>6189</v>
      </c>
      <c r="C292" s="23" t="str">
        <f>VLOOKUP(B292,IF(A292="COMPOSICAO",S!$A:$E,I!$A:$E),2,FALSE)</f>
        <v>SINAPI</v>
      </c>
      <c r="D292" s="24" t="str">
        <f>VLOOKUP(B292,IF(A292="COMPOSICAO",S!$A:$E,I!$A:$E),3,FALSE)</f>
        <v>TABUA NAO APARELHADA *2,5 X 30* CM, EM MACARANDUBA/MASSARANDUBA, ANGELIM OU EQUIVALENTE DA REGIAO - BRUTA</v>
      </c>
      <c r="E292" s="23" t="str">
        <f>VLOOKUP(B292,IF(A292="COMPOSICAO",S!$A:$E,I!$A:$E),4,FALSE)</f>
        <v>M</v>
      </c>
      <c r="F292" s="23">
        <v>4.4480000000000004</v>
      </c>
      <c r="G292" s="71">
        <f>IF(A292="COMPOSICAO",VLOOKUP("TOTAL SEM BDI - "&amp;B292,CPUAUX2!$A:$J,9,FALSE),VLOOKUP(B292,I!$A:$E,5,FALSE))</f>
        <v>20.62</v>
      </c>
      <c r="H292" s="72"/>
      <c r="I292" s="71">
        <f t="shared" si="80"/>
        <v>91.71</v>
      </c>
      <c r="J292" s="72"/>
      <c r="M292" s="23">
        <f t="shared" si="81"/>
        <v>6189</v>
      </c>
      <c r="N292" s="23">
        <f>SUMIF(CPU!M:M,B287,CPU!O:O)</f>
        <v>15.479999999999999</v>
      </c>
      <c r="O292" s="23">
        <f t="shared" si="82"/>
        <v>68.855040000000002</v>
      </c>
      <c r="Q292" s="23">
        <f ca="1">SUMIF(CPU!M:M,B287,CPU!R:R)</f>
        <v>6.1919999999999993</v>
      </c>
      <c r="R292" s="23">
        <f t="shared" ca="1" si="83"/>
        <v>27.542016</v>
      </c>
    </row>
    <row r="293" spans="1:18" ht="30" customHeight="1" x14ac:dyDescent="0.3">
      <c r="A293" s="23" t="s">
        <v>1025</v>
      </c>
      <c r="B293" s="23">
        <v>5068</v>
      </c>
      <c r="C293" s="23" t="str">
        <f>VLOOKUP(B293,IF(A293="COMPOSICAO",S!$A:$E,I!$A:$E),2,FALSE)</f>
        <v>SINAPI</v>
      </c>
      <c r="D293" s="24" t="str">
        <f>VLOOKUP(B293,IF(A293="COMPOSICAO",S!$A:$E,I!$A:$E),3,FALSE)</f>
        <v>PREGO DE ACO POLIDO COM CABECA 17 X 21 (2 X 11)</v>
      </c>
      <c r="E293" s="23" t="str">
        <f>VLOOKUP(B293,IF(A293="COMPOSICAO",S!$A:$E,I!$A:$E),4,FALSE)</f>
        <v>KG</v>
      </c>
      <c r="F293" s="23">
        <v>0.128</v>
      </c>
      <c r="G293" s="71">
        <f>IF(A293="COMPOSICAO",VLOOKUP("TOTAL SEM BDI - "&amp;B293,CPUAUX2!$A:$J,9,FALSE),VLOOKUP(B293,I!$A:$E,5,FALSE))</f>
        <v>20.34</v>
      </c>
      <c r="H293" s="72"/>
      <c r="I293" s="71">
        <f t="shared" si="80"/>
        <v>2.6</v>
      </c>
      <c r="J293" s="72"/>
      <c r="M293" s="23">
        <f t="shared" si="81"/>
        <v>5068</v>
      </c>
      <c r="N293" s="23">
        <f>SUMIF(CPU!M:M,B287,CPU!O:O)</f>
        <v>15.479999999999999</v>
      </c>
      <c r="O293" s="23">
        <f t="shared" si="82"/>
        <v>1.9814399999999999</v>
      </c>
      <c r="Q293" s="23">
        <f ca="1">SUMIF(CPU!M:M,B287,CPU!R:R)</f>
        <v>6.1919999999999993</v>
      </c>
      <c r="R293" s="23">
        <f t="shared" ca="1" si="83"/>
        <v>0.79257599999999995</v>
      </c>
    </row>
    <row r="294" spans="1:18" ht="30" customHeight="1" x14ac:dyDescent="0.3">
      <c r="A294" s="23" t="s">
        <v>1025</v>
      </c>
      <c r="B294" s="23">
        <v>4517</v>
      </c>
      <c r="C294" s="23" t="str">
        <f>VLOOKUP(B294,IF(A294="COMPOSICAO",S!$A:$E,I!$A:$E),2,FALSE)</f>
        <v>SINAPI</v>
      </c>
      <c r="D294" s="24" t="str">
        <f>VLOOKUP(B294,IF(A294="COMPOSICAO",S!$A:$E,I!$A:$E),3,FALSE)</f>
        <v>SARRAFO *2,5 X 7,5* CM EM PINUS, MISTA OU EQUIVALENTE DA REGIAO - BRUTA</v>
      </c>
      <c r="E294" s="23" t="str">
        <f>VLOOKUP(B294,IF(A294="COMPOSICAO",S!$A:$E,I!$A:$E),4,FALSE)</f>
        <v>M</v>
      </c>
      <c r="F294" s="23">
        <v>4.2279999999999998</v>
      </c>
      <c r="G294" s="71">
        <f>IF(A294="COMPOSICAO",VLOOKUP("TOTAL SEM BDI - "&amp;B294,CPUAUX2!$A:$J,9,FALSE),VLOOKUP(B294,I!$A:$E,5,FALSE))</f>
        <v>3.52</v>
      </c>
      <c r="H294" s="72"/>
      <c r="I294" s="71">
        <f t="shared" si="80"/>
        <v>14.88</v>
      </c>
      <c r="J294" s="72"/>
      <c r="M294" s="23">
        <f t="shared" si="81"/>
        <v>4517</v>
      </c>
      <c r="N294" s="23">
        <f>SUMIF(CPU!M:M,B287,CPU!O:O)</f>
        <v>15.479999999999999</v>
      </c>
      <c r="O294" s="23">
        <f t="shared" si="82"/>
        <v>65.449439999999996</v>
      </c>
      <c r="Q294" s="23">
        <f ca="1">SUMIF(CPU!M:M,B287,CPU!R:R)</f>
        <v>6.1919999999999993</v>
      </c>
      <c r="R294" s="23">
        <f t="shared" ca="1" si="83"/>
        <v>26.179775999999997</v>
      </c>
    </row>
    <row r="295" spans="1:18" x14ac:dyDescent="0.3">
      <c r="A295" s="68" t="str">
        <f>"TOTAL SEM BDI - "&amp;B287</f>
        <v>TOTAL SEM BDI - 92270</v>
      </c>
      <c r="B295" s="69"/>
      <c r="C295" s="69"/>
      <c r="D295" s="69"/>
      <c r="E295" s="69"/>
      <c r="F295" s="69"/>
      <c r="G295" s="69"/>
      <c r="H295" s="70"/>
      <c r="I295" s="71">
        <f>SUM(I287:I294)</f>
        <v>142.23999999999998</v>
      </c>
      <c r="J295" s="72"/>
    </row>
    <row r="297" spans="1:18" x14ac:dyDescent="0.3">
      <c r="A297" s="4" t="s">
        <v>1018</v>
      </c>
      <c r="B297" s="4" t="s">
        <v>138</v>
      </c>
      <c r="C297" s="4" t="s">
        <v>139</v>
      </c>
      <c r="D297" s="4" t="s">
        <v>21</v>
      </c>
      <c r="E297" s="4" t="s">
        <v>140</v>
      </c>
      <c r="F297" s="4" t="s">
        <v>506</v>
      </c>
      <c r="G297" s="34" t="s">
        <v>1019</v>
      </c>
      <c r="H297" s="35"/>
      <c r="I297" s="34" t="s">
        <v>15</v>
      </c>
      <c r="J297" s="35"/>
    </row>
    <row r="298" spans="1:18" ht="30" customHeight="1" x14ac:dyDescent="0.3">
      <c r="A298" s="15" t="s">
        <v>1100</v>
      </c>
      <c r="B298" s="15">
        <v>92802</v>
      </c>
      <c r="C298" s="15" t="str">
        <f>VLOOKUP(B298,S!$A:$G,2,FALSE)</f>
        <v>SINAPI</v>
      </c>
      <c r="D298" s="22" t="str">
        <f>VLOOKUP(B298,S!$A:$G,3,FALSE)</f>
        <v>CORTE E DOBRA DE AÇO CA-50, DIÂMETRO DE 8,0 MM. AF_06/2022</v>
      </c>
      <c r="E298" s="15" t="str">
        <f>VLOOKUP(B298,S!$A:$G,4,FALSE)</f>
        <v>KG</v>
      </c>
      <c r="F298" s="15"/>
      <c r="G298" s="73">
        <f>I302</f>
        <v>10</v>
      </c>
      <c r="H298" s="74"/>
      <c r="I298" s="73"/>
      <c r="J298" s="74"/>
      <c r="K298" s="16">
        <f>VLOOKUP(B298,S!A:G,5,FALSE)</f>
        <v>10</v>
      </c>
      <c r="L298" s="15" t="str">
        <f>IF(K298=G298,"OK, CONFORME TABELA",IF(G298&gt;K298,"ACIMA DA TABELA: ","ABAIXO DA TABELA: ")&amp;TRUNC((G298*100)/K298,2)&amp;" %")</f>
        <v>OK, CONFORME TABELA</v>
      </c>
    </row>
    <row r="299" spans="1:18" x14ac:dyDescent="0.3">
      <c r="A299" s="23" t="s">
        <v>1022</v>
      </c>
      <c r="B299" s="23">
        <v>88245</v>
      </c>
      <c r="C299" s="23" t="str">
        <f>VLOOKUP(B299,IF(A299="COMPOSICAO",S!$A:$E,I!$A:$E),2,FALSE)</f>
        <v>SINAPI</v>
      </c>
      <c r="D299" s="24" t="str">
        <f>VLOOKUP(B299,IF(A299="COMPOSICAO",S!$A:$E,I!$A:$E),3,FALSE)</f>
        <v>ARMADOR COM ENCARGOS COMPLEMENTARES</v>
      </c>
      <c r="E299" s="23" t="str">
        <f>VLOOKUP(B299,IF(A299="COMPOSICAO",S!$A:$E,I!$A:$E),4,FALSE)</f>
        <v>H</v>
      </c>
      <c r="F299" s="23">
        <f>0.0162/pcf</f>
        <v>1.6199999999999999E-2</v>
      </c>
      <c r="G299" s="71">
        <f>IF(A299="COMPOSICAO",VLOOKUP("TOTAL SEM BDI - "&amp;B299,CPUAUX2!$A:$J,9,FALSE),VLOOKUP(B299,I!$A:$E,5,FALSE))</f>
        <v>27.189999999999998</v>
      </c>
      <c r="H299" s="72"/>
      <c r="I299" s="71">
        <f>TRUNC(F299*G299,2)</f>
        <v>0.44</v>
      </c>
      <c r="J299" s="72"/>
      <c r="M299" s="23">
        <f>B299</f>
        <v>88245</v>
      </c>
      <c r="N299" s="23">
        <f>SUMIF(CPU!M:M,B298,CPU!O:O)</f>
        <v>33.97</v>
      </c>
      <c r="O299" s="23">
        <f>F299*N299</f>
        <v>0.55031399999999997</v>
      </c>
      <c r="Q299" s="23">
        <f ca="1">SUMIF(CPU!M:M,B298,CPU!R:R)</f>
        <v>13.587999999999999</v>
      </c>
      <c r="R299" s="23">
        <f ca="1">F299*Q299</f>
        <v>0.22012559999999998</v>
      </c>
    </row>
    <row r="300" spans="1:18" ht="30" customHeight="1" x14ac:dyDescent="0.3">
      <c r="A300" s="23" t="s">
        <v>1022</v>
      </c>
      <c r="B300" s="23">
        <v>88238</v>
      </c>
      <c r="C300" s="23" t="str">
        <f>VLOOKUP(B300,IF(A300="COMPOSICAO",S!$A:$E,I!$A:$E),2,FALSE)</f>
        <v>SINAPI</v>
      </c>
      <c r="D300" s="24" t="str">
        <f>VLOOKUP(B300,IF(A300="COMPOSICAO",S!$A:$E,I!$A:$E),3,FALSE)</f>
        <v>AJUDANTE DE ARMADOR COM ENCARGOS COMPLEMENTARES</v>
      </c>
      <c r="E300" s="23" t="str">
        <f>VLOOKUP(B300,IF(A300="COMPOSICAO",S!$A:$E,I!$A:$E),4,FALSE)</f>
        <v>H</v>
      </c>
      <c r="F300" s="23">
        <f>0.0026/pcf</f>
        <v>2.5999999999999999E-3</v>
      </c>
      <c r="G300" s="71">
        <f>IF(A300="COMPOSICAO",VLOOKUP("TOTAL SEM BDI - "&amp;B300,CPUAUX2!$A:$J,9,FALSE),VLOOKUP(B300,I!$A:$E,5,FALSE))</f>
        <v>22.37</v>
      </c>
      <c r="H300" s="72"/>
      <c r="I300" s="71">
        <f>TRUNC(F300*G300,2)</f>
        <v>0.05</v>
      </c>
      <c r="J300" s="72"/>
      <c r="M300" s="23">
        <f>B300</f>
        <v>88238</v>
      </c>
      <c r="N300" s="23">
        <f>SUMIF(CPU!M:M,B298,CPU!O:O)</f>
        <v>33.97</v>
      </c>
      <c r="O300" s="23">
        <f>F300*N300</f>
        <v>8.8321999999999998E-2</v>
      </c>
      <c r="Q300" s="23">
        <f ca="1">SUMIF(CPU!M:M,B298,CPU!R:R)</f>
        <v>13.587999999999999</v>
      </c>
      <c r="R300" s="23">
        <f ca="1">F300*Q300</f>
        <v>3.5328799999999994E-2</v>
      </c>
    </row>
    <row r="301" spans="1:18" x14ac:dyDescent="0.3">
      <c r="A301" s="23" t="s">
        <v>1025</v>
      </c>
      <c r="B301" s="23">
        <v>33</v>
      </c>
      <c r="C301" s="23" t="str">
        <f>VLOOKUP(B301,IF(A301="COMPOSICAO",S!$A:$E,I!$A:$E),2,FALSE)</f>
        <v>SINAPI</v>
      </c>
      <c r="D301" s="24" t="str">
        <f>VLOOKUP(B301,IF(A301="COMPOSICAO",S!$A:$E,I!$A:$E),3,FALSE)</f>
        <v>ACO CA-50, 8,0 MM, VERGALHAO</v>
      </c>
      <c r="E301" s="23" t="str">
        <f>VLOOKUP(B301,IF(A301="COMPOSICAO",S!$A:$E,I!$A:$E),4,FALSE)</f>
        <v>KG</v>
      </c>
      <c r="F301" s="23">
        <v>1.1100000000000001</v>
      </c>
      <c r="G301" s="71">
        <f>IF(A301="COMPOSICAO",VLOOKUP("TOTAL SEM BDI - "&amp;B301,CPUAUX2!$A:$J,9,FALSE),VLOOKUP(B301,I!$A:$E,5,FALSE))</f>
        <v>8.57</v>
      </c>
      <c r="H301" s="72"/>
      <c r="I301" s="71">
        <f>TRUNC(F301*G301,2)</f>
        <v>9.51</v>
      </c>
      <c r="J301" s="72"/>
      <c r="M301" s="23">
        <f>B301</f>
        <v>33</v>
      </c>
      <c r="N301" s="23">
        <f>SUMIF(CPU!M:M,B298,CPU!O:O)</f>
        <v>33.97</v>
      </c>
      <c r="O301" s="23">
        <f>F301*N301</f>
        <v>37.706700000000005</v>
      </c>
      <c r="Q301" s="23">
        <f ca="1">SUMIF(CPU!M:M,B298,CPU!R:R)</f>
        <v>13.587999999999999</v>
      </c>
      <c r="R301" s="23">
        <f ca="1">F301*Q301</f>
        <v>15.08268</v>
      </c>
    </row>
    <row r="302" spans="1:18" x14ac:dyDescent="0.3">
      <c r="A302" s="68" t="str">
        <f>"TOTAL SEM BDI - "&amp;B298</f>
        <v>TOTAL SEM BDI - 92802</v>
      </c>
      <c r="B302" s="69"/>
      <c r="C302" s="69"/>
      <c r="D302" s="69"/>
      <c r="E302" s="69"/>
      <c r="F302" s="69"/>
      <c r="G302" s="69"/>
      <c r="H302" s="70"/>
      <c r="I302" s="71">
        <f>SUM(I298:I301)</f>
        <v>10</v>
      </c>
      <c r="J302" s="72"/>
    </row>
    <row r="304" spans="1:18" x14ac:dyDescent="0.3">
      <c r="A304" s="4" t="s">
        <v>1018</v>
      </c>
      <c r="B304" s="4" t="s">
        <v>138</v>
      </c>
      <c r="C304" s="4" t="s">
        <v>139</v>
      </c>
      <c r="D304" s="4" t="s">
        <v>21</v>
      </c>
      <c r="E304" s="4" t="s">
        <v>140</v>
      </c>
      <c r="F304" s="4" t="s">
        <v>506</v>
      </c>
      <c r="G304" s="34" t="s">
        <v>1019</v>
      </c>
      <c r="H304" s="35"/>
      <c r="I304" s="34" t="s">
        <v>15</v>
      </c>
      <c r="J304" s="35"/>
    </row>
    <row r="305" spans="1:18" ht="60" customHeight="1" x14ac:dyDescent="0.3">
      <c r="A305" s="15" t="s">
        <v>1095</v>
      </c>
      <c r="B305" s="15">
        <v>94970</v>
      </c>
      <c r="C305" s="15" t="str">
        <f>VLOOKUP(B305,S!$A:$G,2,FALSE)</f>
        <v>SINAPI</v>
      </c>
      <c r="D305" s="22" t="str">
        <f>VLOOKUP(B305,S!$A:$G,3,FALSE)</f>
        <v>CONCRETO FCK = 20MPA, TRAÇO 1:2,7:3 (EM MASSA SECA DE CIMENTO/ AREIA MÉDIA/ BRITA 1) - PREPARO MECÂNICO COM BETONEIRA 600 L. AF_05/2021</v>
      </c>
      <c r="E305" s="15" t="str">
        <f>VLOOKUP(B305,S!$A:$G,4,FALSE)</f>
        <v>M3</v>
      </c>
      <c r="F305" s="15"/>
      <c r="G305" s="73">
        <f>I313</f>
        <v>628.76</v>
      </c>
      <c r="H305" s="74"/>
      <c r="I305" s="73"/>
      <c r="J305" s="74"/>
      <c r="K305" s="16">
        <f>VLOOKUP(B305,S!A:G,5,FALSE)</f>
        <v>628.76</v>
      </c>
      <c r="L305" s="15" t="str">
        <f>IF(K305=G305,"OK, CONFORME TABELA",IF(G305&gt;K305,"ACIMA DA TABELA: ","ABAIXO DA TABELA: ")&amp;TRUNC((G305*100)/K305,2)&amp;" %")</f>
        <v>OK, CONFORME TABELA</v>
      </c>
    </row>
    <row r="306" spans="1:18" ht="60" customHeight="1" x14ac:dyDescent="0.3">
      <c r="A306" s="23" t="s">
        <v>1022</v>
      </c>
      <c r="B306" s="23">
        <v>89226</v>
      </c>
      <c r="C306" s="23" t="str">
        <f>VLOOKUP(B306,IF(A306="COMPOSICAO",S!$A:$E,I!$A:$E),2,FALSE)</f>
        <v>SINAPI</v>
      </c>
      <c r="D306" s="24" t="str">
        <f>VLOOKUP(B306,IF(A306="COMPOSICAO",S!$A:$E,I!$A:$E),3,FALSE)</f>
        <v>BETONEIRA CAPACIDADE NOMINAL DE 600 L, CAPACIDADE DE MISTURA 360 L, MOTOR ELÉTRICO TRIFÁSICO POTÊNCIA DE 4 CV, SEM CARREGADOR - CHI DIURNO. AF_05/2023</v>
      </c>
      <c r="E306" s="23" t="str">
        <f>VLOOKUP(B306,IF(A306="COMPOSICAO",S!$A:$E,I!$A:$E),4,FALSE)</f>
        <v>CHI</v>
      </c>
      <c r="F306" s="23">
        <v>0.61970000000000003</v>
      </c>
      <c r="G306" s="71">
        <f>IF(A306="COMPOSICAO",VLOOKUP("TOTAL SEM BDI - "&amp;B306,CPUAUX2!$A:$J,9,FALSE),VLOOKUP(B306,I!$A:$E,5,FALSE))</f>
        <v>2.0499999999999998</v>
      </c>
      <c r="H306" s="72"/>
      <c r="I306" s="71">
        <f t="shared" ref="I306:I312" si="84">TRUNC(F306*G306,2)</f>
        <v>1.27</v>
      </c>
      <c r="J306" s="72"/>
      <c r="M306" s="23">
        <f t="shared" ref="M306:M312" si="85">B306</f>
        <v>89226</v>
      </c>
      <c r="N306" s="23">
        <f>SUMIF(CPU!M:M,B305,CPU!O:O)</f>
        <v>0.50309999999999999</v>
      </c>
      <c r="O306" s="23">
        <f t="shared" ref="O306:O312" si="86">F306*N306</f>
        <v>0.31177106999999998</v>
      </c>
      <c r="Q306" s="23">
        <f ca="1">SUMIF(CPU!M:M,B305,CPU!R:R)</f>
        <v>0.20124</v>
      </c>
      <c r="R306" s="23">
        <f t="shared" ref="R306:R312" ca="1" si="87">F306*Q306</f>
        <v>0.12470842800000001</v>
      </c>
    </row>
    <row r="307" spans="1:18" ht="60" customHeight="1" x14ac:dyDescent="0.3">
      <c r="A307" s="23" t="s">
        <v>1022</v>
      </c>
      <c r="B307" s="23">
        <v>89225</v>
      </c>
      <c r="C307" s="23" t="str">
        <f>VLOOKUP(B307,IF(A307="COMPOSICAO",S!$A:$E,I!$A:$E),2,FALSE)</f>
        <v>SINAPI</v>
      </c>
      <c r="D307" s="24" t="str">
        <f>VLOOKUP(B307,IF(A307="COMPOSICAO",S!$A:$E,I!$A:$E),3,FALSE)</f>
        <v>BETONEIRA CAPACIDADE NOMINAL DE 600 L, CAPACIDADE DE MISTURA 360 L, MOTOR ELÉTRICO TRIFÁSICO POTÊNCIA DE 4 CV, SEM CARREGADOR - CHP DIURNO. AF_05/2023</v>
      </c>
      <c r="E307" s="23" t="str">
        <f>VLOOKUP(B307,IF(A307="COMPOSICAO",S!$A:$E,I!$A:$E),4,FALSE)</f>
        <v>CHP</v>
      </c>
      <c r="F307" s="23">
        <v>0.65720000000000001</v>
      </c>
      <c r="G307" s="71">
        <f>IF(A307="COMPOSICAO",VLOOKUP("TOTAL SEM BDI - "&amp;B307,CPUAUX2!$A:$J,9,FALSE),VLOOKUP(B307,I!$A:$E,5,FALSE))</f>
        <v>6.63</v>
      </c>
      <c r="H307" s="72"/>
      <c r="I307" s="71">
        <f t="shared" si="84"/>
        <v>4.3499999999999996</v>
      </c>
      <c r="J307" s="72"/>
      <c r="M307" s="23">
        <f t="shared" si="85"/>
        <v>89225</v>
      </c>
      <c r="N307" s="23">
        <f>SUMIF(CPU!M:M,B305,CPU!O:O)</f>
        <v>0.50309999999999999</v>
      </c>
      <c r="O307" s="23">
        <f t="shared" si="86"/>
        <v>0.33063732000000001</v>
      </c>
      <c r="Q307" s="23">
        <f ca="1">SUMIF(CPU!M:M,B305,CPU!R:R)</f>
        <v>0.20124</v>
      </c>
      <c r="R307" s="23">
        <f t="shared" ca="1" si="87"/>
        <v>0.13225492799999999</v>
      </c>
    </row>
    <row r="308" spans="1:18" ht="30" customHeight="1" x14ac:dyDescent="0.3">
      <c r="A308" s="23" t="s">
        <v>1022</v>
      </c>
      <c r="B308" s="23">
        <v>88377</v>
      </c>
      <c r="C308" s="23" t="str">
        <f>VLOOKUP(B308,IF(A308="COMPOSICAO",S!$A:$E,I!$A:$E),2,FALSE)</f>
        <v>SINAPI</v>
      </c>
      <c r="D308" s="24" t="str">
        <f>VLOOKUP(B308,IF(A308="COMPOSICAO",S!$A:$E,I!$A:$E),3,FALSE)</f>
        <v>OPERADOR DE BETONEIRA ESTACIONÁRIA/MISTURADOR COM ENCARGOS COMPLEMENTARES</v>
      </c>
      <c r="E308" s="23" t="str">
        <f>VLOOKUP(B308,IF(A308="COMPOSICAO",S!$A:$E,I!$A:$E),4,FALSE)</f>
        <v>H</v>
      </c>
      <c r="F308" s="23">
        <f>1.2768/pcf</f>
        <v>1.2767999999999999</v>
      </c>
      <c r="G308" s="71">
        <f>IF(A308="COMPOSICAO",VLOOKUP("TOTAL SEM BDI - "&amp;B308,CPUAUX2!$A:$J,9,FALSE),VLOOKUP(B308,I!$A:$E,5,FALSE))</f>
        <v>27.09</v>
      </c>
      <c r="H308" s="72"/>
      <c r="I308" s="71">
        <f t="shared" si="84"/>
        <v>34.58</v>
      </c>
      <c r="J308" s="72"/>
      <c r="M308" s="23">
        <f t="shared" si="85"/>
        <v>88377</v>
      </c>
      <c r="N308" s="23">
        <f>SUMIF(CPU!M:M,B305,CPU!O:O)</f>
        <v>0.50309999999999999</v>
      </c>
      <c r="O308" s="23">
        <f t="shared" si="86"/>
        <v>0.64235807999999994</v>
      </c>
      <c r="Q308" s="23">
        <f ca="1">SUMIF(CPU!M:M,B305,CPU!R:R)</f>
        <v>0.20124</v>
      </c>
      <c r="R308" s="23">
        <f t="shared" ca="1" si="87"/>
        <v>0.25694323199999997</v>
      </c>
    </row>
    <row r="309" spans="1:18" x14ac:dyDescent="0.3">
      <c r="A309" s="23" t="s">
        <v>1022</v>
      </c>
      <c r="B309" s="23">
        <v>88316</v>
      </c>
      <c r="C309" s="23" t="str">
        <f>VLOOKUP(B309,IF(A309="COMPOSICAO",S!$A:$E,I!$A:$E),2,FALSE)</f>
        <v>SINAPI</v>
      </c>
      <c r="D309" s="24" t="str">
        <f>VLOOKUP(B309,IF(A309="COMPOSICAO",S!$A:$E,I!$A:$E),3,FALSE)</f>
        <v>SERVENTE COM ENCARGOS COMPLEMENTARES</v>
      </c>
      <c r="E309" s="23" t="str">
        <f>VLOOKUP(B309,IF(A309="COMPOSICAO",S!$A:$E,I!$A:$E),4,FALSE)</f>
        <v>H</v>
      </c>
      <c r="F309" s="23">
        <f>2.0267/pcf</f>
        <v>2.0266999999999999</v>
      </c>
      <c r="G309" s="71">
        <f>IF(A309="COMPOSICAO",VLOOKUP("TOTAL SEM BDI - "&amp;B309,CPUAUX2!$A:$J,9,FALSE),VLOOKUP(B309,I!$A:$E,5,FALSE))</f>
        <v>21.71</v>
      </c>
      <c r="H309" s="72"/>
      <c r="I309" s="71">
        <f t="shared" si="84"/>
        <v>43.99</v>
      </c>
      <c r="J309" s="72"/>
      <c r="M309" s="23">
        <f t="shared" si="85"/>
        <v>88316</v>
      </c>
      <c r="N309" s="23">
        <f>SUMIF(CPU!M:M,B305,CPU!O:O)</f>
        <v>0.50309999999999999</v>
      </c>
      <c r="O309" s="23">
        <f t="shared" si="86"/>
        <v>1.0196327699999999</v>
      </c>
      <c r="Q309" s="23">
        <f ca="1">SUMIF(CPU!M:M,B305,CPU!R:R)</f>
        <v>0.20124</v>
      </c>
      <c r="R309" s="23">
        <f t="shared" ca="1" si="87"/>
        <v>0.40785310800000002</v>
      </c>
    </row>
    <row r="310" spans="1:18" ht="30" customHeight="1" x14ac:dyDescent="0.3">
      <c r="A310" s="23" t="s">
        <v>1025</v>
      </c>
      <c r="B310" s="23">
        <v>4721</v>
      </c>
      <c r="C310" s="23" t="str">
        <f>VLOOKUP(B310,IF(A310="COMPOSICAO",S!$A:$E,I!$A:$E),2,FALSE)</f>
        <v>SINAPI</v>
      </c>
      <c r="D310" s="24" t="str">
        <f>VLOOKUP(B310,IF(A310="COMPOSICAO",S!$A:$E,I!$A:$E),3,FALSE)</f>
        <v>PEDRA BRITADA N. 1 (9,5 A 19 MM) POSTO PEDREIRA/FORNECEDOR, SEM FRETE</v>
      </c>
      <c r="E310" s="23" t="str">
        <f>VLOOKUP(B310,IF(A310="COMPOSICAO",S!$A:$E,I!$A:$E),4,FALSE)</f>
        <v>M3</v>
      </c>
      <c r="F310" s="23">
        <v>0.59119999999999995</v>
      </c>
      <c r="G310" s="71">
        <f>IF(A310="COMPOSICAO",VLOOKUP("TOTAL SEM BDI - "&amp;B310,CPUAUX2!$A:$J,9,FALSE),VLOOKUP(B310,I!$A:$E,5,FALSE))</f>
        <v>248.89</v>
      </c>
      <c r="H310" s="72"/>
      <c r="I310" s="71">
        <f t="shared" si="84"/>
        <v>147.13999999999999</v>
      </c>
      <c r="J310" s="72"/>
      <c r="M310" s="23">
        <f t="shared" si="85"/>
        <v>4721</v>
      </c>
      <c r="N310" s="23">
        <f>SUMIF(CPU!M:M,B305,CPU!O:O)</f>
        <v>0.50309999999999999</v>
      </c>
      <c r="O310" s="23">
        <f t="shared" si="86"/>
        <v>0.29743271999999998</v>
      </c>
      <c r="Q310" s="23">
        <f ca="1">SUMIF(CPU!M:M,B305,CPU!R:R)</f>
        <v>0.20124</v>
      </c>
      <c r="R310" s="23">
        <f t="shared" ca="1" si="87"/>
        <v>0.11897308799999999</v>
      </c>
    </row>
    <row r="311" spans="1:18" x14ac:dyDescent="0.3">
      <c r="A311" s="23" t="s">
        <v>1025</v>
      </c>
      <c r="B311" s="23">
        <v>1379</v>
      </c>
      <c r="C311" s="23" t="str">
        <f>VLOOKUP(B311,IF(A311="COMPOSICAO",S!$A:$E,I!$A:$E),2,FALSE)</f>
        <v>SINAPI</v>
      </c>
      <c r="D311" s="24" t="str">
        <f>VLOOKUP(B311,IF(A311="COMPOSICAO",S!$A:$E,I!$A:$E),3,FALSE)</f>
        <v>CIMENTO PORTLAND COMPOSTO CP II-32</v>
      </c>
      <c r="E311" s="23" t="str">
        <f>VLOOKUP(B311,IF(A311="COMPOSICAO",S!$A:$E,I!$A:$E),4,FALSE)</f>
        <v>KG</v>
      </c>
      <c r="F311" s="23">
        <v>325.15890000000002</v>
      </c>
      <c r="G311" s="71">
        <f>IF(A311="COMPOSICAO",VLOOKUP("TOTAL SEM BDI - "&amp;B311,CPUAUX2!$A:$J,9,FALSE),VLOOKUP(B311,I!$A:$E,5,FALSE))</f>
        <v>1</v>
      </c>
      <c r="H311" s="72"/>
      <c r="I311" s="71">
        <f t="shared" si="84"/>
        <v>325.14999999999998</v>
      </c>
      <c r="J311" s="72"/>
      <c r="M311" s="23">
        <f t="shared" si="85"/>
        <v>1379</v>
      </c>
      <c r="N311" s="23">
        <f>SUMIF(CPU!M:M,B305,CPU!O:O)</f>
        <v>0.50309999999999999</v>
      </c>
      <c r="O311" s="23">
        <f t="shared" si="86"/>
        <v>163.58744258999999</v>
      </c>
      <c r="Q311" s="23">
        <f ca="1">SUMIF(CPU!M:M,B305,CPU!R:R)</f>
        <v>0.20124</v>
      </c>
      <c r="R311" s="23">
        <f t="shared" ca="1" si="87"/>
        <v>65.434977036000006</v>
      </c>
    </row>
    <row r="312" spans="1:18" ht="30" customHeight="1" x14ac:dyDescent="0.3">
      <c r="A312" s="23" t="s">
        <v>1025</v>
      </c>
      <c r="B312" s="23">
        <v>370</v>
      </c>
      <c r="C312" s="23" t="str">
        <f>VLOOKUP(B312,IF(A312="COMPOSICAO",S!$A:$E,I!$A:$E),2,FALSE)</f>
        <v>SINAPI</v>
      </c>
      <c r="D312" s="24" t="str">
        <f>VLOOKUP(B312,IF(A312="COMPOSICAO",S!$A:$E,I!$A:$E),3,FALSE)</f>
        <v>AREIA MEDIA - POSTO JAZIDA/FORNECEDOR (RETIRADO NA JAZIDA, SEM TRANSPORTE)</v>
      </c>
      <c r="E312" s="23" t="str">
        <f>VLOOKUP(B312,IF(A312="COMPOSICAO",S!$A:$E,I!$A:$E),4,FALSE)</f>
        <v>M3</v>
      </c>
      <c r="F312" s="23">
        <v>0.76090000000000002</v>
      </c>
      <c r="G312" s="71">
        <f>IF(A312="COMPOSICAO",VLOOKUP("TOTAL SEM BDI - "&amp;B312,CPUAUX2!$A:$J,9,FALSE),VLOOKUP(B312,I!$A:$E,5,FALSE))</f>
        <v>95</v>
      </c>
      <c r="H312" s="72"/>
      <c r="I312" s="71">
        <f t="shared" si="84"/>
        <v>72.28</v>
      </c>
      <c r="J312" s="72"/>
      <c r="M312" s="23">
        <f t="shared" si="85"/>
        <v>370</v>
      </c>
      <c r="N312" s="23">
        <f>SUMIF(CPU!M:M,B305,CPU!O:O)</f>
        <v>0.50309999999999999</v>
      </c>
      <c r="O312" s="23">
        <f t="shared" si="86"/>
        <v>0.38280879000000001</v>
      </c>
      <c r="Q312" s="23">
        <f ca="1">SUMIF(CPU!M:M,B305,CPU!R:R)</f>
        <v>0.20124</v>
      </c>
      <c r="R312" s="23">
        <f t="shared" ca="1" si="87"/>
        <v>0.15312351600000002</v>
      </c>
    </row>
    <row r="313" spans="1:18" x14ac:dyDescent="0.3">
      <c r="A313" s="68" t="str">
        <f>"TOTAL SEM BDI - "&amp;B305</f>
        <v>TOTAL SEM BDI - 94970</v>
      </c>
      <c r="B313" s="69"/>
      <c r="C313" s="69"/>
      <c r="D313" s="69"/>
      <c r="E313" s="69"/>
      <c r="F313" s="69"/>
      <c r="G313" s="69"/>
      <c r="H313" s="70"/>
      <c r="I313" s="71">
        <f>SUM(I305:I312)</f>
        <v>628.76</v>
      </c>
      <c r="J313" s="72"/>
    </row>
    <row r="315" spans="1:18" x14ac:dyDescent="0.3">
      <c r="A315" s="4" t="s">
        <v>1018</v>
      </c>
      <c r="B315" s="4" t="s">
        <v>138</v>
      </c>
      <c r="C315" s="4" t="s">
        <v>139</v>
      </c>
      <c r="D315" s="4" t="s">
        <v>21</v>
      </c>
      <c r="E315" s="4" t="s">
        <v>140</v>
      </c>
      <c r="F315" s="4" t="s">
        <v>506</v>
      </c>
      <c r="G315" s="34" t="s">
        <v>1019</v>
      </c>
      <c r="H315" s="35"/>
      <c r="I315" s="34" t="s">
        <v>15</v>
      </c>
      <c r="J315" s="35"/>
    </row>
    <row r="316" spans="1:18" ht="45" customHeight="1" x14ac:dyDescent="0.3">
      <c r="A316" s="15" t="s">
        <v>1101</v>
      </c>
      <c r="B316" s="15">
        <v>103672</v>
      </c>
      <c r="C316" s="15" t="str">
        <f>VLOOKUP(B316,S!$A:$G,2,FALSE)</f>
        <v>SINAPI</v>
      </c>
      <c r="D316" s="22" t="str">
        <f>VLOOKUP(B316,S!$A:$G,3,FALSE)</f>
        <v>CONCRETAGEM DE PILARES, FCK = 25 MPA, COM USO DE BOMBA - LANÇAMENTO, ADENSAMENTO E ACABAMENTO. AF_02/2022_PS</v>
      </c>
      <c r="E316" s="15" t="str">
        <f>VLOOKUP(B316,S!$A:$G,4,FALSE)</f>
        <v>M3</v>
      </c>
      <c r="F316" s="15"/>
      <c r="G316" s="73">
        <f>I323</f>
        <v>704.98</v>
      </c>
      <c r="H316" s="74"/>
      <c r="I316" s="73"/>
      <c r="J316" s="74"/>
      <c r="K316" s="16">
        <f>VLOOKUP(B316,S!A:G,5,FALSE)</f>
        <v>704.98</v>
      </c>
      <c r="L316" s="15" t="str">
        <f>IF(K316=G316,"OK, CONFORME TABELA",IF(G316&gt;K316,"ACIMA DA TABELA: ","ABAIXO DA TABELA: ")&amp;TRUNC((G316*100)/K316,2)&amp;" %")</f>
        <v>OK, CONFORME TABELA</v>
      </c>
    </row>
    <row r="317" spans="1:18" ht="45" customHeight="1" x14ac:dyDescent="0.3">
      <c r="A317" s="23" t="s">
        <v>1022</v>
      </c>
      <c r="B317" s="23">
        <v>90587</v>
      </c>
      <c r="C317" s="23" t="str">
        <f>VLOOKUP(B317,IF(A317="COMPOSICAO",S!$A:$E,I!$A:$E),2,FALSE)</f>
        <v>SINAPI</v>
      </c>
      <c r="D317" s="24" t="str">
        <f>VLOOKUP(B317,IF(A317="COMPOSICAO",S!$A:$E,I!$A:$E),3,FALSE)</f>
        <v>VIBRADOR DE IMERSÃO, DIÂMETRO DE PONTEIRA 45MM, MOTOR ELÉTRICO TRIFÁSICO POTÊNCIA DE 2 CV - CHI DIURNO. AF_06/2015</v>
      </c>
      <c r="E317" s="23" t="str">
        <f>VLOOKUP(B317,IF(A317="COMPOSICAO",S!$A:$E,I!$A:$E),4,FALSE)</f>
        <v>CHI</v>
      </c>
      <c r="F317" s="23">
        <v>0.13</v>
      </c>
      <c r="G317" s="71">
        <f>IF(A317="COMPOSICAO",VLOOKUP("TOTAL SEM BDI - "&amp;B317,CPUAUX2!$A:$J,9,FALSE),VLOOKUP(B317,I!$A:$E,5,FALSE))</f>
        <v>0.48</v>
      </c>
      <c r="H317" s="72"/>
      <c r="I317" s="71">
        <f t="shared" ref="I317:I322" si="88">TRUNC(F317*G317,2)</f>
        <v>0.06</v>
      </c>
      <c r="J317" s="72"/>
      <c r="M317" s="23">
        <f t="shared" ref="M317:M322" si="89">B317</f>
        <v>90587</v>
      </c>
      <c r="N317" s="23">
        <f>SUMIF(CPU!M:M,B316,CPU!O:O)</f>
        <v>0.18525000000000003</v>
      </c>
      <c r="O317" s="23">
        <f t="shared" ref="O317:O322" si="90">F317*N317</f>
        <v>2.4082500000000003E-2</v>
      </c>
      <c r="Q317" s="23">
        <f ca="1">SUMIF(CPU!M:M,B316,CPU!R:R)</f>
        <v>7.4100000000000013E-2</v>
      </c>
      <c r="R317" s="23">
        <f t="shared" ref="R317:R322" ca="1" si="91">F317*Q317</f>
        <v>9.6330000000000027E-3</v>
      </c>
    </row>
    <row r="318" spans="1:18" ht="45" customHeight="1" x14ac:dyDescent="0.3">
      <c r="A318" s="23" t="s">
        <v>1022</v>
      </c>
      <c r="B318" s="23">
        <v>90586</v>
      </c>
      <c r="C318" s="23" t="str">
        <f>VLOOKUP(B318,IF(A318="COMPOSICAO",S!$A:$E,I!$A:$E),2,FALSE)</f>
        <v>SINAPI</v>
      </c>
      <c r="D318" s="24" t="str">
        <f>VLOOKUP(B318,IF(A318="COMPOSICAO",S!$A:$E,I!$A:$E),3,FALSE)</f>
        <v>VIBRADOR DE IMERSÃO, DIÂMETRO DE PONTEIRA 45MM, MOTOR ELÉTRICO TRIFÁSICO POTÊNCIA DE 2 CV - CHP DIURNO. AF_06/2015</v>
      </c>
      <c r="E318" s="23" t="str">
        <f>VLOOKUP(B318,IF(A318="COMPOSICAO",S!$A:$E,I!$A:$E),4,FALSE)</f>
        <v>CHP</v>
      </c>
      <c r="F318" s="23">
        <v>9.4E-2</v>
      </c>
      <c r="G318" s="71">
        <f>IF(A318="COMPOSICAO",VLOOKUP("TOTAL SEM BDI - "&amp;B318,CPUAUX2!$A:$J,9,FALSE),VLOOKUP(B318,I!$A:$E,5,FALSE))</f>
        <v>1.3599999999999999</v>
      </c>
      <c r="H318" s="72"/>
      <c r="I318" s="71">
        <f t="shared" si="88"/>
        <v>0.12</v>
      </c>
      <c r="J318" s="72"/>
      <c r="M318" s="23">
        <f t="shared" si="89"/>
        <v>90586</v>
      </c>
      <c r="N318" s="23">
        <f>SUMIF(CPU!M:M,B316,CPU!O:O)</f>
        <v>0.18525000000000003</v>
      </c>
      <c r="O318" s="23">
        <f t="shared" si="90"/>
        <v>1.7413500000000002E-2</v>
      </c>
      <c r="Q318" s="23">
        <f ca="1">SUMIF(CPU!M:M,B316,CPU!R:R)</f>
        <v>7.4100000000000013E-2</v>
      </c>
      <c r="R318" s="23">
        <f t="shared" ca="1" si="91"/>
        <v>6.9654000000000009E-3</v>
      </c>
    </row>
    <row r="319" spans="1:18" x14ac:dyDescent="0.3">
      <c r="A319" s="23" t="s">
        <v>1022</v>
      </c>
      <c r="B319" s="23">
        <v>88316</v>
      </c>
      <c r="C319" s="23" t="str">
        <f>VLOOKUP(B319,IF(A319="COMPOSICAO",S!$A:$E,I!$A:$E),2,FALSE)</f>
        <v>SINAPI</v>
      </c>
      <c r="D319" s="24" t="str">
        <f>VLOOKUP(B319,IF(A319="COMPOSICAO",S!$A:$E,I!$A:$E),3,FALSE)</f>
        <v>SERVENTE COM ENCARGOS COMPLEMENTARES</v>
      </c>
      <c r="E319" s="23" t="str">
        <f>VLOOKUP(B319,IF(A319="COMPOSICAO",S!$A:$E,I!$A:$E),4,FALSE)</f>
        <v>H</v>
      </c>
      <c r="F319" s="23">
        <f>1.345/pcf</f>
        <v>1.345</v>
      </c>
      <c r="G319" s="71">
        <f>IF(A319="COMPOSICAO",VLOOKUP("TOTAL SEM BDI - "&amp;B319,CPUAUX2!$A:$J,9,FALSE),VLOOKUP(B319,I!$A:$E,5,FALSE))</f>
        <v>21.71</v>
      </c>
      <c r="H319" s="72"/>
      <c r="I319" s="71">
        <f t="shared" si="88"/>
        <v>29.19</v>
      </c>
      <c r="J319" s="72"/>
      <c r="M319" s="23">
        <f t="shared" si="89"/>
        <v>88316</v>
      </c>
      <c r="N319" s="23">
        <f>SUMIF(CPU!M:M,B316,CPU!O:O)</f>
        <v>0.18525000000000003</v>
      </c>
      <c r="O319" s="23">
        <f t="shared" si="90"/>
        <v>0.24916125000000003</v>
      </c>
      <c r="Q319" s="23">
        <f ca="1">SUMIF(CPU!M:M,B316,CPU!R:R)</f>
        <v>7.4100000000000013E-2</v>
      </c>
      <c r="R319" s="23">
        <f t="shared" ca="1" si="91"/>
        <v>9.9664500000000017E-2</v>
      </c>
    </row>
    <row r="320" spans="1:18" x14ac:dyDescent="0.3">
      <c r="A320" s="23" t="s">
        <v>1022</v>
      </c>
      <c r="B320" s="23">
        <v>88309</v>
      </c>
      <c r="C320" s="23" t="str">
        <f>VLOOKUP(B320,IF(A320="COMPOSICAO",S!$A:$E,I!$A:$E),2,FALSE)</f>
        <v>SINAPI</v>
      </c>
      <c r="D320" s="24" t="str">
        <f>VLOOKUP(B320,IF(A320="COMPOSICAO",S!$A:$E,I!$A:$E),3,FALSE)</f>
        <v>PEDREIRO COM ENCARGOS COMPLEMENTARES</v>
      </c>
      <c r="E320" s="23" t="str">
        <f>VLOOKUP(B320,IF(A320="COMPOSICAO",S!$A:$E,I!$A:$E),4,FALSE)</f>
        <v>H</v>
      </c>
      <c r="F320" s="23">
        <f>0.224/pcf</f>
        <v>0.224</v>
      </c>
      <c r="G320" s="71">
        <f>IF(A320="COMPOSICAO",VLOOKUP("TOTAL SEM BDI - "&amp;B320,CPUAUX2!$A:$J,9,FALSE),VLOOKUP(B320,I!$A:$E,5,FALSE))</f>
        <v>27.39</v>
      </c>
      <c r="H320" s="72"/>
      <c r="I320" s="71">
        <f t="shared" si="88"/>
        <v>6.13</v>
      </c>
      <c r="J320" s="72"/>
      <c r="M320" s="23">
        <f t="shared" si="89"/>
        <v>88309</v>
      </c>
      <c r="N320" s="23">
        <f>SUMIF(CPU!M:M,B316,CPU!O:O)</f>
        <v>0.18525000000000003</v>
      </c>
      <c r="O320" s="23">
        <f t="shared" si="90"/>
        <v>4.1496000000000005E-2</v>
      </c>
      <c r="Q320" s="23">
        <f ca="1">SUMIF(CPU!M:M,B316,CPU!R:R)</f>
        <v>7.4100000000000013E-2</v>
      </c>
      <c r="R320" s="23">
        <f t="shared" ca="1" si="91"/>
        <v>1.6598400000000003E-2</v>
      </c>
    </row>
    <row r="321" spans="1:18" ht="30" customHeight="1" x14ac:dyDescent="0.3">
      <c r="A321" s="23" t="s">
        <v>1022</v>
      </c>
      <c r="B321" s="23">
        <v>88262</v>
      </c>
      <c r="C321" s="23" t="str">
        <f>VLOOKUP(B321,IF(A321="COMPOSICAO",S!$A:$E,I!$A:$E),2,FALSE)</f>
        <v>SINAPI</v>
      </c>
      <c r="D321" s="24" t="str">
        <f>VLOOKUP(B321,IF(A321="COMPOSICAO",S!$A:$E,I!$A:$E),3,FALSE)</f>
        <v>CARPINTEIRO DE FORMAS COM ENCARGOS COMPLEMENTARES</v>
      </c>
      <c r="E321" s="23" t="str">
        <f>VLOOKUP(B321,IF(A321="COMPOSICAO",S!$A:$E,I!$A:$E),4,FALSE)</f>
        <v>H</v>
      </c>
      <c r="F321" s="23">
        <f>0.224/pcf</f>
        <v>0.224</v>
      </c>
      <c r="G321" s="71">
        <f>IF(A321="COMPOSICAO",VLOOKUP("TOTAL SEM BDI - "&amp;B321,CPUAUX2!$A:$J,9,FALSE),VLOOKUP(B321,I!$A:$E,5,FALSE))</f>
        <v>26.97</v>
      </c>
      <c r="H321" s="72"/>
      <c r="I321" s="71">
        <f t="shared" si="88"/>
        <v>6.04</v>
      </c>
      <c r="J321" s="72"/>
      <c r="M321" s="23">
        <f t="shared" si="89"/>
        <v>88262</v>
      </c>
      <c r="N321" s="23">
        <f>SUMIF(CPU!M:M,B316,CPU!O:O)</f>
        <v>0.18525000000000003</v>
      </c>
      <c r="O321" s="23">
        <f t="shared" si="90"/>
        <v>4.1496000000000005E-2</v>
      </c>
      <c r="Q321" s="23">
        <f ca="1">SUMIF(CPU!M:M,B316,CPU!R:R)</f>
        <v>7.4100000000000013E-2</v>
      </c>
      <c r="R321" s="23">
        <f t="shared" ca="1" si="91"/>
        <v>1.6598400000000003E-2</v>
      </c>
    </row>
    <row r="322" spans="1:18" ht="60" customHeight="1" x14ac:dyDescent="0.3">
      <c r="A322" s="23" t="s">
        <v>1025</v>
      </c>
      <c r="B322" s="23">
        <v>1527</v>
      </c>
      <c r="C322" s="23" t="str">
        <f>VLOOKUP(B322,IF(A322="COMPOSICAO",S!$A:$E,I!$A:$E),2,FALSE)</f>
        <v>SINAPI</v>
      </c>
      <c r="D322" s="24" t="str">
        <f>VLOOKUP(B322,IF(A322="COMPOSICAO",S!$A:$E,I!$A:$E),3,FALSE)</f>
        <v>CONCRETO USINADO BOMBEAVEL, CLASSE DE RESISTENCIA C25, BRITA 0 E 1, SLUMP = 100 +/- 20 MM, COM BOMBEAMENTO (DISPONIBILIZACAO DE BOMBA), SEM O LANCAMENTO (NBR 8953)</v>
      </c>
      <c r="E322" s="23" t="str">
        <f>VLOOKUP(B322,IF(A322="COMPOSICAO",S!$A:$E,I!$A:$E),4,FALSE)</f>
        <v>M3</v>
      </c>
      <c r="F322" s="23">
        <v>1.103</v>
      </c>
      <c r="G322" s="71">
        <f>IF(A322="COMPOSICAO",VLOOKUP("TOTAL SEM BDI - "&amp;B322,CPUAUX2!$A:$J,9,FALSE),VLOOKUP(B322,I!$A:$E,5,FALSE))</f>
        <v>601.49</v>
      </c>
      <c r="H322" s="72"/>
      <c r="I322" s="71">
        <f t="shared" si="88"/>
        <v>663.44</v>
      </c>
      <c r="J322" s="72"/>
      <c r="M322" s="23">
        <f t="shared" si="89"/>
        <v>1527</v>
      </c>
      <c r="N322" s="23">
        <f>SUMIF(CPU!M:M,B316,CPU!O:O)</f>
        <v>0.18525000000000003</v>
      </c>
      <c r="O322" s="23">
        <f t="shared" si="90"/>
        <v>0.20433075000000003</v>
      </c>
      <c r="Q322" s="23">
        <f ca="1">SUMIF(CPU!M:M,B316,CPU!R:R)</f>
        <v>7.4100000000000013E-2</v>
      </c>
      <c r="R322" s="23">
        <f t="shared" ca="1" si="91"/>
        <v>8.1732300000000008E-2</v>
      </c>
    </row>
    <row r="323" spans="1:18" x14ac:dyDescent="0.3">
      <c r="A323" s="68" t="str">
        <f>"TOTAL SEM BDI - "&amp;B316</f>
        <v>TOTAL SEM BDI - 103672</v>
      </c>
      <c r="B323" s="69"/>
      <c r="C323" s="69"/>
      <c r="D323" s="69"/>
      <c r="E323" s="69"/>
      <c r="F323" s="69"/>
      <c r="G323" s="69"/>
      <c r="H323" s="70"/>
      <c r="I323" s="71">
        <f>SUM(I316:I322)</f>
        <v>704.98</v>
      </c>
      <c r="J323" s="72"/>
    </row>
    <row r="325" spans="1:18" x14ac:dyDescent="0.3">
      <c r="A325" s="4" t="s">
        <v>1018</v>
      </c>
      <c r="B325" s="4" t="s">
        <v>138</v>
      </c>
      <c r="C325" s="4" t="s">
        <v>139</v>
      </c>
      <c r="D325" s="4" t="s">
        <v>21</v>
      </c>
      <c r="E325" s="4" t="s">
        <v>140</v>
      </c>
      <c r="F325" s="4" t="s">
        <v>506</v>
      </c>
      <c r="G325" s="34" t="s">
        <v>1019</v>
      </c>
      <c r="H325" s="35"/>
      <c r="I325" s="34" t="s">
        <v>15</v>
      </c>
      <c r="J325" s="35"/>
    </row>
    <row r="326" spans="1:18" ht="60" customHeight="1" x14ac:dyDescent="0.3">
      <c r="A326" s="15" t="s">
        <v>1099</v>
      </c>
      <c r="B326" s="15">
        <v>92415</v>
      </c>
      <c r="C326" s="15" t="str">
        <f>VLOOKUP(B326,S!$A:$G,2,FALSE)</f>
        <v>SINAPI</v>
      </c>
      <c r="D326" s="22" t="str">
        <f>VLOOKUP(B326,S!$A:$G,3,FALSE)</f>
        <v>MONTAGEM E DESMONTAGEM DE FÔRMA DE PILARES RETANGULARES E ESTRUTURAS SIMILARES, PÉ-DIREITO SIMPLES, EM CHAPA DE MADEIRA COMPENSADA RESINADA, 2 UTILIZAÇÕES. AF_09/2020</v>
      </c>
      <c r="E326" s="15" t="str">
        <f>VLOOKUP(B326,S!$A:$G,4,FALSE)</f>
        <v>M2</v>
      </c>
      <c r="F326" s="15"/>
      <c r="G326" s="73">
        <f>I335</f>
        <v>149.22</v>
      </c>
      <c r="H326" s="74"/>
      <c r="I326" s="73"/>
      <c r="J326" s="74"/>
      <c r="K326" s="16">
        <f>VLOOKUP(B326,S!A:G,5,FALSE)</f>
        <v>149.22</v>
      </c>
      <c r="L326" s="15" t="str">
        <f>IF(K326=G326,"OK, CONFORME TABELA",IF(G326&gt;K326,"ACIMA DA TABELA: ","ABAIXO DA TABELA: ")&amp;TRUNC((G326*100)/K326,2)&amp;" %")</f>
        <v>OK, CONFORME TABELA</v>
      </c>
    </row>
    <row r="327" spans="1:18" ht="45" customHeight="1" x14ac:dyDescent="0.3">
      <c r="A327" s="23" t="s">
        <v>1022</v>
      </c>
      <c r="B327" s="23">
        <v>92263</v>
      </c>
      <c r="C327" s="23" t="str">
        <f>VLOOKUP(B327,IF(A327="COMPOSICAO",S!$A:$E,I!$A:$E),2,FALSE)</f>
        <v>SINAPI</v>
      </c>
      <c r="D327" s="24" t="str">
        <f>VLOOKUP(B327,IF(A327="COMPOSICAO",S!$A:$E,I!$A:$E),3,FALSE)</f>
        <v>FABRICAÇÃO DE FÔRMA PARA PILARES E ESTRUTURAS SIMILARES, EM CHAPA DE MADEIRA COMPENSADA RESINADA, E = 17 MM. AF_09/2020</v>
      </c>
      <c r="E327" s="23" t="str">
        <f>VLOOKUP(B327,IF(A327="COMPOSICAO",S!$A:$E,I!$A:$E),4,FALSE)</f>
        <v>M2</v>
      </c>
      <c r="F327" s="23">
        <v>0.52500000000000002</v>
      </c>
      <c r="G327" s="71">
        <f>IF(A327="COMPOSICAO",VLOOKUP("TOTAL SEM BDI - "&amp;B327,CPUAUX2!$A:$J,9,FALSE),VLOOKUP(B327,I!$A:$E,5,FALSE))</f>
        <v>190.18</v>
      </c>
      <c r="H327" s="72"/>
      <c r="I327" s="71">
        <f t="shared" ref="I327:I334" si="92">TRUNC(F327*G327,2)</f>
        <v>99.84</v>
      </c>
      <c r="J327" s="72"/>
      <c r="M327" s="23">
        <f t="shared" ref="M327:M334" si="93">B327</f>
        <v>92263</v>
      </c>
      <c r="N327" s="23">
        <f>SUMIF(CPU!M:M,B326,CPU!O:O)</f>
        <v>1.1614500000000001</v>
      </c>
      <c r="O327" s="23">
        <f t="shared" ref="O327:O334" si="94">F327*N327</f>
        <v>0.60976125000000003</v>
      </c>
      <c r="Q327" s="23">
        <f ca="1">SUMIF(CPU!M:M,B326,CPU!R:R)</f>
        <v>0.46458000000000005</v>
      </c>
      <c r="R327" s="23">
        <f t="shared" ref="R327:R334" ca="1" si="95">F327*Q327</f>
        <v>0.24390450000000002</v>
      </c>
    </row>
    <row r="328" spans="1:18" ht="30" customHeight="1" x14ac:dyDescent="0.3">
      <c r="A328" s="23" t="s">
        <v>1022</v>
      </c>
      <c r="B328" s="23">
        <v>88262</v>
      </c>
      <c r="C328" s="23" t="str">
        <f>VLOOKUP(B328,IF(A328="COMPOSICAO",S!$A:$E,I!$A:$E),2,FALSE)</f>
        <v>SINAPI</v>
      </c>
      <c r="D328" s="24" t="str">
        <f>VLOOKUP(B328,IF(A328="COMPOSICAO",S!$A:$E,I!$A:$E),3,FALSE)</f>
        <v>CARPINTEIRO DE FORMAS COM ENCARGOS COMPLEMENTARES</v>
      </c>
      <c r="E328" s="23" t="str">
        <f>VLOOKUP(B328,IF(A328="COMPOSICAO",S!$A:$E,I!$A:$E),4,FALSE)</f>
        <v>H</v>
      </c>
      <c r="F328" s="23">
        <f>1.125/pcf</f>
        <v>1.125</v>
      </c>
      <c r="G328" s="71">
        <f>IF(A328="COMPOSICAO",VLOOKUP("TOTAL SEM BDI - "&amp;B328,CPUAUX2!$A:$J,9,FALSE),VLOOKUP(B328,I!$A:$E,5,FALSE))</f>
        <v>26.97</v>
      </c>
      <c r="H328" s="72"/>
      <c r="I328" s="71">
        <f t="shared" si="92"/>
        <v>30.34</v>
      </c>
      <c r="J328" s="72"/>
      <c r="M328" s="23">
        <f t="shared" si="93"/>
        <v>88262</v>
      </c>
      <c r="N328" s="23">
        <f>SUMIF(CPU!M:M,B326,CPU!O:O)</f>
        <v>1.1614500000000001</v>
      </c>
      <c r="O328" s="23">
        <f t="shared" si="94"/>
        <v>1.3066312500000001</v>
      </c>
      <c r="Q328" s="23">
        <f ca="1">SUMIF(CPU!M:M,B326,CPU!R:R)</f>
        <v>0.46458000000000005</v>
      </c>
      <c r="R328" s="23">
        <f t="shared" ca="1" si="95"/>
        <v>0.52265250000000008</v>
      </c>
    </row>
    <row r="329" spans="1:18" ht="30" customHeight="1" x14ac:dyDescent="0.3">
      <c r="A329" s="23" t="s">
        <v>1022</v>
      </c>
      <c r="B329" s="23">
        <v>88239</v>
      </c>
      <c r="C329" s="23" t="str">
        <f>VLOOKUP(B329,IF(A329="COMPOSICAO",S!$A:$E,I!$A:$E),2,FALSE)</f>
        <v>SINAPI</v>
      </c>
      <c r="D329" s="24" t="str">
        <f>VLOOKUP(B329,IF(A329="COMPOSICAO",S!$A:$E,I!$A:$E),3,FALSE)</f>
        <v>AJUDANTE DE CARPINTEIRO COM ENCARGOS COMPLEMENTARES</v>
      </c>
      <c r="E329" s="23" t="str">
        <f>VLOOKUP(B329,IF(A329="COMPOSICAO",S!$A:$E,I!$A:$E),4,FALSE)</f>
        <v>H</v>
      </c>
      <c r="F329" s="23">
        <f>0.206/pcf</f>
        <v>0.20599999999999999</v>
      </c>
      <c r="G329" s="71">
        <f>IF(A329="COMPOSICAO",VLOOKUP("TOTAL SEM BDI - "&amp;B329,CPUAUX2!$A:$J,9,FALSE),VLOOKUP(B329,I!$A:$E,5,FALSE))</f>
        <v>22.2</v>
      </c>
      <c r="H329" s="72"/>
      <c r="I329" s="71">
        <f t="shared" si="92"/>
        <v>4.57</v>
      </c>
      <c r="J329" s="72"/>
      <c r="M329" s="23">
        <f t="shared" si="93"/>
        <v>88239</v>
      </c>
      <c r="N329" s="23">
        <f>SUMIF(CPU!M:M,B326,CPU!O:O)</f>
        <v>1.1614500000000001</v>
      </c>
      <c r="O329" s="23">
        <f t="shared" si="94"/>
        <v>0.23925870000000002</v>
      </c>
      <c r="Q329" s="23">
        <f ca="1">SUMIF(CPU!M:M,B326,CPU!R:R)</f>
        <v>0.46458000000000005</v>
      </c>
      <c r="R329" s="23">
        <f t="shared" ca="1" si="95"/>
        <v>9.5703480000000007E-2</v>
      </c>
    </row>
    <row r="330" spans="1:18" ht="30" customHeight="1" x14ac:dyDescent="0.3">
      <c r="A330" s="23" t="s">
        <v>1025</v>
      </c>
      <c r="B330" s="23">
        <v>40304</v>
      </c>
      <c r="C330" s="23" t="str">
        <f>VLOOKUP(B330,IF(A330="COMPOSICAO",S!$A:$E,I!$A:$E),2,FALSE)</f>
        <v>SINAPI</v>
      </c>
      <c r="D330" s="24" t="str">
        <f>VLOOKUP(B330,IF(A330="COMPOSICAO",S!$A:$E,I!$A:$E),3,FALSE)</f>
        <v>PREGO DE ACO POLIDO COM CABECA DUPLA 17 X 27 (2 1/2 X 11)</v>
      </c>
      <c r="E330" s="23" t="str">
        <f>VLOOKUP(B330,IF(A330="COMPOSICAO",S!$A:$E,I!$A:$E),4,FALSE)</f>
        <v>KG</v>
      </c>
      <c r="F330" s="23">
        <v>1.9E-2</v>
      </c>
      <c r="G330" s="71">
        <f>IF(A330="COMPOSICAO",VLOOKUP("TOTAL SEM BDI - "&amp;B330,CPUAUX2!$A:$J,9,FALSE),VLOOKUP(B330,I!$A:$E,5,FALSE))</f>
        <v>25.11</v>
      </c>
      <c r="H330" s="72"/>
      <c r="I330" s="71">
        <f t="shared" si="92"/>
        <v>0.47</v>
      </c>
      <c r="J330" s="72"/>
      <c r="M330" s="23">
        <f t="shared" si="93"/>
        <v>40304</v>
      </c>
      <c r="N330" s="23">
        <f>SUMIF(CPU!M:M,B326,CPU!O:O)</f>
        <v>1.1614500000000001</v>
      </c>
      <c r="O330" s="23">
        <f t="shared" si="94"/>
        <v>2.2067550000000002E-2</v>
      </c>
      <c r="Q330" s="23">
        <f ca="1">SUMIF(CPU!M:M,B326,CPU!R:R)</f>
        <v>0.46458000000000005</v>
      </c>
      <c r="R330" s="23">
        <f t="shared" ca="1" si="95"/>
        <v>8.8270200000000014E-3</v>
      </c>
    </row>
    <row r="331" spans="1:18" ht="45" customHeight="1" x14ac:dyDescent="0.3">
      <c r="A331" s="23" t="s">
        <v>1025</v>
      </c>
      <c r="B331" s="23">
        <v>40287</v>
      </c>
      <c r="C331" s="23" t="str">
        <f>VLOOKUP(B331,IF(A331="COMPOSICAO",S!$A:$E,I!$A:$E),2,FALSE)</f>
        <v>SINAPI</v>
      </c>
      <c r="D331" s="24" t="str">
        <f>VLOOKUP(B331,IF(A331="COMPOSICAO",S!$A:$E,I!$A:$E),3,FALSE)</f>
        <v>LOCACAO DE BARRA DE ANCORAGEM DE 0,80 A 1,20 M DE EXTENSAO, COM ROSCA DE 5/8", INCLUINDO PORCA E FLANGE</v>
      </c>
      <c r="E331" s="23" t="str">
        <f>VLOOKUP(B331,IF(A331="COMPOSICAO",S!$A:$E,I!$A:$E),4,FALSE)</f>
        <v>MES</v>
      </c>
      <c r="F331" s="23">
        <f>0.785/pcf</f>
        <v>0.78500000000000003</v>
      </c>
      <c r="G331" s="71">
        <f>IF(A331="COMPOSICAO",VLOOKUP("TOTAL SEM BDI - "&amp;B331,CPUAUX2!$A:$J,9,FALSE),VLOOKUP(B331,I!$A:$E,5,FALSE))</f>
        <v>5.89</v>
      </c>
      <c r="H331" s="72"/>
      <c r="I331" s="71">
        <f t="shared" si="92"/>
        <v>4.62</v>
      </c>
      <c r="J331" s="72"/>
      <c r="M331" s="23">
        <f t="shared" si="93"/>
        <v>40287</v>
      </c>
      <c r="N331" s="23">
        <f>SUMIF(CPU!M:M,B326,CPU!O:O)</f>
        <v>1.1614500000000001</v>
      </c>
      <c r="O331" s="23">
        <f t="shared" si="94"/>
        <v>0.91173825000000008</v>
      </c>
      <c r="Q331" s="23">
        <f ca="1">SUMIF(CPU!M:M,B326,CPU!R:R)</f>
        <v>0.46458000000000005</v>
      </c>
      <c r="R331" s="23">
        <f t="shared" ca="1" si="95"/>
        <v>0.36469530000000006</v>
      </c>
    </row>
    <row r="332" spans="1:18" ht="45" customHeight="1" x14ac:dyDescent="0.3">
      <c r="A332" s="23" t="s">
        <v>1025</v>
      </c>
      <c r="B332" s="23">
        <v>40275</v>
      </c>
      <c r="C332" s="23" t="str">
        <f>VLOOKUP(B332,IF(A332="COMPOSICAO",S!$A:$E,I!$A:$E),2,FALSE)</f>
        <v>SINAPI</v>
      </c>
      <c r="D332" s="24" t="str">
        <f>VLOOKUP(B332,IF(A332="COMPOSICAO",S!$A:$E,I!$A:$E),3,FALSE)</f>
        <v>LOCACAO DE VIGA SANDUICHE METALICA VAZADA PARA TRAVAMENTO DE PILARES, ALTURA DE *8* CM, LARGURA DE *6* CM E EXTENSAO DE 2 M</v>
      </c>
      <c r="E332" s="23" t="str">
        <f>VLOOKUP(B332,IF(A332="COMPOSICAO",S!$A:$E,I!$A:$E),4,FALSE)</f>
        <v>UNXMES</v>
      </c>
      <c r="F332" s="23">
        <v>0.39300000000000002</v>
      </c>
      <c r="G332" s="71">
        <f>IF(A332="COMPOSICAO",VLOOKUP("TOTAL SEM BDI - "&amp;B332,CPUAUX2!$A:$J,9,FALSE),VLOOKUP(B332,I!$A:$E,5,FALSE))</f>
        <v>16</v>
      </c>
      <c r="H332" s="72"/>
      <c r="I332" s="71">
        <f t="shared" si="92"/>
        <v>6.28</v>
      </c>
      <c r="J332" s="72"/>
      <c r="M332" s="23">
        <f t="shared" si="93"/>
        <v>40275</v>
      </c>
      <c r="N332" s="23">
        <f>SUMIF(CPU!M:M,B326,CPU!O:O)</f>
        <v>1.1614500000000001</v>
      </c>
      <c r="O332" s="23">
        <f t="shared" si="94"/>
        <v>0.45644985000000005</v>
      </c>
      <c r="Q332" s="23">
        <f ca="1">SUMIF(CPU!M:M,B326,CPU!R:R)</f>
        <v>0.46458000000000005</v>
      </c>
      <c r="R332" s="23">
        <f t="shared" ca="1" si="95"/>
        <v>0.18257994000000002</v>
      </c>
    </row>
    <row r="333" spans="1:18" ht="45" customHeight="1" x14ac:dyDescent="0.3">
      <c r="A333" s="23" t="s">
        <v>1025</v>
      </c>
      <c r="B333" s="23">
        <v>40271</v>
      </c>
      <c r="C333" s="23" t="str">
        <f>VLOOKUP(B333,IF(A333="COMPOSICAO",S!$A:$E,I!$A:$E),2,FALSE)</f>
        <v>SINAPI</v>
      </c>
      <c r="D333" s="24" t="str">
        <f>VLOOKUP(B333,IF(A333="COMPOSICAO",S!$A:$E,I!$A:$E),3,FALSE)</f>
        <v>LOCACAO DE APRUMADOR METALICO DE PILAR, COM ALTURA E ANGULO REGULAVEIS, EXTENSAO DE *1,50* A *2,80* M</v>
      </c>
      <c r="E333" s="23" t="str">
        <f>VLOOKUP(B333,IF(A333="COMPOSICAO",S!$A:$E,I!$A:$E),4,FALSE)</f>
        <v>UNXMES</v>
      </c>
      <c r="F333" s="23">
        <v>0.19600000000000001</v>
      </c>
      <c r="G333" s="71">
        <f>IF(A333="COMPOSICAO",VLOOKUP("TOTAL SEM BDI - "&amp;B333,CPUAUX2!$A:$J,9,FALSE),VLOOKUP(B333,I!$A:$E,5,FALSE))</f>
        <v>15.31</v>
      </c>
      <c r="H333" s="72"/>
      <c r="I333" s="71">
        <f t="shared" si="92"/>
        <v>3</v>
      </c>
      <c r="J333" s="72"/>
      <c r="M333" s="23">
        <f t="shared" si="93"/>
        <v>40271</v>
      </c>
      <c r="N333" s="23">
        <f>SUMIF(CPU!M:M,B326,CPU!O:O)</f>
        <v>1.1614500000000001</v>
      </c>
      <c r="O333" s="23">
        <f t="shared" si="94"/>
        <v>0.22764420000000002</v>
      </c>
      <c r="Q333" s="23">
        <f ca="1">SUMIF(CPU!M:M,B326,CPU!R:R)</f>
        <v>0.46458000000000005</v>
      </c>
      <c r="R333" s="23">
        <f t="shared" ca="1" si="95"/>
        <v>9.1057680000000016E-2</v>
      </c>
    </row>
    <row r="334" spans="1:18" ht="30" customHeight="1" x14ac:dyDescent="0.3">
      <c r="A334" s="23" t="s">
        <v>1025</v>
      </c>
      <c r="B334" s="23">
        <v>2692</v>
      </c>
      <c r="C334" s="23" t="str">
        <f>VLOOKUP(B334,IF(A334="COMPOSICAO",S!$A:$E,I!$A:$E),2,FALSE)</f>
        <v>SINAPI</v>
      </c>
      <c r="D334" s="24" t="str">
        <f>VLOOKUP(B334,IF(A334="COMPOSICAO",S!$A:$E,I!$A:$E),3,FALSE)</f>
        <v>DESMOLDANTE PROTETOR PARA FORMAS DE MADEIRA, DE BASE OLEOSA EMULSIONADA EM AGUA</v>
      </c>
      <c r="E334" s="23" t="str">
        <f>VLOOKUP(B334,IF(A334="COMPOSICAO",S!$A:$E,I!$A:$E),4,FALSE)</f>
        <v>L</v>
      </c>
      <c r="F334" s="23">
        <v>0.01</v>
      </c>
      <c r="G334" s="71">
        <f>IF(A334="COMPOSICAO",VLOOKUP("TOTAL SEM BDI - "&amp;B334,CPUAUX2!$A:$J,9,FALSE),VLOOKUP(B334,I!$A:$E,5,FALSE))</f>
        <v>10.75</v>
      </c>
      <c r="H334" s="72"/>
      <c r="I334" s="71">
        <f t="shared" si="92"/>
        <v>0.1</v>
      </c>
      <c r="J334" s="72"/>
      <c r="M334" s="23">
        <f t="shared" si="93"/>
        <v>2692</v>
      </c>
      <c r="N334" s="23">
        <f>SUMIF(CPU!M:M,B326,CPU!O:O)</f>
        <v>1.1614500000000001</v>
      </c>
      <c r="O334" s="23">
        <f t="shared" si="94"/>
        <v>1.1614500000000002E-2</v>
      </c>
      <c r="Q334" s="23">
        <f ca="1">SUMIF(CPU!M:M,B326,CPU!R:R)</f>
        <v>0.46458000000000005</v>
      </c>
      <c r="R334" s="23">
        <f t="shared" ca="1" si="95"/>
        <v>4.6458000000000003E-3</v>
      </c>
    </row>
    <row r="335" spans="1:18" x14ac:dyDescent="0.3">
      <c r="A335" s="68" t="str">
        <f>"TOTAL SEM BDI - "&amp;B326</f>
        <v>TOTAL SEM BDI - 92415</v>
      </c>
      <c r="B335" s="69"/>
      <c r="C335" s="69"/>
      <c r="D335" s="69"/>
      <c r="E335" s="69"/>
      <c r="F335" s="69"/>
      <c r="G335" s="69"/>
      <c r="H335" s="70"/>
      <c r="I335" s="71">
        <f>SUM(I326:I334)</f>
        <v>149.22</v>
      </c>
      <c r="J335" s="72"/>
    </row>
    <row r="337" spans="1:18" x14ac:dyDescent="0.3">
      <c r="A337" s="4" t="s">
        <v>1018</v>
      </c>
      <c r="B337" s="4" t="s">
        <v>138</v>
      </c>
      <c r="C337" s="4" t="s">
        <v>139</v>
      </c>
      <c r="D337" s="4" t="s">
        <v>21</v>
      </c>
      <c r="E337" s="4" t="s">
        <v>140</v>
      </c>
      <c r="F337" s="4" t="s">
        <v>506</v>
      </c>
      <c r="G337" s="34" t="s">
        <v>1019</v>
      </c>
      <c r="H337" s="35"/>
      <c r="I337" s="34" t="s">
        <v>15</v>
      </c>
      <c r="J337" s="35"/>
    </row>
    <row r="338" spans="1:18" ht="60" customHeight="1" x14ac:dyDescent="0.3">
      <c r="A338" s="15" t="s">
        <v>1099</v>
      </c>
      <c r="B338" s="15">
        <v>92451</v>
      </c>
      <c r="C338" s="15" t="str">
        <f>VLOOKUP(B338,S!$A:$G,2,FALSE)</f>
        <v>SINAPI</v>
      </c>
      <c r="D338" s="22" t="str">
        <f>VLOOKUP(B338,S!$A:$G,3,FALSE)</f>
        <v>MONTAGEM E DESMONTAGEM DE FÔRMA DE VIGA, ESCORAMENTO COM GARFO DE MADEIRA, PÉ-DIREITO SIMPLES, EM CHAPA DE MADEIRA RESINADA, 2 UTILIZAÇÕES. AF_09/2020</v>
      </c>
      <c r="E338" s="15" t="str">
        <f>VLOOKUP(B338,S!$A:$G,4,FALSE)</f>
        <v>M2</v>
      </c>
      <c r="F338" s="15"/>
      <c r="G338" s="73">
        <f>I346</f>
        <v>209.76999999999998</v>
      </c>
      <c r="H338" s="74"/>
      <c r="I338" s="73"/>
      <c r="J338" s="74"/>
      <c r="K338" s="16">
        <f>VLOOKUP(B338,S!A:G,5,FALSE)</f>
        <v>209.77</v>
      </c>
      <c r="L338" s="15" t="str">
        <f>IF(K338=G338,"OK, CONFORME TABELA",IF(G338&gt;K338,"ACIMA DA TABELA: ","ABAIXO DA TABELA: ")&amp;TRUNC((G338*100)/K338,2)&amp;" %")</f>
        <v>OK, CONFORME TABELA</v>
      </c>
    </row>
    <row r="339" spans="1:18" ht="30" customHeight="1" x14ac:dyDescent="0.3">
      <c r="A339" s="23" t="s">
        <v>1022</v>
      </c>
      <c r="B339" s="23">
        <v>92272</v>
      </c>
      <c r="C339" s="23" t="str">
        <f>VLOOKUP(B339,IF(A339="COMPOSICAO",S!$A:$E,I!$A:$E),2,FALSE)</f>
        <v>SINAPI</v>
      </c>
      <c r="D339" s="24" t="str">
        <f>VLOOKUP(B339,IF(A339="COMPOSICAO",S!$A:$E,I!$A:$E),3,FALSE)</f>
        <v>FABRICAÇÃO DE ESCORAS DE VIGA DO TIPO GARFO, EM MADEIRA. AF_09/2020</v>
      </c>
      <c r="E339" s="23" t="str">
        <f>VLOOKUP(B339,IF(A339="COMPOSICAO",S!$A:$E,I!$A:$E),4,FALSE)</f>
        <v>M</v>
      </c>
      <c r="F339" s="23">
        <v>1.8160000000000001</v>
      </c>
      <c r="G339" s="71">
        <f>IF(A339="COMPOSICAO",VLOOKUP("TOTAL SEM BDI - "&amp;B339,CPUAUX2!$A:$J,9,FALSE),VLOOKUP(B339,I!$A:$E,5,FALSE))</f>
        <v>44.24</v>
      </c>
      <c r="H339" s="72"/>
      <c r="I339" s="71">
        <f t="shared" ref="I339:I345" si="96">TRUNC(F339*G339,2)</f>
        <v>80.33</v>
      </c>
      <c r="J339" s="72"/>
      <c r="M339" s="23">
        <f t="shared" ref="M339:M345" si="97">B339</f>
        <v>92272</v>
      </c>
      <c r="N339" s="23">
        <f>SUMIF(CPU!M:M,B338,CPU!O:O)</f>
        <v>3.8727000000000005</v>
      </c>
      <c r="O339" s="23">
        <f t="shared" ref="O339:O345" si="98">F339*N339</f>
        <v>7.0328232000000011</v>
      </c>
      <c r="Q339" s="23">
        <f ca="1">SUMIF(CPU!M:M,B338,CPU!R:R)</f>
        <v>1.5490800000000002</v>
      </c>
      <c r="R339" s="23">
        <f t="shared" ref="R339:R345" ca="1" si="99">F339*Q339</f>
        <v>2.8131292800000005</v>
      </c>
    </row>
    <row r="340" spans="1:18" ht="45" customHeight="1" x14ac:dyDescent="0.3">
      <c r="A340" s="23" t="s">
        <v>1022</v>
      </c>
      <c r="B340" s="23">
        <v>92265</v>
      </c>
      <c r="C340" s="23" t="str">
        <f>VLOOKUP(B340,IF(A340="COMPOSICAO",S!$A:$E,I!$A:$E),2,FALSE)</f>
        <v>SINAPI</v>
      </c>
      <c r="D340" s="24" t="str">
        <f>VLOOKUP(B340,IF(A340="COMPOSICAO",S!$A:$E,I!$A:$E),3,FALSE)</f>
        <v>FABRICAÇÃO DE FÔRMA PARA VIGAS, EM CHAPA DE MADEIRA COMPENSADA RESINADA, E = 17 MM. AF_09/2020</v>
      </c>
      <c r="E340" s="23" t="str">
        <f>VLOOKUP(B340,IF(A340="COMPOSICAO",S!$A:$E,I!$A:$E),4,FALSE)</f>
        <v>M2</v>
      </c>
      <c r="F340" s="23">
        <v>0.626</v>
      </c>
      <c r="G340" s="71">
        <f>IF(A340="COMPOSICAO",VLOOKUP("TOTAL SEM BDI - "&amp;B340,CPUAUX2!$A:$J,9,FALSE),VLOOKUP(B340,I!$A:$E,5,FALSE))</f>
        <v>138.46</v>
      </c>
      <c r="H340" s="72"/>
      <c r="I340" s="71">
        <f t="shared" si="96"/>
        <v>86.67</v>
      </c>
      <c r="J340" s="72"/>
      <c r="M340" s="23">
        <f t="shared" si="97"/>
        <v>92265</v>
      </c>
      <c r="N340" s="23">
        <f>SUMIF(CPU!M:M,B338,CPU!O:O)</f>
        <v>3.8727000000000005</v>
      </c>
      <c r="O340" s="23">
        <f t="shared" si="98"/>
        <v>2.4243102000000003</v>
      </c>
      <c r="Q340" s="23">
        <f ca="1">SUMIF(CPU!M:M,B338,CPU!R:R)</f>
        <v>1.5490800000000002</v>
      </c>
      <c r="R340" s="23">
        <f t="shared" ca="1" si="99"/>
        <v>0.9697240800000001</v>
      </c>
    </row>
    <row r="341" spans="1:18" ht="30" customHeight="1" x14ac:dyDescent="0.3">
      <c r="A341" s="23" t="s">
        <v>1022</v>
      </c>
      <c r="B341" s="23">
        <v>88262</v>
      </c>
      <c r="C341" s="23" t="str">
        <f>VLOOKUP(B341,IF(A341="COMPOSICAO",S!$A:$E,I!$A:$E),2,FALSE)</f>
        <v>SINAPI</v>
      </c>
      <c r="D341" s="24" t="str">
        <f>VLOOKUP(B341,IF(A341="COMPOSICAO",S!$A:$E,I!$A:$E),3,FALSE)</f>
        <v>CARPINTEIRO DE FORMAS COM ENCARGOS COMPLEMENTARES</v>
      </c>
      <c r="E341" s="23" t="str">
        <f>VLOOKUP(B341,IF(A341="COMPOSICAO",S!$A:$E,I!$A:$E),4,FALSE)</f>
        <v>H</v>
      </c>
      <c r="F341" s="23">
        <f>1.12/pcf</f>
        <v>1.1200000000000001</v>
      </c>
      <c r="G341" s="71">
        <f>IF(A341="COMPOSICAO",VLOOKUP("TOTAL SEM BDI - "&amp;B341,CPUAUX2!$A:$J,9,FALSE),VLOOKUP(B341,I!$A:$E,5,FALSE))</f>
        <v>26.97</v>
      </c>
      <c r="H341" s="72"/>
      <c r="I341" s="71">
        <f t="shared" si="96"/>
        <v>30.2</v>
      </c>
      <c r="J341" s="72"/>
      <c r="M341" s="23">
        <f t="shared" si="97"/>
        <v>88262</v>
      </c>
      <c r="N341" s="23">
        <f>SUMIF(CPU!M:M,B338,CPU!O:O)</f>
        <v>3.8727000000000005</v>
      </c>
      <c r="O341" s="23">
        <f t="shared" si="98"/>
        <v>4.3374240000000013</v>
      </c>
      <c r="Q341" s="23">
        <f ca="1">SUMIF(CPU!M:M,B338,CPU!R:R)</f>
        <v>1.5490800000000002</v>
      </c>
      <c r="R341" s="23">
        <f t="shared" ca="1" si="99"/>
        <v>1.7349696000000003</v>
      </c>
    </row>
    <row r="342" spans="1:18" ht="30" customHeight="1" x14ac:dyDescent="0.3">
      <c r="A342" s="23" t="s">
        <v>1022</v>
      </c>
      <c r="B342" s="23">
        <v>88239</v>
      </c>
      <c r="C342" s="23" t="str">
        <f>VLOOKUP(B342,IF(A342="COMPOSICAO",S!$A:$E,I!$A:$E),2,FALSE)</f>
        <v>SINAPI</v>
      </c>
      <c r="D342" s="24" t="str">
        <f>VLOOKUP(B342,IF(A342="COMPOSICAO",S!$A:$E,I!$A:$E),3,FALSE)</f>
        <v>AJUDANTE DE CARPINTEIRO COM ENCARGOS COMPLEMENTARES</v>
      </c>
      <c r="E342" s="23" t="str">
        <f>VLOOKUP(B342,IF(A342="COMPOSICAO",S!$A:$E,I!$A:$E),4,FALSE)</f>
        <v>H</v>
      </c>
      <c r="F342" s="23">
        <f>0.205/pcf</f>
        <v>0.20499999999999999</v>
      </c>
      <c r="G342" s="71">
        <f>IF(A342="COMPOSICAO",VLOOKUP("TOTAL SEM BDI - "&amp;B342,CPUAUX2!$A:$J,9,FALSE),VLOOKUP(B342,I!$A:$E,5,FALSE))</f>
        <v>22.2</v>
      </c>
      <c r="H342" s="72"/>
      <c r="I342" s="71">
        <f t="shared" si="96"/>
        <v>4.55</v>
      </c>
      <c r="J342" s="72"/>
      <c r="M342" s="23">
        <f t="shared" si="97"/>
        <v>88239</v>
      </c>
      <c r="N342" s="23">
        <f>SUMIF(CPU!M:M,B338,CPU!O:O)</f>
        <v>3.8727000000000005</v>
      </c>
      <c r="O342" s="23">
        <f t="shared" si="98"/>
        <v>0.7939035000000001</v>
      </c>
      <c r="Q342" s="23">
        <f ca="1">SUMIF(CPU!M:M,B338,CPU!R:R)</f>
        <v>1.5490800000000002</v>
      </c>
      <c r="R342" s="23">
        <f t="shared" ca="1" si="99"/>
        <v>0.31756140000000005</v>
      </c>
    </row>
    <row r="343" spans="1:18" ht="30" customHeight="1" x14ac:dyDescent="0.3">
      <c r="A343" s="23" t="s">
        <v>1025</v>
      </c>
      <c r="B343" s="23">
        <v>40304</v>
      </c>
      <c r="C343" s="23" t="str">
        <f>VLOOKUP(B343,IF(A343="COMPOSICAO",S!$A:$E,I!$A:$E),2,FALSE)</f>
        <v>SINAPI</v>
      </c>
      <c r="D343" s="24" t="str">
        <f>VLOOKUP(B343,IF(A343="COMPOSICAO",S!$A:$E,I!$A:$E),3,FALSE)</f>
        <v>PREGO DE ACO POLIDO COM CABECA DUPLA 17 X 27 (2 1/2 X 11)</v>
      </c>
      <c r="E343" s="23" t="str">
        <f>VLOOKUP(B343,IF(A343="COMPOSICAO",S!$A:$E,I!$A:$E),4,FALSE)</f>
        <v>KG</v>
      </c>
      <c r="F343" s="23">
        <v>4.9000000000000002E-2</v>
      </c>
      <c r="G343" s="71">
        <f>IF(A343="COMPOSICAO",VLOOKUP("TOTAL SEM BDI - "&amp;B343,CPUAUX2!$A:$J,9,FALSE),VLOOKUP(B343,I!$A:$E,5,FALSE))</f>
        <v>25.11</v>
      </c>
      <c r="H343" s="72"/>
      <c r="I343" s="71">
        <f t="shared" si="96"/>
        <v>1.23</v>
      </c>
      <c r="J343" s="72"/>
      <c r="M343" s="23">
        <f t="shared" si="97"/>
        <v>40304</v>
      </c>
      <c r="N343" s="23">
        <f>SUMIF(CPU!M:M,B338,CPU!O:O)</f>
        <v>3.8727000000000005</v>
      </c>
      <c r="O343" s="23">
        <f t="shared" si="98"/>
        <v>0.18976230000000002</v>
      </c>
      <c r="Q343" s="23">
        <f ca="1">SUMIF(CPU!M:M,B338,CPU!R:R)</f>
        <v>1.5490800000000002</v>
      </c>
      <c r="R343" s="23">
        <f t="shared" ca="1" si="99"/>
        <v>7.5904920000000015E-2</v>
      </c>
    </row>
    <row r="344" spans="1:18" ht="45" customHeight="1" x14ac:dyDescent="0.3">
      <c r="A344" s="23" t="s">
        <v>1025</v>
      </c>
      <c r="B344" s="23">
        <v>6193</v>
      </c>
      <c r="C344" s="23" t="str">
        <f>VLOOKUP(B344,IF(A344="COMPOSICAO",S!$A:$E,I!$A:$E),2,FALSE)</f>
        <v>SINAPI</v>
      </c>
      <c r="D344" s="24" t="str">
        <f>VLOOKUP(B344,IF(A344="COMPOSICAO",S!$A:$E,I!$A:$E),3,FALSE)</f>
        <v>TABUA NAO APARELHADA *2,5 X 20* CM, EM MACARANDUBA/MASSARANDUBA, ANGELIM OU EQUIVALENTE DA REGIAO - BRUTA</v>
      </c>
      <c r="E344" s="23" t="str">
        <f>VLOOKUP(B344,IF(A344="COMPOSICAO",S!$A:$E,I!$A:$E),4,FALSE)</f>
        <v>M</v>
      </c>
      <c r="F344" s="23">
        <v>0.47399999999999998</v>
      </c>
      <c r="G344" s="71">
        <f>IF(A344="COMPOSICAO",VLOOKUP("TOTAL SEM BDI - "&amp;B344,CPUAUX2!$A:$J,9,FALSE),VLOOKUP(B344,I!$A:$E,5,FALSE))</f>
        <v>14.13</v>
      </c>
      <c r="H344" s="72"/>
      <c r="I344" s="71">
        <f t="shared" si="96"/>
        <v>6.69</v>
      </c>
      <c r="J344" s="72"/>
      <c r="M344" s="23">
        <f t="shared" si="97"/>
        <v>6193</v>
      </c>
      <c r="N344" s="23">
        <f>SUMIF(CPU!M:M,B338,CPU!O:O)</f>
        <v>3.8727000000000005</v>
      </c>
      <c r="O344" s="23">
        <f t="shared" si="98"/>
        <v>1.8356598000000002</v>
      </c>
      <c r="Q344" s="23">
        <f ca="1">SUMIF(CPU!M:M,B338,CPU!R:R)</f>
        <v>1.5490800000000002</v>
      </c>
      <c r="R344" s="23">
        <f t="shared" ca="1" si="99"/>
        <v>0.73426392000000007</v>
      </c>
    </row>
    <row r="345" spans="1:18" ht="30" customHeight="1" x14ac:dyDescent="0.3">
      <c r="A345" s="23" t="s">
        <v>1025</v>
      </c>
      <c r="B345" s="23">
        <v>2692</v>
      </c>
      <c r="C345" s="23" t="str">
        <f>VLOOKUP(B345,IF(A345="COMPOSICAO",S!$A:$E,I!$A:$E),2,FALSE)</f>
        <v>SINAPI</v>
      </c>
      <c r="D345" s="24" t="str">
        <f>VLOOKUP(B345,IF(A345="COMPOSICAO",S!$A:$E,I!$A:$E),3,FALSE)</f>
        <v>DESMOLDANTE PROTETOR PARA FORMAS DE MADEIRA, DE BASE OLEOSA EMULSIONADA EM AGUA</v>
      </c>
      <c r="E345" s="23" t="str">
        <f>VLOOKUP(B345,IF(A345="COMPOSICAO",S!$A:$E,I!$A:$E),4,FALSE)</f>
        <v>L</v>
      </c>
      <c r="F345" s="23">
        <v>0.01</v>
      </c>
      <c r="G345" s="71">
        <f>IF(A345="COMPOSICAO",VLOOKUP("TOTAL SEM BDI - "&amp;B345,CPUAUX2!$A:$J,9,FALSE),VLOOKUP(B345,I!$A:$E,5,FALSE))</f>
        <v>10.75</v>
      </c>
      <c r="H345" s="72"/>
      <c r="I345" s="71">
        <f t="shared" si="96"/>
        <v>0.1</v>
      </c>
      <c r="J345" s="72"/>
      <c r="M345" s="23">
        <f t="shared" si="97"/>
        <v>2692</v>
      </c>
      <c r="N345" s="23">
        <f>SUMIF(CPU!M:M,B338,CPU!O:O)</f>
        <v>3.8727000000000005</v>
      </c>
      <c r="O345" s="23">
        <f t="shared" si="98"/>
        <v>3.8727000000000004E-2</v>
      </c>
      <c r="Q345" s="23">
        <f ca="1">SUMIF(CPU!M:M,B338,CPU!R:R)</f>
        <v>1.5490800000000002</v>
      </c>
      <c r="R345" s="23">
        <f t="shared" ca="1" si="99"/>
        <v>1.5490800000000002E-2</v>
      </c>
    </row>
    <row r="346" spans="1:18" x14ac:dyDescent="0.3">
      <c r="A346" s="68" t="str">
        <f>"TOTAL SEM BDI - "&amp;B338</f>
        <v>TOTAL SEM BDI - 92451</v>
      </c>
      <c r="B346" s="69"/>
      <c r="C346" s="69"/>
      <c r="D346" s="69"/>
      <c r="E346" s="69"/>
      <c r="F346" s="69"/>
      <c r="G346" s="69"/>
      <c r="H346" s="70"/>
      <c r="I346" s="71">
        <f>SUM(I338:I345)</f>
        <v>209.76999999999998</v>
      </c>
      <c r="J346" s="72"/>
    </row>
    <row r="348" spans="1:18" x14ac:dyDescent="0.3">
      <c r="A348" s="4" t="s">
        <v>1018</v>
      </c>
      <c r="B348" s="4" t="s">
        <v>138</v>
      </c>
      <c r="C348" s="4" t="s">
        <v>139</v>
      </c>
      <c r="D348" s="4" t="s">
        <v>21</v>
      </c>
      <c r="E348" s="4" t="s">
        <v>140</v>
      </c>
      <c r="F348" s="4" t="s">
        <v>506</v>
      </c>
      <c r="G348" s="34" t="s">
        <v>1019</v>
      </c>
      <c r="H348" s="35"/>
      <c r="I348" s="34" t="s">
        <v>15</v>
      </c>
      <c r="J348" s="35"/>
    </row>
    <row r="349" spans="1:18" ht="45" customHeight="1" x14ac:dyDescent="0.3">
      <c r="A349" s="15" t="s">
        <v>1100</v>
      </c>
      <c r="B349" s="15">
        <v>92759</v>
      </c>
      <c r="C349" s="15" t="str">
        <f>VLOOKUP(B349,S!$A:$G,2,FALSE)</f>
        <v>SINAPI</v>
      </c>
      <c r="D349" s="22" t="str">
        <f>VLOOKUP(B349,S!$A:$G,3,FALSE)</f>
        <v>ARMAÇÃO DE PILAR OU VIGA DE ESTRUTURA CONVENCIONAL DE CONCRETO ARMADO UTILIZANDO AÇO CA-60 DE 5,0 MM - MONTAGEM. AF_06/2022</v>
      </c>
      <c r="E349" s="15" t="str">
        <f>VLOOKUP(B349,S!$A:$G,4,FALSE)</f>
        <v>KG</v>
      </c>
      <c r="F349" s="15"/>
      <c r="G349" s="73">
        <f>I355</f>
        <v>14.040000000000001</v>
      </c>
      <c r="H349" s="74"/>
      <c r="I349" s="73"/>
      <c r="J349" s="74"/>
      <c r="K349" s="16">
        <f>VLOOKUP(B349,S!A:G,5,FALSE)</f>
        <v>14.04</v>
      </c>
      <c r="L349" s="15" t="str">
        <f>IF(K349=G349,"OK, CONFORME TABELA",IF(G349&gt;K349,"ACIMA DA TABELA: ","ABAIXO DA TABELA: ")&amp;TRUNC((G349*100)/K349,2)&amp;" %")</f>
        <v>OK, CONFORME TABELA</v>
      </c>
    </row>
    <row r="350" spans="1:18" ht="30" customHeight="1" x14ac:dyDescent="0.3">
      <c r="A350" s="23" t="s">
        <v>1022</v>
      </c>
      <c r="B350" s="23">
        <v>92800</v>
      </c>
      <c r="C350" s="23" t="str">
        <f>VLOOKUP(B350,IF(A350="COMPOSICAO",S!$A:$E,I!$A:$E),2,FALSE)</f>
        <v>SINAPI</v>
      </c>
      <c r="D350" s="24" t="str">
        <f>VLOOKUP(B350,IF(A350="COMPOSICAO",S!$A:$E,I!$A:$E),3,FALSE)</f>
        <v>CORTE E DOBRA DE AÇO CA-60, DIÂMETRO DE 5,0 MM. AF_06/2022</v>
      </c>
      <c r="E350" s="23" t="str">
        <f>VLOOKUP(B350,IF(A350="COMPOSICAO",S!$A:$E,I!$A:$E),4,FALSE)</f>
        <v>KG</v>
      </c>
      <c r="F350" s="23">
        <v>1</v>
      </c>
      <c r="G350" s="71">
        <f>IF(A350="COMPOSICAO",VLOOKUP("TOTAL SEM BDI - "&amp;B350,CPUAUX2!$A:$J,9,FALSE),VLOOKUP(B350,I!$A:$E,5,FALSE))</f>
        <v>9.9599999999999991</v>
      </c>
      <c r="H350" s="72"/>
      <c r="I350" s="71">
        <f>TRUNC(F350*G350,2)</f>
        <v>9.9600000000000009</v>
      </c>
      <c r="J350" s="72"/>
      <c r="M350" s="23">
        <f>B350</f>
        <v>92800</v>
      </c>
      <c r="N350" s="23">
        <f>SUMIF(CPU!M:M,B349,CPU!O:O)</f>
        <v>4.1523000000000012</v>
      </c>
      <c r="O350" s="23">
        <f>F350*N350</f>
        <v>4.1523000000000012</v>
      </c>
      <c r="Q350" s="23">
        <f ca="1">SUMIF(CPU!M:M,B349,CPU!R:R)</f>
        <v>1.6609200000000004</v>
      </c>
      <c r="R350" s="23">
        <f ca="1">F350*Q350</f>
        <v>1.6609200000000004</v>
      </c>
    </row>
    <row r="351" spans="1:18" x14ac:dyDescent="0.3">
      <c r="A351" s="23" t="s">
        <v>1022</v>
      </c>
      <c r="B351" s="23">
        <v>88245</v>
      </c>
      <c r="C351" s="23" t="str">
        <f>VLOOKUP(B351,IF(A351="COMPOSICAO",S!$A:$E,I!$A:$E),2,FALSE)</f>
        <v>SINAPI</v>
      </c>
      <c r="D351" s="24" t="str">
        <f>VLOOKUP(B351,IF(A351="COMPOSICAO",S!$A:$E,I!$A:$E),3,FALSE)</f>
        <v>ARMADOR COM ENCARGOS COMPLEMENTARES</v>
      </c>
      <c r="E351" s="23" t="str">
        <f>VLOOKUP(B351,IF(A351="COMPOSICAO",S!$A:$E,I!$A:$E),4,FALSE)</f>
        <v>H</v>
      </c>
      <c r="F351" s="23">
        <f>0.1069/pcf</f>
        <v>0.1069</v>
      </c>
      <c r="G351" s="71">
        <f>IF(A351="COMPOSICAO",VLOOKUP("TOTAL SEM BDI - "&amp;B351,CPUAUX2!$A:$J,9,FALSE),VLOOKUP(B351,I!$A:$E,5,FALSE))</f>
        <v>27.189999999999998</v>
      </c>
      <c r="H351" s="72"/>
      <c r="I351" s="71">
        <f>TRUNC(F351*G351,2)</f>
        <v>2.9</v>
      </c>
      <c r="J351" s="72"/>
      <c r="M351" s="23">
        <f>B351</f>
        <v>88245</v>
      </c>
      <c r="N351" s="23">
        <f>SUMIF(CPU!M:M,B349,CPU!O:O)</f>
        <v>4.1523000000000012</v>
      </c>
      <c r="O351" s="23">
        <f>F351*N351</f>
        <v>0.44388087000000009</v>
      </c>
      <c r="Q351" s="23">
        <f ca="1">SUMIF(CPU!M:M,B349,CPU!R:R)</f>
        <v>1.6609200000000004</v>
      </c>
      <c r="R351" s="23">
        <f ca="1">F351*Q351</f>
        <v>0.17755234800000003</v>
      </c>
    </row>
    <row r="352" spans="1:18" ht="30" customHeight="1" x14ac:dyDescent="0.3">
      <c r="A352" s="23" t="s">
        <v>1022</v>
      </c>
      <c r="B352" s="23">
        <v>88238</v>
      </c>
      <c r="C352" s="23" t="str">
        <f>VLOOKUP(B352,IF(A352="COMPOSICAO",S!$A:$E,I!$A:$E),2,FALSE)</f>
        <v>SINAPI</v>
      </c>
      <c r="D352" s="24" t="str">
        <f>VLOOKUP(B352,IF(A352="COMPOSICAO",S!$A:$E,I!$A:$E),3,FALSE)</f>
        <v>AJUDANTE DE ARMADOR COM ENCARGOS COMPLEMENTARES</v>
      </c>
      <c r="E352" s="23" t="str">
        <f>VLOOKUP(B352,IF(A352="COMPOSICAO",S!$A:$E,I!$A:$E),4,FALSE)</f>
        <v>H</v>
      </c>
      <c r="F352" s="23">
        <f>0.0175/pcf</f>
        <v>1.7500000000000002E-2</v>
      </c>
      <c r="G352" s="71">
        <f>IF(A352="COMPOSICAO",VLOOKUP("TOTAL SEM BDI - "&amp;B352,CPUAUX2!$A:$J,9,FALSE),VLOOKUP(B352,I!$A:$E,5,FALSE))</f>
        <v>22.37</v>
      </c>
      <c r="H352" s="72"/>
      <c r="I352" s="71">
        <f>TRUNC(F352*G352,2)</f>
        <v>0.39</v>
      </c>
      <c r="J352" s="72"/>
      <c r="M352" s="23">
        <f>B352</f>
        <v>88238</v>
      </c>
      <c r="N352" s="23">
        <f>SUMIF(CPU!M:M,B349,CPU!O:O)</f>
        <v>4.1523000000000012</v>
      </c>
      <c r="O352" s="23">
        <f>F352*N352</f>
        <v>7.2665250000000028E-2</v>
      </c>
      <c r="Q352" s="23">
        <f ca="1">SUMIF(CPU!M:M,B349,CPU!R:R)</f>
        <v>1.6609200000000004</v>
      </c>
      <c r="R352" s="23">
        <f ca="1">F352*Q352</f>
        <v>2.9066100000000011E-2</v>
      </c>
    </row>
    <row r="353" spans="1:18" ht="30" customHeight="1" x14ac:dyDescent="0.3">
      <c r="A353" s="23" t="s">
        <v>1025</v>
      </c>
      <c r="B353" s="23">
        <v>43132</v>
      </c>
      <c r="C353" s="23" t="str">
        <f>VLOOKUP(B353,IF(A353="COMPOSICAO",S!$A:$E,I!$A:$E),2,FALSE)</f>
        <v>SINAPI</v>
      </c>
      <c r="D353" s="24" t="str">
        <f>VLOOKUP(B353,IF(A353="COMPOSICAO",S!$A:$E,I!$A:$E),3,FALSE)</f>
        <v>ARAME RECOZIDO 16 BWG, D = 1,65 MM (0,016 KG/M) OU 18 BWG, D = 1,25 MM (0,01 KG/M)</v>
      </c>
      <c r="E353" s="23" t="str">
        <f>VLOOKUP(B353,IF(A353="COMPOSICAO",S!$A:$E,I!$A:$E),4,FALSE)</f>
        <v>KG</v>
      </c>
      <c r="F353" s="23">
        <v>2.5000000000000001E-2</v>
      </c>
      <c r="G353" s="71">
        <f>IF(A353="COMPOSICAO",VLOOKUP("TOTAL SEM BDI - "&amp;B353,CPUAUX2!$A:$J,9,FALSE),VLOOKUP(B353,I!$A:$E,5,FALSE))</f>
        <v>21.59</v>
      </c>
      <c r="H353" s="72"/>
      <c r="I353" s="71">
        <f>TRUNC(F353*G353,2)</f>
        <v>0.53</v>
      </c>
      <c r="J353" s="72"/>
      <c r="M353" s="23">
        <f>B353</f>
        <v>43132</v>
      </c>
      <c r="N353" s="23">
        <f>SUMIF(CPU!M:M,B349,CPU!O:O)</f>
        <v>4.1523000000000012</v>
      </c>
      <c r="O353" s="23">
        <f>F353*N353</f>
        <v>0.10380750000000004</v>
      </c>
      <c r="Q353" s="23">
        <f ca="1">SUMIF(CPU!M:M,B349,CPU!R:R)</f>
        <v>1.6609200000000004</v>
      </c>
      <c r="R353" s="23">
        <f ca="1">F353*Q353</f>
        <v>4.1523000000000011E-2</v>
      </c>
    </row>
    <row r="354" spans="1:18" ht="45" customHeight="1" x14ac:dyDescent="0.3">
      <c r="A354" s="23" t="s">
        <v>1025</v>
      </c>
      <c r="B354" s="23">
        <v>39017</v>
      </c>
      <c r="C354" s="23" t="str">
        <f>VLOOKUP(B354,IF(A354="COMPOSICAO",S!$A:$E,I!$A:$E),2,FALSE)</f>
        <v>SINAPI</v>
      </c>
      <c r="D354" s="24" t="str">
        <f>VLOOKUP(B354,IF(A354="COMPOSICAO",S!$A:$E,I!$A:$E),3,FALSE)</f>
        <v>ESPACADOR / DISTANCIADOR CIRCULAR COM ENTRADA LATERAL, EM PLASTICO, PARA VERGALHAO *4,2 A 12,5* MM, COBRIMENTO 20 MM</v>
      </c>
      <c r="E354" s="23" t="str">
        <f>VLOOKUP(B354,IF(A354="COMPOSICAO",S!$A:$E,I!$A:$E),4,FALSE)</f>
        <v>UN</v>
      </c>
      <c r="F354" s="23">
        <v>1.19</v>
      </c>
      <c r="G354" s="71">
        <f>IF(A354="COMPOSICAO",VLOOKUP("TOTAL SEM BDI - "&amp;B354,CPUAUX2!$A:$J,9,FALSE),VLOOKUP(B354,I!$A:$E,5,FALSE))</f>
        <v>0.22</v>
      </c>
      <c r="H354" s="72"/>
      <c r="I354" s="71">
        <f>TRUNC(F354*G354,2)</f>
        <v>0.26</v>
      </c>
      <c r="J354" s="72"/>
      <c r="M354" s="23">
        <f>B354</f>
        <v>39017</v>
      </c>
      <c r="N354" s="23">
        <f>SUMIF(CPU!M:M,B349,CPU!O:O)</f>
        <v>4.1523000000000012</v>
      </c>
      <c r="O354" s="23">
        <f>F354*N354</f>
        <v>4.941237000000001</v>
      </c>
      <c r="Q354" s="23">
        <f ca="1">SUMIF(CPU!M:M,B349,CPU!R:R)</f>
        <v>1.6609200000000004</v>
      </c>
      <c r="R354" s="23">
        <f ca="1">F354*Q354</f>
        <v>1.9764948000000004</v>
      </c>
    </row>
    <row r="355" spans="1:18" x14ac:dyDescent="0.3">
      <c r="A355" s="68" t="str">
        <f>"TOTAL SEM BDI - "&amp;B349</f>
        <v>TOTAL SEM BDI - 92759</v>
      </c>
      <c r="B355" s="69"/>
      <c r="C355" s="69"/>
      <c r="D355" s="69"/>
      <c r="E355" s="69"/>
      <c r="F355" s="69"/>
      <c r="G355" s="69"/>
      <c r="H355" s="70"/>
      <c r="I355" s="71">
        <f>SUM(I349:I354)</f>
        <v>14.040000000000001</v>
      </c>
      <c r="J355" s="72"/>
    </row>
    <row r="357" spans="1:18" x14ac:dyDescent="0.3">
      <c r="A357" s="4" t="s">
        <v>1018</v>
      </c>
      <c r="B357" s="4" t="s">
        <v>138</v>
      </c>
      <c r="C357" s="4" t="s">
        <v>139</v>
      </c>
      <c r="D357" s="4" t="s">
        <v>21</v>
      </c>
      <c r="E357" s="4" t="s">
        <v>140</v>
      </c>
      <c r="F357" s="4" t="s">
        <v>506</v>
      </c>
      <c r="G357" s="34" t="s">
        <v>1019</v>
      </c>
      <c r="H357" s="35"/>
      <c r="I357" s="34" t="s">
        <v>15</v>
      </c>
      <c r="J357" s="35"/>
    </row>
    <row r="358" spans="1:18" ht="45" customHeight="1" x14ac:dyDescent="0.3">
      <c r="A358" s="15" t="s">
        <v>1100</v>
      </c>
      <c r="B358" s="15">
        <v>92760</v>
      </c>
      <c r="C358" s="15" t="str">
        <f>VLOOKUP(B358,S!$A:$G,2,FALSE)</f>
        <v>SINAPI</v>
      </c>
      <c r="D358" s="22" t="str">
        <f>VLOOKUP(B358,S!$A:$G,3,FALSE)</f>
        <v>ARMAÇÃO DE PILAR OU VIGA DE ESTRUTURA CONVENCIONAL DE CONCRETO ARMADO UTILIZANDO AÇO CA-50 DE 6,3 MM - MONTAGEM. AF_06/2022</v>
      </c>
      <c r="E358" s="15" t="str">
        <f>VLOOKUP(B358,S!$A:$G,4,FALSE)</f>
        <v>KG</v>
      </c>
      <c r="F358" s="15"/>
      <c r="G358" s="73">
        <f>I364</f>
        <v>13.22</v>
      </c>
      <c r="H358" s="74"/>
      <c r="I358" s="73"/>
      <c r="J358" s="74"/>
      <c r="K358" s="16">
        <f>VLOOKUP(B358,S!A:G,5,FALSE)</f>
        <v>13.22</v>
      </c>
      <c r="L358" s="15" t="str">
        <f>IF(K358=G358,"OK, CONFORME TABELA",IF(G358&gt;K358,"ACIMA DA TABELA: ","ABAIXO DA TABELA: ")&amp;TRUNC((G358*100)/K358,2)&amp;" %")</f>
        <v>OK, CONFORME TABELA</v>
      </c>
    </row>
    <row r="359" spans="1:18" ht="30" customHeight="1" x14ac:dyDescent="0.3">
      <c r="A359" s="23" t="s">
        <v>1022</v>
      </c>
      <c r="B359" s="23">
        <v>92801</v>
      </c>
      <c r="C359" s="23" t="str">
        <f>VLOOKUP(B359,IF(A359="COMPOSICAO",S!$A:$E,I!$A:$E),2,FALSE)</f>
        <v>SINAPI</v>
      </c>
      <c r="D359" s="24" t="str">
        <f>VLOOKUP(B359,IF(A359="COMPOSICAO",S!$A:$E,I!$A:$E),3,FALSE)</f>
        <v>CORTE E DOBRA DE AÇO CA-50, DIÂMETRO DE 6,3 MM. AF_06/2022</v>
      </c>
      <c r="E359" s="23" t="str">
        <f>VLOOKUP(B359,IF(A359="COMPOSICAO",S!$A:$E,I!$A:$E),4,FALSE)</f>
        <v>KG</v>
      </c>
      <c r="F359" s="23">
        <v>1</v>
      </c>
      <c r="G359" s="71">
        <f>IF(A359="COMPOSICAO",VLOOKUP("TOTAL SEM BDI - "&amp;B359,CPUAUX2!$A:$J,9,FALSE),VLOOKUP(B359,I!$A:$E,5,FALSE))</f>
        <v>10.059999999999999</v>
      </c>
      <c r="H359" s="72"/>
      <c r="I359" s="71">
        <f>TRUNC(F359*G359,2)</f>
        <v>10.06</v>
      </c>
      <c r="J359" s="72"/>
      <c r="M359" s="23">
        <f>B359</f>
        <v>92801</v>
      </c>
      <c r="N359" s="23">
        <f>SUMIF(CPU!M:M,B358,CPU!O:O)</f>
        <v>4.0353000000000003</v>
      </c>
      <c r="O359" s="23">
        <f>F359*N359</f>
        <v>4.0353000000000003</v>
      </c>
      <c r="Q359" s="23">
        <f ca="1">SUMIF(CPU!M:M,B358,CPU!R:R)</f>
        <v>1.6141200000000002</v>
      </c>
      <c r="R359" s="23">
        <f ca="1">F359*Q359</f>
        <v>1.6141200000000002</v>
      </c>
    </row>
    <row r="360" spans="1:18" x14ac:dyDescent="0.3">
      <c r="A360" s="23" t="s">
        <v>1022</v>
      </c>
      <c r="B360" s="23">
        <v>88245</v>
      </c>
      <c r="C360" s="23" t="str">
        <f>VLOOKUP(B360,IF(A360="COMPOSICAO",S!$A:$E,I!$A:$E),2,FALSE)</f>
        <v>SINAPI</v>
      </c>
      <c r="D360" s="24" t="str">
        <f>VLOOKUP(B360,IF(A360="COMPOSICAO",S!$A:$E,I!$A:$E),3,FALSE)</f>
        <v>ARMADOR COM ENCARGOS COMPLEMENTARES</v>
      </c>
      <c r="E360" s="23" t="str">
        <f>VLOOKUP(B360,IF(A360="COMPOSICAO",S!$A:$E,I!$A:$E),4,FALSE)</f>
        <v>H</v>
      </c>
      <c r="F360" s="23">
        <f>0.079/pcf</f>
        <v>7.9000000000000001E-2</v>
      </c>
      <c r="G360" s="71">
        <f>IF(A360="COMPOSICAO",VLOOKUP("TOTAL SEM BDI - "&amp;B360,CPUAUX2!$A:$J,9,FALSE),VLOOKUP(B360,I!$A:$E,5,FALSE))</f>
        <v>27.189999999999998</v>
      </c>
      <c r="H360" s="72"/>
      <c r="I360" s="71">
        <f>TRUNC(F360*G360,2)</f>
        <v>2.14</v>
      </c>
      <c r="J360" s="72"/>
      <c r="M360" s="23">
        <f>B360</f>
        <v>88245</v>
      </c>
      <c r="N360" s="23">
        <f>SUMIF(CPU!M:M,B358,CPU!O:O)</f>
        <v>4.0353000000000003</v>
      </c>
      <c r="O360" s="23">
        <f>F360*N360</f>
        <v>0.31878870000000004</v>
      </c>
      <c r="Q360" s="23">
        <f ca="1">SUMIF(CPU!M:M,B358,CPU!R:R)</f>
        <v>1.6141200000000002</v>
      </c>
      <c r="R360" s="23">
        <f ca="1">F360*Q360</f>
        <v>0.12751548000000001</v>
      </c>
    </row>
    <row r="361" spans="1:18" ht="30" customHeight="1" x14ac:dyDescent="0.3">
      <c r="A361" s="23" t="s">
        <v>1022</v>
      </c>
      <c r="B361" s="23">
        <v>88238</v>
      </c>
      <c r="C361" s="23" t="str">
        <f>VLOOKUP(B361,IF(A361="COMPOSICAO",S!$A:$E,I!$A:$E),2,FALSE)</f>
        <v>SINAPI</v>
      </c>
      <c r="D361" s="24" t="str">
        <f>VLOOKUP(B361,IF(A361="COMPOSICAO",S!$A:$E,I!$A:$E),3,FALSE)</f>
        <v>AJUDANTE DE ARMADOR COM ENCARGOS COMPLEMENTARES</v>
      </c>
      <c r="E361" s="23" t="str">
        <f>VLOOKUP(B361,IF(A361="COMPOSICAO",S!$A:$E,I!$A:$E),4,FALSE)</f>
        <v>H</v>
      </c>
      <c r="F361" s="23">
        <f>0.0129/pcf</f>
        <v>1.29E-2</v>
      </c>
      <c r="G361" s="71">
        <f>IF(A361="COMPOSICAO",VLOOKUP("TOTAL SEM BDI - "&amp;B361,CPUAUX2!$A:$J,9,FALSE),VLOOKUP(B361,I!$A:$E,5,FALSE))</f>
        <v>22.37</v>
      </c>
      <c r="H361" s="72"/>
      <c r="I361" s="71">
        <f>TRUNC(F361*G361,2)</f>
        <v>0.28000000000000003</v>
      </c>
      <c r="J361" s="72"/>
      <c r="M361" s="23">
        <f>B361</f>
        <v>88238</v>
      </c>
      <c r="N361" s="23">
        <f>SUMIF(CPU!M:M,B358,CPU!O:O)</f>
        <v>4.0353000000000003</v>
      </c>
      <c r="O361" s="23">
        <f>F361*N361</f>
        <v>5.2055370000000004E-2</v>
      </c>
      <c r="Q361" s="23">
        <f ca="1">SUMIF(CPU!M:M,B358,CPU!R:R)</f>
        <v>1.6141200000000002</v>
      </c>
      <c r="R361" s="23">
        <f ca="1">F361*Q361</f>
        <v>2.0822148000000002E-2</v>
      </c>
    </row>
    <row r="362" spans="1:18" ht="30" customHeight="1" x14ac:dyDescent="0.3">
      <c r="A362" s="23" t="s">
        <v>1025</v>
      </c>
      <c r="B362" s="23">
        <v>43132</v>
      </c>
      <c r="C362" s="23" t="str">
        <f>VLOOKUP(B362,IF(A362="COMPOSICAO",S!$A:$E,I!$A:$E),2,FALSE)</f>
        <v>SINAPI</v>
      </c>
      <c r="D362" s="24" t="str">
        <f>VLOOKUP(B362,IF(A362="COMPOSICAO",S!$A:$E,I!$A:$E),3,FALSE)</f>
        <v>ARAME RECOZIDO 16 BWG, D = 1,65 MM (0,016 KG/M) OU 18 BWG, D = 1,25 MM (0,01 KG/M)</v>
      </c>
      <c r="E362" s="23" t="str">
        <f>VLOOKUP(B362,IF(A362="COMPOSICAO",S!$A:$E,I!$A:$E),4,FALSE)</f>
        <v>KG</v>
      </c>
      <c r="F362" s="23">
        <v>2.5000000000000001E-2</v>
      </c>
      <c r="G362" s="71">
        <f>IF(A362="COMPOSICAO",VLOOKUP("TOTAL SEM BDI - "&amp;B362,CPUAUX2!$A:$J,9,FALSE),VLOOKUP(B362,I!$A:$E,5,FALSE))</f>
        <v>21.59</v>
      </c>
      <c r="H362" s="72"/>
      <c r="I362" s="71">
        <f>TRUNC(F362*G362,2)</f>
        <v>0.53</v>
      </c>
      <c r="J362" s="72"/>
      <c r="M362" s="23">
        <f>B362</f>
        <v>43132</v>
      </c>
      <c r="N362" s="23">
        <f>SUMIF(CPU!M:M,B358,CPU!O:O)</f>
        <v>4.0353000000000003</v>
      </c>
      <c r="O362" s="23">
        <f>F362*N362</f>
        <v>0.10088250000000001</v>
      </c>
      <c r="Q362" s="23">
        <f ca="1">SUMIF(CPU!M:M,B358,CPU!R:R)</f>
        <v>1.6141200000000002</v>
      </c>
      <c r="R362" s="23">
        <f ca="1">F362*Q362</f>
        <v>4.0353000000000007E-2</v>
      </c>
    </row>
    <row r="363" spans="1:18" ht="45" customHeight="1" x14ac:dyDescent="0.3">
      <c r="A363" s="23" t="s">
        <v>1025</v>
      </c>
      <c r="B363" s="23">
        <v>39017</v>
      </c>
      <c r="C363" s="23" t="str">
        <f>VLOOKUP(B363,IF(A363="COMPOSICAO",S!$A:$E,I!$A:$E),2,FALSE)</f>
        <v>SINAPI</v>
      </c>
      <c r="D363" s="24" t="str">
        <f>VLOOKUP(B363,IF(A363="COMPOSICAO",S!$A:$E,I!$A:$E),3,FALSE)</f>
        <v>ESPACADOR / DISTANCIADOR CIRCULAR COM ENTRADA LATERAL, EM PLASTICO, PARA VERGALHAO *4,2 A 12,5* MM, COBRIMENTO 20 MM</v>
      </c>
      <c r="E363" s="23" t="str">
        <f>VLOOKUP(B363,IF(A363="COMPOSICAO",S!$A:$E,I!$A:$E),4,FALSE)</f>
        <v>UN</v>
      </c>
      <c r="F363" s="23">
        <v>0.97</v>
      </c>
      <c r="G363" s="71">
        <f>IF(A363="COMPOSICAO",VLOOKUP("TOTAL SEM BDI - "&amp;B363,CPUAUX2!$A:$J,9,FALSE),VLOOKUP(B363,I!$A:$E,5,FALSE))</f>
        <v>0.22</v>
      </c>
      <c r="H363" s="72"/>
      <c r="I363" s="71">
        <f>TRUNC(F363*G363,2)</f>
        <v>0.21</v>
      </c>
      <c r="J363" s="72"/>
      <c r="M363" s="23">
        <f>B363</f>
        <v>39017</v>
      </c>
      <c r="N363" s="23">
        <f>SUMIF(CPU!M:M,B358,CPU!O:O)</f>
        <v>4.0353000000000003</v>
      </c>
      <c r="O363" s="23">
        <f>F363*N363</f>
        <v>3.9142410000000001</v>
      </c>
      <c r="Q363" s="23">
        <f ca="1">SUMIF(CPU!M:M,B358,CPU!R:R)</f>
        <v>1.6141200000000002</v>
      </c>
      <c r="R363" s="23">
        <f ca="1">F363*Q363</f>
        <v>1.5656964000000002</v>
      </c>
    </row>
    <row r="364" spans="1:18" x14ac:dyDescent="0.3">
      <c r="A364" s="68" t="str">
        <f>"TOTAL SEM BDI - "&amp;B358</f>
        <v>TOTAL SEM BDI - 92760</v>
      </c>
      <c r="B364" s="69"/>
      <c r="C364" s="69"/>
      <c r="D364" s="69"/>
      <c r="E364" s="69"/>
      <c r="F364" s="69"/>
      <c r="G364" s="69"/>
      <c r="H364" s="70"/>
      <c r="I364" s="71">
        <f>SUM(I358:I363)</f>
        <v>13.22</v>
      </c>
      <c r="J364" s="72"/>
    </row>
    <row r="366" spans="1:18" x14ac:dyDescent="0.3">
      <c r="A366" s="4" t="s">
        <v>1018</v>
      </c>
      <c r="B366" s="4" t="s">
        <v>138</v>
      </c>
      <c r="C366" s="4" t="s">
        <v>139</v>
      </c>
      <c r="D366" s="4" t="s">
        <v>21</v>
      </c>
      <c r="E366" s="4" t="s">
        <v>140</v>
      </c>
      <c r="F366" s="4" t="s">
        <v>506</v>
      </c>
      <c r="G366" s="34" t="s">
        <v>1019</v>
      </c>
      <c r="H366" s="35"/>
      <c r="I366" s="34" t="s">
        <v>15</v>
      </c>
      <c r="J366" s="35"/>
    </row>
    <row r="367" spans="1:18" ht="45" customHeight="1" x14ac:dyDescent="0.3">
      <c r="A367" s="15" t="s">
        <v>1100</v>
      </c>
      <c r="B367" s="15">
        <v>92761</v>
      </c>
      <c r="C367" s="15" t="str">
        <f>VLOOKUP(B367,S!$A:$G,2,FALSE)</f>
        <v>SINAPI</v>
      </c>
      <c r="D367" s="22" t="str">
        <f>VLOOKUP(B367,S!$A:$G,3,FALSE)</f>
        <v>ARMAÇÃO DE PILAR OU VIGA DE ESTRUTURA CONVENCIONAL DE CONCRETO ARMADO UTILIZANDO AÇO CA-50 DE 8,0 MM - MONTAGEM. AF_06/2022</v>
      </c>
      <c r="E367" s="15" t="str">
        <f>VLOOKUP(B367,S!$A:$G,4,FALSE)</f>
        <v>KG</v>
      </c>
      <c r="F367" s="15"/>
      <c r="G367" s="73">
        <f>I373</f>
        <v>12.409999999999998</v>
      </c>
      <c r="H367" s="74"/>
      <c r="I367" s="73"/>
      <c r="J367" s="74"/>
      <c r="K367" s="16">
        <f>VLOOKUP(B367,S!A:G,5,FALSE)</f>
        <v>12.41</v>
      </c>
      <c r="L367" s="15" t="str">
        <f>IF(K367=G367,"OK, CONFORME TABELA",IF(G367&gt;K367,"ACIMA DA TABELA: ","ABAIXO DA TABELA: ")&amp;TRUNC((G367*100)/K367,2)&amp;" %")</f>
        <v>OK, CONFORME TABELA</v>
      </c>
    </row>
    <row r="368" spans="1:18" ht="30" customHeight="1" x14ac:dyDescent="0.3">
      <c r="A368" s="23" t="s">
        <v>1022</v>
      </c>
      <c r="B368" s="23">
        <v>92802</v>
      </c>
      <c r="C368" s="23" t="str">
        <f>VLOOKUP(B368,IF(A368="COMPOSICAO",S!$A:$E,I!$A:$E),2,FALSE)</f>
        <v>SINAPI</v>
      </c>
      <c r="D368" s="24" t="str">
        <f>VLOOKUP(B368,IF(A368="COMPOSICAO",S!$A:$E,I!$A:$E),3,FALSE)</f>
        <v>CORTE E DOBRA DE AÇO CA-50, DIÂMETRO DE 8,0 MM. AF_06/2022</v>
      </c>
      <c r="E368" s="23" t="str">
        <f>VLOOKUP(B368,IF(A368="COMPOSICAO",S!$A:$E,I!$A:$E),4,FALSE)</f>
        <v>KG</v>
      </c>
      <c r="F368" s="23">
        <v>1</v>
      </c>
      <c r="G368" s="71">
        <f>IF(A368="COMPOSICAO",VLOOKUP("TOTAL SEM BDI - "&amp;B368,CPUAUX2!$A:$J,9,FALSE),VLOOKUP(B368,I!$A:$E,5,FALSE))</f>
        <v>10</v>
      </c>
      <c r="H368" s="72"/>
      <c r="I368" s="71">
        <f>TRUNC(F368*G368,2)</f>
        <v>10</v>
      </c>
      <c r="J368" s="72"/>
      <c r="M368" s="23">
        <f>B368</f>
        <v>92802</v>
      </c>
      <c r="N368" s="23">
        <f>SUMIF(CPU!M:M,B367,CPU!O:O)</f>
        <v>1.4664000000000001</v>
      </c>
      <c r="O368" s="23">
        <f>F368*N368</f>
        <v>1.4664000000000001</v>
      </c>
      <c r="Q368" s="23">
        <f ca="1">SUMIF(CPU!M:M,B367,CPU!R:R)</f>
        <v>0.58656000000000008</v>
      </c>
      <c r="R368" s="23">
        <f ca="1">F368*Q368</f>
        <v>0.58656000000000008</v>
      </c>
    </row>
    <row r="369" spans="1:18" x14ac:dyDescent="0.3">
      <c r="A369" s="23" t="s">
        <v>1022</v>
      </c>
      <c r="B369" s="23">
        <v>88245</v>
      </c>
      <c r="C369" s="23" t="str">
        <f>VLOOKUP(B369,IF(A369="COMPOSICAO",S!$A:$E,I!$A:$E),2,FALSE)</f>
        <v>SINAPI</v>
      </c>
      <c r="D369" s="24" t="str">
        <f>VLOOKUP(B369,IF(A369="COMPOSICAO",S!$A:$E,I!$A:$E),3,FALSE)</f>
        <v>ARMADOR COM ENCARGOS COMPLEMENTARES</v>
      </c>
      <c r="E369" s="23" t="str">
        <f>VLOOKUP(B369,IF(A369="COMPOSICAO",S!$A:$E,I!$A:$E),4,FALSE)</f>
        <v>H</v>
      </c>
      <c r="F369" s="23">
        <f>0.0561/pcf</f>
        <v>5.6099999999999997E-2</v>
      </c>
      <c r="G369" s="71">
        <f>IF(A369="COMPOSICAO",VLOOKUP("TOTAL SEM BDI - "&amp;B369,CPUAUX2!$A:$J,9,FALSE),VLOOKUP(B369,I!$A:$E,5,FALSE))</f>
        <v>27.189999999999998</v>
      </c>
      <c r="H369" s="72"/>
      <c r="I369" s="71">
        <f>TRUNC(F369*G369,2)</f>
        <v>1.52</v>
      </c>
      <c r="J369" s="72"/>
      <c r="M369" s="23">
        <f>B369</f>
        <v>88245</v>
      </c>
      <c r="N369" s="23">
        <f>SUMIF(CPU!M:M,B367,CPU!O:O)</f>
        <v>1.4664000000000001</v>
      </c>
      <c r="O369" s="23">
        <f>F369*N369</f>
        <v>8.2265039999999998E-2</v>
      </c>
      <c r="Q369" s="23">
        <f ca="1">SUMIF(CPU!M:M,B367,CPU!R:R)</f>
        <v>0.58656000000000008</v>
      </c>
      <c r="R369" s="23">
        <f ca="1">F369*Q369</f>
        <v>3.2906016000000003E-2</v>
      </c>
    </row>
    <row r="370" spans="1:18" ht="30" customHeight="1" x14ac:dyDescent="0.3">
      <c r="A370" s="23" t="s">
        <v>1022</v>
      </c>
      <c r="B370" s="23">
        <v>88238</v>
      </c>
      <c r="C370" s="23" t="str">
        <f>VLOOKUP(B370,IF(A370="COMPOSICAO",S!$A:$E,I!$A:$E),2,FALSE)</f>
        <v>SINAPI</v>
      </c>
      <c r="D370" s="24" t="str">
        <f>VLOOKUP(B370,IF(A370="COMPOSICAO",S!$A:$E,I!$A:$E),3,FALSE)</f>
        <v>AJUDANTE DE ARMADOR COM ENCARGOS COMPLEMENTARES</v>
      </c>
      <c r="E370" s="23" t="str">
        <f>VLOOKUP(B370,IF(A370="COMPOSICAO",S!$A:$E,I!$A:$E),4,FALSE)</f>
        <v>H</v>
      </c>
      <c r="F370" s="23">
        <f>0.0092/pcf</f>
        <v>9.1999999999999998E-3</v>
      </c>
      <c r="G370" s="71">
        <f>IF(A370="COMPOSICAO",VLOOKUP("TOTAL SEM BDI - "&amp;B370,CPUAUX2!$A:$J,9,FALSE),VLOOKUP(B370,I!$A:$E,5,FALSE))</f>
        <v>22.37</v>
      </c>
      <c r="H370" s="72"/>
      <c r="I370" s="71">
        <f>TRUNC(F370*G370,2)</f>
        <v>0.2</v>
      </c>
      <c r="J370" s="72"/>
      <c r="M370" s="23">
        <f>B370</f>
        <v>88238</v>
      </c>
      <c r="N370" s="23">
        <f>SUMIF(CPU!M:M,B367,CPU!O:O)</f>
        <v>1.4664000000000001</v>
      </c>
      <c r="O370" s="23">
        <f>F370*N370</f>
        <v>1.3490880000000002E-2</v>
      </c>
      <c r="Q370" s="23">
        <f ca="1">SUMIF(CPU!M:M,B367,CPU!R:R)</f>
        <v>0.58656000000000008</v>
      </c>
      <c r="R370" s="23">
        <f ca="1">F370*Q370</f>
        <v>5.396352000000001E-3</v>
      </c>
    </row>
    <row r="371" spans="1:18" ht="30" customHeight="1" x14ac:dyDescent="0.3">
      <c r="A371" s="23" t="s">
        <v>1025</v>
      </c>
      <c r="B371" s="23">
        <v>43132</v>
      </c>
      <c r="C371" s="23" t="str">
        <f>VLOOKUP(B371,IF(A371="COMPOSICAO",S!$A:$E,I!$A:$E),2,FALSE)</f>
        <v>SINAPI</v>
      </c>
      <c r="D371" s="24" t="str">
        <f>VLOOKUP(B371,IF(A371="COMPOSICAO",S!$A:$E,I!$A:$E),3,FALSE)</f>
        <v>ARAME RECOZIDO 16 BWG, D = 1,65 MM (0,016 KG/M) OU 18 BWG, D = 1,25 MM (0,01 KG/M)</v>
      </c>
      <c r="E371" s="23" t="str">
        <f>VLOOKUP(B371,IF(A371="COMPOSICAO",S!$A:$E,I!$A:$E),4,FALSE)</f>
        <v>KG</v>
      </c>
      <c r="F371" s="23">
        <v>2.5000000000000001E-2</v>
      </c>
      <c r="G371" s="71">
        <f>IF(A371="COMPOSICAO",VLOOKUP("TOTAL SEM BDI - "&amp;B371,CPUAUX2!$A:$J,9,FALSE),VLOOKUP(B371,I!$A:$E,5,FALSE))</f>
        <v>21.59</v>
      </c>
      <c r="H371" s="72"/>
      <c r="I371" s="71">
        <f>TRUNC(F371*G371,2)</f>
        <v>0.53</v>
      </c>
      <c r="J371" s="72"/>
      <c r="M371" s="23">
        <f>B371</f>
        <v>43132</v>
      </c>
      <c r="N371" s="23">
        <f>SUMIF(CPU!M:M,B367,CPU!O:O)</f>
        <v>1.4664000000000001</v>
      </c>
      <c r="O371" s="23">
        <f>F371*N371</f>
        <v>3.6660000000000005E-2</v>
      </c>
      <c r="Q371" s="23">
        <f ca="1">SUMIF(CPU!M:M,B367,CPU!R:R)</f>
        <v>0.58656000000000008</v>
      </c>
      <c r="R371" s="23">
        <f ca="1">F371*Q371</f>
        <v>1.4664000000000003E-2</v>
      </c>
    </row>
    <row r="372" spans="1:18" ht="45" customHeight="1" x14ac:dyDescent="0.3">
      <c r="A372" s="23" t="s">
        <v>1025</v>
      </c>
      <c r="B372" s="23">
        <v>39017</v>
      </c>
      <c r="C372" s="23" t="str">
        <f>VLOOKUP(B372,IF(A372="COMPOSICAO",S!$A:$E,I!$A:$E),2,FALSE)</f>
        <v>SINAPI</v>
      </c>
      <c r="D372" s="24" t="str">
        <f>VLOOKUP(B372,IF(A372="COMPOSICAO",S!$A:$E,I!$A:$E),3,FALSE)</f>
        <v>ESPACADOR / DISTANCIADOR CIRCULAR COM ENTRADA LATERAL, EM PLASTICO, PARA VERGALHAO *4,2 A 12,5* MM, COBRIMENTO 20 MM</v>
      </c>
      <c r="E372" s="23" t="str">
        <f>VLOOKUP(B372,IF(A372="COMPOSICAO",S!$A:$E,I!$A:$E),4,FALSE)</f>
        <v>UN</v>
      </c>
      <c r="F372" s="23">
        <v>0.74299999999999999</v>
      </c>
      <c r="G372" s="71">
        <f>IF(A372="COMPOSICAO",VLOOKUP("TOTAL SEM BDI - "&amp;B372,CPUAUX2!$A:$J,9,FALSE),VLOOKUP(B372,I!$A:$E,5,FALSE))</f>
        <v>0.22</v>
      </c>
      <c r="H372" s="72"/>
      <c r="I372" s="71">
        <f>TRUNC(F372*G372,2)</f>
        <v>0.16</v>
      </c>
      <c r="J372" s="72"/>
      <c r="M372" s="23">
        <f>B372</f>
        <v>39017</v>
      </c>
      <c r="N372" s="23">
        <f>SUMIF(CPU!M:M,B367,CPU!O:O)</f>
        <v>1.4664000000000001</v>
      </c>
      <c r="O372" s="23">
        <f>F372*N372</f>
        <v>1.0895352</v>
      </c>
      <c r="Q372" s="23">
        <f ca="1">SUMIF(CPU!M:M,B367,CPU!R:R)</f>
        <v>0.58656000000000008</v>
      </c>
      <c r="R372" s="23">
        <f ca="1">F372*Q372</f>
        <v>0.43581408000000005</v>
      </c>
    </row>
    <row r="373" spans="1:18" x14ac:dyDescent="0.3">
      <c r="A373" s="68" t="str">
        <f>"TOTAL SEM BDI - "&amp;B367</f>
        <v>TOTAL SEM BDI - 92761</v>
      </c>
      <c r="B373" s="69"/>
      <c r="C373" s="69"/>
      <c r="D373" s="69"/>
      <c r="E373" s="69"/>
      <c r="F373" s="69"/>
      <c r="G373" s="69"/>
      <c r="H373" s="70"/>
      <c r="I373" s="71">
        <f>SUM(I367:I372)</f>
        <v>12.409999999999998</v>
      </c>
      <c r="J373" s="72"/>
    </row>
    <row r="375" spans="1:18" x14ac:dyDescent="0.3">
      <c r="A375" s="4" t="s">
        <v>1018</v>
      </c>
      <c r="B375" s="4" t="s">
        <v>138</v>
      </c>
      <c r="C375" s="4" t="s">
        <v>139</v>
      </c>
      <c r="D375" s="4" t="s">
        <v>21</v>
      </c>
      <c r="E375" s="4" t="s">
        <v>140</v>
      </c>
      <c r="F375" s="4" t="s">
        <v>506</v>
      </c>
      <c r="G375" s="34" t="s">
        <v>1019</v>
      </c>
      <c r="H375" s="35"/>
      <c r="I375" s="34" t="s">
        <v>15</v>
      </c>
      <c r="J375" s="35"/>
    </row>
    <row r="376" spans="1:18" ht="45" customHeight="1" x14ac:dyDescent="0.3">
      <c r="A376" s="15" t="s">
        <v>1100</v>
      </c>
      <c r="B376" s="15">
        <v>92762</v>
      </c>
      <c r="C376" s="15" t="str">
        <f>VLOOKUP(B376,S!$A:$G,2,FALSE)</f>
        <v>SINAPI</v>
      </c>
      <c r="D376" s="22" t="str">
        <f>VLOOKUP(B376,S!$A:$G,3,FALSE)</f>
        <v>ARMAÇÃO DE PILAR OU VIGA DE ESTRUTURA CONVENCIONAL DE CONCRETO ARMADO UTILIZANDO AÇO CA-50 DE 10,0 MM - MONTAGEM. AF_06/2022</v>
      </c>
      <c r="E376" s="15" t="str">
        <f>VLOOKUP(B376,S!$A:$G,4,FALSE)</f>
        <v>KG</v>
      </c>
      <c r="F376" s="15"/>
      <c r="G376" s="73">
        <f>I382</f>
        <v>11.06</v>
      </c>
      <c r="H376" s="74"/>
      <c r="I376" s="73"/>
      <c r="J376" s="74"/>
      <c r="K376" s="16">
        <f>VLOOKUP(B376,S!A:G,5,FALSE)</f>
        <v>11.06</v>
      </c>
      <c r="L376" s="15" t="str">
        <f>IF(K376=G376,"OK, CONFORME TABELA",IF(G376&gt;K376,"ACIMA DA TABELA: ","ABAIXO DA TABELA: ")&amp;TRUNC((G376*100)/K376,2)&amp;" %")</f>
        <v>OK, CONFORME TABELA</v>
      </c>
    </row>
    <row r="377" spans="1:18" ht="30" customHeight="1" x14ac:dyDescent="0.3">
      <c r="A377" s="23" t="s">
        <v>1022</v>
      </c>
      <c r="B377" s="23">
        <v>92803</v>
      </c>
      <c r="C377" s="23" t="str">
        <f>VLOOKUP(B377,IF(A377="COMPOSICAO",S!$A:$E,I!$A:$E),2,FALSE)</f>
        <v>SINAPI</v>
      </c>
      <c r="D377" s="24" t="str">
        <f>VLOOKUP(B377,IF(A377="COMPOSICAO",S!$A:$E,I!$A:$E),3,FALSE)</f>
        <v>CORTE E DOBRA DE AÇO CA-50, DIÂMETRO DE 10,0 MM. AF_06/2022</v>
      </c>
      <c r="E377" s="23" t="str">
        <f>VLOOKUP(B377,IF(A377="COMPOSICAO",S!$A:$E,I!$A:$E),4,FALSE)</f>
        <v>KG</v>
      </c>
      <c r="F377" s="23">
        <v>1</v>
      </c>
      <c r="G377" s="71">
        <f>IF(A377="COMPOSICAO",VLOOKUP("TOTAL SEM BDI - "&amp;B377,CPUAUX2!$A:$J,9,FALSE),VLOOKUP(B377,I!$A:$E,5,FALSE))</f>
        <v>9.2200000000000006</v>
      </c>
      <c r="H377" s="72"/>
      <c r="I377" s="71">
        <f>TRUNC(F377*G377,2)</f>
        <v>9.2200000000000006</v>
      </c>
      <c r="J377" s="72"/>
      <c r="M377" s="23">
        <f>B377</f>
        <v>92803</v>
      </c>
      <c r="N377" s="23">
        <f>SUMIF(CPU!M:M,B376,CPU!O:O)</f>
        <v>30.536400000000008</v>
      </c>
      <c r="O377" s="23">
        <f>F377*N377</f>
        <v>30.536400000000008</v>
      </c>
      <c r="Q377" s="23">
        <f ca="1">SUMIF(CPU!M:M,B376,CPU!R:R)</f>
        <v>12.214560000000002</v>
      </c>
      <c r="R377" s="23">
        <f ca="1">F377*Q377</f>
        <v>12.214560000000002</v>
      </c>
    </row>
    <row r="378" spans="1:18" x14ac:dyDescent="0.3">
      <c r="A378" s="23" t="s">
        <v>1022</v>
      </c>
      <c r="B378" s="23">
        <v>88245</v>
      </c>
      <c r="C378" s="23" t="str">
        <f>VLOOKUP(B378,IF(A378="COMPOSICAO",S!$A:$E,I!$A:$E),2,FALSE)</f>
        <v>SINAPI</v>
      </c>
      <c r="D378" s="24" t="str">
        <f>VLOOKUP(B378,IF(A378="COMPOSICAO",S!$A:$E,I!$A:$E),3,FALSE)</f>
        <v>ARMADOR COM ENCARGOS COMPLEMENTARES</v>
      </c>
      <c r="E378" s="23" t="str">
        <f>VLOOKUP(B378,IF(A378="COMPOSICAO",S!$A:$E,I!$A:$E),4,FALSE)</f>
        <v>H</v>
      </c>
      <c r="F378" s="23">
        <f>0.0392/pcf</f>
        <v>3.9199999999999999E-2</v>
      </c>
      <c r="G378" s="71">
        <f>IF(A378="COMPOSICAO",VLOOKUP("TOTAL SEM BDI - "&amp;B378,CPUAUX2!$A:$J,9,FALSE),VLOOKUP(B378,I!$A:$E,5,FALSE))</f>
        <v>27.189999999999998</v>
      </c>
      <c r="H378" s="72"/>
      <c r="I378" s="71">
        <f>TRUNC(F378*G378,2)</f>
        <v>1.06</v>
      </c>
      <c r="J378" s="72"/>
      <c r="M378" s="23">
        <f>B378</f>
        <v>88245</v>
      </c>
      <c r="N378" s="23">
        <f>SUMIF(CPU!M:M,B376,CPU!O:O)</f>
        <v>30.536400000000008</v>
      </c>
      <c r="O378" s="23">
        <f>F378*N378</f>
        <v>1.1970268800000003</v>
      </c>
      <c r="Q378" s="23">
        <f ca="1">SUMIF(CPU!M:M,B376,CPU!R:R)</f>
        <v>12.214560000000002</v>
      </c>
      <c r="R378" s="23">
        <f ca="1">F378*Q378</f>
        <v>0.47881075200000006</v>
      </c>
    </row>
    <row r="379" spans="1:18" ht="30" customHeight="1" x14ac:dyDescent="0.3">
      <c r="A379" s="23" t="s">
        <v>1022</v>
      </c>
      <c r="B379" s="23">
        <v>88238</v>
      </c>
      <c r="C379" s="23" t="str">
        <f>VLOOKUP(B379,IF(A379="COMPOSICAO",S!$A:$E,I!$A:$E),2,FALSE)</f>
        <v>SINAPI</v>
      </c>
      <c r="D379" s="24" t="str">
        <f>VLOOKUP(B379,IF(A379="COMPOSICAO",S!$A:$E,I!$A:$E),3,FALSE)</f>
        <v>AJUDANTE DE ARMADOR COM ENCARGOS COMPLEMENTARES</v>
      </c>
      <c r="E379" s="23" t="str">
        <f>VLOOKUP(B379,IF(A379="COMPOSICAO",S!$A:$E,I!$A:$E),4,FALSE)</f>
        <v>H</v>
      </c>
      <c r="F379" s="23">
        <f>0.0064/pcf</f>
        <v>6.4000000000000003E-3</v>
      </c>
      <c r="G379" s="71">
        <f>IF(A379="COMPOSICAO",VLOOKUP("TOTAL SEM BDI - "&amp;B379,CPUAUX2!$A:$J,9,FALSE),VLOOKUP(B379,I!$A:$E,5,FALSE))</f>
        <v>22.37</v>
      </c>
      <c r="H379" s="72"/>
      <c r="I379" s="71">
        <f>TRUNC(F379*G379,2)</f>
        <v>0.14000000000000001</v>
      </c>
      <c r="J379" s="72"/>
      <c r="M379" s="23">
        <f>B379</f>
        <v>88238</v>
      </c>
      <c r="N379" s="23">
        <f>SUMIF(CPU!M:M,B376,CPU!O:O)</f>
        <v>30.536400000000008</v>
      </c>
      <c r="O379" s="23">
        <f>F379*N379</f>
        <v>0.19543296000000004</v>
      </c>
      <c r="Q379" s="23">
        <f ca="1">SUMIF(CPU!M:M,B376,CPU!R:R)</f>
        <v>12.214560000000002</v>
      </c>
      <c r="R379" s="23">
        <f ca="1">F379*Q379</f>
        <v>7.8173184000000021E-2</v>
      </c>
    </row>
    <row r="380" spans="1:18" ht="30" customHeight="1" x14ac:dyDescent="0.3">
      <c r="A380" s="23" t="s">
        <v>1025</v>
      </c>
      <c r="B380" s="23">
        <v>43132</v>
      </c>
      <c r="C380" s="23" t="str">
        <f>VLOOKUP(B380,IF(A380="COMPOSICAO",S!$A:$E,I!$A:$E),2,FALSE)</f>
        <v>SINAPI</v>
      </c>
      <c r="D380" s="24" t="str">
        <f>VLOOKUP(B380,IF(A380="COMPOSICAO",S!$A:$E,I!$A:$E),3,FALSE)</f>
        <v>ARAME RECOZIDO 16 BWG, D = 1,65 MM (0,016 KG/M) OU 18 BWG, D = 1,25 MM (0,01 KG/M)</v>
      </c>
      <c r="E380" s="23" t="str">
        <f>VLOOKUP(B380,IF(A380="COMPOSICAO",S!$A:$E,I!$A:$E),4,FALSE)</f>
        <v>KG</v>
      </c>
      <c r="F380" s="23">
        <v>2.5000000000000001E-2</v>
      </c>
      <c r="G380" s="71">
        <f>IF(A380="COMPOSICAO",VLOOKUP("TOTAL SEM BDI - "&amp;B380,CPUAUX2!$A:$J,9,FALSE),VLOOKUP(B380,I!$A:$E,5,FALSE))</f>
        <v>21.59</v>
      </c>
      <c r="H380" s="72"/>
      <c r="I380" s="71">
        <f>TRUNC(F380*G380,2)</f>
        <v>0.53</v>
      </c>
      <c r="J380" s="72"/>
      <c r="M380" s="23">
        <f>B380</f>
        <v>43132</v>
      </c>
      <c r="N380" s="23">
        <f>SUMIF(CPU!M:M,B376,CPU!O:O)</f>
        <v>30.536400000000008</v>
      </c>
      <c r="O380" s="23">
        <f>F380*N380</f>
        <v>0.76341000000000026</v>
      </c>
      <c r="Q380" s="23">
        <f ca="1">SUMIF(CPU!M:M,B376,CPU!R:R)</f>
        <v>12.214560000000002</v>
      </c>
      <c r="R380" s="23">
        <f ca="1">F380*Q380</f>
        <v>0.30536400000000008</v>
      </c>
    </row>
    <row r="381" spans="1:18" ht="45" customHeight="1" x14ac:dyDescent="0.3">
      <c r="A381" s="23" t="s">
        <v>1025</v>
      </c>
      <c r="B381" s="23">
        <v>39017</v>
      </c>
      <c r="C381" s="23" t="str">
        <f>VLOOKUP(B381,IF(A381="COMPOSICAO",S!$A:$E,I!$A:$E),2,FALSE)</f>
        <v>SINAPI</v>
      </c>
      <c r="D381" s="24" t="str">
        <f>VLOOKUP(B381,IF(A381="COMPOSICAO",S!$A:$E,I!$A:$E),3,FALSE)</f>
        <v>ESPACADOR / DISTANCIADOR CIRCULAR COM ENTRADA LATERAL, EM PLASTICO, PARA VERGALHAO *4,2 A 12,5* MM, COBRIMENTO 20 MM</v>
      </c>
      <c r="E381" s="23" t="str">
        <f>VLOOKUP(B381,IF(A381="COMPOSICAO",S!$A:$E,I!$A:$E),4,FALSE)</f>
        <v>UN</v>
      </c>
      <c r="F381" s="23">
        <v>0.54300000000000004</v>
      </c>
      <c r="G381" s="71">
        <f>IF(A381="COMPOSICAO",VLOOKUP("TOTAL SEM BDI - "&amp;B381,CPUAUX2!$A:$J,9,FALSE),VLOOKUP(B381,I!$A:$E,5,FALSE))</f>
        <v>0.22</v>
      </c>
      <c r="H381" s="72"/>
      <c r="I381" s="71">
        <f>TRUNC(F381*G381,2)</f>
        <v>0.11</v>
      </c>
      <c r="J381" s="72"/>
      <c r="M381" s="23">
        <f>B381</f>
        <v>39017</v>
      </c>
      <c r="N381" s="23">
        <f>SUMIF(CPU!M:M,B376,CPU!O:O)</f>
        <v>30.536400000000008</v>
      </c>
      <c r="O381" s="23">
        <f>F381*N381</f>
        <v>16.581265200000004</v>
      </c>
      <c r="Q381" s="23">
        <f ca="1">SUMIF(CPU!M:M,B376,CPU!R:R)</f>
        <v>12.214560000000002</v>
      </c>
      <c r="R381" s="23">
        <f ca="1">F381*Q381</f>
        <v>6.6325060800000015</v>
      </c>
    </row>
    <row r="382" spans="1:18" x14ac:dyDescent="0.3">
      <c r="A382" s="68" t="str">
        <f>"TOTAL SEM BDI - "&amp;B376</f>
        <v>TOTAL SEM BDI - 92762</v>
      </c>
      <c r="B382" s="69"/>
      <c r="C382" s="69"/>
      <c r="D382" s="69"/>
      <c r="E382" s="69"/>
      <c r="F382" s="69"/>
      <c r="G382" s="69"/>
      <c r="H382" s="70"/>
      <c r="I382" s="71">
        <f>SUM(I376:I381)</f>
        <v>11.06</v>
      </c>
      <c r="J382" s="72"/>
    </row>
    <row r="384" spans="1:18" x14ac:dyDescent="0.3">
      <c r="A384" s="4" t="s">
        <v>1018</v>
      </c>
      <c r="B384" s="4" t="s">
        <v>138</v>
      </c>
      <c r="C384" s="4" t="s">
        <v>139</v>
      </c>
      <c r="D384" s="4" t="s">
        <v>21</v>
      </c>
      <c r="E384" s="4" t="s">
        <v>140</v>
      </c>
      <c r="F384" s="4" t="s">
        <v>506</v>
      </c>
      <c r="G384" s="34" t="s">
        <v>1019</v>
      </c>
      <c r="H384" s="35"/>
      <c r="I384" s="34" t="s">
        <v>15</v>
      </c>
      <c r="J384" s="35"/>
    </row>
    <row r="385" spans="1:18" ht="45" customHeight="1" x14ac:dyDescent="0.3">
      <c r="A385" s="15" t="s">
        <v>1100</v>
      </c>
      <c r="B385" s="15">
        <v>92763</v>
      </c>
      <c r="C385" s="15" t="str">
        <f>VLOOKUP(B385,S!$A:$G,2,FALSE)</f>
        <v>SINAPI</v>
      </c>
      <c r="D385" s="22" t="str">
        <f>VLOOKUP(B385,S!$A:$G,3,FALSE)</f>
        <v>ARMAÇÃO DE PILAR OU VIGA DE ESTRUTURA CONVENCIONAL DE CONCRETO ARMADO UTILIZANDO AÇO CA-50 DE 12,5 MM - MONTAGEM. AF_06/2022</v>
      </c>
      <c r="E385" s="15" t="str">
        <f>VLOOKUP(B385,S!$A:$G,4,FALSE)</f>
        <v>KG</v>
      </c>
      <c r="F385" s="15"/>
      <c r="G385" s="73">
        <f>I391</f>
        <v>9.2999999999999989</v>
      </c>
      <c r="H385" s="74"/>
      <c r="I385" s="73"/>
      <c r="J385" s="74"/>
      <c r="K385" s="16">
        <f>VLOOKUP(B385,S!A:G,5,FALSE)</f>
        <v>9.3000000000000007</v>
      </c>
      <c r="L385" s="15" t="str">
        <f>IF(K385=G385,"OK, CONFORME TABELA",IF(G385&gt;K385,"ACIMA DA TABELA: ","ABAIXO DA TABELA: ")&amp;TRUNC((G385*100)/K385,2)&amp;" %")</f>
        <v>OK, CONFORME TABELA</v>
      </c>
    </row>
    <row r="386" spans="1:18" ht="30" customHeight="1" x14ac:dyDescent="0.3">
      <c r="A386" s="23" t="s">
        <v>1022</v>
      </c>
      <c r="B386" s="23">
        <v>92804</v>
      </c>
      <c r="C386" s="23" t="str">
        <f>VLOOKUP(B386,IF(A386="COMPOSICAO",S!$A:$E,I!$A:$E),2,FALSE)</f>
        <v>SINAPI</v>
      </c>
      <c r="D386" s="24" t="str">
        <f>VLOOKUP(B386,IF(A386="COMPOSICAO",S!$A:$E,I!$A:$E),3,FALSE)</f>
        <v>CORTE E DOBRA DE AÇO CA-50, DIÂMETRO DE 12,5 MM. AF_06/2022</v>
      </c>
      <c r="E386" s="23" t="str">
        <f>VLOOKUP(B386,IF(A386="COMPOSICAO",S!$A:$E,I!$A:$E),4,FALSE)</f>
        <v>KG</v>
      </c>
      <c r="F386" s="23">
        <v>1</v>
      </c>
      <c r="G386" s="71">
        <f>IF(A386="COMPOSICAO",VLOOKUP("TOTAL SEM BDI - "&amp;B386,CPUAUX2!$A:$J,9,FALSE),VLOOKUP(B386,I!$A:$E,5,FALSE))</f>
        <v>7.9099999999999993</v>
      </c>
      <c r="H386" s="72"/>
      <c r="I386" s="71">
        <f>TRUNC(F386*G386,2)</f>
        <v>7.91</v>
      </c>
      <c r="J386" s="72"/>
      <c r="M386" s="23">
        <f>B386</f>
        <v>92804</v>
      </c>
      <c r="N386" s="23">
        <f>SUMIF(CPU!M:M,B385,CPU!O:O)</f>
        <v>11.961300000000001</v>
      </c>
      <c r="O386" s="23">
        <f>F386*N386</f>
        <v>11.961300000000001</v>
      </c>
      <c r="Q386" s="23">
        <f ca="1">SUMIF(CPU!M:M,B385,CPU!R:R)</f>
        <v>4.7845200000000006</v>
      </c>
      <c r="R386" s="23">
        <f ca="1">F386*Q386</f>
        <v>4.7845200000000006</v>
      </c>
    </row>
    <row r="387" spans="1:18" x14ac:dyDescent="0.3">
      <c r="A387" s="23" t="s">
        <v>1022</v>
      </c>
      <c r="B387" s="23">
        <v>88245</v>
      </c>
      <c r="C387" s="23" t="str">
        <f>VLOOKUP(B387,IF(A387="COMPOSICAO",S!$A:$E,I!$A:$E),2,FALSE)</f>
        <v>SINAPI</v>
      </c>
      <c r="D387" s="24" t="str">
        <f>VLOOKUP(B387,IF(A387="COMPOSICAO",S!$A:$E,I!$A:$E),3,FALSE)</f>
        <v>ARMADOR COM ENCARGOS COMPLEMENTARES</v>
      </c>
      <c r="E387" s="23" t="str">
        <f>VLOOKUP(B387,IF(A387="COMPOSICAO",S!$A:$E,I!$A:$E),4,FALSE)</f>
        <v>H</v>
      </c>
      <c r="F387" s="23">
        <f>0.0257/pcf</f>
        <v>2.5700000000000001E-2</v>
      </c>
      <c r="G387" s="71">
        <f>IF(A387="COMPOSICAO",VLOOKUP("TOTAL SEM BDI - "&amp;B387,CPUAUX2!$A:$J,9,FALSE),VLOOKUP(B387,I!$A:$E,5,FALSE))</f>
        <v>27.189999999999998</v>
      </c>
      <c r="H387" s="72"/>
      <c r="I387" s="71">
        <f>TRUNC(F387*G387,2)</f>
        <v>0.69</v>
      </c>
      <c r="J387" s="72"/>
      <c r="M387" s="23">
        <f>B387</f>
        <v>88245</v>
      </c>
      <c r="N387" s="23">
        <f>SUMIF(CPU!M:M,B385,CPU!O:O)</f>
        <v>11.961300000000001</v>
      </c>
      <c r="O387" s="23">
        <f>F387*N387</f>
        <v>0.30740541000000005</v>
      </c>
      <c r="Q387" s="23">
        <f ca="1">SUMIF(CPU!M:M,B385,CPU!R:R)</f>
        <v>4.7845200000000006</v>
      </c>
      <c r="R387" s="23">
        <f ca="1">F387*Q387</f>
        <v>0.12296216400000001</v>
      </c>
    </row>
    <row r="388" spans="1:18" ht="30" customHeight="1" x14ac:dyDescent="0.3">
      <c r="A388" s="23" t="s">
        <v>1022</v>
      </c>
      <c r="B388" s="23">
        <v>88238</v>
      </c>
      <c r="C388" s="23" t="str">
        <f>VLOOKUP(B388,IF(A388="COMPOSICAO",S!$A:$E,I!$A:$E),2,FALSE)</f>
        <v>SINAPI</v>
      </c>
      <c r="D388" s="24" t="str">
        <f>VLOOKUP(B388,IF(A388="COMPOSICAO",S!$A:$E,I!$A:$E),3,FALSE)</f>
        <v>AJUDANTE DE ARMADOR COM ENCARGOS COMPLEMENTARES</v>
      </c>
      <c r="E388" s="23" t="str">
        <f>VLOOKUP(B388,IF(A388="COMPOSICAO",S!$A:$E,I!$A:$E),4,FALSE)</f>
        <v>H</v>
      </c>
      <c r="F388" s="23">
        <f>0.0042/pcf</f>
        <v>4.1999999999999997E-3</v>
      </c>
      <c r="G388" s="71">
        <f>IF(A388="COMPOSICAO",VLOOKUP("TOTAL SEM BDI - "&amp;B388,CPUAUX2!$A:$J,9,FALSE),VLOOKUP(B388,I!$A:$E,5,FALSE))</f>
        <v>22.37</v>
      </c>
      <c r="H388" s="72"/>
      <c r="I388" s="71">
        <f>TRUNC(F388*G388,2)</f>
        <v>0.09</v>
      </c>
      <c r="J388" s="72"/>
      <c r="M388" s="23">
        <f>B388</f>
        <v>88238</v>
      </c>
      <c r="N388" s="23">
        <f>SUMIF(CPU!M:M,B385,CPU!O:O)</f>
        <v>11.961300000000001</v>
      </c>
      <c r="O388" s="23">
        <f>F388*N388</f>
        <v>5.0237460000000005E-2</v>
      </c>
      <c r="Q388" s="23">
        <f ca="1">SUMIF(CPU!M:M,B385,CPU!R:R)</f>
        <v>4.7845200000000006</v>
      </c>
      <c r="R388" s="23">
        <f ca="1">F388*Q388</f>
        <v>2.0094984E-2</v>
      </c>
    </row>
    <row r="389" spans="1:18" ht="30" customHeight="1" x14ac:dyDescent="0.3">
      <c r="A389" s="23" t="s">
        <v>1025</v>
      </c>
      <c r="B389" s="23">
        <v>43132</v>
      </c>
      <c r="C389" s="23" t="str">
        <f>VLOOKUP(B389,IF(A389="COMPOSICAO",S!$A:$E,I!$A:$E),2,FALSE)</f>
        <v>SINAPI</v>
      </c>
      <c r="D389" s="24" t="str">
        <f>VLOOKUP(B389,IF(A389="COMPOSICAO",S!$A:$E,I!$A:$E),3,FALSE)</f>
        <v>ARAME RECOZIDO 16 BWG, D = 1,65 MM (0,016 KG/M) OU 18 BWG, D = 1,25 MM (0,01 KG/M)</v>
      </c>
      <c r="E389" s="23" t="str">
        <f>VLOOKUP(B389,IF(A389="COMPOSICAO",S!$A:$E,I!$A:$E),4,FALSE)</f>
        <v>KG</v>
      </c>
      <c r="F389" s="23">
        <v>2.5000000000000001E-2</v>
      </c>
      <c r="G389" s="71">
        <f>IF(A389="COMPOSICAO",VLOOKUP("TOTAL SEM BDI - "&amp;B389,CPUAUX2!$A:$J,9,FALSE),VLOOKUP(B389,I!$A:$E,5,FALSE))</f>
        <v>21.59</v>
      </c>
      <c r="H389" s="72"/>
      <c r="I389" s="71">
        <f>TRUNC(F389*G389,2)</f>
        <v>0.53</v>
      </c>
      <c r="J389" s="72"/>
      <c r="M389" s="23">
        <f>B389</f>
        <v>43132</v>
      </c>
      <c r="N389" s="23">
        <f>SUMIF(CPU!M:M,B385,CPU!O:O)</f>
        <v>11.961300000000001</v>
      </c>
      <c r="O389" s="23">
        <f>F389*N389</f>
        <v>0.29903250000000003</v>
      </c>
      <c r="Q389" s="23">
        <f ca="1">SUMIF(CPU!M:M,B385,CPU!R:R)</f>
        <v>4.7845200000000006</v>
      </c>
      <c r="R389" s="23">
        <f ca="1">F389*Q389</f>
        <v>0.11961300000000002</v>
      </c>
    </row>
    <row r="390" spans="1:18" ht="45" customHeight="1" x14ac:dyDescent="0.3">
      <c r="A390" s="23" t="s">
        <v>1025</v>
      </c>
      <c r="B390" s="23">
        <v>39017</v>
      </c>
      <c r="C390" s="23" t="str">
        <f>VLOOKUP(B390,IF(A390="COMPOSICAO",S!$A:$E,I!$A:$E),2,FALSE)</f>
        <v>SINAPI</v>
      </c>
      <c r="D390" s="24" t="str">
        <f>VLOOKUP(B390,IF(A390="COMPOSICAO",S!$A:$E,I!$A:$E),3,FALSE)</f>
        <v>ESPACADOR / DISTANCIADOR CIRCULAR COM ENTRADA LATERAL, EM PLASTICO, PARA VERGALHAO *4,2 A 12,5* MM, COBRIMENTO 20 MM</v>
      </c>
      <c r="E390" s="23" t="str">
        <f>VLOOKUP(B390,IF(A390="COMPOSICAO",S!$A:$E,I!$A:$E),4,FALSE)</f>
        <v>UN</v>
      </c>
      <c r="F390" s="23">
        <v>0.36699999999999999</v>
      </c>
      <c r="G390" s="71">
        <f>IF(A390="COMPOSICAO",VLOOKUP("TOTAL SEM BDI - "&amp;B390,CPUAUX2!$A:$J,9,FALSE),VLOOKUP(B390,I!$A:$E,5,FALSE))</f>
        <v>0.22</v>
      </c>
      <c r="H390" s="72"/>
      <c r="I390" s="71">
        <f>TRUNC(F390*G390,2)</f>
        <v>0.08</v>
      </c>
      <c r="J390" s="72"/>
      <c r="M390" s="23">
        <f>B390</f>
        <v>39017</v>
      </c>
      <c r="N390" s="23">
        <f>SUMIF(CPU!M:M,B385,CPU!O:O)</f>
        <v>11.961300000000001</v>
      </c>
      <c r="O390" s="23">
        <f>F390*N390</f>
        <v>4.3897971</v>
      </c>
      <c r="Q390" s="23">
        <f ca="1">SUMIF(CPU!M:M,B385,CPU!R:R)</f>
        <v>4.7845200000000006</v>
      </c>
      <c r="R390" s="23">
        <f ca="1">F390*Q390</f>
        <v>1.7559188400000001</v>
      </c>
    </row>
    <row r="391" spans="1:18" x14ac:dyDescent="0.3">
      <c r="A391" s="68" t="str">
        <f>"TOTAL SEM BDI - "&amp;B385</f>
        <v>TOTAL SEM BDI - 92763</v>
      </c>
      <c r="B391" s="69"/>
      <c r="C391" s="69"/>
      <c r="D391" s="69"/>
      <c r="E391" s="69"/>
      <c r="F391" s="69"/>
      <c r="G391" s="69"/>
      <c r="H391" s="70"/>
      <c r="I391" s="71">
        <f>SUM(I385:I390)</f>
        <v>9.2999999999999989</v>
      </c>
      <c r="J391" s="72"/>
    </row>
    <row r="393" spans="1:18" x14ac:dyDescent="0.3">
      <c r="A393" s="4" t="s">
        <v>1018</v>
      </c>
      <c r="B393" s="4" t="s">
        <v>138</v>
      </c>
      <c r="C393" s="4" t="s">
        <v>139</v>
      </c>
      <c r="D393" s="4" t="s">
        <v>21</v>
      </c>
      <c r="E393" s="4" t="s">
        <v>140</v>
      </c>
      <c r="F393" s="4" t="s">
        <v>506</v>
      </c>
      <c r="G393" s="34" t="s">
        <v>1019</v>
      </c>
      <c r="H393" s="35"/>
      <c r="I393" s="34" t="s">
        <v>15</v>
      </c>
      <c r="J393" s="35"/>
    </row>
    <row r="394" spans="1:18" ht="45" customHeight="1" x14ac:dyDescent="0.3">
      <c r="A394" s="15" t="s">
        <v>1100</v>
      </c>
      <c r="B394" s="15">
        <v>92764</v>
      </c>
      <c r="C394" s="15" t="str">
        <f>VLOOKUP(B394,S!$A:$G,2,FALSE)</f>
        <v>SINAPI</v>
      </c>
      <c r="D394" s="22" t="str">
        <f>VLOOKUP(B394,S!$A:$G,3,FALSE)</f>
        <v>ARMAÇÃO DE PILAR OU VIGA DE ESTRUTURA CONVENCIONAL DE CONCRETO ARMADO UTILIZANDO AÇO CA-50 DE 16,0 MM - MONTAGEM. AF_06/2022</v>
      </c>
      <c r="E394" s="15" t="str">
        <f>VLOOKUP(B394,S!$A:$G,4,FALSE)</f>
        <v>KG</v>
      </c>
      <c r="F394" s="15"/>
      <c r="G394" s="73">
        <f>I400</f>
        <v>8.9899999999999984</v>
      </c>
      <c r="H394" s="74"/>
      <c r="I394" s="73"/>
      <c r="J394" s="74"/>
      <c r="K394" s="16">
        <f>VLOOKUP(B394,S!A:G,5,FALSE)</f>
        <v>8.99</v>
      </c>
      <c r="L394" s="15" t="str">
        <f>IF(K394=G394,"OK, CONFORME TABELA",IF(G394&gt;K394,"ACIMA DA TABELA: ","ABAIXO DA TABELA: ")&amp;TRUNC((G394*100)/K394,2)&amp;" %")</f>
        <v>OK, CONFORME TABELA</v>
      </c>
    </row>
    <row r="395" spans="1:18" ht="30" customHeight="1" x14ac:dyDescent="0.3">
      <c r="A395" s="23" t="s">
        <v>1022</v>
      </c>
      <c r="B395" s="23">
        <v>92805</v>
      </c>
      <c r="C395" s="23" t="str">
        <f>VLOOKUP(B395,IF(A395="COMPOSICAO",S!$A:$E,I!$A:$E),2,FALSE)</f>
        <v>SINAPI</v>
      </c>
      <c r="D395" s="24" t="str">
        <f>VLOOKUP(B395,IF(A395="COMPOSICAO",S!$A:$E,I!$A:$E),3,FALSE)</f>
        <v>CORTE E DOBRA DE AÇO CA-50, DIÂMETRO DE 16,0 MM. AF_06/2022</v>
      </c>
      <c r="E395" s="23" t="str">
        <f>VLOOKUP(B395,IF(A395="COMPOSICAO",S!$A:$E,I!$A:$E),4,FALSE)</f>
        <v>KG</v>
      </c>
      <c r="F395" s="23">
        <v>1</v>
      </c>
      <c r="G395" s="71">
        <f>IF(A395="COMPOSICAO",VLOOKUP("TOTAL SEM BDI - "&amp;B395,CPUAUX2!$A:$J,9,FALSE),VLOOKUP(B395,I!$A:$E,5,FALSE))</f>
        <v>7.8299999999999992</v>
      </c>
      <c r="H395" s="72"/>
      <c r="I395" s="71">
        <f>TRUNC(F395*G395,2)</f>
        <v>7.83</v>
      </c>
      <c r="J395" s="72"/>
      <c r="M395" s="23">
        <f>B395</f>
        <v>92805</v>
      </c>
      <c r="N395" s="23">
        <f>SUMIF(CPU!M:M,B394,CPU!O:O)</f>
        <v>3.6424500000000006</v>
      </c>
      <c r="O395" s="23">
        <f>F395*N395</f>
        <v>3.6424500000000006</v>
      </c>
      <c r="Q395" s="23">
        <f ca="1">SUMIF(CPU!M:M,B394,CPU!R:R)</f>
        <v>1.4569800000000004</v>
      </c>
      <c r="R395" s="23">
        <f ca="1">F395*Q395</f>
        <v>1.4569800000000004</v>
      </c>
    </row>
    <row r="396" spans="1:18" x14ac:dyDescent="0.3">
      <c r="A396" s="23" t="s">
        <v>1022</v>
      </c>
      <c r="B396" s="23">
        <v>88245</v>
      </c>
      <c r="C396" s="23" t="str">
        <f>VLOOKUP(B396,IF(A396="COMPOSICAO",S!$A:$E,I!$A:$E),2,FALSE)</f>
        <v>SINAPI</v>
      </c>
      <c r="D396" s="24" t="str">
        <f>VLOOKUP(B396,IF(A396="COMPOSICAO",S!$A:$E,I!$A:$E),3,FALSE)</f>
        <v>ARMADOR COM ENCARGOS COMPLEMENTARES</v>
      </c>
      <c r="E396" s="23" t="str">
        <f>VLOOKUP(B396,IF(A396="COMPOSICAO",S!$A:$E,I!$A:$E),4,FALSE)</f>
        <v>H</v>
      </c>
      <c r="F396" s="23">
        <f>0.0194/pcf</f>
        <v>1.9400000000000001E-2</v>
      </c>
      <c r="G396" s="71">
        <f>IF(A396="COMPOSICAO",VLOOKUP("TOTAL SEM BDI - "&amp;B396,CPUAUX2!$A:$J,9,FALSE),VLOOKUP(B396,I!$A:$E,5,FALSE))</f>
        <v>27.189999999999998</v>
      </c>
      <c r="H396" s="72"/>
      <c r="I396" s="71">
        <f>TRUNC(F396*G396,2)</f>
        <v>0.52</v>
      </c>
      <c r="J396" s="72"/>
      <c r="M396" s="23">
        <f>B396</f>
        <v>88245</v>
      </c>
      <c r="N396" s="23">
        <f>SUMIF(CPU!M:M,B394,CPU!O:O)</f>
        <v>3.6424500000000006</v>
      </c>
      <c r="O396" s="23">
        <f>F396*N396</f>
        <v>7.0663530000000016E-2</v>
      </c>
      <c r="Q396" s="23">
        <f ca="1">SUMIF(CPU!M:M,B394,CPU!R:R)</f>
        <v>1.4569800000000004</v>
      </c>
      <c r="R396" s="23">
        <f ca="1">F396*Q396</f>
        <v>2.8265412000000007E-2</v>
      </c>
    </row>
    <row r="397" spans="1:18" ht="30" customHeight="1" x14ac:dyDescent="0.3">
      <c r="A397" s="23" t="s">
        <v>1022</v>
      </c>
      <c r="B397" s="23">
        <v>88238</v>
      </c>
      <c r="C397" s="23" t="str">
        <f>VLOOKUP(B397,IF(A397="COMPOSICAO",S!$A:$E,I!$A:$E),2,FALSE)</f>
        <v>SINAPI</v>
      </c>
      <c r="D397" s="24" t="str">
        <f>VLOOKUP(B397,IF(A397="COMPOSICAO",S!$A:$E,I!$A:$E),3,FALSE)</f>
        <v>AJUDANTE DE ARMADOR COM ENCARGOS COMPLEMENTARES</v>
      </c>
      <c r="E397" s="23" t="str">
        <f>VLOOKUP(B397,IF(A397="COMPOSICAO",S!$A:$E,I!$A:$E),4,FALSE)</f>
        <v>H</v>
      </c>
      <c r="F397" s="23">
        <f>0.0032/pcf</f>
        <v>3.2000000000000002E-3</v>
      </c>
      <c r="G397" s="71">
        <f>IF(A397="COMPOSICAO",VLOOKUP("TOTAL SEM BDI - "&amp;B397,CPUAUX2!$A:$J,9,FALSE),VLOOKUP(B397,I!$A:$E,5,FALSE))</f>
        <v>22.37</v>
      </c>
      <c r="H397" s="72"/>
      <c r="I397" s="71">
        <f>TRUNC(F397*G397,2)</f>
        <v>7.0000000000000007E-2</v>
      </c>
      <c r="J397" s="72"/>
      <c r="M397" s="23">
        <f>B397</f>
        <v>88238</v>
      </c>
      <c r="N397" s="23">
        <f>SUMIF(CPU!M:M,B394,CPU!O:O)</f>
        <v>3.6424500000000006</v>
      </c>
      <c r="O397" s="23">
        <f>F397*N397</f>
        <v>1.1655840000000002E-2</v>
      </c>
      <c r="Q397" s="23">
        <f ca="1">SUMIF(CPU!M:M,B394,CPU!R:R)</f>
        <v>1.4569800000000004</v>
      </c>
      <c r="R397" s="23">
        <f ca="1">F397*Q397</f>
        <v>4.6623360000000013E-3</v>
      </c>
    </row>
    <row r="398" spans="1:18" ht="30" customHeight="1" x14ac:dyDescent="0.3">
      <c r="A398" s="23" t="s">
        <v>1025</v>
      </c>
      <c r="B398" s="23">
        <v>43132</v>
      </c>
      <c r="C398" s="23" t="str">
        <f>VLOOKUP(B398,IF(A398="COMPOSICAO",S!$A:$E,I!$A:$E),2,FALSE)</f>
        <v>SINAPI</v>
      </c>
      <c r="D398" s="24" t="str">
        <f>VLOOKUP(B398,IF(A398="COMPOSICAO",S!$A:$E,I!$A:$E),3,FALSE)</f>
        <v>ARAME RECOZIDO 16 BWG, D = 1,65 MM (0,016 KG/M) OU 18 BWG, D = 1,25 MM (0,01 KG/M)</v>
      </c>
      <c r="E398" s="23" t="str">
        <f>VLOOKUP(B398,IF(A398="COMPOSICAO",S!$A:$E,I!$A:$E),4,FALSE)</f>
        <v>KG</v>
      </c>
      <c r="F398" s="23">
        <v>2.5000000000000001E-2</v>
      </c>
      <c r="G398" s="71">
        <f>IF(A398="COMPOSICAO",VLOOKUP("TOTAL SEM BDI - "&amp;B398,CPUAUX2!$A:$J,9,FALSE),VLOOKUP(B398,I!$A:$E,5,FALSE))</f>
        <v>21.59</v>
      </c>
      <c r="H398" s="72"/>
      <c r="I398" s="71">
        <f>TRUNC(F398*G398,2)</f>
        <v>0.53</v>
      </c>
      <c r="J398" s="72"/>
      <c r="M398" s="23">
        <f>B398</f>
        <v>43132</v>
      </c>
      <c r="N398" s="23">
        <f>SUMIF(CPU!M:M,B394,CPU!O:O)</f>
        <v>3.6424500000000006</v>
      </c>
      <c r="O398" s="23">
        <f>F398*N398</f>
        <v>9.1061250000000024E-2</v>
      </c>
      <c r="Q398" s="23">
        <f ca="1">SUMIF(CPU!M:M,B394,CPU!R:R)</f>
        <v>1.4569800000000004</v>
      </c>
      <c r="R398" s="23">
        <f ca="1">F398*Q398</f>
        <v>3.6424500000000012E-2</v>
      </c>
    </row>
    <row r="399" spans="1:18" ht="45" customHeight="1" x14ac:dyDescent="0.3">
      <c r="A399" s="23" t="s">
        <v>1025</v>
      </c>
      <c r="B399" s="23">
        <v>39017</v>
      </c>
      <c r="C399" s="23" t="str">
        <f>VLOOKUP(B399,IF(A399="COMPOSICAO",S!$A:$E,I!$A:$E),2,FALSE)</f>
        <v>SINAPI</v>
      </c>
      <c r="D399" s="24" t="str">
        <f>VLOOKUP(B399,IF(A399="COMPOSICAO",S!$A:$E,I!$A:$E),3,FALSE)</f>
        <v>ESPACADOR / DISTANCIADOR CIRCULAR COM ENTRADA LATERAL, EM PLASTICO, PARA VERGALHAO *4,2 A 12,5* MM, COBRIMENTO 20 MM</v>
      </c>
      <c r="E399" s="23" t="str">
        <f>VLOOKUP(B399,IF(A399="COMPOSICAO",S!$A:$E,I!$A:$E),4,FALSE)</f>
        <v>UN</v>
      </c>
      <c r="F399" s="23">
        <v>0.21199999999999999</v>
      </c>
      <c r="G399" s="71">
        <f>IF(A399="COMPOSICAO",VLOOKUP("TOTAL SEM BDI - "&amp;B399,CPUAUX2!$A:$J,9,FALSE),VLOOKUP(B399,I!$A:$E,5,FALSE))</f>
        <v>0.22</v>
      </c>
      <c r="H399" s="72"/>
      <c r="I399" s="71">
        <f>TRUNC(F399*G399,2)</f>
        <v>0.04</v>
      </c>
      <c r="J399" s="72"/>
      <c r="M399" s="23">
        <f>B399</f>
        <v>39017</v>
      </c>
      <c r="N399" s="23">
        <f>SUMIF(CPU!M:M,B394,CPU!O:O)</f>
        <v>3.6424500000000006</v>
      </c>
      <c r="O399" s="23">
        <f>F399*N399</f>
        <v>0.77219940000000009</v>
      </c>
      <c r="Q399" s="23">
        <f ca="1">SUMIF(CPU!M:M,B394,CPU!R:R)</f>
        <v>1.4569800000000004</v>
      </c>
      <c r="R399" s="23">
        <f ca="1">F399*Q399</f>
        <v>0.30887976000000006</v>
      </c>
    </row>
    <row r="400" spans="1:18" x14ac:dyDescent="0.3">
      <c r="A400" s="68" t="str">
        <f>"TOTAL SEM BDI - "&amp;B394</f>
        <v>TOTAL SEM BDI - 92764</v>
      </c>
      <c r="B400" s="69"/>
      <c r="C400" s="69"/>
      <c r="D400" s="69"/>
      <c r="E400" s="69"/>
      <c r="F400" s="69"/>
      <c r="G400" s="69"/>
      <c r="H400" s="70"/>
      <c r="I400" s="71">
        <f>SUM(I394:I399)</f>
        <v>8.9899999999999984</v>
      </c>
      <c r="J400" s="72"/>
    </row>
    <row r="402" spans="1:18" x14ac:dyDescent="0.3">
      <c r="A402" s="4" t="s">
        <v>1018</v>
      </c>
      <c r="B402" s="4" t="s">
        <v>138</v>
      </c>
      <c r="C402" s="4" t="s">
        <v>139</v>
      </c>
      <c r="D402" s="4" t="s">
        <v>21</v>
      </c>
      <c r="E402" s="4" t="s">
        <v>140</v>
      </c>
      <c r="F402" s="4" t="s">
        <v>506</v>
      </c>
      <c r="G402" s="34" t="s">
        <v>1019</v>
      </c>
      <c r="H402" s="35"/>
      <c r="I402" s="34" t="s">
        <v>15</v>
      </c>
      <c r="J402" s="35"/>
    </row>
    <row r="403" spans="1:18" ht="45" customHeight="1" x14ac:dyDescent="0.3">
      <c r="A403" s="15" t="s">
        <v>1100</v>
      </c>
      <c r="B403" s="15">
        <v>92765</v>
      </c>
      <c r="C403" s="15" t="str">
        <f>VLOOKUP(B403,S!$A:$G,2,FALSE)</f>
        <v>SINAPI</v>
      </c>
      <c r="D403" s="22" t="str">
        <f>VLOOKUP(B403,S!$A:$G,3,FALSE)</f>
        <v>ARMAÇÃO DE PILAR OU VIGA DE ESTRUTURA CONVENCIONAL DE CONCRETO ARMADO UTILIZANDO AÇO CA-50 DE 20,0 MM - MONTAGEM. AF_06/2022</v>
      </c>
      <c r="E403" s="15" t="str">
        <f>VLOOKUP(B403,S!$A:$G,4,FALSE)</f>
        <v>KG</v>
      </c>
      <c r="F403" s="15"/>
      <c r="G403" s="73">
        <f>I409</f>
        <v>10.23</v>
      </c>
      <c r="H403" s="74"/>
      <c r="I403" s="73"/>
      <c r="J403" s="74"/>
      <c r="K403" s="16">
        <f>VLOOKUP(B403,S!A:G,5,FALSE)</f>
        <v>10.23</v>
      </c>
      <c r="L403" s="15" t="str">
        <f>IF(K403=G403,"OK, CONFORME TABELA",IF(G403&gt;K403,"ACIMA DA TABELA: ","ABAIXO DA TABELA: ")&amp;TRUNC((G403*100)/K403,2)&amp;" %")</f>
        <v>OK, CONFORME TABELA</v>
      </c>
    </row>
    <row r="404" spans="1:18" ht="30" customHeight="1" x14ac:dyDescent="0.3">
      <c r="A404" s="23" t="s">
        <v>1022</v>
      </c>
      <c r="B404" s="23">
        <v>92806</v>
      </c>
      <c r="C404" s="23" t="str">
        <f>VLOOKUP(B404,IF(A404="COMPOSICAO",S!$A:$E,I!$A:$E),2,FALSE)</f>
        <v>SINAPI</v>
      </c>
      <c r="D404" s="24" t="str">
        <f>VLOOKUP(B404,IF(A404="COMPOSICAO",S!$A:$E,I!$A:$E),3,FALSE)</f>
        <v>CORTE E DOBRA DE AÇO CA-50, DIÂMETRO DE 20,0 MM. AF_06/2022</v>
      </c>
      <c r="E404" s="23" t="str">
        <f>VLOOKUP(B404,IF(A404="COMPOSICAO",S!$A:$E,I!$A:$E),4,FALSE)</f>
        <v>KG</v>
      </c>
      <c r="F404" s="23">
        <v>1</v>
      </c>
      <c r="G404" s="71">
        <f>IF(A404="COMPOSICAO",VLOOKUP("TOTAL SEM BDI - "&amp;B404,CPUAUX2!$A:$J,9,FALSE),VLOOKUP(B404,I!$A:$E,5,FALSE))</f>
        <v>9.2199999999999989</v>
      </c>
      <c r="H404" s="72"/>
      <c r="I404" s="71">
        <f>TRUNC(F404*G404,2)</f>
        <v>9.2200000000000006</v>
      </c>
      <c r="J404" s="72"/>
      <c r="M404" s="23">
        <f>B404</f>
        <v>92806</v>
      </c>
      <c r="N404" s="23">
        <f>SUMIF(CPU!M:M,B403,CPU!O:O)</f>
        <v>6.3966000000000012</v>
      </c>
      <c r="O404" s="23">
        <f>F404*N404</f>
        <v>6.3966000000000012</v>
      </c>
      <c r="Q404" s="23">
        <f ca="1">SUMIF(CPU!M:M,B403,CPU!R:R)</f>
        <v>2.5586400000000005</v>
      </c>
      <c r="R404" s="23">
        <f ca="1">F404*Q404</f>
        <v>2.5586400000000005</v>
      </c>
    </row>
    <row r="405" spans="1:18" x14ac:dyDescent="0.3">
      <c r="A405" s="23" t="s">
        <v>1022</v>
      </c>
      <c r="B405" s="23">
        <v>88245</v>
      </c>
      <c r="C405" s="23" t="str">
        <f>VLOOKUP(B405,IF(A405="COMPOSICAO",S!$A:$E,I!$A:$E),2,FALSE)</f>
        <v>SINAPI</v>
      </c>
      <c r="D405" s="24" t="str">
        <f>VLOOKUP(B405,IF(A405="COMPOSICAO",S!$A:$E,I!$A:$E),3,FALSE)</f>
        <v>ARMADOR COM ENCARGOS COMPLEMENTARES</v>
      </c>
      <c r="E405" s="23" t="str">
        <f>VLOOKUP(B405,IF(A405="COMPOSICAO",S!$A:$E,I!$A:$E),4,FALSE)</f>
        <v>H</v>
      </c>
      <c r="F405" s="23">
        <f>0.0152/pcf</f>
        <v>1.52E-2</v>
      </c>
      <c r="G405" s="71">
        <f>IF(A405="COMPOSICAO",VLOOKUP("TOTAL SEM BDI - "&amp;B405,CPUAUX2!$A:$J,9,FALSE),VLOOKUP(B405,I!$A:$E,5,FALSE))</f>
        <v>27.189999999999998</v>
      </c>
      <c r="H405" s="72"/>
      <c r="I405" s="71">
        <f>TRUNC(F405*G405,2)</f>
        <v>0.41</v>
      </c>
      <c r="J405" s="72"/>
      <c r="M405" s="23">
        <f>B405</f>
        <v>88245</v>
      </c>
      <c r="N405" s="23">
        <f>SUMIF(CPU!M:M,B403,CPU!O:O)</f>
        <v>6.3966000000000012</v>
      </c>
      <c r="O405" s="23">
        <f>F405*N405</f>
        <v>9.7228320000000021E-2</v>
      </c>
      <c r="Q405" s="23">
        <f ca="1">SUMIF(CPU!M:M,B403,CPU!R:R)</f>
        <v>2.5586400000000005</v>
      </c>
      <c r="R405" s="23">
        <f ca="1">F405*Q405</f>
        <v>3.889132800000001E-2</v>
      </c>
    </row>
    <row r="406" spans="1:18" ht="30" customHeight="1" x14ac:dyDescent="0.3">
      <c r="A406" s="23" t="s">
        <v>1022</v>
      </c>
      <c r="B406" s="23">
        <v>88238</v>
      </c>
      <c r="C406" s="23" t="str">
        <f>VLOOKUP(B406,IF(A406="COMPOSICAO",S!$A:$E,I!$A:$E),2,FALSE)</f>
        <v>SINAPI</v>
      </c>
      <c r="D406" s="24" t="str">
        <f>VLOOKUP(B406,IF(A406="COMPOSICAO",S!$A:$E,I!$A:$E),3,FALSE)</f>
        <v>AJUDANTE DE ARMADOR COM ENCARGOS COMPLEMENTARES</v>
      </c>
      <c r="E406" s="23" t="str">
        <f>VLOOKUP(B406,IF(A406="COMPOSICAO",S!$A:$E,I!$A:$E),4,FALSE)</f>
        <v>H</v>
      </c>
      <c r="F406" s="23">
        <f>0.0025/pcf</f>
        <v>2.5000000000000001E-3</v>
      </c>
      <c r="G406" s="71">
        <f>IF(A406="COMPOSICAO",VLOOKUP("TOTAL SEM BDI - "&amp;B406,CPUAUX2!$A:$J,9,FALSE),VLOOKUP(B406,I!$A:$E,5,FALSE))</f>
        <v>22.37</v>
      </c>
      <c r="H406" s="72"/>
      <c r="I406" s="71">
        <f>TRUNC(F406*G406,2)</f>
        <v>0.05</v>
      </c>
      <c r="J406" s="72"/>
      <c r="M406" s="23">
        <f>B406</f>
        <v>88238</v>
      </c>
      <c r="N406" s="23">
        <f>SUMIF(CPU!M:M,B403,CPU!O:O)</f>
        <v>6.3966000000000012</v>
      </c>
      <c r="O406" s="23">
        <f>F406*N406</f>
        <v>1.5991500000000002E-2</v>
      </c>
      <c r="Q406" s="23">
        <f ca="1">SUMIF(CPU!M:M,B403,CPU!R:R)</f>
        <v>2.5586400000000005</v>
      </c>
      <c r="R406" s="23">
        <f ca="1">F406*Q406</f>
        <v>6.3966000000000014E-3</v>
      </c>
    </row>
    <row r="407" spans="1:18" ht="30" customHeight="1" x14ac:dyDescent="0.3">
      <c r="A407" s="23" t="s">
        <v>1025</v>
      </c>
      <c r="B407" s="23">
        <v>43132</v>
      </c>
      <c r="C407" s="23" t="str">
        <f>VLOOKUP(B407,IF(A407="COMPOSICAO",S!$A:$E,I!$A:$E),2,FALSE)</f>
        <v>SINAPI</v>
      </c>
      <c r="D407" s="24" t="str">
        <f>VLOOKUP(B407,IF(A407="COMPOSICAO",S!$A:$E,I!$A:$E),3,FALSE)</f>
        <v>ARAME RECOZIDO 16 BWG, D = 1,65 MM (0,016 KG/M) OU 18 BWG, D = 1,25 MM (0,01 KG/M)</v>
      </c>
      <c r="E407" s="23" t="str">
        <f>VLOOKUP(B407,IF(A407="COMPOSICAO",S!$A:$E,I!$A:$E),4,FALSE)</f>
        <v>KG</v>
      </c>
      <c r="F407" s="23">
        <v>2.5000000000000001E-2</v>
      </c>
      <c r="G407" s="71">
        <f>IF(A407="COMPOSICAO",VLOOKUP("TOTAL SEM BDI - "&amp;B407,CPUAUX2!$A:$J,9,FALSE),VLOOKUP(B407,I!$A:$E,5,FALSE))</f>
        <v>21.59</v>
      </c>
      <c r="H407" s="72"/>
      <c r="I407" s="71">
        <f>TRUNC(F407*G407,2)</f>
        <v>0.53</v>
      </c>
      <c r="J407" s="72"/>
      <c r="M407" s="23">
        <f>B407</f>
        <v>43132</v>
      </c>
      <c r="N407" s="23">
        <f>SUMIF(CPU!M:M,B403,CPU!O:O)</f>
        <v>6.3966000000000012</v>
      </c>
      <c r="O407" s="23">
        <f>F407*N407</f>
        <v>0.15991500000000003</v>
      </c>
      <c r="Q407" s="23">
        <f ca="1">SUMIF(CPU!M:M,B403,CPU!R:R)</f>
        <v>2.5586400000000005</v>
      </c>
      <c r="R407" s="23">
        <f ca="1">F407*Q407</f>
        <v>6.3966000000000009E-2</v>
      </c>
    </row>
    <row r="408" spans="1:18" ht="45" customHeight="1" x14ac:dyDescent="0.3">
      <c r="A408" s="23" t="s">
        <v>1025</v>
      </c>
      <c r="B408" s="23">
        <v>39017</v>
      </c>
      <c r="C408" s="23" t="str">
        <f>VLOOKUP(B408,IF(A408="COMPOSICAO",S!$A:$E,I!$A:$E),2,FALSE)</f>
        <v>SINAPI</v>
      </c>
      <c r="D408" s="24" t="str">
        <f>VLOOKUP(B408,IF(A408="COMPOSICAO",S!$A:$E,I!$A:$E),3,FALSE)</f>
        <v>ESPACADOR / DISTANCIADOR CIRCULAR COM ENTRADA LATERAL, EM PLASTICO, PARA VERGALHAO *4,2 A 12,5* MM, COBRIMENTO 20 MM</v>
      </c>
      <c r="E408" s="23" t="str">
        <f>VLOOKUP(B408,IF(A408="COMPOSICAO",S!$A:$E,I!$A:$E),4,FALSE)</f>
        <v>UN</v>
      </c>
      <c r="F408" s="23">
        <v>0.113</v>
      </c>
      <c r="G408" s="71">
        <f>IF(A408="COMPOSICAO",VLOOKUP("TOTAL SEM BDI - "&amp;B408,CPUAUX2!$A:$J,9,FALSE),VLOOKUP(B408,I!$A:$E,5,FALSE))</f>
        <v>0.22</v>
      </c>
      <c r="H408" s="72"/>
      <c r="I408" s="71">
        <f>TRUNC(F408*G408,2)</f>
        <v>0.02</v>
      </c>
      <c r="J408" s="72"/>
      <c r="M408" s="23">
        <f>B408</f>
        <v>39017</v>
      </c>
      <c r="N408" s="23">
        <f>SUMIF(CPU!M:M,B403,CPU!O:O)</f>
        <v>6.3966000000000012</v>
      </c>
      <c r="O408" s="23">
        <f>F408*N408</f>
        <v>0.72281580000000012</v>
      </c>
      <c r="Q408" s="23">
        <f ca="1">SUMIF(CPU!M:M,B403,CPU!R:R)</f>
        <v>2.5586400000000005</v>
      </c>
      <c r="R408" s="23">
        <f ca="1">F408*Q408</f>
        <v>0.28912632000000005</v>
      </c>
    </row>
    <row r="409" spans="1:18" x14ac:dyDescent="0.3">
      <c r="A409" s="68" t="str">
        <f>"TOTAL SEM BDI - "&amp;B403</f>
        <v>TOTAL SEM BDI - 92765</v>
      </c>
      <c r="B409" s="69"/>
      <c r="C409" s="69"/>
      <c r="D409" s="69"/>
      <c r="E409" s="69"/>
      <c r="F409" s="69"/>
      <c r="G409" s="69"/>
      <c r="H409" s="70"/>
      <c r="I409" s="71">
        <f>SUM(I403:I408)</f>
        <v>10.23</v>
      </c>
      <c r="J409" s="72"/>
    </row>
    <row r="411" spans="1:18" x14ac:dyDescent="0.3">
      <c r="A411" s="4" t="s">
        <v>1018</v>
      </c>
      <c r="B411" s="4" t="s">
        <v>138</v>
      </c>
      <c r="C411" s="4" t="s">
        <v>139</v>
      </c>
      <c r="D411" s="4" t="s">
        <v>21</v>
      </c>
      <c r="E411" s="4" t="s">
        <v>140</v>
      </c>
      <c r="F411" s="4" t="s">
        <v>506</v>
      </c>
      <c r="G411" s="34" t="s">
        <v>1019</v>
      </c>
      <c r="H411" s="35"/>
      <c r="I411" s="34" t="s">
        <v>15</v>
      </c>
      <c r="J411" s="35"/>
    </row>
    <row r="412" spans="1:18" ht="30" customHeight="1" x14ac:dyDescent="0.3">
      <c r="A412" s="15" t="s">
        <v>1102</v>
      </c>
      <c r="B412" s="15">
        <v>96543</v>
      </c>
      <c r="C412" s="15" t="str">
        <f>VLOOKUP(B412,S!$A:$G,2,FALSE)</f>
        <v>SINAPI</v>
      </c>
      <c r="D412" s="22" t="str">
        <f>VLOOKUP(B412,S!$A:$G,3,FALSE)</f>
        <v>ARMAÇÃO DE BLOCO UTILIZANDO AÇO CA-60 DE 5 MM - MONTAGEM. AF_01/2024</v>
      </c>
      <c r="E412" s="15" t="str">
        <f>VLOOKUP(B412,S!$A:$G,4,FALSE)</f>
        <v>KG</v>
      </c>
      <c r="F412" s="15"/>
      <c r="G412" s="73">
        <f>I418</f>
        <v>19.750000000000004</v>
      </c>
      <c r="H412" s="74"/>
      <c r="I412" s="73"/>
      <c r="J412" s="74"/>
      <c r="K412" s="16">
        <f>VLOOKUP(B412,S!A:G,5,FALSE)</f>
        <v>19.75</v>
      </c>
      <c r="L412" s="15" t="str">
        <f>IF(K412=G412,"OK, CONFORME TABELA",IF(G412&gt;K412,"ACIMA DA TABELA: ","ABAIXO DA TABELA: ")&amp;TRUNC((G412*100)/K412,2)&amp;" %")</f>
        <v>OK, CONFORME TABELA</v>
      </c>
    </row>
    <row r="413" spans="1:18" ht="30" customHeight="1" x14ac:dyDescent="0.3">
      <c r="A413" s="23" t="s">
        <v>1022</v>
      </c>
      <c r="B413" s="23">
        <v>92800</v>
      </c>
      <c r="C413" s="23" t="str">
        <f>VLOOKUP(B413,IF(A413="COMPOSICAO",S!$A:$E,I!$A:$E),2,FALSE)</f>
        <v>SINAPI</v>
      </c>
      <c r="D413" s="24" t="str">
        <f>VLOOKUP(B413,IF(A413="COMPOSICAO",S!$A:$E,I!$A:$E),3,FALSE)</f>
        <v>CORTE E DOBRA DE AÇO CA-60, DIÂMETRO DE 5,0 MM. AF_06/2022</v>
      </c>
      <c r="E413" s="23" t="str">
        <f>VLOOKUP(B413,IF(A413="COMPOSICAO",S!$A:$E,I!$A:$E),4,FALSE)</f>
        <v>KG</v>
      </c>
      <c r="F413" s="23">
        <v>1</v>
      </c>
      <c r="G413" s="71">
        <f>IF(A413="COMPOSICAO",VLOOKUP("TOTAL SEM BDI - "&amp;B413,CPUAUX2!$A:$J,9,FALSE),VLOOKUP(B413,I!$A:$E,5,FALSE))</f>
        <v>9.9599999999999991</v>
      </c>
      <c r="H413" s="72"/>
      <c r="I413" s="71">
        <f>TRUNC(F413*G413,2)</f>
        <v>9.9600000000000009</v>
      </c>
      <c r="J413" s="72"/>
      <c r="M413" s="23">
        <f>B413</f>
        <v>92800</v>
      </c>
      <c r="N413" s="23">
        <f>SUMIF(CPU!M:M,B412,CPU!O:O)</f>
        <v>0.28905000000000008</v>
      </c>
      <c r="O413" s="23">
        <f>F413*N413</f>
        <v>0.28905000000000008</v>
      </c>
      <c r="Q413" s="23">
        <f ca="1">SUMIF(CPU!M:M,B412,CPU!R:R)</f>
        <v>0.11562000000000003</v>
      </c>
      <c r="R413" s="23">
        <f ca="1">F413*Q413</f>
        <v>0.11562000000000003</v>
      </c>
    </row>
    <row r="414" spans="1:18" x14ac:dyDescent="0.3">
      <c r="A414" s="23" t="s">
        <v>1022</v>
      </c>
      <c r="B414" s="23">
        <v>88245</v>
      </c>
      <c r="C414" s="23" t="str">
        <f>VLOOKUP(B414,IF(A414="COMPOSICAO",S!$A:$E,I!$A:$E),2,FALSE)</f>
        <v>SINAPI</v>
      </c>
      <c r="D414" s="24" t="str">
        <f>VLOOKUP(B414,IF(A414="COMPOSICAO",S!$A:$E,I!$A:$E),3,FALSE)</f>
        <v>ARMADOR COM ENCARGOS COMPLEMENTARES</v>
      </c>
      <c r="E414" s="23" t="str">
        <f>VLOOKUP(B414,IF(A414="COMPOSICAO",S!$A:$E,I!$A:$E),4,FALSE)</f>
        <v>H</v>
      </c>
      <c r="F414" s="23">
        <f>0.252/pcf</f>
        <v>0.252</v>
      </c>
      <c r="G414" s="71">
        <f>IF(A414="COMPOSICAO",VLOOKUP("TOTAL SEM BDI - "&amp;B414,CPUAUX2!$A:$J,9,FALSE),VLOOKUP(B414,I!$A:$E,5,FALSE))</f>
        <v>27.189999999999998</v>
      </c>
      <c r="H414" s="72"/>
      <c r="I414" s="71">
        <f>TRUNC(F414*G414,2)</f>
        <v>6.85</v>
      </c>
      <c r="J414" s="72"/>
      <c r="M414" s="23">
        <f>B414</f>
        <v>88245</v>
      </c>
      <c r="N414" s="23">
        <f>SUMIF(CPU!M:M,B412,CPU!O:O)</f>
        <v>0.28905000000000008</v>
      </c>
      <c r="O414" s="23">
        <f>F414*N414</f>
        <v>7.2840600000000019E-2</v>
      </c>
      <c r="Q414" s="23">
        <f ca="1">SUMIF(CPU!M:M,B412,CPU!R:R)</f>
        <v>0.11562000000000003</v>
      </c>
      <c r="R414" s="23">
        <f ca="1">F414*Q414</f>
        <v>2.9136240000000008E-2</v>
      </c>
    </row>
    <row r="415" spans="1:18" ht="30" customHeight="1" x14ac:dyDescent="0.3">
      <c r="A415" s="23" t="s">
        <v>1022</v>
      </c>
      <c r="B415" s="23">
        <v>88238</v>
      </c>
      <c r="C415" s="23" t="str">
        <f>VLOOKUP(B415,IF(A415="COMPOSICAO",S!$A:$E,I!$A:$E),2,FALSE)</f>
        <v>SINAPI</v>
      </c>
      <c r="D415" s="24" t="str">
        <f>VLOOKUP(B415,IF(A415="COMPOSICAO",S!$A:$E,I!$A:$E),3,FALSE)</f>
        <v>AJUDANTE DE ARMADOR COM ENCARGOS COMPLEMENTARES</v>
      </c>
      <c r="E415" s="23" t="str">
        <f>VLOOKUP(B415,IF(A415="COMPOSICAO",S!$A:$E,I!$A:$E),4,FALSE)</f>
        <v>H</v>
      </c>
      <c r="F415" s="23">
        <f>0.097/pcf</f>
        <v>9.7000000000000003E-2</v>
      </c>
      <c r="G415" s="71">
        <f>IF(A415="COMPOSICAO",VLOOKUP("TOTAL SEM BDI - "&amp;B415,CPUAUX2!$A:$J,9,FALSE),VLOOKUP(B415,I!$A:$E,5,FALSE))</f>
        <v>22.37</v>
      </c>
      <c r="H415" s="72"/>
      <c r="I415" s="71">
        <f>TRUNC(F415*G415,2)</f>
        <v>2.16</v>
      </c>
      <c r="J415" s="72"/>
      <c r="M415" s="23">
        <f>B415</f>
        <v>88238</v>
      </c>
      <c r="N415" s="23">
        <f>SUMIF(CPU!M:M,B412,CPU!O:O)</f>
        <v>0.28905000000000008</v>
      </c>
      <c r="O415" s="23">
        <f>F415*N415</f>
        <v>2.803785000000001E-2</v>
      </c>
      <c r="Q415" s="23">
        <f ca="1">SUMIF(CPU!M:M,B412,CPU!R:R)</f>
        <v>0.11562000000000003</v>
      </c>
      <c r="R415" s="23">
        <f ca="1">F415*Q415</f>
        <v>1.1215140000000004E-2</v>
      </c>
    </row>
    <row r="416" spans="1:18" ht="30" customHeight="1" x14ac:dyDescent="0.3">
      <c r="A416" s="23" t="s">
        <v>1025</v>
      </c>
      <c r="B416" s="23">
        <v>43132</v>
      </c>
      <c r="C416" s="23" t="str">
        <f>VLOOKUP(B416,IF(A416="COMPOSICAO",S!$A:$E,I!$A:$E),2,FALSE)</f>
        <v>SINAPI</v>
      </c>
      <c r="D416" s="24" t="str">
        <f>VLOOKUP(B416,IF(A416="COMPOSICAO",S!$A:$E,I!$A:$E),3,FALSE)</f>
        <v>ARAME RECOZIDO 16 BWG, D = 1,65 MM (0,016 KG/M) OU 18 BWG, D = 1,25 MM (0,01 KG/M)</v>
      </c>
      <c r="E416" s="23" t="str">
        <f>VLOOKUP(B416,IF(A416="COMPOSICAO",S!$A:$E,I!$A:$E),4,FALSE)</f>
        <v>KG</v>
      </c>
      <c r="F416" s="23">
        <v>2.5000000000000001E-2</v>
      </c>
      <c r="G416" s="71">
        <f>IF(A416="COMPOSICAO",VLOOKUP("TOTAL SEM BDI - "&amp;B416,CPUAUX2!$A:$J,9,FALSE),VLOOKUP(B416,I!$A:$E,5,FALSE))</f>
        <v>21.59</v>
      </c>
      <c r="H416" s="72"/>
      <c r="I416" s="71">
        <f>TRUNC(F416*G416,2)</f>
        <v>0.53</v>
      </c>
      <c r="J416" s="72"/>
      <c r="M416" s="23">
        <f>B416</f>
        <v>43132</v>
      </c>
      <c r="N416" s="23">
        <f>SUMIF(CPU!M:M,B412,CPU!O:O)</f>
        <v>0.28905000000000008</v>
      </c>
      <c r="O416" s="23">
        <f>F416*N416</f>
        <v>7.2262500000000026E-3</v>
      </c>
      <c r="Q416" s="23">
        <f ca="1">SUMIF(CPU!M:M,B412,CPU!R:R)</f>
        <v>0.11562000000000003</v>
      </c>
      <c r="R416" s="23">
        <f ca="1">F416*Q416</f>
        <v>2.8905000000000007E-3</v>
      </c>
    </row>
    <row r="417" spans="1:18" ht="45" customHeight="1" x14ac:dyDescent="0.3">
      <c r="A417" s="23" t="s">
        <v>1025</v>
      </c>
      <c r="B417" s="23">
        <v>39017</v>
      </c>
      <c r="C417" s="23" t="str">
        <f>VLOOKUP(B417,IF(A417="COMPOSICAO",S!$A:$E,I!$A:$E),2,FALSE)</f>
        <v>SINAPI</v>
      </c>
      <c r="D417" s="24" t="str">
        <f>VLOOKUP(B417,IF(A417="COMPOSICAO",S!$A:$E,I!$A:$E),3,FALSE)</f>
        <v>ESPACADOR / DISTANCIADOR CIRCULAR COM ENTRADA LATERAL, EM PLASTICO, PARA VERGALHAO *4,2 A 12,5* MM, COBRIMENTO 20 MM</v>
      </c>
      <c r="E417" s="23" t="str">
        <f>VLOOKUP(B417,IF(A417="COMPOSICAO",S!$A:$E,I!$A:$E),4,FALSE)</f>
        <v>UN</v>
      </c>
      <c r="F417" s="23">
        <v>1.143</v>
      </c>
      <c r="G417" s="71">
        <f>IF(A417="COMPOSICAO",VLOOKUP("TOTAL SEM BDI - "&amp;B417,CPUAUX2!$A:$J,9,FALSE),VLOOKUP(B417,I!$A:$E,5,FALSE))</f>
        <v>0.22</v>
      </c>
      <c r="H417" s="72"/>
      <c r="I417" s="71">
        <f>TRUNC(F417*G417,2)</f>
        <v>0.25</v>
      </c>
      <c r="J417" s="72"/>
      <c r="M417" s="23">
        <f>B417</f>
        <v>39017</v>
      </c>
      <c r="N417" s="23">
        <f>SUMIF(CPU!M:M,B412,CPU!O:O)</f>
        <v>0.28905000000000008</v>
      </c>
      <c r="O417" s="23">
        <f>F417*N417</f>
        <v>0.3303841500000001</v>
      </c>
      <c r="Q417" s="23">
        <f ca="1">SUMIF(CPU!M:M,B412,CPU!R:R)</f>
        <v>0.11562000000000003</v>
      </c>
      <c r="R417" s="23">
        <f ca="1">F417*Q417</f>
        <v>0.13215366000000003</v>
      </c>
    </row>
    <row r="418" spans="1:18" x14ac:dyDescent="0.3">
      <c r="A418" s="68" t="str">
        <f>"TOTAL SEM BDI - "&amp;B412</f>
        <v>TOTAL SEM BDI - 96543</v>
      </c>
      <c r="B418" s="69"/>
      <c r="C418" s="69"/>
      <c r="D418" s="69"/>
      <c r="E418" s="69"/>
      <c r="F418" s="69"/>
      <c r="G418" s="69"/>
      <c r="H418" s="70"/>
      <c r="I418" s="71">
        <f>SUM(I412:I417)</f>
        <v>19.750000000000004</v>
      </c>
      <c r="J418" s="72"/>
    </row>
    <row r="420" spans="1:18" x14ac:dyDescent="0.3">
      <c r="A420" s="4" t="s">
        <v>1018</v>
      </c>
      <c r="B420" s="4" t="s">
        <v>138</v>
      </c>
      <c r="C420" s="4" t="s">
        <v>139</v>
      </c>
      <c r="D420" s="4" t="s">
        <v>21</v>
      </c>
      <c r="E420" s="4" t="s">
        <v>140</v>
      </c>
      <c r="F420" s="4" t="s">
        <v>506</v>
      </c>
      <c r="G420" s="34" t="s">
        <v>1019</v>
      </c>
      <c r="H420" s="35"/>
      <c r="I420" s="34" t="s">
        <v>15</v>
      </c>
      <c r="J420" s="35"/>
    </row>
    <row r="421" spans="1:18" ht="30" customHeight="1" x14ac:dyDescent="0.3">
      <c r="A421" s="15" t="s">
        <v>1102</v>
      </c>
      <c r="B421" s="15">
        <v>96544</v>
      </c>
      <c r="C421" s="15" t="str">
        <f>VLOOKUP(B421,S!$A:$G,2,FALSE)</f>
        <v>SINAPI</v>
      </c>
      <c r="D421" s="22" t="str">
        <f>VLOOKUP(B421,S!$A:$G,3,FALSE)</f>
        <v>ARMAÇÃO DE BLOCO UTILIZANDO AÇO CA-50 DE 6,3 MM - MONTAGEM. AF_01/2024</v>
      </c>
      <c r="E421" s="15" t="str">
        <f>VLOOKUP(B421,S!$A:$G,4,FALSE)</f>
        <v>KG</v>
      </c>
      <c r="F421" s="15"/>
      <c r="G421" s="73">
        <f>I427</f>
        <v>17.760000000000002</v>
      </c>
      <c r="H421" s="74"/>
      <c r="I421" s="73"/>
      <c r="J421" s="74"/>
      <c r="K421" s="16">
        <f>VLOOKUP(B421,S!A:G,5,FALSE)</f>
        <v>17.760000000000002</v>
      </c>
      <c r="L421" s="15" t="str">
        <f>IF(K421=G421,"OK, CONFORME TABELA",IF(G421&gt;K421,"ACIMA DA TABELA: ","ABAIXO DA TABELA: ")&amp;TRUNC((G421*100)/K421,2)&amp;" %")</f>
        <v>OK, CONFORME TABELA</v>
      </c>
    </row>
    <row r="422" spans="1:18" ht="30" customHeight="1" x14ac:dyDescent="0.3">
      <c r="A422" s="23" t="s">
        <v>1022</v>
      </c>
      <c r="B422" s="23">
        <v>92801</v>
      </c>
      <c r="C422" s="23" t="str">
        <f>VLOOKUP(B422,IF(A422="COMPOSICAO",S!$A:$E,I!$A:$E),2,FALSE)</f>
        <v>SINAPI</v>
      </c>
      <c r="D422" s="24" t="str">
        <f>VLOOKUP(B422,IF(A422="COMPOSICAO",S!$A:$E,I!$A:$E),3,FALSE)</f>
        <v>CORTE E DOBRA DE AÇO CA-50, DIÂMETRO DE 6,3 MM. AF_06/2022</v>
      </c>
      <c r="E422" s="23" t="str">
        <f>VLOOKUP(B422,IF(A422="COMPOSICAO",S!$A:$E,I!$A:$E),4,FALSE)</f>
        <v>KG</v>
      </c>
      <c r="F422" s="23">
        <v>1</v>
      </c>
      <c r="G422" s="71">
        <f>IF(A422="COMPOSICAO",VLOOKUP("TOTAL SEM BDI - "&amp;B422,CPUAUX2!$A:$J,9,FALSE),VLOOKUP(B422,I!$A:$E,5,FALSE))</f>
        <v>10.059999999999999</v>
      </c>
      <c r="H422" s="72"/>
      <c r="I422" s="71">
        <f>TRUNC(F422*G422,2)</f>
        <v>10.06</v>
      </c>
      <c r="J422" s="72"/>
      <c r="M422" s="23">
        <f>B422</f>
        <v>92801</v>
      </c>
      <c r="N422" s="23">
        <f>SUMIF(CPU!M:M,B421,CPU!O:O)</f>
        <v>0.49860000000000004</v>
      </c>
      <c r="O422" s="23">
        <f>F422*N422</f>
        <v>0.49860000000000004</v>
      </c>
      <c r="Q422" s="23">
        <f ca="1">SUMIF(CPU!M:M,B421,CPU!R:R)</f>
        <v>0.19944000000000001</v>
      </c>
      <c r="R422" s="23">
        <f ca="1">F422*Q422</f>
        <v>0.19944000000000001</v>
      </c>
    </row>
    <row r="423" spans="1:18" x14ac:dyDescent="0.3">
      <c r="A423" s="23" t="s">
        <v>1022</v>
      </c>
      <c r="B423" s="23">
        <v>88245</v>
      </c>
      <c r="C423" s="23" t="str">
        <f>VLOOKUP(B423,IF(A423="COMPOSICAO",S!$A:$E,I!$A:$E),2,FALSE)</f>
        <v>SINAPI</v>
      </c>
      <c r="D423" s="24" t="str">
        <f>VLOOKUP(B423,IF(A423="COMPOSICAO",S!$A:$E,I!$A:$E),3,FALSE)</f>
        <v>ARMADOR COM ENCARGOS COMPLEMENTARES</v>
      </c>
      <c r="E423" s="23" t="str">
        <f>VLOOKUP(B423,IF(A423="COMPOSICAO",S!$A:$E,I!$A:$E),4,FALSE)</f>
        <v>H</v>
      </c>
      <c r="F423" s="23">
        <f>0.196/pcf</f>
        <v>0.19600000000000001</v>
      </c>
      <c r="G423" s="71">
        <f>IF(A423="COMPOSICAO",VLOOKUP("TOTAL SEM BDI - "&amp;B423,CPUAUX2!$A:$J,9,FALSE),VLOOKUP(B423,I!$A:$E,5,FALSE))</f>
        <v>27.189999999999998</v>
      </c>
      <c r="H423" s="72"/>
      <c r="I423" s="71">
        <f>TRUNC(F423*G423,2)</f>
        <v>5.32</v>
      </c>
      <c r="J423" s="72"/>
      <c r="M423" s="23">
        <f>B423</f>
        <v>88245</v>
      </c>
      <c r="N423" s="23">
        <f>SUMIF(CPU!M:M,B421,CPU!O:O)</f>
        <v>0.49860000000000004</v>
      </c>
      <c r="O423" s="23">
        <f>F423*N423</f>
        <v>9.772560000000001E-2</v>
      </c>
      <c r="Q423" s="23">
        <f ca="1">SUMIF(CPU!M:M,B421,CPU!R:R)</f>
        <v>0.19944000000000001</v>
      </c>
      <c r="R423" s="23">
        <f ca="1">F423*Q423</f>
        <v>3.9090240000000005E-2</v>
      </c>
    </row>
    <row r="424" spans="1:18" ht="30" customHeight="1" x14ac:dyDescent="0.3">
      <c r="A424" s="23" t="s">
        <v>1022</v>
      </c>
      <c r="B424" s="23">
        <v>88238</v>
      </c>
      <c r="C424" s="23" t="str">
        <f>VLOOKUP(B424,IF(A424="COMPOSICAO",S!$A:$E,I!$A:$E),2,FALSE)</f>
        <v>SINAPI</v>
      </c>
      <c r="D424" s="24" t="str">
        <f>VLOOKUP(B424,IF(A424="COMPOSICAO",S!$A:$E,I!$A:$E),3,FALSE)</f>
        <v>AJUDANTE DE ARMADOR COM ENCARGOS COMPLEMENTARES</v>
      </c>
      <c r="E424" s="23" t="str">
        <f>VLOOKUP(B424,IF(A424="COMPOSICAO",S!$A:$E,I!$A:$E),4,FALSE)</f>
        <v>H</v>
      </c>
      <c r="F424" s="23">
        <f>0.075/pcf</f>
        <v>7.4999999999999997E-2</v>
      </c>
      <c r="G424" s="71">
        <f>IF(A424="COMPOSICAO",VLOOKUP("TOTAL SEM BDI - "&amp;B424,CPUAUX2!$A:$J,9,FALSE),VLOOKUP(B424,I!$A:$E,5,FALSE))</f>
        <v>22.37</v>
      </c>
      <c r="H424" s="72"/>
      <c r="I424" s="71">
        <f>TRUNC(F424*G424,2)</f>
        <v>1.67</v>
      </c>
      <c r="J424" s="72"/>
      <c r="M424" s="23">
        <f>B424</f>
        <v>88238</v>
      </c>
      <c r="N424" s="23">
        <f>SUMIF(CPU!M:M,B421,CPU!O:O)</f>
        <v>0.49860000000000004</v>
      </c>
      <c r="O424" s="23">
        <f>F424*N424</f>
        <v>3.7395000000000005E-2</v>
      </c>
      <c r="Q424" s="23">
        <f ca="1">SUMIF(CPU!M:M,B421,CPU!R:R)</f>
        <v>0.19944000000000001</v>
      </c>
      <c r="R424" s="23">
        <f ca="1">F424*Q424</f>
        <v>1.4957999999999999E-2</v>
      </c>
    </row>
    <row r="425" spans="1:18" ht="30" customHeight="1" x14ac:dyDescent="0.3">
      <c r="A425" s="23" t="s">
        <v>1025</v>
      </c>
      <c r="B425" s="23">
        <v>43132</v>
      </c>
      <c r="C425" s="23" t="str">
        <f>VLOOKUP(B425,IF(A425="COMPOSICAO",S!$A:$E,I!$A:$E),2,FALSE)</f>
        <v>SINAPI</v>
      </c>
      <c r="D425" s="24" t="str">
        <f>VLOOKUP(B425,IF(A425="COMPOSICAO",S!$A:$E,I!$A:$E),3,FALSE)</f>
        <v>ARAME RECOZIDO 16 BWG, D = 1,65 MM (0,016 KG/M) OU 18 BWG, D = 1,25 MM (0,01 KG/M)</v>
      </c>
      <c r="E425" s="23" t="str">
        <f>VLOOKUP(B425,IF(A425="COMPOSICAO",S!$A:$E,I!$A:$E),4,FALSE)</f>
        <v>KG</v>
      </c>
      <c r="F425" s="23">
        <v>2.5000000000000001E-2</v>
      </c>
      <c r="G425" s="71">
        <f>IF(A425="COMPOSICAO",VLOOKUP("TOTAL SEM BDI - "&amp;B425,CPUAUX2!$A:$J,9,FALSE),VLOOKUP(B425,I!$A:$E,5,FALSE))</f>
        <v>21.59</v>
      </c>
      <c r="H425" s="72"/>
      <c r="I425" s="71">
        <f>TRUNC(F425*G425,2)</f>
        <v>0.53</v>
      </c>
      <c r="J425" s="72"/>
      <c r="M425" s="23">
        <f>B425</f>
        <v>43132</v>
      </c>
      <c r="N425" s="23">
        <f>SUMIF(CPU!M:M,B421,CPU!O:O)</f>
        <v>0.49860000000000004</v>
      </c>
      <c r="O425" s="23">
        <f>F425*N425</f>
        <v>1.2465000000000002E-2</v>
      </c>
      <c r="Q425" s="23">
        <f ca="1">SUMIF(CPU!M:M,B421,CPU!R:R)</f>
        <v>0.19944000000000001</v>
      </c>
      <c r="R425" s="23">
        <f ca="1">F425*Q425</f>
        <v>4.9860000000000008E-3</v>
      </c>
    </row>
    <row r="426" spans="1:18" ht="45" customHeight="1" x14ac:dyDescent="0.3">
      <c r="A426" s="23" t="s">
        <v>1025</v>
      </c>
      <c r="B426" s="23">
        <v>39017</v>
      </c>
      <c r="C426" s="23" t="str">
        <f>VLOOKUP(B426,IF(A426="COMPOSICAO",S!$A:$E,I!$A:$E),2,FALSE)</f>
        <v>SINAPI</v>
      </c>
      <c r="D426" s="24" t="str">
        <f>VLOOKUP(B426,IF(A426="COMPOSICAO",S!$A:$E,I!$A:$E),3,FALSE)</f>
        <v>ESPACADOR / DISTANCIADOR CIRCULAR COM ENTRADA LATERAL, EM PLASTICO, PARA VERGALHAO *4,2 A 12,5* MM, COBRIMENTO 20 MM</v>
      </c>
      <c r="E426" s="23" t="str">
        <f>VLOOKUP(B426,IF(A426="COMPOSICAO",S!$A:$E,I!$A:$E),4,FALSE)</f>
        <v>UN</v>
      </c>
      <c r="F426" s="23">
        <v>0.85599999999999998</v>
      </c>
      <c r="G426" s="71">
        <f>IF(A426="COMPOSICAO",VLOOKUP("TOTAL SEM BDI - "&amp;B426,CPUAUX2!$A:$J,9,FALSE),VLOOKUP(B426,I!$A:$E,5,FALSE))</f>
        <v>0.22</v>
      </c>
      <c r="H426" s="72"/>
      <c r="I426" s="71">
        <f>TRUNC(F426*G426,2)</f>
        <v>0.18</v>
      </c>
      <c r="J426" s="72"/>
      <c r="M426" s="23">
        <f>B426</f>
        <v>39017</v>
      </c>
      <c r="N426" s="23">
        <f>SUMIF(CPU!M:M,B421,CPU!O:O)</f>
        <v>0.49860000000000004</v>
      </c>
      <c r="O426" s="23">
        <f>F426*N426</f>
        <v>0.4268016</v>
      </c>
      <c r="Q426" s="23">
        <f ca="1">SUMIF(CPU!M:M,B421,CPU!R:R)</f>
        <v>0.19944000000000001</v>
      </c>
      <c r="R426" s="23">
        <f ca="1">F426*Q426</f>
        <v>0.17072064000000001</v>
      </c>
    </row>
    <row r="427" spans="1:18" x14ac:dyDescent="0.3">
      <c r="A427" s="68" t="str">
        <f>"TOTAL SEM BDI - "&amp;B421</f>
        <v>TOTAL SEM BDI - 96544</v>
      </c>
      <c r="B427" s="69"/>
      <c r="C427" s="69"/>
      <c r="D427" s="69"/>
      <c r="E427" s="69"/>
      <c r="F427" s="69"/>
      <c r="G427" s="69"/>
      <c r="H427" s="70"/>
      <c r="I427" s="71">
        <f>SUM(I421:I426)</f>
        <v>17.760000000000002</v>
      </c>
      <c r="J427" s="72"/>
    </row>
    <row r="429" spans="1:18" x14ac:dyDescent="0.3">
      <c r="A429" s="4" t="s">
        <v>1018</v>
      </c>
      <c r="B429" s="4" t="s">
        <v>138</v>
      </c>
      <c r="C429" s="4" t="s">
        <v>139</v>
      </c>
      <c r="D429" s="4" t="s">
        <v>21</v>
      </c>
      <c r="E429" s="4" t="s">
        <v>140</v>
      </c>
      <c r="F429" s="4" t="s">
        <v>506</v>
      </c>
      <c r="G429" s="34" t="s">
        <v>1019</v>
      </c>
      <c r="H429" s="35"/>
      <c r="I429" s="34" t="s">
        <v>15</v>
      </c>
      <c r="J429" s="35"/>
    </row>
    <row r="430" spans="1:18" ht="30" customHeight="1" x14ac:dyDescent="0.3">
      <c r="A430" s="15" t="s">
        <v>1102</v>
      </c>
      <c r="B430" s="15">
        <v>96545</v>
      </c>
      <c r="C430" s="15" t="str">
        <f>VLOOKUP(B430,S!$A:$G,2,FALSE)</f>
        <v>SINAPI</v>
      </c>
      <c r="D430" s="22" t="str">
        <f>VLOOKUP(B430,S!$A:$G,3,FALSE)</f>
        <v>ARMAÇÃO DE BLOCO UTILIZANDO AÇO CA-50 DE 8 MM - MONTAGEM. AF_01/2024</v>
      </c>
      <c r="E430" s="15" t="str">
        <f>VLOOKUP(B430,S!$A:$G,4,FALSE)</f>
        <v>KG</v>
      </c>
      <c r="F430" s="15"/>
      <c r="G430" s="73">
        <f>I436</f>
        <v>16</v>
      </c>
      <c r="H430" s="74"/>
      <c r="I430" s="73"/>
      <c r="J430" s="74"/>
      <c r="K430" s="16">
        <f>VLOOKUP(B430,S!A:G,5,FALSE)</f>
        <v>16</v>
      </c>
      <c r="L430" s="15" t="str">
        <f>IF(K430=G430,"OK, CONFORME TABELA",IF(G430&gt;K430,"ACIMA DA TABELA: ","ABAIXO DA TABELA: ")&amp;TRUNC((G430*100)/K430,2)&amp;" %")</f>
        <v>OK, CONFORME TABELA</v>
      </c>
    </row>
    <row r="431" spans="1:18" ht="30" customHeight="1" x14ac:dyDescent="0.3">
      <c r="A431" s="23" t="s">
        <v>1022</v>
      </c>
      <c r="B431" s="23">
        <v>92802</v>
      </c>
      <c r="C431" s="23" t="str">
        <f>VLOOKUP(B431,IF(A431="COMPOSICAO",S!$A:$E,I!$A:$E),2,FALSE)</f>
        <v>SINAPI</v>
      </c>
      <c r="D431" s="24" t="str">
        <f>VLOOKUP(B431,IF(A431="COMPOSICAO",S!$A:$E,I!$A:$E),3,FALSE)</f>
        <v>CORTE E DOBRA DE AÇO CA-50, DIÂMETRO DE 8,0 MM. AF_06/2022</v>
      </c>
      <c r="E431" s="23" t="str">
        <f>VLOOKUP(B431,IF(A431="COMPOSICAO",S!$A:$E,I!$A:$E),4,FALSE)</f>
        <v>KG</v>
      </c>
      <c r="F431" s="23">
        <v>1</v>
      </c>
      <c r="G431" s="71">
        <f>IF(A431="COMPOSICAO",VLOOKUP("TOTAL SEM BDI - "&amp;B431,CPUAUX2!$A:$J,9,FALSE),VLOOKUP(B431,I!$A:$E,5,FALSE))</f>
        <v>10</v>
      </c>
      <c r="H431" s="72"/>
      <c r="I431" s="71">
        <f>TRUNC(F431*G431,2)</f>
        <v>10</v>
      </c>
      <c r="J431" s="72"/>
      <c r="M431" s="23">
        <f>B431</f>
        <v>92802</v>
      </c>
      <c r="N431" s="23">
        <f>SUMIF(CPU!M:M,B430,CPU!O:O)</f>
        <v>0.26295000000000007</v>
      </c>
      <c r="O431" s="23">
        <f>F431*N431</f>
        <v>0.26295000000000007</v>
      </c>
      <c r="Q431" s="23">
        <f ca="1">SUMIF(CPU!M:M,B430,CPU!R:R)</f>
        <v>0.10518000000000002</v>
      </c>
      <c r="R431" s="23">
        <f ca="1">F431*Q431</f>
        <v>0.10518000000000002</v>
      </c>
    </row>
    <row r="432" spans="1:18" x14ac:dyDescent="0.3">
      <c r="A432" s="23" t="s">
        <v>1022</v>
      </c>
      <c r="B432" s="23">
        <v>88245</v>
      </c>
      <c r="C432" s="23" t="str">
        <f>VLOOKUP(B432,IF(A432="COMPOSICAO",S!$A:$E,I!$A:$E),2,FALSE)</f>
        <v>SINAPI</v>
      </c>
      <c r="D432" s="24" t="str">
        <f>VLOOKUP(B432,IF(A432="COMPOSICAO",S!$A:$E,I!$A:$E),3,FALSE)</f>
        <v>ARMADOR COM ENCARGOS COMPLEMENTARES</v>
      </c>
      <c r="E432" s="23" t="str">
        <f>VLOOKUP(B432,IF(A432="COMPOSICAO",S!$A:$E,I!$A:$E),4,FALSE)</f>
        <v>H</v>
      </c>
      <c r="F432" s="23">
        <f>0.15/pcf</f>
        <v>0.15</v>
      </c>
      <c r="G432" s="71">
        <f>IF(A432="COMPOSICAO",VLOOKUP("TOTAL SEM BDI - "&amp;B432,CPUAUX2!$A:$J,9,FALSE),VLOOKUP(B432,I!$A:$E,5,FALSE))</f>
        <v>27.189999999999998</v>
      </c>
      <c r="H432" s="72"/>
      <c r="I432" s="71">
        <f>TRUNC(F432*G432,2)</f>
        <v>4.07</v>
      </c>
      <c r="J432" s="72"/>
      <c r="M432" s="23">
        <f>B432</f>
        <v>88245</v>
      </c>
      <c r="N432" s="23">
        <f>SUMIF(CPU!M:M,B430,CPU!O:O)</f>
        <v>0.26295000000000007</v>
      </c>
      <c r="O432" s="23">
        <f>F432*N432</f>
        <v>3.9442500000000012E-2</v>
      </c>
      <c r="Q432" s="23">
        <f ca="1">SUMIF(CPU!M:M,B430,CPU!R:R)</f>
        <v>0.10518000000000002</v>
      </c>
      <c r="R432" s="23">
        <f ca="1">F432*Q432</f>
        <v>1.5777000000000003E-2</v>
      </c>
    </row>
    <row r="433" spans="1:18" ht="30" customHeight="1" x14ac:dyDescent="0.3">
      <c r="A433" s="23" t="s">
        <v>1022</v>
      </c>
      <c r="B433" s="23">
        <v>88238</v>
      </c>
      <c r="C433" s="23" t="str">
        <f>VLOOKUP(B433,IF(A433="COMPOSICAO",S!$A:$E,I!$A:$E),2,FALSE)</f>
        <v>SINAPI</v>
      </c>
      <c r="D433" s="24" t="str">
        <f>VLOOKUP(B433,IF(A433="COMPOSICAO",S!$A:$E,I!$A:$E),3,FALSE)</f>
        <v>AJUDANTE DE ARMADOR COM ENCARGOS COMPLEMENTARES</v>
      </c>
      <c r="E433" s="23" t="str">
        <f>VLOOKUP(B433,IF(A433="COMPOSICAO",S!$A:$E,I!$A:$E),4,FALSE)</f>
        <v>H</v>
      </c>
      <c r="F433" s="23">
        <f>0.057/pcf</f>
        <v>5.7000000000000002E-2</v>
      </c>
      <c r="G433" s="71">
        <f>IF(A433="COMPOSICAO",VLOOKUP("TOTAL SEM BDI - "&amp;B433,CPUAUX2!$A:$J,9,FALSE),VLOOKUP(B433,I!$A:$E,5,FALSE))</f>
        <v>22.37</v>
      </c>
      <c r="H433" s="72"/>
      <c r="I433" s="71">
        <f>TRUNC(F433*G433,2)</f>
        <v>1.27</v>
      </c>
      <c r="J433" s="72"/>
      <c r="M433" s="23">
        <f>B433</f>
        <v>88238</v>
      </c>
      <c r="N433" s="23">
        <f>SUMIF(CPU!M:M,B430,CPU!O:O)</f>
        <v>0.26295000000000007</v>
      </c>
      <c r="O433" s="23">
        <f>F433*N433</f>
        <v>1.4988150000000004E-2</v>
      </c>
      <c r="Q433" s="23">
        <f ca="1">SUMIF(CPU!M:M,B430,CPU!R:R)</f>
        <v>0.10518000000000002</v>
      </c>
      <c r="R433" s="23">
        <f ca="1">F433*Q433</f>
        <v>5.9952600000000014E-3</v>
      </c>
    </row>
    <row r="434" spans="1:18" ht="30" customHeight="1" x14ac:dyDescent="0.3">
      <c r="A434" s="23" t="s">
        <v>1025</v>
      </c>
      <c r="B434" s="23">
        <v>43132</v>
      </c>
      <c r="C434" s="23" t="str">
        <f>VLOOKUP(B434,IF(A434="COMPOSICAO",S!$A:$E,I!$A:$E),2,FALSE)</f>
        <v>SINAPI</v>
      </c>
      <c r="D434" s="24" t="str">
        <f>VLOOKUP(B434,IF(A434="COMPOSICAO",S!$A:$E,I!$A:$E),3,FALSE)</f>
        <v>ARAME RECOZIDO 16 BWG, D = 1,65 MM (0,016 KG/M) OU 18 BWG, D = 1,25 MM (0,01 KG/M)</v>
      </c>
      <c r="E434" s="23" t="str">
        <f>VLOOKUP(B434,IF(A434="COMPOSICAO",S!$A:$E,I!$A:$E),4,FALSE)</f>
        <v>KG</v>
      </c>
      <c r="F434" s="23">
        <v>2.5000000000000001E-2</v>
      </c>
      <c r="G434" s="71">
        <f>IF(A434="COMPOSICAO",VLOOKUP("TOTAL SEM BDI - "&amp;B434,CPUAUX2!$A:$J,9,FALSE),VLOOKUP(B434,I!$A:$E,5,FALSE))</f>
        <v>21.59</v>
      </c>
      <c r="H434" s="72"/>
      <c r="I434" s="71">
        <f>TRUNC(F434*G434,2)</f>
        <v>0.53</v>
      </c>
      <c r="J434" s="72"/>
      <c r="M434" s="23">
        <f>B434</f>
        <v>43132</v>
      </c>
      <c r="N434" s="23">
        <f>SUMIF(CPU!M:M,B430,CPU!O:O)</f>
        <v>0.26295000000000007</v>
      </c>
      <c r="O434" s="23">
        <f>F434*N434</f>
        <v>6.5737500000000023E-3</v>
      </c>
      <c r="Q434" s="23">
        <f ca="1">SUMIF(CPU!M:M,B430,CPU!R:R)</f>
        <v>0.10518000000000002</v>
      </c>
      <c r="R434" s="23">
        <f ca="1">F434*Q434</f>
        <v>2.6295000000000008E-3</v>
      </c>
    </row>
    <row r="435" spans="1:18" ht="45" customHeight="1" x14ac:dyDescent="0.3">
      <c r="A435" s="23" t="s">
        <v>1025</v>
      </c>
      <c r="B435" s="23">
        <v>39017</v>
      </c>
      <c r="C435" s="23" t="str">
        <f>VLOOKUP(B435,IF(A435="COMPOSICAO",S!$A:$E,I!$A:$E),2,FALSE)</f>
        <v>SINAPI</v>
      </c>
      <c r="D435" s="24" t="str">
        <f>VLOOKUP(B435,IF(A435="COMPOSICAO",S!$A:$E,I!$A:$E),3,FALSE)</f>
        <v>ESPACADOR / DISTANCIADOR CIRCULAR COM ENTRADA LATERAL, EM PLASTICO, PARA VERGALHAO *4,2 A 12,5* MM, COBRIMENTO 20 MM</v>
      </c>
      <c r="E435" s="23" t="str">
        <f>VLOOKUP(B435,IF(A435="COMPOSICAO",S!$A:$E,I!$A:$E),4,FALSE)</f>
        <v>UN</v>
      </c>
      <c r="F435" s="23">
        <v>0.63500000000000001</v>
      </c>
      <c r="G435" s="71">
        <f>IF(A435="COMPOSICAO",VLOOKUP("TOTAL SEM BDI - "&amp;B435,CPUAUX2!$A:$J,9,FALSE),VLOOKUP(B435,I!$A:$E,5,FALSE))</f>
        <v>0.22</v>
      </c>
      <c r="H435" s="72"/>
      <c r="I435" s="71">
        <f>TRUNC(F435*G435,2)</f>
        <v>0.13</v>
      </c>
      <c r="J435" s="72"/>
      <c r="M435" s="23">
        <f>B435</f>
        <v>39017</v>
      </c>
      <c r="N435" s="23">
        <f>SUMIF(CPU!M:M,B430,CPU!O:O)</f>
        <v>0.26295000000000007</v>
      </c>
      <c r="O435" s="23">
        <f>F435*N435</f>
        <v>0.16697325000000005</v>
      </c>
      <c r="Q435" s="23">
        <f ca="1">SUMIF(CPU!M:M,B430,CPU!R:R)</f>
        <v>0.10518000000000002</v>
      </c>
      <c r="R435" s="23">
        <f ca="1">F435*Q435</f>
        <v>6.678930000000001E-2</v>
      </c>
    </row>
    <row r="436" spans="1:18" x14ac:dyDescent="0.3">
      <c r="A436" s="68" t="str">
        <f>"TOTAL SEM BDI - "&amp;B430</f>
        <v>TOTAL SEM BDI - 96545</v>
      </c>
      <c r="B436" s="69"/>
      <c r="C436" s="69"/>
      <c r="D436" s="69"/>
      <c r="E436" s="69"/>
      <c r="F436" s="69"/>
      <c r="G436" s="69"/>
      <c r="H436" s="70"/>
      <c r="I436" s="71">
        <f>SUM(I430:I435)</f>
        <v>16</v>
      </c>
      <c r="J436" s="72"/>
    </row>
    <row r="438" spans="1:18" x14ac:dyDescent="0.3">
      <c r="A438" s="4" t="s">
        <v>1018</v>
      </c>
      <c r="B438" s="4" t="s">
        <v>138</v>
      </c>
      <c r="C438" s="4" t="s">
        <v>139</v>
      </c>
      <c r="D438" s="4" t="s">
        <v>21</v>
      </c>
      <c r="E438" s="4" t="s">
        <v>140</v>
      </c>
      <c r="F438" s="4" t="s">
        <v>506</v>
      </c>
      <c r="G438" s="34" t="s">
        <v>1019</v>
      </c>
      <c r="H438" s="35"/>
      <c r="I438" s="34" t="s">
        <v>15</v>
      </c>
      <c r="J438" s="35"/>
    </row>
    <row r="439" spans="1:18" ht="30" customHeight="1" x14ac:dyDescent="0.3">
      <c r="A439" s="15" t="s">
        <v>1102</v>
      </c>
      <c r="B439" s="15">
        <v>96546</v>
      </c>
      <c r="C439" s="15" t="str">
        <f>VLOOKUP(B439,S!$A:$G,2,FALSE)</f>
        <v>SINAPI</v>
      </c>
      <c r="D439" s="22" t="str">
        <f>VLOOKUP(B439,S!$A:$G,3,FALSE)</f>
        <v>ARMAÇÃO DE BLOCO UTILIZANDO AÇO CA-50 DE 10 MM - MONTAGEM. AF_01/2024</v>
      </c>
      <c r="E439" s="15" t="str">
        <f>VLOOKUP(B439,S!$A:$G,4,FALSE)</f>
        <v>KG</v>
      </c>
      <c r="F439" s="15"/>
      <c r="G439" s="73">
        <f>I445</f>
        <v>13.98</v>
      </c>
      <c r="H439" s="74"/>
      <c r="I439" s="73"/>
      <c r="J439" s="74"/>
      <c r="K439" s="16">
        <f>VLOOKUP(B439,S!A:G,5,FALSE)</f>
        <v>13.98</v>
      </c>
      <c r="L439" s="15" t="str">
        <f>IF(K439=G439,"OK, CONFORME TABELA",IF(G439&gt;K439,"ACIMA DA TABELA: ","ABAIXO DA TABELA: ")&amp;TRUNC((G439*100)/K439,2)&amp;" %")</f>
        <v>OK, CONFORME TABELA</v>
      </c>
    </row>
    <row r="440" spans="1:18" ht="30" customHeight="1" x14ac:dyDescent="0.3">
      <c r="A440" s="23" t="s">
        <v>1022</v>
      </c>
      <c r="B440" s="23">
        <v>92803</v>
      </c>
      <c r="C440" s="23" t="str">
        <f>VLOOKUP(B440,IF(A440="COMPOSICAO",S!$A:$E,I!$A:$E),2,FALSE)</f>
        <v>SINAPI</v>
      </c>
      <c r="D440" s="24" t="str">
        <f>VLOOKUP(B440,IF(A440="COMPOSICAO",S!$A:$E,I!$A:$E),3,FALSE)</f>
        <v>CORTE E DOBRA DE AÇO CA-50, DIÂMETRO DE 10,0 MM. AF_06/2022</v>
      </c>
      <c r="E440" s="23" t="str">
        <f>VLOOKUP(B440,IF(A440="COMPOSICAO",S!$A:$E,I!$A:$E),4,FALSE)</f>
        <v>KG</v>
      </c>
      <c r="F440" s="23">
        <v>1</v>
      </c>
      <c r="G440" s="71">
        <f>IF(A440="COMPOSICAO",VLOOKUP("TOTAL SEM BDI - "&amp;B440,CPUAUX2!$A:$J,9,FALSE),VLOOKUP(B440,I!$A:$E,5,FALSE))</f>
        <v>9.2200000000000006</v>
      </c>
      <c r="H440" s="72"/>
      <c r="I440" s="71">
        <f>TRUNC(F440*G440,2)</f>
        <v>9.2200000000000006</v>
      </c>
      <c r="J440" s="72"/>
      <c r="M440" s="23">
        <f>B440</f>
        <v>92803</v>
      </c>
      <c r="N440" s="23">
        <f>SUMIF(CPU!M:M,B439,CPU!O:O)</f>
        <v>3.9955500000000006</v>
      </c>
      <c r="O440" s="23">
        <f>F440*N440</f>
        <v>3.9955500000000006</v>
      </c>
      <c r="Q440" s="23">
        <f ca="1">SUMIF(CPU!M:M,B439,CPU!R:R)</f>
        <v>1.5982200000000002</v>
      </c>
      <c r="R440" s="23">
        <f ca="1">F440*Q440</f>
        <v>1.5982200000000002</v>
      </c>
    </row>
    <row r="441" spans="1:18" x14ac:dyDescent="0.3">
      <c r="A441" s="23" t="s">
        <v>1022</v>
      </c>
      <c r="B441" s="23">
        <v>88245</v>
      </c>
      <c r="C441" s="23" t="str">
        <f>VLOOKUP(B441,IF(A441="COMPOSICAO",S!$A:$E,I!$A:$E),2,FALSE)</f>
        <v>SINAPI</v>
      </c>
      <c r="D441" s="24" t="str">
        <f>VLOOKUP(B441,IF(A441="COMPOSICAO",S!$A:$E,I!$A:$E),3,FALSE)</f>
        <v>ARMADOR COM ENCARGOS COMPLEMENTARES</v>
      </c>
      <c r="E441" s="23" t="str">
        <f>VLOOKUP(B441,IF(A441="COMPOSICAO",S!$A:$E,I!$A:$E),4,FALSE)</f>
        <v>H</v>
      </c>
      <c r="F441" s="23">
        <f>0.116/pcf</f>
        <v>0.11600000000000001</v>
      </c>
      <c r="G441" s="71">
        <f>IF(A441="COMPOSICAO",VLOOKUP("TOTAL SEM BDI - "&amp;B441,CPUAUX2!$A:$J,9,FALSE),VLOOKUP(B441,I!$A:$E,5,FALSE))</f>
        <v>27.189999999999998</v>
      </c>
      <c r="H441" s="72"/>
      <c r="I441" s="71">
        <f>TRUNC(F441*G441,2)</f>
        <v>3.15</v>
      </c>
      <c r="J441" s="72"/>
      <c r="M441" s="23">
        <f>B441</f>
        <v>88245</v>
      </c>
      <c r="N441" s="23">
        <f>SUMIF(CPU!M:M,B439,CPU!O:O)</f>
        <v>3.9955500000000006</v>
      </c>
      <c r="O441" s="23">
        <f>F441*N441</f>
        <v>0.46348380000000011</v>
      </c>
      <c r="Q441" s="23">
        <f ca="1">SUMIF(CPU!M:M,B439,CPU!R:R)</f>
        <v>1.5982200000000002</v>
      </c>
      <c r="R441" s="23">
        <f ca="1">F441*Q441</f>
        <v>0.18539352000000003</v>
      </c>
    </row>
    <row r="442" spans="1:18" ht="30" customHeight="1" x14ac:dyDescent="0.3">
      <c r="A442" s="23" t="s">
        <v>1022</v>
      </c>
      <c r="B442" s="23">
        <v>88238</v>
      </c>
      <c r="C442" s="23" t="str">
        <f>VLOOKUP(B442,IF(A442="COMPOSICAO",S!$A:$E,I!$A:$E),2,FALSE)</f>
        <v>SINAPI</v>
      </c>
      <c r="D442" s="24" t="str">
        <f>VLOOKUP(B442,IF(A442="COMPOSICAO",S!$A:$E,I!$A:$E),3,FALSE)</f>
        <v>AJUDANTE DE ARMADOR COM ENCARGOS COMPLEMENTARES</v>
      </c>
      <c r="E442" s="23" t="str">
        <f>VLOOKUP(B442,IF(A442="COMPOSICAO",S!$A:$E,I!$A:$E),4,FALSE)</f>
        <v>H</v>
      </c>
      <c r="F442" s="23">
        <f>0.044/pcf</f>
        <v>4.3999999999999997E-2</v>
      </c>
      <c r="G442" s="71">
        <f>IF(A442="COMPOSICAO",VLOOKUP("TOTAL SEM BDI - "&amp;B442,CPUAUX2!$A:$J,9,FALSE),VLOOKUP(B442,I!$A:$E,5,FALSE))</f>
        <v>22.37</v>
      </c>
      <c r="H442" s="72"/>
      <c r="I442" s="71">
        <f>TRUNC(F442*G442,2)</f>
        <v>0.98</v>
      </c>
      <c r="J442" s="72"/>
      <c r="M442" s="23">
        <f>B442</f>
        <v>88238</v>
      </c>
      <c r="N442" s="23">
        <f>SUMIF(CPU!M:M,B439,CPU!O:O)</f>
        <v>3.9955500000000006</v>
      </c>
      <c r="O442" s="23">
        <f>F442*N442</f>
        <v>0.17580420000000002</v>
      </c>
      <c r="Q442" s="23">
        <f ca="1">SUMIF(CPU!M:M,B439,CPU!R:R)</f>
        <v>1.5982200000000002</v>
      </c>
      <c r="R442" s="23">
        <f ca="1">F442*Q442</f>
        <v>7.0321680000000011E-2</v>
      </c>
    </row>
    <row r="443" spans="1:18" ht="30" customHeight="1" x14ac:dyDescent="0.3">
      <c r="A443" s="23" t="s">
        <v>1025</v>
      </c>
      <c r="B443" s="23">
        <v>43132</v>
      </c>
      <c r="C443" s="23" t="str">
        <f>VLOOKUP(B443,IF(A443="COMPOSICAO",S!$A:$E,I!$A:$E),2,FALSE)</f>
        <v>SINAPI</v>
      </c>
      <c r="D443" s="24" t="str">
        <f>VLOOKUP(B443,IF(A443="COMPOSICAO",S!$A:$E,I!$A:$E),3,FALSE)</f>
        <v>ARAME RECOZIDO 16 BWG, D = 1,65 MM (0,016 KG/M) OU 18 BWG, D = 1,25 MM (0,01 KG/M)</v>
      </c>
      <c r="E443" s="23" t="str">
        <f>VLOOKUP(B443,IF(A443="COMPOSICAO",S!$A:$E,I!$A:$E),4,FALSE)</f>
        <v>KG</v>
      </c>
      <c r="F443" s="23">
        <v>2.5000000000000001E-2</v>
      </c>
      <c r="G443" s="71">
        <f>IF(A443="COMPOSICAO",VLOOKUP("TOTAL SEM BDI - "&amp;B443,CPUAUX2!$A:$J,9,FALSE),VLOOKUP(B443,I!$A:$E,5,FALSE))</f>
        <v>21.59</v>
      </c>
      <c r="H443" s="72"/>
      <c r="I443" s="71">
        <f>TRUNC(F443*G443,2)</f>
        <v>0.53</v>
      </c>
      <c r="J443" s="72"/>
      <c r="M443" s="23">
        <f>B443</f>
        <v>43132</v>
      </c>
      <c r="N443" s="23">
        <f>SUMIF(CPU!M:M,B439,CPU!O:O)</f>
        <v>3.9955500000000006</v>
      </c>
      <c r="O443" s="23">
        <f>F443*N443</f>
        <v>9.9888750000000026E-2</v>
      </c>
      <c r="Q443" s="23">
        <f ca="1">SUMIF(CPU!M:M,B439,CPU!R:R)</f>
        <v>1.5982200000000002</v>
      </c>
      <c r="R443" s="23">
        <f ca="1">F443*Q443</f>
        <v>3.9955500000000005E-2</v>
      </c>
    </row>
    <row r="444" spans="1:18" ht="45" customHeight="1" x14ac:dyDescent="0.3">
      <c r="A444" s="23" t="s">
        <v>1025</v>
      </c>
      <c r="B444" s="23">
        <v>39017</v>
      </c>
      <c r="C444" s="23" t="str">
        <f>VLOOKUP(B444,IF(A444="COMPOSICAO",S!$A:$E,I!$A:$E),2,FALSE)</f>
        <v>SINAPI</v>
      </c>
      <c r="D444" s="24" t="str">
        <f>VLOOKUP(B444,IF(A444="COMPOSICAO",S!$A:$E,I!$A:$E),3,FALSE)</f>
        <v>ESPACADOR / DISTANCIADOR CIRCULAR COM ENTRADA LATERAL, EM PLASTICO, PARA VERGALHAO *4,2 A 12,5* MM, COBRIMENTO 20 MM</v>
      </c>
      <c r="E444" s="23" t="str">
        <f>VLOOKUP(B444,IF(A444="COMPOSICAO",S!$A:$E,I!$A:$E),4,FALSE)</f>
        <v>UN</v>
      </c>
      <c r="F444" s="23">
        <v>0.48</v>
      </c>
      <c r="G444" s="71">
        <f>IF(A444="COMPOSICAO",VLOOKUP("TOTAL SEM BDI - "&amp;B444,CPUAUX2!$A:$J,9,FALSE),VLOOKUP(B444,I!$A:$E,5,FALSE))</f>
        <v>0.22</v>
      </c>
      <c r="H444" s="72"/>
      <c r="I444" s="71">
        <f>TRUNC(F444*G444,2)</f>
        <v>0.1</v>
      </c>
      <c r="J444" s="72"/>
      <c r="M444" s="23">
        <f>B444</f>
        <v>39017</v>
      </c>
      <c r="N444" s="23">
        <f>SUMIF(CPU!M:M,B439,CPU!O:O)</f>
        <v>3.9955500000000006</v>
      </c>
      <c r="O444" s="23">
        <f>F444*N444</f>
        <v>1.9178640000000002</v>
      </c>
      <c r="Q444" s="23">
        <f ca="1">SUMIF(CPU!M:M,B439,CPU!R:R)</f>
        <v>1.5982200000000002</v>
      </c>
      <c r="R444" s="23">
        <f ca="1">F444*Q444</f>
        <v>0.76714560000000009</v>
      </c>
    </row>
    <row r="445" spans="1:18" x14ac:dyDescent="0.3">
      <c r="A445" s="68" t="str">
        <f>"TOTAL SEM BDI - "&amp;B439</f>
        <v>TOTAL SEM BDI - 96546</v>
      </c>
      <c r="B445" s="69"/>
      <c r="C445" s="69"/>
      <c r="D445" s="69"/>
      <c r="E445" s="69"/>
      <c r="F445" s="69"/>
      <c r="G445" s="69"/>
      <c r="H445" s="70"/>
      <c r="I445" s="71">
        <f>SUM(I439:I444)</f>
        <v>13.98</v>
      </c>
      <c r="J445" s="72"/>
    </row>
    <row r="447" spans="1:18" x14ac:dyDescent="0.3">
      <c r="A447" s="4" t="s">
        <v>1018</v>
      </c>
      <c r="B447" s="4" t="s">
        <v>138</v>
      </c>
      <c r="C447" s="4" t="s">
        <v>139</v>
      </c>
      <c r="D447" s="4" t="s">
        <v>21</v>
      </c>
      <c r="E447" s="4" t="s">
        <v>140</v>
      </c>
      <c r="F447" s="4" t="s">
        <v>506</v>
      </c>
      <c r="G447" s="34" t="s">
        <v>1019</v>
      </c>
      <c r="H447" s="35"/>
      <c r="I447" s="34" t="s">
        <v>15</v>
      </c>
      <c r="J447" s="35"/>
    </row>
    <row r="448" spans="1:18" ht="45" customHeight="1" x14ac:dyDescent="0.3">
      <c r="A448" s="15" t="s">
        <v>1102</v>
      </c>
      <c r="B448" s="15">
        <v>104920</v>
      </c>
      <c r="C448" s="15" t="str">
        <f>VLOOKUP(B448,S!$A:$G,2,FALSE)</f>
        <v>SINAPI</v>
      </c>
      <c r="D448" s="22" t="str">
        <f>VLOOKUP(B448,S!$A:$G,3,FALSE)</f>
        <v>ARMAÇÃO DE BLOCO, SAPATA ISOLADA, VIGA BALDRAME E SAPATA CORRIDA UTILIZANDO AÇO CA-50 DE 12,5 MM - MONTAGEM. AF_01/2024</v>
      </c>
      <c r="E448" s="15" t="str">
        <f>VLOOKUP(B448,S!$A:$G,4,FALSE)</f>
        <v>KG</v>
      </c>
      <c r="F448" s="15"/>
      <c r="G448" s="73">
        <f>I454</f>
        <v>10.790000000000001</v>
      </c>
      <c r="H448" s="74"/>
      <c r="I448" s="73"/>
      <c r="J448" s="74"/>
      <c r="K448" s="16">
        <f>VLOOKUP(B448,S!A:G,5,FALSE)</f>
        <v>10.79</v>
      </c>
      <c r="L448" s="15" t="str">
        <f>IF(K448=G448,"OK, CONFORME TABELA",IF(G448&gt;K448,"ACIMA DA TABELA: ","ABAIXO DA TABELA: ")&amp;TRUNC((G448*100)/K448,2)&amp;" %")</f>
        <v>OK, CONFORME TABELA</v>
      </c>
    </row>
    <row r="449" spans="1:18" ht="30" customHeight="1" x14ac:dyDescent="0.3">
      <c r="A449" s="23" t="s">
        <v>1022</v>
      </c>
      <c r="B449" s="23">
        <v>92804</v>
      </c>
      <c r="C449" s="23" t="str">
        <f>VLOOKUP(B449,IF(A449="COMPOSICAO",S!$A:$E,I!$A:$E),2,FALSE)</f>
        <v>SINAPI</v>
      </c>
      <c r="D449" s="24" t="str">
        <f>VLOOKUP(B449,IF(A449="COMPOSICAO",S!$A:$E,I!$A:$E),3,FALSE)</f>
        <v>CORTE E DOBRA DE AÇO CA-50, DIÂMETRO DE 12,5 MM. AF_06/2022</v>
      </c>
      <c r="E449" s="23" t="str">
        <f>VLOOKUP(B449,IF(A449="COMPOSICAO",S!$A:$E,I!$A:$E),4,FALSE)</f>
        <v>KG</v>
      </c>
      <c r="F449" s="23">
        <v>1</v>
      </c>
      <c r="G449" s="71">
        <f>IF(A449="COMPOSICAO",VLOOKUP("TOTAL SEM BDI - "&amp;B449,CPUAUX2!$A:$J,9,FALSE),VLOOKUP(B449,I!$A:$E,5,FALSE))</f>
        <v>7.9099999999999993</v>
      </c>
      <c r="H449" s="72"/>
      <c r="I449" s="71">
        <f>TRUNC(F449*G449,2)</f>
        <v>7.91</v>
      </c>
      <c r="J449" s="72"/>
      <c r="M449" s="23">
        <f>B449</f>
        <v>92804</v>
      </c>
      <c r="N449" s="23">
        <f>SUMIF(CPU!M:M,B448,CPU!O:O)</f>
        <v>2.1909000000000001</v>
      </c>
      <c r="O449" s="23">
        <f>F449*N449</f>
        <v>2.1909000000000001</v>
      </c>
      <c r="Q449" s="23">
        <f ca="1">SUMIF(CPU!M:M,B448,CPU!R:R)</f>
        <v>0.87636000000000003</v>
      </c>
      <c r="R449" s="23">
        <f ca="1">F449*Q449</f>
        <v>0.87636000000000003</v>
      </c>
    </row>
    <row r="450" spans="1:18" x14ac:dyDescent="0.3">
      <c r="A450" s="23" t="s">
        <v>1022</v>
      </c>
      <c r="B450" s="23">
        <v>88245</v>
      </c>
      <c r="C450" s="23" t="str">
        <f>VLOOKUP(B450,IF(A450="COMPOSICAO",S!$A:$E,I!$A:$E),2,FALSE)</f>
        <v>SINAPI</v>
      </c>
      <c r="D450" s="24" t="str">
        <f>VLOOKUP(B450,IF(A450="COMPOSICAO",S!$A:$E,I!$A:$E),3,FALSE)</f>
        <v>ARMADOR COM ENCARGOS COMPLEMENTARES</v>
      </c>
      <c r="E450" s="23" t="str">
        <f>VLOOKUP(B450,IF(A450="COMPOSICAO",S!$A:$E,I!$A:$E),4,FALSE)</f>
        <v>H</v>
      </c>
      <c r="F450" s="23">
        <f>0.064/pcf</f>
        <v>6.4000000000000001E-2</v>
      </c>
      <c r="G450" s="71">
        <f>IF(A450="COMPOSICAO",VLOOKUP("TOTAL SEM BDI - "&amp;B450,CPUAUX2!$A:$J,9,FALSE),VLOOKUP(B450,I!$A:$E,5,FALSE))</f>
        <v>27.189999999999998</v>
      </c>
      <c r="H450" s="72"/>
      <c r="I450" s="71">
        <f>TRUNC(F450*G450,2)</f>
        <v>1.74</v>
      </c>
      <c r="J450" s="72"/>
      <c r="M450" s="23">
        <f>B450</f>
        <v>88245</v>
      </c>
      <c r="N450" s="23">
        <f>SUMIF(CPU!M:M,B448,CPU!O:O)</f>
        <v>2.1909000000000001</v>
      </c>
      <c r="O450" s="23">
        <f>F450*N450</f>
        <v>0.1402176</v>
      </c>
      <c r="Q450" s="23">
        <f ca="1">SUMIF(CPU!M:M,B448,CPU!R:R)</f>
        <v>0.87636000000000003</v>
      </c>
      <c r="R450" s="23">
        <f ca="1">F450*Q450</f>
        <v>5.6087040000000005E-2</v>
      </c>
    </row>
    <row r="451" spans="1:18" ht="30" customHeight="1" x14ac:dyDescent="0.3">
      <c r="A451" s="23" t="s">
        <v>1022</v>
      </c>
      <c r="B451" s="23">
        <v>88238</v>
      </c>
      <c r="C451" s="23" t="str">
        <f>VLOOKUP(B451,IF(A451="COMPOSICAO",S!$A:$E,I!$A:$E),2,FALSE)</f>
        <v>SINAPI</v>
      </c>
      <c r="D451" s="24" t="str">
        <f>VLOOKUP(B451,IF(A451="COMPOSICAO",S!$A:$E,I!$A:$E),3,FALSE)</f>
        <v>AJUDANTE DE ARMADOR COM ENCARGOS COMPLEMENTARES</v>
      </c>
      <c r="E451" s="23" t="str">
        <f>VLOOKUP(B451,IF(A451="COMPOSICAO",S!$A:$E,I!$A:$E),4,FALSE)</f>
        <v>H</v>
      </c>
      <c r="F451" s="23">
        <f>0.025/pcf</f>
        <v>2.5000000000000001E-2</v>
      </c>
      <c r="G451" s="71">
        <f>IF(A451="COMPOSICAO",VLOOKUP("TOTAL SEM BDI - "&amp;B451,CPUAUX2!$A:$J,9,FALSE),VLOOKUP(B451,I!$A:$E,5,FALSE))</f>
        <v>22.37</v>
      </c>
      <c r="H451" s="72"/>
      <c r="I451" s="71">
        <f>TRUNC(F451*G451,2)</f>
        <v>0.55000000000000004</v>
      </c>
      <c r="J451" s="72"/>
      <c r="M451" s="23">
        <f>B451</f>
        <v>88238</v>
      </c>
      <c r="N451" s="23">
        <f>SUMIF(CPU!M:M,B448,CPU!O:O)</f>
        <v>2.1909000000000001</v>
      </c>
      <c r="O451" s="23">
        <f>F451*N451</f>
        <v>5.4772500000000002E-2</v>
      </c>
      <c r="Q451" s="23">
        <f ca="1">SUMIF(CPU!M:M,B448,CPU!R:R)</f>
        <v>0.87636000000000003</v>
      </c>
      <c r="R451" s="23">
        <f ca="1">F451*Q451</f>
        <v>2.1909000000000001E-2</v>
      </c>
    </row>
    <row r="452" spans="1:18" ht="30" customHeight="1" x14ac:dyDescent="0.3">
      <c r="A452" s="23" t="s">
        <v>1025</v>
      </c>
      <c r="B452" s="23">
        <v>43132</v>
      </c>
      <c r="C452" s="23" t="str">
        <f>VLOOKUP(B452,IF(A452="COMPOSICAO",S!$A:$E,I!$A:$E),2,FALSE)</f>
        <v>SINAPI</v>
      </c>
      <c r="D452" s="24" t="str">
        <f>VLOOKUP(B452,IF(A452="COMPOSICAO",S!$A:$E,I!$A:$E),3,FALSE)</f>
        <v>ARAME RECOZIDO 16 BWG, D = 1,65 MM (0,016 KG/M) OU 18 BWG, D = 1,25 MM (0,01 KG/M)</v>
      </c>
      <c r="E452" s="23" t="str">
        <f>VLOOKUP(B452,IF(A452="COMPOSICAO",S!$A:$E,I!$A:$E),4,FALSE)</f>
        <v>KG</v>
      </c>
      <c r="F452" s="23">
        <v>2.5000000000000001E-2</v>
      </c>
      <c r="G452" s="71">
        <f>IF(A452="COMPOSICAO",VLOOKUP("TOTAL SEM BDI - "&amp;B452,CPUAUX2!$A:$J,9,FALSE),VLOOKUP(B452,I!$A:$E,5,FALSE))</f>
        <v>21.59</v>
      </c>
      <c r="H452" s="72"/>
      <c r="I452" s="71">
        <f>TRUNC(F452*G452,2)</f>
        <v>0.53</v>
      </c>
      <c r="J452" s="72"/>
      <c r="M452" s="23">
        <f>B452</f>
        <v>43132</v>
      </c>
      <c r="N452" s="23">
        <f>SUMIF(CPU!M:M,B448,CPU!O:O)</f>
        <v>2.1909000000000001</v>
      </c>
      <c r="O452" s="23">
        <f>F452*N452</f>
        <v>5.4772500000000002E-2</v>
      </c>
      <c r="Q452" s="23">
        <f ca="1">SUMIF(CPU!M:M,B448,CPU!R:R)</f>
        <v>0.87636000000000003</v>
      </c>
      <c r="R452" s="23">
        <f ca="1">F452*Q452</f>
        <v>2.1909000000000001E-2</v>
      </c>
    </row>
    <row r="453" spans="1:18" ht="45" customHeight="1" x14ac:dyDescent="0.3">
      <c r="A453" s="23" t="s">
        <v>1025</v>
      </c>
      <c r="B453" s="23">
        <v>39017</v>
      </c>
      <c r="C453" s="23" t="str">
        <f>VLOOKUP(B453,IF(A453="COMPOSICAO",S!$A:$E,I!$A:$E),2,FALSE)</f>
        <v>SINAPI</v>
      </c>
      <c r="D453" s="24" t="str">
        <f>VLOOKUP(B453,IF(A453="COMPOSICAO",S!$A:$E,I!$A:$E),3,FALSE)</f>
        <v>ESPACADOR / DISTANCIADOR CIRCULAR COM ENTRADA LATERAL, EM PLASTICO, PARA VERGALHAO *4,2 A 12,5* MM, COBRIMENTO 20 MM</v>
      </c>
      <c r="E453" s="23" t="str">
        <f>VLOOKUP(B453,IF(A453="COMPOSICAO",S!$A:$E,I!$A:$E),4,FALSE)</f>
        <v>UN</v>
      </c>
      <c r="F453" s="23">
        <v>0.317</v>
      </c>
      <c r="G453" s="71">
        <f>IF(A453="COMPOSICAO",VLOOKUP("TOTAL SEM BDI - "&amp;B453,CPUAUX2!$A:$J,9,FALSE),VLOOKUP(B453,I!$A:$E,5,FALSE))</f>
        <v>0.22</v>
      </c>
      <c r="H453" s="72"/>
      <c r="I453" s="71">
        <f>TRUNC(F453*G453,2)</f>
        <v>0.06</v>
      </c>
      <c r="J453" s="72"/>
      <c r="M453" s="23">
        <f>B453</f>
        <v>39017</v>
      </c>
      <c r="N453" s="23">
        <f>SUMIF(CPU!M:M,B448,CPU!O:O)</f>
        <v>2.1909000000000001</v>
      </c>
      <c r="O453" s="23">
        <f>F453*N453</f>
        <v>0.69451530000000006</v>
      </c>
      <c r="Q453" s="23">
        <f ca="1">SUMIF(CPU!M:M,B448,CPU!R:R)</f>
        <v>0.87636000000000003</v>
      </c>
      <c r="R453" s="23">
        <f ca="1">F453*Q453</f>
        <v>0.27780611999999999</v>
      </c>
    </row>
    <row r="454" spans="1:18" x14ac:dyDescent="0.3">
      <c r="A454" s="68" t="str">
        <f>"TOTAL SEM BDI - "&amp;B448</f>
        <v>TOTAL SEM BDI - 104920</v>
      </c>
      <c r="B454" s="69"/>
      <c r="C454" s="69"/>
      <c r="D454" s="69"/>
      <c r="E454" s="69"/>
      <c r="F454" s="69"/>
      <c r="G454" s="69"/>
      <c r="H454" s="70"/>
      <c r="I454" s="71">
        <f>SUM(I448:I453)</f>
        <v>10.790000000000001</v>
      </c>
      <c r="J454" s="72"/>
    </row>
    <row r="456" spans="1:18" x14ac:dyDescent="0.3">
      <c r="A456" s="4" t="s">
        <v>1018</v>
      </c>
      <c r="B456" s="4" t="s">
        <v>138</v>
      </c>
      <c r="C456" s="4" t="s">
        <v>139</v>
      </c>
      <c r="D456" s="4" t="s">
        <v>21</v>
      </c>
      <c r="E456" s="4" t="s">
        <v>140</v>
      </c>
      <c r="F456" s="4" t="s">
        <v>506</v>
      </c>
      <c r="G456" s="34" t="s">
        <v>1019</v>
      </c>
      <c r="H456" s="35"/>
      <c r="I456" s="34" t="s">
        <v>15</v>
      </c>
      <c r="J456" s="35"/>
    </row>
    <row r="457" spans="1:18" ht="45" customHeight="1" x14ac:dyDescent="0.3">
      <c r="A457" s="15" t="s">
        <v>1094</v>
      </c>
      <c r="B457" s="15">
        <v>100489</v>
      </c>
      <c r="C457" s="15" t="str">
        <f>VLOOKUP(B457,S!$A:$G,2,FALSE)</f>
        <v>SINAPI</v>
      </c>
      <c r="D457" s="22" t="str">
        <f>VLOOKUP(B457,S!$A:$G,3,FALSE)</f>
        <v>ARGAMASSA TRAÇO 1:3 (EM VOLUME DE CIMENTO E AREIA MÉDIA ÚMIDA), PREPARO MECÂNICO COM BETONEIRA 600 L. AF_08/2019</v>
      </c>
      <c r="E457" s="15" t="str">
        <f>VLOOKUP(B457,S!$A:$G,4,FALSE)</f>
        <v>M3</v>
      </c>
      <c r="F457" s="15"/>
      <c r="G457" s="73">
        <f>I464</f>
        <v>675.34</v>
      </c>
      <c r="H457" s="74"/>
      <c r="I457" s="73"/>
      <c r="J457" s="74"/>
      <c r="K457" s="16">
        <f>VLOOKUP(B457,S!A:G,5,FALSE)</f>
        <v>675.34</v>
      </c>
      <c r="L457" s="15" t="str">
        <f>IF(K457=G457,"OK, CONFORME TABELA",IF(G457&gt;K457,"ACIMA DA TABELA: ","ABAIXO DA TABELA: ")&amp;TRUNC((G457*100)/K457,2)&amp;" %")</f>
        <v>OK, CONFORME TABELA</v>
      </c>
    </row>
    <row r="458" spans="1:18" ht="60" customHeight="1" x14ac:dyDescent="0.3">
      <c r="A458" s="23" t="s">
        <v>1022</v>
      </c>
      <c r="B458" s="23">
        <v>89226</v>
      </c>
      <c r="C458" s="23" t="str">
        <f>VLOOKUP(B458,IF(A458="COMPOSICAO",S!$A:$E,I!$A:$E),2,FALSE)</f>
        <v>SINAPI</v>
      </c>
      <c r="D458" s="24" t="str">
        <f>VLOOKUP(B458,IF(A458="COMPOSICAO",S!$A:$E,I!$A:$E),3,FALSE)</f>
        <v>BETONEIRA CAPACIDADE NOMINAL DE 600 L, CAPACIDADE DE MISTURA 360 L, MOTOR ELÉTRICO TRIFÁSICO POTÊNCIA DE 4 CV, SEM CARREGADOR - CHI DIURNO. AF_05/2023</v>
      </c>
      <c r="E458" s="23" t="str">
        <f>VLOOKUP(B458,IF(A458="COMPOSICAO",S!$A:$E,I!$A:$E),4,FALSE)</f>
        <v>CHI</v>
      </c>
      <c r="F458" s="23">
        <v>1.87</v>
      </c>
      <c r="G458" s="71">
        <f>IF(A458="COMPOSICAO",VLOOKUP("TOTAL SEM BDI - "&amp;B458,CPUAUX2!$A:$J,9,FALSE),VLOOKUP(B458,I!$A:$E,5,FALSE))</f>
        <v>2.0499999999999998</v>
      </c>
      <c r="H458" s="72"/>
      <c r="I458" s="71">
        <f t="shared" ref="I458:I463" si="100">TRUNC(F458*G458,2)</f>
        <v>3.83</v>
      </c>
      <c r="J458" s="72"/>
      <c r="M458" s="23">
        <f t="shared" ref="M458:M463" si="101">B458</f>
        <v>89226</v>
      </c>
      <c r="N458" s="23">
        <f>SUMIF(CPU!M:M,B457,CPU!O:O)</f>
        <v>7.4999999999999997E-2</v>
      </c>
      <c r="O458" s="23">
        <f t="shared" ref="O458:O463" si="102">F458*N458</f>
        <v>0.14025000000000001</v>
      </c>
      <c r="Q458" s="23">
        <f ca="1">SUMIF(CPU!M:M,B457,CPU!R:R)</f>
        <v>0.03</v>
      </c>
      <c r="R458" s="23">
        <f t="shared" ref="R458:R463" ca="1" si="103">F458*Q458</f>
        <v>5.6100000000000004E-2</v>
      </c>
    </row>
    <row r="459" spans="1:18" ht="60" customHeight="1" x14ac:dyDescent="0.3">
      <c r="A459" s="23" t="s">
        <v>1022</v>
      </c>
      <c r="B459" s="23">
        <v>89225</v>
      </c>
      <c r="C459" s="23" t="str">
        <f>VLOOKUP(B459,IF(A459="COMPOSICAO",S!$A:$E,I!$A:$E),2,FALSE)</f>
        <v>SINAPI</v>
      </c>
      <c r="D459" s="24" t="str">
        <f>VLOOKUP(B459,IF(A459="COMPOSICAO",S!$A:$E,I!$A:$E),3,FALSE)</f>
        <v>BETONEIRA CAPACIDADE NOMINAL DE 600 L, CAPACIDADE DE MISTURA 360 L, MOTOR ELÉTRICO TRIFÁSICO POTÊNCIA DE 4 CV, SEM CARREGADOR - CHP DIURNO. AF_05/2023</v>
      </c>
      <c r="E459" s="23" t="str">
        <f>VLOOKUP(B459,IF(A459="COMPOSICAO",S!$A:$E,I!$A:$E),4,FALSE)</f>
        <v>CHP</v>
      </c>
      <c r="F459" s="23">
        <v>0.56999999999999995</v>
      </c>
      <c r="G459" s="71">
        <f>IF(A459="COMPOSICAO",VLOOKUP("TOTAL SEM BDI - "&amp;B459,CPUAUX2!$A:$J,9,FALSE),VLOOKUP(B459,I!$A:$E,5,FALSE))</f>
        <v>6.63</v>
      </c>
      <c r="H459" s="72"/>
      <c r="I459" s="71">
        <f t="shared" si="100"/>
        <v>3.77</v>
      </c>
      <c r="J459" s="72"/>
      <c r="M459" s="23">
        <f t="shared" si="101"/>
        <v>89225</v>
      </c>
      <c r="N459" s="23">
        <f>SUMIF(CPU!M:M,B457,CPU!O:O)</f>
        <v>7.4999999999999997E-2</v>
      </c>
      <c r="O459" s="23">
        <f t="shared" si="102"/>
        <v>4.2749999999999996E-2</v>
      </c>
      <c r="Q459" s="23">
        <f ca="1">SUMIF(CPU!M:M,B457,CPU!R:R)</f>
        <v>0.03</v>
      </c>
      <c r="R459" s="23">
        <f t="shared" ca="1" si="103"/>
        <v>1.7099999999999997E-2</v>
      </c>
    </row>
    <row r="460" spans="1:18" ht="30" customHeight="1" x14ac:dyDescent="0.3">
      <c r="A460" s="23" t="s">
        <v>1022</v>
      </c>
      <c r="B460" s="23">
        <v>88377</v>
      </c>
      <c r="C460" s="23" t="str">
        <f>VLOOKUP(B460,IF(A460="COMPOSICAO",S!$A:$E,I!$A:$E),2,FALSE)</f>
        <v>SINAPI</v>
      </c>
      <c r="D460" s="24" t="str">
        <f>VLOOKUP(B460,IF(A460="COMPOSICAO",S!$A:$E,I!$A:$E),3,FALSE)</f>
        <v>OPERADOR DE BETONEIRA ESTACIONÁRIA/MISTURADOR COM ENCARGOS COMPLEMENTARES</v>
      </c>
      <c r="E460" s="23" t="str">
        <f>VLOOKUP(B460,IF(A460="COMPOSICAO",S!$A:$E,I!$A:$E),4,FALSE)</f>
        <v>H</v>
      </c>
      <c r="F460" s="23">
        <f>2.44/pcf</f>
        <v>2.44</v>
      </c>
      <c r="G460" s="71">
        <f>IF(A460="COMPOSICAO",VLOOKUP("TOTAL SEM BDI - "&amp;B460,CPUAUX2!$A:$J,9,FALSE),VLOOKUP(B460,I!$A:$E,5,FALSE))</f>
        <v>27.09</v>
      </c>
      <c r="H460" s="72"/>
      <c r="I460" s="71">
        <f t="shared" si="100"/>
        <v>66.09</v>
      </c>
      <c r="J460" s="72"/>
      <c r="M460" s="23">
        <f t="shared" si="101"/>
        <v>88377</v>
      </c>
      <c r="N460" s="23">
        <f>SUMIF(CPU!M:M,B457,CPU!O:O)</f>
        <v>7.4999999999999997E-2</v>
      </c>
      <c r="O460" s="23">
        <f t="shared" si="102"/>
        <v>0.183</v>
      </c>
      <c r="Q460" s="23">
        <f ca="1">SUMIF(CPU!M:M,B457,CPU!R:R)</f>
        <v>0.03</v>
      </c>
      <c r="R460" s="23">
        <f t="shared" ca="1" si="103"/>
        <v>7.3200000000000001E-2</v>
      </c>
    </row>
    <row r="461" spans="1:18" x14ac:dyDescent="0.3">
      <c r="A461" s="23" t="s">
        <v>1022</v>
      </c>
      <c r="B461" s="23">
        <v>88316</v>
      </c>
      <c r="C461" s="23" t="str">
        <f>VLOOKUP(B461,IF(A461="COMPOSICAO",S!$A:$E,I!$A:$E),2,FALSE)</f>
        <v>SINAPI</v>
      </c>
      <c r="D461" s="24" t="str">
        <f>VLOOKUP(B461,IF(A461="COMPOSICAO",S!$A:$E,I!$A:$E),3,FALSE)</f>
        <v>SERVENTE COM ENCARGOS COMPLEMENTARES</v>
      </c>
      <c r="E461" s="23" t="str">
        <f>VLOOKUP(B461,IF(A461="COMPOSICAO",S!$A:$E,I!$A:$E),4,FALSE)</f>
        <v>H</v>
      </c>
      <c r="F461" s="23">
        <f>0.75/pcf</f>
        <v>0.75</v>
      </c>
      <c r="G461" s="71">
        <f>IF(A461="COMPOSICAO",VLOOKUP("TOTAL SEM BDI - "&amp;B461,CPUAUX2!$A:$J,9,FALSE),VLOOKUP(B461,I!$A:$E,5,FALSE))</f>
        <v>21.71</v>
      </c>
      <c r="H461" s="72"/>
      <c r="I461" s="71">
        <f t="shared" si="100"/>
        <v>16.28</v>
      </c>
      <c r="J461" s="72"/>
      <c r="M461" s="23">
        <f t="shared" si="101"/>
        <v>88316</v>
      </c>
      <c r="N461" s="23">
        <f>SUMIF(CPU!M:M,B457,CPU!O:O)</f>
        <v>7.4999999999999997E-2</v>
      </c>
      <c r="O461" s="23">
        <f t="shared" si="102"/>
        <v>5.6249999999999994E-2</v>
      </c>
      <c r="Q461" s="23">
        <f ca="1">SUMIF(CPU!M:M,B457,CPU!R:R)</f>
        <v>0.03</v>
      </c>
      <c r="R461" s="23">
        <f t="shared" ca="1" si="103"/>
        <v>2.2499999999999999E-2</v>
      </c>
    </row>
    <row r="462" spans="1:18" x14ac:dyDescent="0.3">
      <c r="A462" s="23" t="s">
        <v>1025</v>
      </c>
      <c r="B462" s="23">
        <v>1379</v>
      </c>
      <c r="C462" s="23" t="str">
        <f>VLOOKUP(B462,IF(A462="COMPOSICAO",S!$A:$E,I!$A:$E),2,FALSE)</f>
        <v>SINAPI</v>
      </c>
      <c r="D462" s="24" t="str">
        <f>VLOOKUP(B462,IF(A462="COMPOSICAO",S!$A:$E,I!$A:$E),3,FALSE)</f>
        <v>CIMENTO PORTLAND COMPOSTO CP II-32</v>
      </c>
      <c r="E462" s="23" t="str">
        <f>VLOOKUP(B462,IF(A462="COMPOSICAO",S!$A:$E,I!$A:$E),4,FALSE)</f>
        <v>KG</v>
      </c>
      <c r="F462" s="23">
        <v>483.72</v>
      </c>
      <c r="G462" s="71">
        <f>IF(A462="COMPOSICAO",VLOOKUP("TOTAL SEM BDI - "&amp;B462,CPUAUX2!$A:$J,9,FALSE),VLOOKUP(B462,I!$A:$E,5,FALSE))</f>
        <v>1</v>
      </c>
      <c r="H462" s="72"/>
      <c r="I462" s="71">
        <f t="shared" si="100"/>
        <v>483.72</v>
      </c>
      <c r="J462" s="72"/>
      <c r="M462" s="23">
        <f t="shared" si="101"/>
        <v>1379</v>
      </c>
      <c r="N462" s="23">
        <f>SUMIF(CPU!M:M,B457,CPU!O:O)</f>
        <v>7.4999999999999997E-2</v>
      </c>
      <c r="O462" s="23">
        <f t="shared" si="102"/>
        <v>36.279000000000003</v>
      </c>
      <c r="Q462" s="23">
        <f ca="1">SUMIF(CPU!M:M,B457,CPU!R:R)</f>
        <v>0.03</v>
      </c>
      <c r="R462" s="23">
        <f t="shared" ca="1" si="103"/>
        <v>14.5116</v>
      </c>
    </row>
    <row r="463" spans="1:18" ht="30" customHeight="1" x14ac:dyDescent="0.3">
      <c r="A463" s="23" t="s">
        <v>1025</v>
      </c>
      <c r="B463" s="23">
        <v>370</v>
      </c>
      <c r="C463" s="23" t="str">
        <f>VLOOKUP(B463,IF(A463="COMPOSICAO",S!$A:$E,I!$A:$E),2,FALSE)</f>
        <v>SINAPI</v>
      </c>
      <c r="D463" s="24" t="str">
        <f>VLOOKUP(B463,IF(A463="COMPOSICAO",S!$A:$E,I!$A:$E),3,FALSE)</f>
        <v>AREIA MEDIA - POSTO JAZIDA/FORNECEDOR (RETIRADO NA JAZIDA, SEM TRANSPORTE)</v>
      </c>
      <c r="E463" s="23" t="str">
        <f>VLOOKUP(B463,IF(A463="COMPOSICAO",S!$A:$E,I!$A:$E),4,FALSE)</f>
        <v>M3</v>
      </c>
      <c r="F463" s="23">
        <v>1.07</v>
      </c>
      <c r="G463" s="71">
        <f>IF(A463="COMPOSICAO",VLOOKUP("TOTAL SEM BDI - "&amp;B463,CPUAUX2!$A:$J,9,FALSE),VLOOKUP(B463,I!$A:$E,5,FALSE))</f>
        <v>95</v>
      </c>
      <c r="H463" s="72"/>
      <c r="I463" s="71">
        <f t="shared" si="100"/>
        <v>101.65</v>
      </c>
      <c r="J463" s="72"/>
      <c r="M463" s="23">
        <f t="shared" si="101"/>
        <v>370</v>
      </c>
      <c r="N463" s="23">
        <f>SUMIF(CPU!M:M,B457,CPU!O:O)</f>
        <v>7.4999999999999997E-2</v>
      </c>
      <c r="O463" s="23">
        <f t="shared" si="102"/>
        <v>8.0250000000000002E-2</v>
      </c>
      <c r="Q463" s="23">
        <f ca="1">SUMIF(CPU!M:M,B457,CPU!R:R)</f>
        <v>0.03</v>
      </c>
      <c r="R463" s="23">
        <f t="shared" ca="1" si="103"/>
        <v>3.2100000000000004E-2</v>
      </c>
    </row>
    <row r="464" spans="1:18" x14ac:dyDescent="0.3">
      <c r="A464" s="68" t="str">
        <f>"TOTAL SEM BDI - "&amp;B457</f>
        <v>TOTAL SEM BDI - 100489</v>
      </c>
      <c r="B464" s="69"/>
      <c r="C464" s="69"/>
      <c r="D464" s="69"/>
      <c r="E464" s="69"/>
      <c r="F464" s="69"/>
      <c r="G464" s="69"/>
      <c r="H464" s="70"/>
      <c r="I464" s="71">
        <f>SUM(I457:I463)</f>
        <v>675.34</v>
      </c>
      <c r="J464" s="72"/>
    </row>
    <row r="466" spans="1:18" x14ac:dyDescent="0.3">
      <c r="A466" s="4" t="s">
        <v>1018</v>
      </c>
      <c r="B466" s="4" t="s">
        <v>138</v>
      </c>
      <c r="C466" s="4" t="s">
        <v>139</v>
      </c>
      <c r="D466" s="4" t="s">
        <v>21</v>
      </c>
      <c r="E466" s="4" t="s">
        <v>140</v>
      </c>
      <c r="F466" s="4" t="s">
        <v>506</v>
      </c>
      <c r="G466" s="34" t="s">
        <v>1019</v>
      </c>
      <c r="H466" s="35"/>
      <c r="I466" s="34" t="s">
        <v>15</v>
      </c>
      <c r="J466" s="35"/>
    </row>
    <row r="467" spans="1:18" x14ac:dyDescent="0.3">
      <c r="A467" s="15" t="s">
        <v>1093</v>
      </c>
      <c r="B467" s="15">
        <v>88323</v>
      </c>
      <c r="C467" s="15" t="str">
        <f>VLOOKUP(B467,S!$A:$G,2,FALSE)</f>
        <v>SINAPI</v>
      </c>
      <c r="D467" s="22" t="str">
        <f>VLOOKUP(B467,S!$A:$G,3,FALSE)</f>
        <v>TELHADISTA COM ENCARGOS COMPLEMENTARES</v>
      </c>
      <c r="E467" s="15" t="str">
        <f>VLOOKUP(B467,S!$A:$G,4,FALSE)</f>
        <v>H</v>
      </c>
      <c r="F467" s="15"/>
      <c r="G467" s="73">
        <f>I476</f>
        <v>26.71</v>
      </c>
      <c r="H467" s="74"/>
      <c r="I467" s="73"/>
      <c r="J467" s="74"/>
      <c r="K467" s="16">
        <f>VLOOKUP(B467,S!A:G,5,FALSE)</f>
        <v>26.71</v>
      </c>
      <c r="L467" s="15" t="str">
        <f>IF(K467=G467,"OK, CONFORME TABELA",IF(G467&gt;K467,"ACIMA DA TABELA: ","ABAIXO DA TABELA: ")&amp;TRUNC((G467*100)/K467,2)&amp;" %")</f>
        <v>OK, CONFORME TABELA</v>
      </c>
    </row>
    <row r="468" spans="1:18" ht="30" customHeight="1" x14ac:dyDescent="0.3">
      <c r="A468" s="23" t="s">
        <v>1022</v>
      </c>
      <c r="B468" s="23">
        <v>95385</v>
      </c>
      <c r="C468" s="23" t="str">
        <f>VLOOKUP(B468,IF(A468="COMPOSICAO",S!$A:$E,I!$A:$E),2,FALSE)</f>
        <v>SINAPI</v>
      </c>
      <c r="D468" s="24" t="str">
        <f>VLOOKUP(B468,IF(A468="COMPOSICAO",S!$A:$E,I!$A:$E),3,FALSE)</f>
        <v>CURSO DE CAPACITAÇÃO PARA TELHADISTA (ENCARGOS COMPLEMENTARES) - HORISTA</v>
      </c>
      <c r="E468" s="23" t="str">
        <f>VLOOKUP(B468,IF(A468="COMPOSICAO",S!$A:$E,I!$A:$E),4,FALSE)</f>
        <v>H</v>
      </c>
      <c r="F468" s="23">
        <v>1</v>
      </c>
      <c r="G468" s="71">
        <f>IF(A468="COMPOSICAO",VLOOKUP("TOTAL SEM BDI - "&amp;B468,CPUAUX2!$A:$J,9,FALSE),VLOOKUP(B468,I!$A:$E,5,FALSE))</f>
        <v>0.23</v>
      </c>
      <c r="H468" s="72"/>
      <c r="I468" s="71">
        <f t="shared" ref="I468:I475" si="104">TRUNC(F468*G468,2)</f>
        <v>0.23</v>
      </c>
      <c r="J468" s="72"/>
      <c r="M468" s="23">
        <f t="shared" ref="M468:M475" si="105">B468</f>
        <v>95385</v>
      </c>
      <c r="N468" s="23">
        <f>SUMIF(CPU!M:M,B467,CPU!O:O)</f>
        <v>6.8029500000000009</v>
      </c>
      <c r="O468" s="23">
        <f t="shared" ref="O468:O475" si="106">F468*N468</f>
        <v>6.8029500000000009</v>
      </c>
      <c r="Q468" s="23">
        <f ca="1">SUMIF(CPU!M:M,B467,CPU!R:R)</f>
        <v>2.7211800000000004</v>
      </c>
      <c r="R468" s="23">
        <f t="shared" ref="R468:R475" ca="1" si="107">F468*Q468</f>
        <v>2.7211800000000004</v>
      </c>
    </row>
    <row r="469" spans="1:18" ht="30" customHeight="1" x14ac:dyDescent="0.3">
      <c r="A469" s="23" t="s">
        <v>1025</v>
      </c>
      <c r="B469" s="23">
        <v>43483</v>
      </c>
      <c r="C469" s="23" t="str">
        <f>VLOOKUP(B469,IF(A469="COMPOSICAO",S!$A:$E,I!$A:$E),2,FALSE)</f>
        <v>SINAPI</v>
      </c>
      <c r="D469" s="24" t="str">
        <f>VLOOKUP(B469,IF(A469="COMPOSICAO",S!$A:$E,I!$A:$E),3,FALSE)</f>
        <v>EPI - FAMILIA CARPINTEIRO DE FORMAS - HORISTA (ENCARGOS COMPLEMENTARES - COLETADO CAIXA)</v>
      </c>
      <c r="E469" s="23" t="str">
        <f>VLOOKUP(B469,IF(A469="COMPOSICAO",S!$A:$E,I!$A:$E),4,FALSE)</f>
        <v>H</v>
      </c>
      <c r="F469" s="23">
        <v>1</v>
      </c>
      <c r="G469" s="71">
        <f>IF(A469="COMPOSICAO",VLOOKUP("TOTAL SEM BDI - "&amp;B469,CPUAUX2!$A:$J,9,FALSE),VLOOKUP(B469,I!$A:$E,5,FALSE))</f>
        <v>1.43</v>
      </c>
      <c r="H469" s="72"/>
      <c r="I469" s="71">
        <f t="shared" si="104"/>
        <v>1.43</v>
      </c>
      <c r="J469" s="72"/>
      <c r="M469" s="23">
        <f t="shared" si="105"/>
        <v>43483</v>
      </c>
      <c r="N469" s="23">
        <f>SUMIF(CPU!M:M,B467,CPU!O:O)</f>
        <v>6.8029500000000009</v>
      </c>
      <c r="O469" s="23">
        <f t="shared" si="106"/>
        <v>6.8029500000000009</v>
      </c>
      <c r="Q469" s="23">
        <f ca="1">SUMIF(CPU!M:M,B467,CPU!R:R)</f>
        <v>2.7211800000000004</v>
      </c>
      <c r="R469" s="23">
        <f t="shared" ca="1" si="107"/>
        <v>2.7211800000000004</v>
      </c>
    </row>
    <row r="470" spans="1:18" ht="45" customHeight="1" x14ac:dyDescent="0.3">
      <c r="A470" s="23" t="s">
        <v>1025</v>
      </c>
      <c r="B470" s="23">
        <v>43459</v>
      </c>
      <c r="C470" s="23" t="str">
        <f>VLOOKUP(B470,IF(A470="COMPOSICAO",S!$A:$E,I!$A:$E),2,FALSE)</f>
        <v>SINAPI</v>
      </c>
      <c r="D470" s="24" t="str">
        <f>VLOOKUP(B470,IF(A470="COMPOSICAO",S!$A:$E,I!$A:$E),3,FALSE)</f>
        <v>FERRAMENTAS - FAMILIA CARPINTEIRO DE FORMAS - HORISTA (ENCARGOS COMPLEMENTARES - COLETADO CAIXA)</v>
      </c>
      <c r="E470" s="23" t="str">
        <f>VLOOKUP(B470,IF(A470="COMPOSICAO",S!$A:$E,I!$A:$E),4,FALSE)</f>
        <v>H</v>
      </c>
      <c r="F470" s="23">
        <v>1</v>
      </c>
      <c r="G470" s="71">
        <f>IF(A470="COMPOSICAO",VLOOKUP("TOTAL SEM BDI - "&amp;B470,CPUAUX2!$A:$J,9,FALSE),VLOOKUP(B470,I!$A:$E,5,FALSE))</f>
        <v>0.44</v>
      </c>
      <c r="H470" s="72"/>
      <c r="I470" s="71">
        <f t="shared" si="104"/>
        <v>0.44</v>
      </c>
      <c r="J470" s="72"/>
      <c r="M470" s="23">
        <f t="shared" si="105"/>
        <v>43459</v>
      </c>
      <c r="N470" s="23">
        <f>SUMIF(CPU!M:M,B467,CPU!O:O)</f>
        <v>6.8029500000000009</v>
      </c>
      <c r="O470" s="23">
        <f t="shared" si="106"/>
        <v>6.8029500000000009</v>
      </c>
      <c r="Q470" s="23">
        <f ca="1">SUMIF(CPU!M:M,B467,CPU!R:R)</f>
        <v>2.7211800000000004</v>
      </c>
      <c r="R470" s="23">
        <f t="shared" ca="1" si="107"/>
        <v>2.7211800000000004</v>
      </c>
    </row>
    <row r="471" spans="1:18" ht="30" customHeight="1" x14ac:dyDescent="0.3">
      <c r="A471" s="23" t="s">
        <v>1025</v>
      </c>
      <c r="B471" s="23">
        <v>37373</v>
      </c>
      <c r="C471" s="23" t="str">
        <f>VLOOKUP(B471,IF(A471="COMPOSICAO",S!$A:$E,I!$A:$E),2,FALSE)</f>
        <v>SINAPI</v>
      </c>
      <c r="D471" s="24" t="str">
        <f>VLOOKUP(B471,IF(A471="COMPOSICAO",S!$A:$E,I!$A:$E),3,FALSE)</f>
        <v>SEGURO - HORISTA (COLETADO CAIXA - ENCARGOS COMPLEMENTARES)</v>
      </c>
      <c r="E471" s="23" t="str">
        <f>VLOOKUP(B471,IF(A471="COMPOSICAO",S!$A:$E,I!$A:$E),4,FALSE)</f>
        <v>H</v>
      </c>
      <c r="F471" s="23">
        <v>1</v>
      </c>
      <c r="G471" s="71">
        <f>IF(A471="COMPOSICAO",VLOOKUP("TOTAL SEM BDI - "&amp;B471,CPUAUX2!$A:$J,9,FALSE),VLOOKUP(B471,I!$A:$E,5,FALSE))</f>
        <v>0.08</v>
      </c>
      <c r="H471" s="72"/>
      <c r="I471" s="71">
        <f t="shared" si="104"/>
        <v>0.08</v>
      </c>
      <c r="J471" s="72"/>
      <c r="M471" s="23">
        <f t="shared" si="105"/>
        <v>37373</v>
      </c>
      <c r="N471" s="23">
        <f>SUMIF(CPU!M:M,B467,CPU!O:O)</f>
        <v>6.8029500000000009</v>
      </c>
      <c r="O471" s="23">
        <f t="shared" si="106"/>
        <v>6.8029500000000009</v>
      </c>
      <c r="Q471" s="23">
        <f ca="1">SUMIF(CPU!M:M,B467,CPU!R:R)</f>
        <v>2.7211800000000004</v>
      </c>
      <c r="R471" s="23">
        <f t="shared" ca="1" si="107"/>
        <v>2.7211800000000004</v>
      </c>
    </row>
    <row r="472" spans="1:18" ht="30" customHeight="1" x14ac:dyDescent="0.3">
      <c r="A472" s="23" t="s">
        <v>1025</v>
      </c>
      <c r="B472" s="23">
        <v>37372</v>
      </c>
      <c r="C472" s="23" t="str">
        <f>VLOOKUP(B472,IF(A472="COMPOSICAO",S!$A:$E,I!$A:$E),2,FALSE)</f>
        <v>SINAPI</v>
      </c>
      <c r="D472" s="24" t="str">
        <f>VLOOKUP(B472,IF(A472="COMPOSICAO",S!$A:$E,I!$A:$E),3,FALSE)</f>
        <v>EXAMES - HORISTA (COLETADO CAIXA - ENCARGOS COMPLEMENTARES)</v>
      </c>
      <c r="E472" s="23" t="str">
        <f>VLOOKUP(B472,IF(A472="COMPOSICAO",S!$A:$E,I!$A:$E),4,FALSE)</f>
        <v>H</v>
      </c>
      <c r="F472" s="23">
        <v>1</v>
      </c>
      <c r="G472" s="71">
        <f>IF(A472="COMPOSICAO",VLOOKUP("TOTAL SEM BDI - "&amp;B472,CPUAUX2!$A:$J,9,FALSE),VLOOKUP(B472,I!$A:$E,5,FALSE))</f>
        <v>1.43</v>
      </c>
      <c r="H472" s="72"/>
      <c r="I472" s="71">
        <f t="shared" si="104"/>
        <v>1.43</v>
      </c>
      <c r="J472" s="72"/>
      <c r="M472" s="23">
        <f t="shared" si="105"/>
        <v>37372</v>
      </c>
      <c r="N472" s="23">
        <f>SUMIF(CPU!M:M,B467,CPU!O:O)</f>
        <v>6.8029500000000009</v>
      </c>
      <c r="O472" s="23">
        <f t="shared" si="106"/>
        <v>6.8029500000000009</v>
      </c>
      <c r="Q472" s="23">
        <f ca="1">SUMIF(CPU!M:M,B467,CPU!R:R)</f>
        <v>2.7211800000000004</v>
      </c>
      <c r="R472" s="23">
        <f t="shared" ca="1" si="107"/>
        <v>2.7211800000000004</v>
      </c>
    </row>
    <row r="473" spans="1:18" ht="30" customHeight="1" x14ac:dyDescent="0.3">
      <c r="A473" s="23" t="s">
        <v>1025</v>
      </c>
      <c r="B473" s="23">
        <v>37371</v>
      </c>
      <c r="C473" s="23" t="str">
        <f>VLOOKUP(B473,IF(A473="COMPOSICAO",S!$A:$E,I!$A:$E),2,FALSE)</f>
        <v>SINAPI</v>
      </c>
      <c r="D473" s="24" t="str">
        <f>VLOOKUP(B473,IF(A473="COMPOSICAO",S!$A:$E,I!$A:$E),3,FALSE)</f>
        <v>TRANSPORTE - HORISTA (COLETADO CAIXA - ENCARGOS COMPLEMENTARES)</v>
      </c>
      <c r="E473" s="23" t="str">
        <f>VLOOKUP(B473,IF(A473="COMPOSICAO",S!$A:$E,I!$A:$E),4,FALSE)</f>
        <v>H</v>
      </c>
      <c r="F473" s="23">
        <v>1</v>
      </c>
      <c r="G473" s="71">
        <f>IF(A473="COMPOSICAO",VLOOKUP("TOTAL SEM BDI - "&amp;B473,CPUAUX2!$A:$J,9,FALSE),VLOOKUP(B473,I!$A:$E,5,FALSE))</f>
        <v>0.56999999999999995</v>
      </c>
      <c r="H473" s="72"/>
      <c r="I473" s="71">
        <f t="shared" si="104"/>
        <v>0.56999999999999995</v>
      </c>
      <c r="J473" s="72"/>
      <c r="M473" s="23">
        <f t="shared" si="105"/>
        <v>37371</v>
      </c>
      <c r="N473" s="23">
        <f>SUMIF(CPU!M:M,B467,CPU!O:O)</f>
        <v>6.8029500000000009</v>
      </c>
      <c r="O473" s="23">
        <f t="shared" si="106"/>
        <v>6.8029500000000009</v>
      </c>
      <c r="Q473" s="23">
        <f ca="1">SUMIF(CPU!M:M,B467,CPU!R:R)</f>
        <v>2.7211800000000004</v>
      </c>
      <c r="R473" s="23">
        <f t="shared" ca="1" si="107"/>
        <v>2.7211800000000004</v>
      </c>
    </row>
    <row r="474" spans="1:18" ht="30" customHeight="1" x14ac:dyDescent="0.3">
      <c r="A474" s="23" t="s">
        <v>1025</v>
      </c>
      <c r="B474" s="23">
        <v>37370</v>
      </c>
      <c r="C474" s="23" t="str">
        <f>VLOOKUP(B474,IF(A474="COMPOSICAO",S!$A:$E,I!$A:$E),2,FALSE)</f>
        <v>SINAPI</v>
      </c>
      <c r="D474" s="24" t="str">
        <f>VLOOKUP(B474,IF(A474="COMPOSICAO",S!$A:$E,I!$A:$E),3,FALSE)</f>
        <v>ALIMENTACAO - HORISTA (COLETADO CAIXA - ENCARGOS COMPLEMENTARES)</v>
      </c>
      <c r="E474" s="23" t="str">
        <f>VLOOKUP(B474,IF(A474="COMPOSICAO",S!$A:$E,I!$A:$E),4,FALSE)</f>
        <v>H</v>
      </c>
      <c r="F474" s="23">
        <v>1</v>
      </c>
      <c r="G474" s="71">
        <f>IF(A474="COMPOSICAO",VLOOKUP("TOTAL SEM BDI - "&amp;B474,CPUAUX2!$A:$J,9,FALSE),VLOOKUP(B474,I!$A:$E,5,FALSE))</f>
        <v>2.46</v>
      </c>
      <c r="H474" s="72"/>
      <c r="I474" s="71">
        <f t="shared" si="104"/>
        <v>2.46</v>
      </c>
      <c r="J474" s="72"/>
      <c r="M474" s="23">
        <f t="shared" si="105"/>
        <v>37370</v>
      </c>
      <c r="N474" s="23">
        <f>SUMIF(CPU!M:M,B467,CPU!O:O)</f>
        <v>6.8029500000000009</v>
      </c>
      <c r="O474" s="23">
        <f t="shared" si="106"/>
        <v>6.8029500000000009</v>
      </c>
      <c r="Q474" s="23">
        <f ca="1">SUMIF(CPU!M:M,B467,CPU!R:R)</f>
        <v>2.7211800000000004</v>
      </c>
      <c r="R474" s="23">
        <f t="shared" ca="1" si="107"/>
        <v>2.7211800000000004</v>
      </c>
    </row>
    <row r="475" spans="1:18" x14ac:dyDescent="0.3">
      <c r="A475" s="23" t="s">
        <v>1025</v>
      </c>
      <c r="B475" s="23">
        <v>12869</v>
      </c>
      <c r="C475" s="23" t="str">
        <f>VLOOKUP(B475,IF(A475="COMPOSICAO",S!$A:$E,I!$A:$E),2,FALSE)</f>
        <v>SINAPI</v>
      </c>
      <c r="D475" s="24" t="str">
        <f>VLOOKUP(B475,IF(A475="COMPOSICAO",S!$A:$E,I!$A:$E),3,FALSE)</f>
        <v>TELHADOR / TELHADISTA (HORISTA)</v>
      </c>
      <c r="E475" s="23" t="str">
        <f>VLOOKUP(B475,IF(A475="COMPOSICAO",S!$A:$E,I!$A:$E),4,FALSE)</f>
        <v>H</v>
      </c>
      <c r="F475" s="23">
        <v>1</v>
      </c>
      <c r="G475" s="71">
        <f>IF(A475="COMPOSICAO",VLOOKUP("TOTAL SEM BDI - "&amp;B475,CPUAUX2!$A:$J,9,FALSE),VLOOKUP(B475,I!$A:$E,5,FALSE))</f>
        <v>20.07</v>
      </c>
      <c r="H475" s="72"/>
      <c r="I475" s="71">
        <f t="shared" si="104"/>
        <v>20.07</v>
      </c>
      <c r="J475" s="72"/>
      <c r="M475" s="23">
        <f t="shared" si="105"/>
        <v>12869</v>
      </c>
      <c r="N475" s="23">
        <f>SUMIF(CPU!M:M,B467,CPU!O:O)</f>
        <v>6.8029500000000009</v>
      </c>
      <c r="O475" s="23">
        <f t="shared" si="106"/>
        <v>6.8029500000000009</v>
      </c>
      <c r="Q475" s="23">
        <f ca="1">SUMIF(CPU!M:M,B467,CPU!R:R)</f>
        <v>2.7211800000000004</v>
      </c>
      <c r="R475" s="23">
        <f t="shared" ca="1" si="107"/>
        <v>2.7211800000000004</v>
      </c>
    </row>
    <row r="476" spans="1:18" x14ac:dyDescent="0.3">
      <c r="A476" s="68" t="str">
        <f>"TOTAL SEM BDI - "&amp;B467</f>
        <v>TOTAL SEM BDI - 88323</v>
      </c>
      <c r="B476" s="69"/>
      <c r="C476" s="69"/>
      <c r="D476" s="69"/>
      <c r="E476" s="69"/>
      <c r="F476" s="69"/>
      <c r="G476" s="69"/>
      <c r="H476" s="70"/>
      <c r="I476" s="71">
        <f>SUM(I467:I475)</f>
        <v>26.71</v>
      </c>
      <c r="J476" s="72"/>
    </row>
    <row r="478" spans="1:18" x14ac:dyDescent="0.3">
      <c r="A478" s="4" t="s">
        <v>1018</v>
      </c>
      <c r="B478" s="4" t="s">
        <v>138</v>
      </c>
      <c r="C478" s="4" t="s">
        <v>139</v>
      </c>
      <c r="D478" s="4" t="s">
        <v>21</v>
      </c>
      <c r="E478" s="4" t="s">
        <v>140</v>
      </c>
      <c r="F478" s="4" t="s">
        <v>506</v>
      </c>
      <c r="G478" s="34" t="s">
        <v>1019</v>
      </c>
      <c r="H478" s="35"/>
      <c r="I478" s="34" t="s">
        <v>15</v>
      </c>
      <c r="J478" s="35"/>
    </row>
    <row r="479" spans="1:18" ht="45" customHeight="1" x14ac:dyDescent="0.3">
      <c r="A479" s="15" t="s">
        <v>1094</v>
      </c>
      <c r="B479" s="15">
        <v>87298</v>
      </c>
      <c r="C479" s="15" t="str">
        <f>VLOOKUP(B479,S!$A:$G,2,FALSE)</f>
        <v>SINAPI</v>
      </c>
      <c r="D479" s="22" t="str">
        <f>VLOOKUP(B479,S!$A:$G,3,FALSE)</f>
        <v>ARGAMASSA TRAÇO 1:3 (EM VOLUME DE CIMENTO E AREIA MÉDIA ÚMIDA) PARA CONTRAPISO, PREPARO MECÂNICO COM BETONEIRA 400 L. AF_08/2019</v>
      </c>
      <c r="E479" s="15" t="str">
        <f>VLOOKUP(B479,S!$A:$G,4,FALSE)</f>
        <v>M3</v>
      </c>
      <c r="F479" s="15"/>
      <c r="G479" s="73">
        <f>I485</f>
        <v>818.06000000000006</v>
      </c>
      <c r="H479" s="74"/>
      <c r="I479" s="73"/>
      <c r="J479" s="74"/>
      <c r="K479" s="16">
        <f>VLOOKUP(B479,S!A:G,5,FALSE)</f>
        <v>818.06</v>
      </c>
      <c r="L479" s="15" t="str">
        <f>IF(K479=G479,"OK, CONFORME TABELA",IF(G479&gt;K479,"ACIMA DA TABELA: ","ABAIXO DA TABELA: ")&amp;TRUNC((G479*100)/K479,2)&amp;" %")</f>
        <v>OK, CONFORME TABELA</v>
      </c>
    </row>
    <row r="480" spans="1:18" ht="60" customHeight="1" x14ac:dyDescent="0.3">
      <c r="A480" s="23" t="s">
        <v>1022</v>
      </c>
      <c r="B480" s="23">
        <v>88831</v>
      </c>
      <c r="C480" s="23" t="str">
        <f>VLOOKUP(B480,IF(A480="COMPOSICAO",S!$A:$E,I!$A:$E),2,FALSE)</f>
        <v>SINAPI</v>
      </c>
      <c r="D480" s="24" t="str">
        <f>VLOOKUP(B480,IF(A480="COMPOSICAO",S!$A:$E,I!$A:$E),3,FALSE)</f>
        <v>BETONEIRA CAPACIDADE NOMINAL DE 400 L, CAPACIDADE DE MISTURA 280 L, MOTOR ELÉTRICO TRIFÁSICO POTÊNCIA DE 2 CV, SEM CARREGADOR - CHI DIURNO. AF_05/2023</v>
      </c>
      <c r="E480" s="23" t="str">
        <f>VLOOKUP(B480,IF(A480="COMPOSICAO",S!$A:$E,I!$A:$E),4,FALSE)</f>
        <v>CHI</v>
      </c>
      <c r="F480" s="23">
        <v>3.39</v>
      </c>
      <c r="G480" s="71">
        <f>IF(A480="COMPOSICAO",VLOOKUP("TOTAL SEM BDI - "&amp;B480,CPUAUX2!$A:$J,9,FALSE),VLOOKUP(B480,I!$A:$E,5,FALSE))</f>
        <v>0.5</v>
      </c>
      <c r="H480" s="72"/>
      <c r="I480" s="71">
        <f>TRUNC(F480*G480,2)</f>
        <v>1.69</v>
      </c>
      <c r="J480" s="72"/>
      <c r="M480" s="23">
        <f>B480</f>
        <v>88831</v>
      </c>
      <c r="N480" s="23">
        <f>SUMIF(CPU!M:M,B479,CPU!O:O)</f>
        <v>1.06</v>
      </c>
      <c r="O480" s="23">
        <f>F480*N480</f>
        <v>3.5934000000000004</v>
      </c>
      <c r="Q480" s="23">
        <f ca="1">SUMIF(CPU!M:M,B479,CPU!R:R)</f>
        <v>0.42399999999999999</v>
      </c>
      <c r="R480" s="23">
        <f ca="1">F480*Q480</f>
        <v>1.43736</v>
      </c>
    </row>
    <row r="481" spans="1:18" ht="60" customHeight="1" x14ac:dyDescent="0.3">
      <c r="A481" s="23" t="s">
        <v>1022</v>
      </c>
      <c r="B481" s="23">
        <v>88830</v>
      </c>
      <c r="C481" s="23" t="str">
        <f>VLOOKUP(B481,IF(A481="COMPOSICAO",S!$A:$E,I!$A:$E),2,FALSE)</f>
        <v>SINAPI</v>
      </c>
      <c r="D481" s="24" t="str">
        <f>VLOOKUP(B481,IF(A481="COMPOSICAO",S!$A:$E,I!$A:$E),3,FALSE)</f>
        <v>BETONEIRA CAPACIDADE NOMINAL DE 400 L, CAPACIDADE DE MISTURA 280 L, MOTOR ELÉTRICO TRIFÁSICO POTÊNCIA DE 2 CV, SEM CARREGADOR - CHP DIURNO. AF_05/2023</v>
      </c>
      <c r="E481" s="23" t="str">
        <f>VLOOKUP(B481,IF(A481="COMPOSICAO",S!$A:$E,I!$A:$E),4,FALSE)</f>
        <v>CHP</v>
      </c>
      <c r="F481" s="23">
        <v>1.03</v>
      </c>
      <c r="G481" s="71">
        <f>IF(A481="COMPOSICAO",VLOOKUP("TOTAL SEM BDI - "&amp;B481,CPUAUX2!$A:$J,9,FALSE),VLOOKUP(B481,I!$A:$E,5,FALSE))</f>
        <v>2.3200000000000003</v>
      </c>
      <c r="H481" s="72"/>
      <c r="I481" s="71">
        <f>TRUNC(F481*G481,2)</f>
        <v>2.38</v>
      </c>
      <c r="J481" s="72"/>
      <c r="M481" s="23">
        <f>B481</f>
        <v>88830</v>
      </c>
      <c r="N481" s="23">
        <f>SUMIF(CPU!M:M,B479,CPU!O:O)</f>
        <v>1.06</v>
      </c>
      <c r="O481" s="23">
        <f>F481*N481</f>
        <v>1.0918000000000001</v>
      </c>
      <c r="Q481" s="23">
        <f ca="1">SUMIF(CPU!M:M,B479,CPU!R:R)</f>
        <v>0.42399999999999999</v>
      </c>
      <c r="R481" s="23">
        <f ca="1">F481*Q481</f>
        <v>0.43672</v>
      </c>
    </row>
    <row r="482" spans="1:18" ht="30" customHeight="1" x14ac:dyDescent="0.3">
      <c r="A482" s="23" t="s">
        <v>1022</v>
      </c>
      <c r="B482" s="23">
        <v>88377</v>
      </c>
      <c r="C482" s="23" t="str">
        <f>VLOOKUP(B482,IF(A482="COMPOSICAO",S!$A:$E,I!$A:$E),2,FALSE)</f>
        <v>SINAPI</v>
      </c>
      <c r="D482" s="24" t="str">
        <f>VLOOKUP(B482,IF(A482="COMPOSICAO",S!$A:$E,I!$A:$E),3,FALSE)</f>
        <v>OPERADOR DE BETONEIRA ESTACIONÁRIA/MISTURADOR COM ENCARGOS COMPLEMENTARES</v>
      </c>
      <c r="E482" s="23" t="str">
        <f>VLOOKUP(B482,IF(A482="COMPOSICAO",S!$A:$E,I!$A:$E),4,FALSE)</f>
        <v>H</v>
      </c>
      <c r="F482" s="23">
        <f>4.42/pcf</f>
        <v>4.42</v>
      </c>
      <c r="G482" s="71">
        <f>IF(A482="COMPOSICAO",VLOOKUP("TOTAL SEM BDI - "&amp;B482,CPUAUX2!$A:$J,9,FALSE),VLOOKUP(B482,I!$A:$E,5,FALSE))</f>
        <v>27.09</v>
      </c>
      <c r="H482" s="72"/>
      <c r="I482" s="71">
        <f>TRUNC(F482*G482,2)</f>
        <v>119.73</v>
      </c>
      <c r="J482" s="72"/>
      <c r="M482" s="23">
        <f>B482</f>
        <v>88377</v>
      </c>
      <c r="N482" s="23">
        <f>SUMIF(CPU!M:M,B479,CPU!O:O)</f>
        <v>1.06</v>
      </c>
      <c r="O482" s="23">
        <f>F482*N482</f>
        <v>4.6852</v>
      </c>
      <c r="Q482" s="23">
        <f ca="1">SUMIF(CPU!M:M,B479,CPU!R:R)</f>
        <v>0.42399999999999999</v>
      </c>
      <c r="R482" s="23">
        <f ca="1">F482*Q482</f>
        <v>1.87408</v>
      </c>
    </row>
    <row r="483" spans="1:18" x14ac:dyDescent="0.3">
      <c r="A483" s="23" t="s">
        <v>1025</v>
      </c>
      <c r="B483" s="23">
        <v>1379</v>
      </c>
      <c r="C483" s="23" t="str">
        <f>VLOOKUP(B483,IF(A483="COMPOSICAO",S!$A:$E,I!$A:$E),2,FALSE)</f>
        <v>SINAPI</v>
      </c>
      <c r="D483" s="24" t="str">
        <f>VLOOKUP(B483,IF(A483="COMPOSICAO",S!$A:$E,I!$A:$E),3,FALSE)</f>
        <v>CIMENTO PORTLAND COMPOSTO CP II-32</v>
      </c>
      <c r="E483" s="23" t="str">
        <f>VLOOKUP(B483,IF(A483="COMPOSICAO",S!$A:$E,I!$A:$E),4,FALSE)</f>
        <v>KG</v>
      </c>
      <c r="F483" s="23">
        <v>573.61</v>
      </c>
      <c r="G483" s="71">
        <f>IF(A483="COMPOSICAO",VLOOKUP("TOTAL SEM BDI - "&amp;B483,CPUAUX2!$A:$J,9,FALSE),VLOOKUP(B483,I!$A:$E,5,FALSE))</f>
        <v>1</v>
      </c>
      <c r="H483" s="72"/>
      <c r="I483" s="71">
        <f>TRUNC(F483*G483,2)</f>
        <v>573.61</v>
      </c>
      <c r="J483" s="72"/>
      <c r="M483" s="23">
        <f>B483</f>
        <v>1379</v>
      </c>
      <c r="N483" s="23">
        <f>SUMIF(CPU!M:M,B479,CPU!O:O)</f>
        <v>1.06</v>
      </c>
      <c r="O483" s="23">
        <f>F483*N483</f>
        <v>608.02660000000003</v>
      </c>
      <c r="Q483" s="23">
        <f ca="1">SUMIF(CPU!M:M,B479,CPU!R:R)</f>
        <v>0.42399999999999999</v>
      </c>
      <c r="R483" s="23">
        <f ca="1">F483*Q483</f>
        <v>243.21064000000001</v>
      </c>
    </row>
    <row r="484" spans="1:18" ht="30" customHeight="1" x14ac:dyDescent="0.3">
      <c r="A484" s="23" t="s">
        <v>1025</v>
      </c>
      <c r="B484" s="23">
        <v>370</v>
      </c>
      <c r="C484" s="23" t="str">
        <f>VLOOKUP(B484,IF(A484="COMPOSICAO",S!$A:$E,I!$A:$E),2,FALSE)</f>
        <v>SINAPI</v>
      </c>
      <c r="D484" s="24" t="str">
        <f>VLOOKUP(B484,IF(A484="COMPOSICAO",S!$A:$E,I!$A:$E),3,FALSE)</f>
        <v>AREIA MEDIA - POSTO JAZIDA/FORNECEDOR (RETIRADO NA JAZIDA, SEM TRANSPORTE)</v>
      </c>
      <c r="E484" s="23" t="str">
        <f>VLOOKUP(B484,IF(A484="COMPOSICAO",S!$A:$E,I!$A:$E),4,FALSE)</f>
        <v>M3</v>
      </c>
      <c r="F484" s="23">
        <v>1.27</v>
      </c>
      <c r="G484" s="71">
        <f>IF(A484="COMPOSICAO",VLOOKUP("TOTAL SEM BDI - "&amp;B484,CPUAUX2!$A:$J,9,FALSE),VLOOKUP(B484,I!$A:$E,5,FALSE))</f>
        <v>95</v>
      </c>
      <c r="H484" s="72"/>
      <c r="I484" s="71">
        <f>TRUNC(F484*G484,2)</f>
        <v>120.65</v>
      </c>
      <c r="J484" s="72"/>
      <c r="M484" s="23">
        <f>B484</f>
        <v>370</v>
      </c>
      <c r="N484" s="23">
        <f>SUMIF(CPU!M:M,B479,CPU!O:O)</f>
        <v>1.06</v>
      </c>
      <c r="O484" s="23">
        <f>F484*N484</f>
        <v>1.3462000000000001</v>
      </c>
      <c r="Q484" s="23">
        <f ca="1">SUMIF(CPU!M:M,B479,CPU!R:R)</f>
        <v>0.42399999999999999</v>
      </c>
      <c r="R484" s="23">
        <f ca="1">F484*Q484</f>
        <v>0.53847999999999996</v>
      </c>
    </row>
    <row r="485" spans="1:18" x14ac:dyDescent="0.3">
      <c r="A485" s="68" t="str">
        <f>"TOTAL SEM BDI - "&amp;B479</f>
        <v>TOTAL SEM BDI - 87298</v>
      </c>
      <c r="B485" s="69"/>
      <c r="C485" s="69"/>
      <c r="D485" s="69"/>
      <c r="E485" s="69"/>
      <c r="F485" s="69"/>
      <c r="G485" s="69"/>
      <c r="H485" s="70"/>
      <c r="I485" s="71">
        <f>SUM(I479:I484)</f>
        <v>818.06000000000006</v>
      </c>
      <c r="J485" s="72"/>
    </row>
    <row r="487" spans="1:18" x14ac:dyDescent="0.3">
      <c r="A487" s="4" t="s">
        <v>1018</v>
      </c>
      <c r="B487" s="4" t="s">
        <v>138</v>
      </c>
      <c r="C487" s="4" t="s">
        <v>139</v>
      </c>
      <c r="D487" s="4" t="s">
        <v>21</v>
      </c>
      <c r="E487" s="4" t="s">
        <v>140</v>
      </c>
      <c r="F487" s="4" t="s">
        <v>506</v>
      </c>
      <c r="G487" s="34" t="s">
        <v>1019</v>
      </c>
      <c r="H487" s="35"/>
      <c r="I487" s="34" t="s">
        <v>15</v>
      </c>
      <c r="J487" s="35"/>
    </row>
    <row r="488" spans="1:18" ht="45" customHeight="1" x14ac:dyDescent="0.3">
      <c r="A488" s="15" t="s">
        <v>1094</v>
      </c>
      <c r="B488" s="15">
        <v>87377</v>
      </c>
      <c r="C488" s="15" t="str">
        <f>VLOOKUP(B488,S!$A:$G,2,FALSE)</f>
        <v>SINAPI</v>
      </c>
      <c r="D488" s="22" t="str">
        <f>VLOOKUP(B488,S!$A:$G,3,FALSE)</f>
        <v>ARGAMASSA TRAÇO 1:3 (EM VOLUME DE CIMENTO E AREIA GROSSA ÚMIDA) PARA CHAPISCO CONVENCIONAL, PREPARO MANUAL. AF_08/2019</v>
      </c>
      <c r="E488" s="15" t="str">
        <f>VLOOKUP(B488,S!$A:$G,4,FALSE)</f>
        <v>M3</v>
      </c>
      <c r="F488" s="15"/>
      <c r="G488" s="73">
        <f>I492</f>
        <v>752.33</v>
      </c>
      <c r="H488" s="74"/>
      <c r="I488" s="73"/>
      <c r="J488" s="74"/>
      <c r="K488" s="16">
        <f>VLOOKUP(B488,S!A:G,5,FALSE)</f>
        <v>752.33</v>
      </c>
      <c r="L488" s="15" t="str">
        <f>IF(K488=G488,"OK, CONFORME TABELA",IF(G488&gt;K488,"ACIMA DA TABELA: ","ABAIXO DA TABELA: ")&amp;TRUNC((G488*100)/K488,2)&amp;" %")</f>
        <v>OK, CONFORME TABELA</v>
      </c>
    </row>
    <row r="489" spans="1:18" x14ac:dyDescent="0.3">
      <c r="A489" s="23" t="s">
        <v>1022</v>
      </c>
      <c r="B489" s="23">
        <v>88316</v>
      </c>
      <c r="C489" s="23" t="str">
        <f>VLOOKUP(B489,IF(A489="COMPOSICAO",S!$A:$E,I!$A:$E),2,FALSE)</f>
        <v>SINAPI</v>
      </c>
      <c r="D489" s="24" t="str">
        <f>VLOOKUP(B489,IF(A489="COMPOSICAO",S!$A:$E,I!$A:$E),3,FALSE)</f>
        <v>SERVENTE COM ENCARGOS COMPLEMENTARES</v>
      </c>
      <c r="E489" s="23" t="str">
        <f>VLOOKUP(B489,IF(A489="COMPOSICAO",S!$A:$E,I!$A:$E),4,FALSE)</f>
        <v>H</v>
      </c>
      <c r="F489" s="23">
        <f>11.02/pcf</f>
        <v>11.02</v>
      </c>
      <c r="G489" s="71">
        <f>IF(A489="COMPOSICAO",VLOOKUP("TOTAL SEM BDI - "&amp;B489,CPUAUX2!$A:$J,9,FALSE),VLOOKUP(B489,I!$A:$E,5,FALSE))</f>
        <v>21.71</v>
      </c>
      <c r="H489" s="72"/>
      <c r="I489" s="71">
        <f>TRUNC(F489*G489,2)</f>
        <v>239.24</v>
      </c>
      <c r="J489" s="72"/>
      <c r="M489" s="23">
        <f>B489</f>
        <v>88316</v>
      </c>
      <c r="N489" s="23">
        <f>SUMIF(CPU!M:M,B488,CPU!O:O)</f>
        <v>0.71447000000000005</v>
      </c>
      <c r="O489" s="23">
        <f>F489*N489</f>
        <v>7.8734594000000007</v>
      </c>
      <c r="Q489" s="23">
        <f ca="1">SUMIF(CPU!M:M,B488,CPU!R:R)</f>
        <v>0.28578799999999999</v>
      </c>
      <c r="R489" s="23">
        <f ca="1">F489*Q489</f>
        <v>3.1493837599999996</v>
      </c>
    </row>
    <row r="490" spans="1:18" x14ac:dyDescent="0.3">
      <c r="A490" s="23" t="s">
        <v>1025</v>
      </c>
      <c r="B490" s="23">
        <v>1379</v>
      </c>
      <c r="C490" s="23" t="str">
        <f>VLOOKUP(B490,IF(A490="COMPOSICAO",S!$A:$E,I!$A:$E),2,FALSE)</f>
        <v>SINAPI</v>
      </c>
      <c r="D490" s="24" t="str">
        <f>VLOOKUP(B490,IF(A490="COMPOSICAO",S!$A:$E,I!$A:$E),3,FALSE)</f>
        <v>CIMENTO PORTLAND COMPOSTO CP II-32</v>
      </c>
      <c r="E490" s="23" t="str">
        <f>VLOOKUP(B490,IF(A490="COMPOSICAO",S!$A:$E,I!$A:$E),4,FALSE)</f>
        <v>KG</v>
      </c>
      <c r="F490" s="23">
        <v>422.63</v>
      </c>
      <c r="G490" s="71">
        <f>IF(A490="COMPOSICAO",VLOOKUP("TOTAL SEM BDI - "&amp;B490,CPUAUX2!$A:$J,9,FALSE),VLOOKUP(B490,I!$A:$E,5,FALSE))</f>
        <v>1</v>
      </c>
      <c r="H490" s="72"/>
      <c r="I490" s="71">
        <f>TRUNC(F490*G490,2)</f>
        <v>422.63</v>
      </c>
      <c r="J490" s="72"/>
      <c r="M490" s="23">
        <f>B490</f>
        <v>1379</v>
      </c>
      <c r="N490" s="23">
        <f>SUMIF(CPU!M:M,B488,CPU!O:O)</f>
        <v>0.71447000000000005</v>
      </c>
      <c r="O490" s="23">
        <f>F490*N490</f>
        <v>301.95645610000003</v>
      </c>
      <c r="Q490" s="23">
        <f ca="1">SUMIF(CPU!M:M,B488,CPU!R:R)</f>
        <v>0.28578799999999999</v>
      </c>
      <c r="R490" s="23">
        <f ca="1">F490*Q490</f>
        <v>120.78258244</v>
      </c>
    </row>
    <row r="491" spans="1:18" ht="30" customHeight="1" x14ac:dyDescent="0.3">
      <c r="A491" s="23" t="s">
        <v>1025</v>
      </c>
      <c r="B491" s="23">
        <v>367</v>
      </c>
      <c r="C491" s="23" t="str">
        <f>VLOOKUP(B491,IF(A491="COMPOSICAO",S!$A:$E,I!$A:$E),2,FALSE)</f>
        <v>SINAPI</v>
      </c>
      <c r="D491" s="24" t="str">
        <f>VLOOKUP(B491,IF(A491="COMPOSICAO",S!$A:$E,I!$A:$E),3,FALSE)</f>
        <v>AREIA GROSSA - POSTO JAZIDA/FORNECEDOR (RETIRADO NA JAZIDA, SEM TRANSPORTE)</v>
      </c>
      <c r="E491" s="23" t="str">
        <f>VLOOKUP(B491,IF(A491="COMPOSICAO",S!$A:$E,I!$A:$E),4,FALSE)</f>
        <v>M3</v>
      </c>
      <c r="F491" s="23">
        <v>0.94</v>
      </c>
      <c r="G491" s="71">
        <f>IF(A491="COMPOSICAO",VLOOKUP("TOTAL SEM BDI - "&amp;B491,CPUAUX2!$A:$J,9,FALSE),VLOOKUP(B491,I!$A:$E,5,FALSE))</f>
        <v>96.24</v>
      </c>
      <c r="H491" s="72"/>
      <c r="I491" s="71">
        <f>TRUNC(F491*G491,2)</f>
        <v>90.46</v>
      </c>
      <c r="J491" s="72"/>
      <c r="M491" s="23">
        <f>B491</f>
        <v>367</v>
      </c>
      <c r="N491" s="23">
        <f>SUMIF(CPU!M:M,B488,CPU!O:O)</f>
        <v>0.71447000000000005</v>
      </c>
      <c r="O491" s="23">
        <f>F491*N491</f>
        <v>0.67160180000000003</v>
      </c>
      <c r="Q491" s="23">
        <f ca="1">SUMIF(CPU!M:M,B488,CPU!R:R)</f>
        <v>0.28578799999999999</v>
      </c>
      <c r="R491" s="23">
        <f ca="1">F491*Q491</f>
        <v>0.26864072</v>
      </c>
    </row>
    <row r="492" spans="1:18" x14ac:dyDescent="0.3">
      <c r="A492" s="68" t="str">
        <f>"TOTAL SEM BDI - "&amp;B488</f>
        <v>TOTAL SEM BDI - 87377</v>
      </c>
      <c r="B492" s="69"/>
      <c r="C492" s="69"/>
      <c r="D492" s="69"/>
      <c r="E492" s="69"/>
      <c r="F492" s="69"/>
      <c r="G492" s="69"/>
      <c r="H492" s="70"/>
      <c r="I492" s="71">
        <f>SUM(I488:I491)</f>
        <v>752.33</v>
      </c>
      <c r="J492" s="72"/>
    </row>
    <row r="494" spans="1:18" x14ac:dyDescent="0.3">
      <c r="A494" s="4" t="s">
        <v>1018</v>
      </c>
      <c r="B494" s="4" t="s">
        <v>138</v>
      </c>
      <c r="C494" s="4" t="s">
        <v>139</v>
      </c>
      <c r="D494" s="4" t="s">
        <v>21</v>
      </c>
      <c r="E494" s="4" t="s">
        <v>140</v>
      </c>
      <c r="F494" s="4" t="s">
        <v>506</v>
      </c>
      <c r="G494" s="34" t="s">
        <v>1019</v>
      </c>
      <c r="H494" s="35"/>
      <c r="I494" s="34" t="s">
        <v>15</v>
      </c>
      <c r="J494" s="35"/>
    </row>
    <row r="495" spans="1:18" ht="45" customHeight="1" x14ac:dyDescent="0.3">
      <c r="A495" s="15" t="s">
        <v>1094</v>
      </c>
      <c r="B495" s="15">
        <v>88627</v>
      </c>
      <c r="C495" s="15" t="str">
        <f>VLOOKUP(B495,S!$A:$G,2,FALSE)</f>
        <v>SINAPI</v>
      </c>
      <c r="D495" s="22" t="str">
        <f>VLOOKUP(B495,S!$A:$G,3,FALSE)</f>
        <v>ARGAMASSA TRAÇO 1:0,5:4,5 (EM VOLUME DE CIMENTO, CAL E AREIA MÉDIA ÚMIDA) PARA ASSENTAMENTO DE ALVENARIA, PREPARO MANUAL. AF_08/2019</v>
      </c>
      <c r="E495" s="15" t="str">
        <f>VLOOKUP(B495,S!$A:$G,4,FALSE)</f>
        <v>M3</v>
      </c>
      <c r="F495" s="15"/>
      <c r="G495" s="73">
        <f>I500</f>
        <v>731.16000000000008</v>
      </c>
      <c r="H495" s="74"/>
      <c r="I495" s="73"/>
      <c r="J495" s="74"/>
      <c r="K495" s="16">
        <f>VLOOKUP(B495,S!A:G,5,FALSE)</f>
        <v>731.16</v>
      </c>
      <c r="L495" s="15" t="str">
        <f>IF(K495=G495,"OK, CONFORME TABELA",IF(G495&gt;K495,"ACIMA DA TABELA: ","ABAIXO DA TABELA: ")&amp;TRUNC((G495*100)/K495,2)&amp;" %")</f>
        <v>OK, CONFORME TABELA</v>
      </c>
    </row>
    <row r="496" spans="1:18" x14ac:dyDescent="0.3">
      <c r="A496" s="23" t="s">
        <v>1022</v>
      </c>
      <c r="B496" s="23">
        <v>88316</v>
      </c>
      <c r="C496" s="23" t="str">
        <f>VLOOKUP(B496,IF(A496="COMPOSICAO",S!$A:$E,I!$A:$E),2,FALSE)</f>
        <v>SINAPI</v>
      </c>
      <c r="D496" s="24" t="str">
        <f>VLOOKUP(B496,IF(A496="COMPOSICAO",S!$A:$E,I!$A:$E),3,FALSE)</f>
        <v>SERVENTE COM ENCARGOS COMPLEMENTARES</v>
      </c>
      <c r="E496" s="23" t="str">
        <f>VLOOKUP(B496,IF(A496="COMPOSICAO",S!$A:$E,I!$A:$E),4,FALSE)</f>
        <v>H</v>
      </c>
      <c r="F496" s="23">
        <f>8.78/pcf</f>
        <v>8.7799999999999994</v>
      </c>
      <c r="G496" s="71">
        <f>IF(A496="COMPOSICAO",VLOOKUP("TOTAL SEM BDI - "&amp;B496,CPUAUX2!$A:$J,9,FALSE),VLOOKUP(B496,I!$A:$E,5,FALSE))</f>
        <v>21.71</v>
      </c>
      <c r="H496" s="72"/>
      <c r="I496" s="71">
        <f>TRUNC(F496*G496,2)</f>
        <v>190.61</v>
      </c>
      <c r="J496" s="72"/>
      <c r="M496" s="23">
        <f>B496</f>
        <v>88316</v>
      </c>
      <c r="N496" s="23">
        <f>SUMIF(CPU!M:M,B495,CPU!O:O)</f>
        <v>0.1008</v>
      </c>
      <c r="O496" s="23">
        <f>F496*N496</f>
        <v>0.88502399999999992</v>
      </c>
      <c r="Q496" s="23">
        <f ca="1">SUMIF(CPU!M:M,B495,CPU!R:R)</f>
        <v>4.0320000000000002E-2</v>
      </c>
      <c r="R496" s="23">
        <f ca="1">F496*Q496</f>
        <v>0.35400959999999998</v>
      </c>
    </row>
    <row r="497" spans="1:18" x14ac:dyDescent="0.3">
      <c r="A497" s="23" t="s">
        <v>1025</v>
      </c>
      <c r="B497" s="23">
        <v>1379</v>
      </c>
      <c r="C497" s="23" t="str">
        <f>VLOOKUP(B497,IF(A497="COMPOSICAO",S!$A:$E,I!$A:$E),2,FALSE)</f>
        <v>SINAPI</v>
      </c>
      <c r="D497" s="24" t="str">
        <f>VLOOKUP(B497,IF(A497="COMPOSICAO",S!$A:$E,I!$A:$E),3,FALSE)</f>
        <v>CIMENTO PORTLAND COMPOSTO CP II-32</v>
      </c>
      <c r="E497" s="23" t="str">
        <f>VLOOKUP(B497,IF(A497="COMPOSICAO",S!$A:$E,I!$A:$E),4,FALSE)</f>
        <v>KG</v>
      </c>
      <c r="F497" s="23">
        <v>339.62</v>
      </c>
      <c r="G497" s="71">
        <f>IF(A497="COMPOSICAO",VLOOKUP("TOTAL SEM BDI - "&amp;B497,CPUAUX2!$A:$J,9,FALSE),VLOOKUP(B497,I!$A:$E,5,FALSE))</f>
        <v>1</v>
      </c>
      <c r="H497" s="72"/>
      <c r="I497" s="71">
        <f>TRUNC(F497*G497,2)</f>
        <v>339.62</v>
      </c>
      <c r="J497" s="72"/>
      <c r="M497" s="23">
        <f>B497</f>
        <v>1379</v>
      </c>
      <c r="N497" s="23">
        <f>SUMIF(CPU!M:M,B495,CPU!O:O)</f>
        <v>0.1008</v>
      </c>
      <c r="O497" s="23">
        <f>F497*N497</f>
        <v>34.233696000000002</v>
      </c>
      <c r="Q497" s="23">
        <f ca="1">SUMIF(CPU!M:M,B495,CPU!R:R)</f>
        <v>4.0320000000000002E-2</v>
      </c>
      <c r="R497" s="23">
        <f ca="1">F497*Q497</f>
        <v>13.6934784</v>
      </c>
    </row>
    <row r="498" spans="1:18" x14ac:dyDescent="0.3">
      <c r="A498" s="23" t="s">
        <v>1025</v>
      </c>
      <c r="B498" s="23">
        <v>1106</v>
      </c>
      <c r="C498" s="23" t="str">
        <f>VLOOKUP(B498,IF(A498="COMPOSICAO",S!$A:$E,I!$A:$E),2,FALSE)</f>
        <v>SINAPI</v>
      </c>
      <c r="D498" s="24" t="str">
        <f>VLOOKUP(B498,IF(A498="COMPOSICAO",S!$A:$E,I!$A:$E),3,FALSE)</f>
        <v>CAL HIDRATADA CH-I PARA ARGAMASSAS</v>
      </c>
      <c r="E498" s="23" t="str">
        <f>VLOOKUP(B498,IF(A498="COMPOSICAO",S!$A:$E,I!$A:$E),4,FALSE)</f>
        <v>KG</v>
      </c>
      <c r="F498" s="23">
        <v>75.47</v>
      </c>
      <c r="G498" s="71">
        <f>IF(A498="COMPOSICAO",VLOOKUP("TOTAL SEM BDI - "&amp;B498,CPUAUX2!$A:$J,9,FALSE),VLOOKUP(B498,I!$A:$E,5,FALSE))</f>
        <v>1.24</v>
      </c>
      <c r="H498" s="72"/>
      <c r="I498" s="71">
        <f>TRUNC(F498*G498,2)</f>
        <v>93.58</v>
      </c>
      <c r="J498" s="72"/>
      <c r="M498" s="23">
        <f>B498</f>
        <v>1106</v>
      </c>
      <c r="N498" s="23">
        <f>SUMIF(CPU!M:M,B495,CPU!O:O)</f>
        <v>0.1008</v>
      </c>
      <c r="O498" s="23">
        <f>F498*N498</f>
        <v>7.6073760000000004</v>
      </c>
      <c r="Q498" s="23">
        <f ca="1">SUMIF(CPU!M:M,B495,CPU!R:R)</f>
        <v>4.0320000000000002E-2</v>
      </c>
      <c r="R498" s="23">
        <f ca="1">F498*Q498</f>
        <v>3.0429504000000001</v>
      </c>
    </row>
    <row r="499" spans="1:18" ht="30" customHeight="1" x14ac:dyDescent="0.3">
      <c r="A499" s="23" t="s">
        <v>1025</v>
      </c>
      <c r="B499" s="23">
        <v>370</v>
      </c>
      <c r="C499" s="23" t="str">
        <f>VLOOKUP(B499,IF(A499="COMPOSICAO",S!$A:$E,I!$A:$E),2,FALSE)</f>
        <v>SINAPI</v>
      </c>
      <c r="D499" s="24" t="str">
        <f>VLOOKUP(B499,IF(A499="COMPOSICAO",S!$A:$E,I!$A:$E),3,FALSE)</f>
        <v>AREIA MEDIA - POSTO JAZIDA/FORNECEDOR (RETIRADO NA JAZIDA, SEM TRANSPORTE)</v>
      </c>
      <c r="E499" s="23" t="str">
        <f>VLOOKUP(B499,IF(A499="COMPOSICAO",S!$A:$E,I!$A:$E),4,FALSE)</f>
        <v>M3</v>
      </c>
      <c r="F499" s="23">
        <v>1.1299999999999999</v>
      </c>
      <c r="G499" s="71">
        <f>IF(A499="COMPOSICAO",VLOOKUP("TOTAL SEM BDI - "&amp;B499,CPUAUX2!$A:$J,9,FALSE),VLOOKUP(B499,I!$A:$E,5,FALSE))</f>
        <v>95</v>
      </c>
      <c r="H499" s="72"/>
      <c r="I499" s="71">
        <f>TRUNC(F499*G499,2)</f>
        <v>107.35</v>
      </c>
      <c r="J499" s="72"/>
      <c r="M499" s="23">
        <f>B499</f>
        <v>370</v>
      </c>
      <c r="N499" s="23">
        <f>SUMIF(CPU!M:M,B495,CPU!O:O)</f>
        <v>0.1008</v>
      </c>
      <c r="O499" s="23">
        <f>F499*N499</f>
        <v>0.11390399999999999</v>
      </c>
      <c r="Q499" s="23">
        <f ca="1">SUMIF(CPU!M:M,B495,CPU!R:R)</f>
        <v>4.0320000000000002E-2</v>
      </c>
      <c r="R499" s="23">
        <f ca="1">F499*Q499</f>
        <v>4.5561600000000001E-2</v>
      </c>
    </row>
    <row r="500" spans="1:18" x14ac:dyDescent="0.3">
      <c r="A500" s="68" t="str">
        <f>"TOTAL SEM BDI - "&amp;B495</f>
        <v>TOTAL SEM BDI - 88627</v>
      </c>
      <c r="B500" s="69"/>
      <c r="C500" s="69"/>
      <c r="D500" s="69"/>
      <c r="E500" s="69"/>
      <c r="F500" s="69"/>
      <c r="G500" s="69"/>
      <c r="H500" s="70"/>
      <c r="I500" s="71">
        <f>SUM(I495:I499)</f>
        <v>731.16000000000008</v>
      </c>
      <c r="J500" s="72"/>
    </row>
    <row r="502" spans="1:18" x14ac:dyDescent="0.3">
      <c r="A502" s="4" t="s">
        <v>1018</v>
      </c>
      <c r="B502" s="4" t="s">
        <v>138</v>
      </c>
      <c r="C502" s="4" t="s">
        <v>139</v>
      </c>
      <c r="D502" s="4" t="s">
        <v>21</v>
      </c>
      <c r="E502" s="4" t="s">
        <v>140</v>
      </c>
      <c r="F502" s="4" t="s">
        <v>506</v>
      </c>
      <c r="G502" s="34" t="s">
        <v>1019</v>
      </c>
      <c r="H502" s="35"/>
      <c r="I502" s="34" t="s">
        <v>15</v>
      </c>
      <c r="J502" s="35"/>
    </row>
    <row r="503" spans="1:18" x14ac:dyDescent="0.3">
      <c r="A503" s="15" t="s">
        <v>1093</v>
      </c>
      <c r="B503" s="15">
        <v>88310</v>
      </c>
      <c r="C503" s="15" t="str">
        <f>VLOOKUP(B503,S!$A:$G,2,FALSE)</f>
        <v>SINAPI</v>
      </c>
      <c r="D503" s="22" t="str">
        <f>VLOOKUP(B503,S!$A:$G,3,FALSE)</f>
        <v>PINTOR COM ENCARGOS COMPLEMENTARES</v>
      </c>
      <c r="E503" s="15" t="str">
        <f>VLOOKUP(B503,S!$A:$G,4,FALSE)</f>
        <v>H</v>
      </c>
      <c r="F503" s="15"/>
      <c r="G503" s="73">
        <f>I512</f>
        <v>29.069999999999997</v>
      </c>
      <c r="H503" s="74"/>
      <c r="I503" s="73"/>
      <c r="J503" s="74"/>
      <c r="K503" s="16">
        <f>VLOOKUP(B503,S!A:G,5,FALSE)</f>
        <v>29.07</v>
      </c>
      <c r="L503" s="15" t="str">
        <f>IF(K503=G503,"OK, CONFORME TABELA",IF(G503&gt;K503,"ACIMA DA TABELA: ","ABAIXO DA TABELA: ")&amp;TRUNC((G503*100)/K503,2)&amp;" %")</f>
        <v>OK, CONFORME TABELA</v>
      </c>
    </row>
    <row r="504" spans="1:18" ht="30" customHeight="1" x14ac:dyDescent="0.3">
      <c r="A504" s="23" t="s">
        <v>1022</v>
      </c>
      <c r="B504" s="23">
        <v>95372</v>
      </c>
      <c r="C504" s="23" t="str">
        <f>VLOOKUP(B504,IF(A504="COMPOSICAO",S!$A:$E,I!$A:$E),2,FALSE)</f>
        <v>SINAPI</v>
      </c>
      <c r="D504" s="24" t="str">
        <f>VLOOKUP(B504,IF(A504="COMPOSICAO",S!$A:$E,I!$A:$E),3,FALSE)</f>
        <v>CURSO DE CAPACITAÇÃO PARA PINTOR (ENCARGOS COMPLEMENTARES) - HORISTA</v>
      </c>
      <c r="E504" s="23" t="str">
        <f>VLOOKUP(B504,IF(A504="COMPOSICAO",S!$A:$E,I!$A:$E),4,FALSE)</f>
        <v>H</v>
      </c>
      <c r="F504" s="23">
        <v>1</v>
      </c>
      <c r="G504" s="71">
        <f>IF(A504="COMPOSICAO",VLOOKUP("TOTAL SEM BDI - "&amp;B504,CPUAUX2!$A:$J,9,FALSE),VLOOKUP(B504,I!$A:$E,5,FALSE))</f>
        <v>0.3</v>
      </c>
      <c r="H504" s="72"/>
      <c r="I504" s="71">
        <f t="shared" ref="I504:I511" si="108">TRUNC(F504*G504,2)</f>
        <v>0.3</v>
      </c>
      <c r="J504" s="72"/>
      <c r="M504" s="23">
        <f t="shared" ref="M504:M511" si="109">B504</f>
        <v>95372</v>
      </c>
      <c r="N504" s="23">
        <f>SUMIF(CPU!M:M,B503,CPU!O:O)</f>
        <v>80.709119999999999</v>
      </c>
      <c r="O504" s="23">
        <f t="shared" ref="O504:O511" si="110">F504*N504</f>
        <v>80.709119999999999</v>
      </c>
      <c r="Q504" s="23">
        <f ca="1">SUMIF(CPU!M:M,B503,CPU!R:R)</f>
        <v>32.283647999999999</v>
      </c>
      <c r="R504" s="23">
        <f t="shared" ref="R504:R511" ca="1" si="111">F504*Q504</f>
        <v>32.283647999999999</v>
      </c>
    </row>
    <row r="505" spans="1:18" ht="30" customHeight="1" x14ac:dyDescent="0.3">
      <c r="A505" s="23" t="s">
        <v>1025</v>
      </c>
      <c r="B505" s="23">
        <v>43490</v>
      </c>
      <c r="C505" s="23" t="str">
        <f>VLOOKUP(B505,IF(A505="COMPOSICAO",S!$A:$E,I!$A:$E),2,FALSE)</f>
        <v>SINAPI</v>
      </c>
      <c r="D505" s="24" t="str">
        <f>VLOOKUP(B505,IF(A505="COMPOSICAO",S!$A:$E,I!$A:$E),3,FALSE)</f>
        <v>EPI - FAMILIA PINTOR - HORISTA (ENCARGOS COMPLEMENTARES - COLETADO CAIXA)</v>
      </c>
      <c r="E505" s="23" t="str">
        <f>VLOOKUP(B505,IF(A505="COMPOSICAO",S!$A:$E,I!$A:$E),4,FALSE)</f>
        <v>H</v>
      </c>
      <c r="F505" s="23">
        <v>1</v>
      </c>
      <c r="G505" s="71">
        <f>IF(A505="COMPOSICAO",VLOOKUP("TOTAL SEM BDI - "&amp;B505,CPUAUX2!$A:$J,9,FALSE),VLOOKUP(B505,I!$A:$E,5,FALSE))</f>
        <v>1.85</v>
      </c>
      <c r="H505" s="72"/>
      <c r="I505" s="71">
        <f t="shared" si="108"/>
        <v>1.85</v>
      </c>
      <c r="J505" s="72"/>
      <c r="M505" s="23">
        <f t="shared" si="109"/>
        <v>43490</v>
      </c>
      <c r="N505" s="23">
        <f>SUMIF(CPU!M:M,B503,CPU!O:O)</f>
        <v>80.709119999999999</v>
      </c>
      <c r="O505" s="23">
        <f t="shared" si="110"/>
        <v>80.709119999999999</v>
      </c>
      <c r="Q505" s="23">
        <f ca="1">SUMIF(CPU!M:M,B503,CPU!R:R)</f>
        <v>32.283647999999999</v>
      </c>
      <c r="R505" s="23">
        <f t="shared" ca="1" si="111"/>
        <v>32.283647999999999</v>
      </c>
    </row>
    <row r="506" spans="1:18" ht="30" customHeight="1" x14ac:dyDescent="0.3">
      <c r="A506" s="23" t="s">
        <v>1025</v>
      </c>
      <c r="B506" s="23">
        <v>43466</v>
      </c>
      <c r="C506" s="23" t="str">
        <f>VLOOKUP(B506,IF(A506="COMPOSICAO",S!$A:$E,I!$A:$E),2,FALSE)</f>
        <v>SINAPI</v>
      </c>
      <c r="D506" s="24" t="str">
        <f>VLOOKUP(B506,IF(A506="COMPOSICAO",S!$A:$E,I!$A:$E),3,FALSE)</f>
        <v>FERRAMENTAS - FAMILIA PINTOR - HORISTA (ENCARGOS COMPLEMENTARES - COLETADO CAIXA)</v>
      </c>
      <c r="E506" s="23" t="str">
        <f>VLOOKUP(B506,IF(A506="COMPOSICAO",S!$A:$E,I!$A:$E),4,FALSE)</f>
        <v>H</v>
      </c>
      <c r="F506" s="23">
        <v>1</v>
      </c>
      <c r="G506" s="71">
        <f>IF(A506="COMPOSICAO",VLOOKUP("TOTAL SEM BDI - "&amp;B506,CPUAUX2!$A:$J,9,FALSE),VLOOKUP(B506,I!$A:$E,5,FALSE))</f>
        <v>2.0499999999999998</v>
      </c>
      <c r="H506" s="72"/>
      <c r="I506" s="71">
        <f t="shared" si="108"/>
        <v>2.0499999999999998</v>
      </c>
      <c r="J506" s="72"/>
      <c r="M506" s="23">
        <f t="shared" si="109"/>
        <v>43466</v>
      </c>
      <c r="N506" s="23">
        <f>SUMIF(CPU!M:M,B503,CPU!O:O)</f>
        <v>80.709119999999999</v>
      </c>
      <c r="O506" s="23">
        <f t="shared" si="110"/>
        <v>80.709119999999999</v>
      </c>
      <c r="Q506" s="23">
        <f ca="1">SUMIF(CPU!M:M,B503,CPU!R:R)</f>
        <v>32.283647999999999</v>
      </c>
      <c r="R506" s="23">
        <f t="shared" ca="1" si="111"/>
        <v>32.283647999999999</v>
      </c>
    </row>
    <row r="507" spans="1:18" ht="30" customHeight="1" x14ac:dyDescent="0.3">
      <c r="A507" s="23" t="s">
        <v>1025</v>
      </c>
      <c r="B507" s="23">
        <v>37373</v>
      </c>
      <c r="C507" s="23" t="str">
        <f>VLOOKUP(B507,IF(A507="COMPOSICAO",S!$A:$E,I!$A:$E),2,FALSE)</f>
        <v>SINAPI</v>
      </c>
      <c r="D507" s="24" t="str">
        <f>VLOOKUP(B507,IF(A507="COMPOSICAO",S!$A:$E,I!$A:$E),3,FALSE)</f>
        <v>SEGURO - HORISTA (COLETADO CAIXA - ENCARGOS COMPLEMENTARES)</v>
      </c>
      <c r="E507" s="23" t="str">
        <f>VLOOKUP(B507,IF(A507="COMPOSICAO",S!$A:$E,I!$A:$E),4,FALSE)</f>
        <v>H</v>
      </c>
      <c r="F507" s="23">
        <v>1</v>
      </c>
      <c r="G507" s="71">
        <f>IF(A507="COMPOSICAO",VLOOKUP("TOTAL SEM BDI - "&amp;B507,CPUAUX2!$A:$J,9,FALSE),VLOOKUP(B507,I!$A:$E,5,FALSE))</f>
        <v>0.08</v>
      </c>
      <c r="H507" s="72"/>
      <c r="I507" s="71">
        <f t="shared" si="108"/>
        <v>0.08</v>
      </c>
      <c r="J507" s="72"/>
      <c r="M507" s="23">
        <f t="shared" si="109"/>
        <v>37373</v>
      </c>
      <c r="N507" s="23">
        <f>SUMIF(CPU!M:M,B503,CPU!O:O)</f>
        <v>80.709119999999999</v>
      </c>
      <c r="O507" s="23">
        <f t="shared" si="110"/>
        <v>80.709119999999999</v>
      </c>
      <c r="Q507" s="23">
        <f ca="1">SUMIF(CPU!M:M,B503,CPU!R:R)</f>
        <v>32.283647999999999</v>
      </c>
      <c r="R507" s="23">
        <f t="shared" ca="1" si="111"/>
        <v>32.283647999999999</v>
      </c>
    </row>
    <row r="508" spans="1:18" ht="30" customHeight="1" x14ac:dyDescent="0.3">
      <c r="A508" s="23" t="s">
        <v>1025</v>
      </c>
      <c r="B508" s="23">
        <v>37372</v>
      </c>
      <c r="C508" s="23" t="str">
        <f>VLOOKUP(B508,IF(A508="COMPOSICAO",S!$A:$E,I!$A:$E),2,FALSE)</f>
        <v>SINAPI</v>
      </c>
      <c r="D508" s="24" t="str">
        <f>VLOOKUP(B508,IF(A508="COMPOSICAO",S!$A:$E,I!$A:$E),3,FALSE)</f>
        <v>EXAMES - HORISTA (COLETADO CAIXA - ENCARGOS COMPLEMENTARES)</v>
      </c>
      <c r="E508" s="23" t="str">
        <f>VLOOKUP(B508,IF(A508="COMPOSICAO",S!$A:$E,I!$A:$E),4,FALSE)</f>
        <v>H</v>
      </c>
      <c r="F508" s="23">
        <v>1</v>
      </c>
      <c r="G508" s="71">
        <f>IF(A508="COMPOSICAO",VLOOKUP("TOTAL SEM BDI - "&amp;B508,CPUAUX2!$A:$J,9,FALSE),VLOOKUP(B508,I!$A:$E,5,FALSE))</f>
        <v>1.43</v>
      </c>
      <c r="H508" s="72"/>
      <c r="I508" s="71">
        <f t="shared" si="108"/>
        <v>1.43</v>
      </c>
      <c r="J508" s="72"/>
      <c r="M508" s="23">
        <f t="shared" si="109"/>
        <v>37372</v>
      </c>
      <c r="N508" s="23">
        <f>SUMIF(CPU!M:M,B503,CPU!O:O)</f>
        <v>80.709119999999999</v>
      </c>
      <c r="O508" s="23">
        <f t="shared" si="110"/>
        <v>80.709119999999999</v>
      </c>
      <c r="Q508" s="23">
        <f ca="1">SUMIF(CPU!M:M,B503,CPU!R:R)</f>
        <v>32.283647999999999</v>
      </c>
      <c r="R508" s="23">
        <f t="shared" ca="1" si="111"/>
        <v>32.283647999999999</v>
      </c>
    </row>
    <row r="509" spans="1:18" ht="30" customHeight="1" x14ac:dyDescent="0.3">
      <c r="A509" s="23" t="s">
        <v>1025</v>
      </c>
      <c r="B509" s="23">
        <v>37371</v>
      </c>
      <c r="C509" s="23" t="str">
        <f>VLOOKUP(B509,IF(A509="COMPOSICAO",S!$A:$E,I!$A:$E),2,FALSE)</f>
        <v>SINAPI</v>
      </c>
      <c r="D509" s="24" t="str">
        <f>VLOOKUP(B509,IF(A509="COMPOSICAO",S!$A:$E,I!$A:$E),3,FALSE)</f>
        <v>TRANSPORTE - HORISTA (COLETADO CAIXA - ENCARGOS COMPLEMENTARES)</v>
      </c>
      <c r="E509" s="23" t="str">
        <f>VLOOKUP(B509,IF(A509="COMPOSICAO",S!$A:$E,I!$A:$E),4,FALSE)</f>
        <v>H</v>
      </c>
      <c r="F509" s="23">
        <v>1</v>
      </c>
      <c r="G509" s="71">
        <f>IF(A509="COMPOSICAO",VLOOKUP("TOTAL SEM BDI - "&amp;B509,CPUAUX2!$A:$J,9,FALSE),VLOOKUP(B509,I!$A:$E,5,FALSE))</f>
        <v>0.56999999999999995</v>
      </c>
      <c r="H509" s="72"/>
      <c r="I509" s="71">
        <f t="shared" si="108"/>
        <v>0.56999999999999995</v>
      </c>
      <c r="J509" s="72"/>
      <c r="M509" s="23">
        <f t="shared" si="109"/>
        <v>37371</v>
      </c>
      <c r="N509" s="23">
        <f>SUMIF(CPU!M:M,B503,CPU!O:O)</f>
        <v>80.709119999999999</v>
      </c>
      <c r="O509" s="23">
        <f t="shared" si="110"/>
        <v>80.709119999999999</v>
      </c>
      <c r="Q509" s="23">
        <f ca="1">SUMIF(CPU!M:M,B503,CPU!R:R)</f>
        <v>32.283647999999999</v>
      </c>
      <c r="R509" s="23">
        <f t="shared" ca="1" si="111"/>
        <v>32.283647999999999</v>
      </c>
    </row>
    <row r="510" spans="1:18" ht="30" customHeight="1" x14ac:dyDescent="0.3">
      <c r="A510" s="23" t="s">
        <v>1025</v>
      </c>
      <c r="B510" s="23">
        <v>37370</v>
      </c>
      <c r="C510" s="23" t="str">
        <f>VLOOKUP(B510,IF(A510="COMPOSICAO",S!$A:$E,I!$A:$E),2,FALSE)</f>
        <v>SINAPI</v>
      </c>
      <c r="D510" s="24" t="str">
        <f>VLOOKUP(B510,IF(A510="COMPOSICAO",S!$A:$E,I!$A:$E),3,FALSE)</f>
        <v>ALIMENTACAO - HORISTA (COLETADO CAIXA - ENCARGOS COMPLEMENTARES)</v>
      </c>
      <c r="E510" s="23" t="str">
        <f>VLOOKUP(B510,IF(A510="COMPOSICAO",S!$A:$E,I!$A:$E),4,FALSE)</f>
        <v>H</v>
      </c>
      <c r="F510" s="23">
        <v>1</v>
      </c>
      <c r="G510" s="71">
        <f>IF(A510="COMPOSICAO",VLOOKUP("TOTAL SEM BDI - "&amp;B510,CPUAUX2!$A:$J,9,FALSE),VLOOKUP(B510,I!$A:$E,5,FALSE))</f>
        <v>2.46</v>
      </c>
      <c r="H510" s="72"/>
      <c r="I510" s="71">
        <f t="shared" si="108"/>
        <v>2.46</v>
      </c>
      <c r="J510" s="72"/>
      <c r="M510" s="23">
        <f t="shared" si="109"/>
        <v>37370</v>
      </c>
      <c r="N510" s="23">
        <f>SUMIF(CPU!M:M,B503,CPU!O:O)</f>
        <v>80.709119999999999</v>
      </c>
      <c r="O510" s="23">
        <f t="shared" si="110"/>
        <v>80.709119999999999</v>
      </c>
      <c r="Q510" s="23">
        <f ca="1">SUMIF(CPU!M:M,B503,CPU!R:R)</f>
        <v>32.283647999999999</v>
      </c>
      <c r="R510" s="23">
        <f t="shared" ca="1" si="111"/>
        <v>32.283647999999999</v>
      </c>
    </row>
    <row r="511" spans="1:18" x14ac:dyDescent="0.3">
      <c r="A511" s="23" t="s">
        <v>1025</v>
      </c>
      <c r="B511" s="23">
        <v>4783</v>
      </c>
      <c r="C511" s="23" t="str">
        <f>VLOOKUP(B511,IF(A511="COMPOSICAO",S!$A:$E,I!$A:$E),2,FALSE)</f>
        <v>SINAPI</v>
      </c>
      <c r="D511" s="24" t="str">
        <f>VLOOKUP(B511,IF(A511="COMPOSICAO",S!$A:$E,I!$A:$E),3,FALSE)</f>
        <v>PINTOR (HORISTA)</v>
      </c>
      <c r="E511" s="23" t="str">
        <f>VLOOKUP(B511,IF(A511="COMPOSICAO",S!$A:$E,I!$A:$E),4,FALSE)</f>
        <v>H</v>
      </c>
      <c r="F511" s="23">
        <v>1</v>
      </c>
      <c r="G511" s="71">
        <f>IF(A511="COMPOSICAO",VLOOKUP("TOTAL SEM BDI - "&amp;B511,CPUAUX2!$A:$J,9,FALSE),VLOOKUP(B511,I!$A:$E,5,FALSE))</f>
        <v>20.329999999999998</v>
      </c>
      <c r="H511" s="72"/>
      <c r="I511" s="71">
        <f t="shared" si="108"/>
        <v>20.329999999999998</v>
      </c>
      <c r="J511" s="72"/>
      <c r="M511" s="23">
        <f t="shared" si="109"/>
        <v>4783</v>
      </c>
      <c r="N511" s="23">
        <f>SUMIF(CPU!M:M,B503,CPU!O:O)</f>
        <v>80.709119999999999</v>
      </c>
      <c r="O511" s="23">
        <f t="shared" si="110"/>
        <v>80.709119999999999</v>
      </c>
      <c r="Q511" s="23">
        <f ca="1">SUMIF(CPU!M:M,B503,CPU!R:R)</f>
        <v>32.283647999999999</v>
      </c>
      <c r="R511" s="23">
        <f t="shared" ca="1" si="111"/>
        <v>32.283647999999999</v>
      </c>
    </row>
    <row r="512" spans="1:18" x14ac:dyDescent="0.3">
      <c r="A512" s="68" t="str">
        <f>"TOTAL SEM BDI - "&amp;B503</f>
        <v>TOTAL SEM BDI - 88310</v>
      </c>
      <c r="B512" s="69"/>
      <c r="C512" s="69"/>
      <c r="D512" s="69"/>
      <c r="E512" s="69"/>
      <c r="F512" s="69"/>
      <c r="G512" s="69"/>
      <c r="H512" s="70"/>
      <c r="I512" s="71">
        <f>SUM(I503:I511)</f>
        <v>29.069999999999997</v>
      </c>
      <c r="J512" s="72"/>
    </row>
    <row r="514" spans="1:18" x14ac:dyDescent="0.3">
      <c r="A514" s="4" t="s">
        <v>1018</v>
      </c>
      <c r="B514" s="4" t="s">
        <v>138</v>
      </c>
      <c r="C514" s="4" t="s">
        <v>139</v>
      </c>
      <c r="D514" s="4" t="s">
        <v>21</v>
      </c>
      <c r="E514" s="4" t="s">
        <v>140</v>
      </c>
      <c r="F514" s="4" t="s">
        <v>506</v>
      </c>
      <c r="G514" s="34" t="s">
        <v>1019</v>
      </c>
      <c r="H514" s="35"/>
      <c r="I514" s="34" t="s">
        <v>15</v>
      </c>
      <c r="J514" s="35"/>
    </row>
    <row r="515" spans="1:18" ht="60" customHeight="1" x14ac:dyDescent="0.3">
      <c r="A515" s="15" t="s">
        <v>1095</v>
      </c>
      <c r="B515" s="15">
        <v>94962</v>
      </c>
      <c r="C515" s="15" t="str">
        <f>VLOOKUP(B515,S!$A:$G,2,FALSE)</f>
        <v>SINAPI</v>
      </c>
      <c r="D515" s="22" t="str">
        <f>VLOOKUP(B515,S!$A:$G,3,FALSE)</f>
        <v>CONCRETO MAGRO PARA LASTRO, TRAÇO 1:4,5:4,5 (EM MASSA SECA DE CIMENTO/ AREIA MÉDIA/ BRITA 1) - PREPARO MECÂNICO COM BETONEIRA 400 L. AF_05/2021</v>
      </c>
      <c r="E515" s="15" t="str">
        <f>VLOOKUP(B515,S!$A:$G,4,FALSE)</f>
        <v>M3</v>
      </c>
      <c r="F515" s="15"/>
      <c r="G515" s="73">
        <f>I523</f>
        <v>527.55999999999995</v>
      </c>
      <c r="H515" s="74"/>
      <c r="I515" s="73"/>
      <c r="J515" s="74"/>
      <c r="K515" s="16">
        <f>VLOOKUP(B515,S!A:G,5,FALSE)</f>
        <v>527.55999999999995</v>
      </c>
      <c r="L515" s="15" t="str">
        <f>IF(K515=G515,"OK, CONFORME TABELA",IF(G515&gt;K515,"ACIMA DA TABELA: ","ABAIXO DA TABELA: ")&amp;TRUNC((G515*100)/K515,2)&amp;" %")</f>
        <v>OK, CONFORME TABELA</v>
      </c>
    </row>
    <row r="516" spans="1:18" ht="60" customHeight="1" x14ac:dyDescent="0.3">
      <c r="A516" s="23" t="s">
        <v>1022</v>
      </c>
      <c r="B516" s="23">
        <v>88831</v>
      </c>
      <c r="C516" s="23" t="str">
        <f>VLOOKUP(B516,IF(A516="COMPOSICAO",S!$A:$E,I!$A:$E),2,FALSE)</f>
        <v>SINAPI</v>
      </c>
      <c r="D516" s="24" t="str">
        <f>VLOOKUP(B516,IF(A516="COMPOSICAO",S!$A:$E,I!$A:$E),3,FALSE)</f>
        <v>BETONEIRA CAPACIDADE NOMINAL DE 400 L, CAPACIDADE DE MISTURA 280 L, MOTOR ELÉTRICO TRIFÁSICO POTÊNCIA DE 2 CV, SEM CARREGADOR - CHI DIURNO. AF_05/2023</v>
      </c>
      <c r="E516" s="23" t="str">
        <f>VLOOKUP(B516,IF(A516="COMPOSICAO",S!$A:$E,I!$A:$E),4,FALSE)</f>
        <v>CHI</v>
      </c>
      <c r="F516" s="23">
        <v>0.71879999999999999</v>
      </c>
      <c r="G516" s="71">
        <f>IF(A516="COMPOSICAO",VLOOKUP("TOTAL SEM BDI - "&amp;B516,CPUAUX2!$A:$J,9,FALSE),VLOOKUP(B516,I!$A:$E,5,FALSE))</f>
        <v>0.5</v>
      </c>
      <c r="H516" s="72"/>
      <c r="I516" s="71">
        <f t="shared" ref="I516:I522" si="112">TRUNC(F516*G516,2)</f>
        <v>0.35</v>
      </c>
      <c r="J516" s="72"/>
      <c r="M516" s="23">
        <f t="shared" ref="M516:M522" si="113">B516</f>
        <v>88831</v>
      </c>
      <c r="N516" s="23">
        <f>SUMIF(CPU!M:M,B515,CPU!O:O)</f>
        <v>16.649999999999999</v>
      </c>
      <c r="O516" s="23">
        <f t="shared" ref="O516:O522" si="114">F516*N516</f>
        <v>11.968019999999999</v>
      </c>
      <c r="Q516" s="23">
        <f ca="1">SUMIF(CPU!M:M,B515,CPU!R:R)</f>
        <v>6.66</v>
      </c>
      <c r="R516" s="23">
        <f t="shared" ref="R516:R522" ca="1" si="115">F516*Q516</f>
        <v>4.7872079999999997</v>
      </c>
    </row>
    <row r="517" spans="1:18" ht="60" customHeight="1" x14ac:dyDescent="0.3">
      <c r="A517" s="23" t="s">
        <v>1022</v>
      </c>
      <c r="B517" s="23">
        <v>88830</v>
      </c>
      <c r="C517" s="23" t="str">
        <f>VLOOKUP(B517,IF(A517="COMPOSICAO",S!$A:$E,I!$A:$E),2,FALSE)</f>
        <v>SINAPI</v>
      </c>
      <c r="D517" s="24" t="str">
        <f>VLOOKUP(B517,IF(A517="COMPOSICAO",S!$A:$E,I!$A:$E),3,FALSE)</f>
        <v>BETONEIRA CAPACIDADE NOMINAL DE 400 L, CAPACIDADE DE MISTURA 280 L, MOTOR ELÉTRICO TRIFÁSICO POTÊNCIA DE 2 CV, SEM CARREGADOR - CHP DIURNO. AF_05/2023</v>
      </c>
      <c r="E517" s="23" t="str">
        <f>VLOOKUP(B517,IF(A517="COMPOSICAO",S!$A:$E,I!$A:$E),4,FALSE)</f>
        <v>CHP</v>
      </c>
      <c r="F517" s="23">
        <v>0.76229999999999998</v>
      </c>
      <c r="G517" s="71">
        <f>IF(A517="COMPOSICAO",VLOOKUP("TOTAL SEM BDI - "&amp;B517,CPUAUX2!$A:$J,9,FALSE),VLOOKUP(B517,I!$A:$E,5,FALSE))</f>
        <v>2.3200000000000003</v>
      </c>
      <c r="H517" s="72"/>
      <c r="I517" s="71">
        <f t="shared" si="112"/>
        <v>1.76</v>
      </c>
      <c r="J517" s="72"/>
      <c r="M517" s="23">
        <f t="shared" si="113"/>
        <v>88830</v>
      </c>
      <c r="N517" s="23">
        <f>SUMIF(CPU!M:M,B515,CPU!O:O)</f>
        <v>16.649999999999999</v>
      </c>
      <c r="O517" s="23">
        <f t="shared" si="114"/>
        <v>12.692294999999998</v>
      </c>
      <c r="Q517" s="23">
        <f ca="1">SUMIF(CPU!M:M,B515,CPU!R:R)</f>
        <v>6.66</v>
      </c>
      <c r="R517" s="23">
        <f t="shared" ca="1" si="115"/>
        <v>5.076918</v>
      </c>
    </row>
    <row r="518" spans="1:18" ht="30" customHeight="1" x14ac:dyDescent="0.3">
      <c r="A518" s="23" t="s">
        <v>1022</v>
      </c>
      <c r="B518" s="23">
        <v>88377</v>
      </c>
      <c r="C518" s="23" t="str">
        <f>VLOOKUP(B518,IF(A518="COMPOSICAO",S!$A:$E,I!$A:$E),2,FALSE)</f>
        <v>SINAPI</v>
      </c>
      <c r="D518" s="24" t="str">
        <f>VLOOKUP(B518,IF(A518="COMPOSICAO",S!$A:$E,I!$A:$E),3,FALSE)</f>
        <v>OPERADOR DE BETONEIRA ESTACIONÁRIA/MISTURADOR COM ENCARGOS COMPLEMENTARES</v>
      </c>
      <c r="E518" s="23" t="str">
        <f>VLOOKUP(B518,IF(A518="COMPOSICAO",S!$A:$E,I!$A:$E),4,FALSE)</f>
        <v>H</v>
      </c>
      <c r="F518" s="23">
        <f>1.4811/pcf</f>
        <v>1.4811000000000001</v>
      </c>
      <c r="G518" s="71">
        <f>IF(A518="COMPOSICAO",VLOOKUP("TOTAL SEM BDI - "&amp;B518,CPUAUX2!$A:$J,9,FALSE),VLOOKUP(B518,I!$A:$E,5,FALSE))</f>
        <v>27.09</v>
      </c>
      <c r="H518" s="72"/>
      <c r="I518" s="71">
        <f t="shared" si="112"/>
        <v>40.119999999999997</v>
      </c>
      <c r="J518" s="72"/>
      <c r="M518" s="23">
        <f t="shared" si="113"/>
        <v>88377</v>
      </c>
      <c r="N518" s="23">
        <f>SUMIF(CPU!M:M,B515,CPU!O:O)</f>
        <v>16.649999999999999</v>
      </c>
      <c r="O518" s="23">
        <f t="shared" si="114"/>
        <v>24.660315000000001</v>
      </c>
      <c r="Q518" s="23">
        <f ca="1">SUMIF(CPU!M:M,B515,CPU!R:R)</f>
        <v>6.66</v>
      </c>
      <c r="R518" s="23">
        <f t="shared" ca="1" si="115"/>
        <v>9.8641260000000006</v>
      </c>
    </row>
    <row r="519" spans="1:18" x14ac:dyDescent="0.3">
      <c r="A519" s="23" t="s">
        <v>1022</v>
      </c>
      <c r="B519" s="23">
        <v>88316</v>
      </c>
      <c r="C519" s="23" t="str">
        <f>VLOOKUP(B519,IF(A519="COMPOSICAO",S!$A:$E,I!$A:$E),2,FALSE)</f>
        <v>SINAPI</v>
      </c>
      <c r="D519" s="24" t="str">
        <f>VLOOKUP(B519,IF(A519="COMPOSICAO",S!$A:$E,I!$A:$E),3,FALSE)</f>
        <v>SERVENTE COM ENCARGOS COMPLEMENTARES</v>
      </c>
      <c r="E519" s="23" t="str">
        <f>VLOOKUP(B519,IF(A519="COMPOSICAO",S!$A:$E,I!$A:$E),4,FALSE)</f>
        <v>H</v>
      </c>
      <c r="F519" s="23">
        <f>2.3433/pcf</f>
        <v>2.3433000000000002</v>
      </c>
      <c r="G519" s="71">
        <f>IF(A519="COMPOSICAO",VLOOKUP("TOTAL SEM BDI - "&amp;B519,CPUAUX2!$A:$J,9,FALSE),VLOOKUP(B519,I!$A:$E,5,FALSE))</f>
        <v>21.71</v>
      </c>
      <c r="H519" s="72"/>
      <c r="I519" s="71">
        <f t="shared" si="112"/>
        <v>50.87</v>
      </c>
      <c r="J519" s="72"/>
      <c r="M519" s="23">
        <f t="shared" si="113"/>
        <v>88316</v>
      </c>
      <c r="N519" s="23">
        <f>SUMIF(CPU!M:M,B515,CPU!O:O)</f>
        <v>16.649999999999999</v>
      </c>
      <c r="O519" s="23">
        <f t="shared" si="114"/>
        <v>39.015945000000002</v>
      </c>
      <c r="Q519" s="23">
        <f ca="1">SUMIF(CPU!M:M,B515,CPU!R:R)</f>
        <v>6.66</v>
      </c>
      <c r="R519" s="23">
        <f t="shared" ca="1" si="115"/>
        <v>15.606378000000001</v>
      </c>
    </row>
    <row r="520" spans="1:18" ht="30" customHeight="1" x14ac:dyDescent="0.3">
      <c r="A520" s="23" t="s">
        <v>1025</v>
      </c>
      <c r="B520" s="23">
        <v>4721</v>
      </c>
      <c r="C520" s="23" t="str">
        <f>VLOOKUP(B520,IF(A520="COMPOSICAO",S!$A:$E,I!$A:$E),2,FALSE)</f>
        <v>SINAPI</v>
      </c>
      <c r="D520" s="24" t="str">
        <f>VLOOKUP(B520,IF(A520="COMPOSICAO",S!$A:$E,I!$A:$E),3,FALSE)</f>
        <v>PEDRA BRITADA N. 1 (9,5 A 19 MM) POSTO PEDREIRA/FORNECEDOR, SEM FRETE</v>
      </c>
      <c r="E520" s="23" t="str">
        <f>VLOOKUP(B520,IF(A520="COMPOSICAO",S!$A:$E,I!$A:$E),4,FALSE)</f>
        <v>M3</v>
      </c>
      <c r="F520" s="23">
        <v>0.57820000000000005</v>
      </c>
      <c r="G520" s="71">
        <f>IF(A520="COMPOSICAO",VLOOKUP("TOTAL SEM BDI - "&amp;B520,CPUAUX2!$A:$J,9,FALSE),VLOOKUP(B520,I!$A:$E,5,FALSE))</f>
        <v>248.89</v>
      </c>
      <c r="H520" s="72"/>
      <c r="I520" s="71">
        <f t="shared" si="112"/>
        <v>143.9</v>
      </c>
      <c r="J520" s="72"/>
      <c r="M520" s="23">
        <f t="shared" si="113"/>
        <v>4721</v>
      </c>
      <c r="N520" s="23">
        <f>SUMIF(CPU!M:M,B515,CPU!O:O)</f>
        <v>16.649999999999999</v>
      </c>
      <c r="O520" s="23">
        <f t="shared" si="114"/>
        <v>9.6270299999999995</v>
      </c>
      <c r="Q520" s="23">
        <f ca="1">SUMIF(CPU!M:M,B515,CPU!R:R)</f>
        <v>6.66</v>
      </c>
      <c r="R520" s="23">
        <f t="shared" ca="1" si="115"/>
        <v>3.8508120000000003</v>
      </c>
    </row>
    <row r="521" spans="1:18" x14ac:dyDescent="0.3">
      <c r="A521" s="23" t="s">
        <v>1025</v>
      </c>
      <c r="B521" s="23">
        <v>1379</v>
      </c>
      <c r="C521" s="23" t="str">
        <f>VLOOKUP(B521,IF(A521="COMPOSICAO",S!$A:$E,I!$A:$E),2,FALSE)</f>
        <v>SINAPI</v>
      </c>
      <c r="D521" s="24" t="str">
        <f>VLOOKUP(B521,IF(A521="COMPOSICAO",S!$A:$E,I!$A:$E),3,FALSE)</f>
        <v>CIMENTO PORTLAND COMPOSTO CP II-32</v>
      </c>
      <c r="E521" s="23" t="str">
        <f>VLOOKUP(B521,IF(A521="COMPOSICAO",S!$A:$E,I!$A:$E),4,FALSE)</f>
        <v>KG</v>
      </c>
      <c r="F521" s="23">
        <v>212.01939999999999</v>
      </c>
      <c r="G521" s="71">
        <f>IF(A521="COMPOSICAO",VLOOKUP("TOTAL SEM BDI - "&amp;B521,CPUAUX2!$A:$J,9,FALSE),VLOOKUP(B521,I!$A:$E,5,FALSE))</f>
        <v>1</v>
      </c>
      <c r="H521" s="72"/>
      <c r="I521" s="71">
        <f t="shared" si="112"/>
        <v>212.01</v>
      </c>
      <c r="J521" s="72"/>
      <c r="M521" s="23">
        <f t="shared" si="113"/>
        <v>1379</v>
      </c>
      <c r="N521" s="23">
        <f>SUMIF(CPU!M:M,B515,CPU!O:O)</f>
        <v>16.649999999999999</v>
      </c>
      <c r="O521" s="23">
        <f t="shared" si="114"/>
        <v>3530.1230099999993</v>
      </c>
      <c r="Q521" s="23">
        <f ca="1">SUMIF(CPU!M:M,B515,CPU!R:R)</f>
        <v>6.66</v>
      </c>
      <c r="R521" s="23">
        <f t="shared" ca="1" si="115"/>
        <v>1412.0492039999999</v>
      </c>
    </row>
    <row r="522" spans="1:18" ht="30" customHeight="1" x14ac:dyDescent="0.3">
      <c r="A522" s="23" t="s">
        <v>1025</v>
      </c>
      <c r="B522" s="23">
        <v>370</v>
      </c>
      <c r="C522" s="23" t="str">
        <f>VLOOKUP(B522,IF(A522="COMPOSICAO",S!$A:$E,I!$A:$E),2,FALSE)</f>
        <v>SINAPI</v>
      </c>
      <c r="D522" s="24" t="str">
        <f>VLOOKUP(B522,IF(A522="COMPOSICAO",S!$A:$E,I!$A:$E),3,FALSE)</f>
        <v>AREIA MEDIA - POSTO JAZIDA/FORNECEDOR (RETIRADO NA JAZIDA, SEM TRANSPORTE)</v>
      </c>
      <c r="E522" s="23" t="str">
        <f>VLOOKUP(B522,IF(A522="COMPOSICAO",S!$A:$E,I!$A:$E),4,FALSE)</f>
        <v>M3</v>
      </c>
      <c r="F522" s="23">
        <v>0.82689999999999997</v>
      </c>
      <c r="G522" s="71">
        <f>IF(A522="COMPOSICAO",VLOOKUP("TOTAL SEM BDI - "&amp;B522,CPUAUX2!$A:$J,9,FALSE),VLOOKUP(B522,I!$A:$E,5,FALSE))</f>
        <v>95</v>
      </c>
      <c r="H522" s="72"/>
      <c r="I522" s="71">
        <f t="shared" si="112"/>
        <v>78.55</v>
      </c>
      <c r="J522" s="72"/>
      <c r="M522" s="23">
        <f t="shared" si="113"/>
        <v>370</v>
      </c>
      <c r="N522" s="23">
        <f>SUMIF(CPU!M:M,B515,CPU!O:O)</f>
        <v>16.649999999999999</v>
      </c>
      <c r="O522" s="23">
        <f t="shared" si="114"/>
        <v>13.767884999999998</v>
      </c>
      <c r="Q522" s="23">
        <f ca="1">SUMIF(CPU!M:M,B515,CPU!R:R)</f>
        <v>6.66</v>
      </c>
      <c r="R522" s="23">
        <f t="shared" ca="1" si="115"/>
        <v>5.5071539999999999</v>
      </c>
    </row>
    <row r="523" spans="1:18" x14ac:dyDescent="0.3">
      <c r="A523" s="68" t="str">
        <f>"TOTAL SEM BDI - "&amp;B515</f>
        <v>TOTAL SEM BDI - 94962</v>
      </c>
      <c r="B523" s="69"/>
      <c r="C523" s="69"/>
      <c r="D523" s="69"/>
      <c r="E523" s="69"/>
      <c r="F523" s="69"/>
      <c r="G523" s="69"/>
      <c r="H523" s="70"/>
      <c r="I523" s="71">
        <f>SUM(I515:I522)</f>
        <v>527.55999999999995</v>
      </c>
      <c r="J523" s="72"/>
    </row>
    <row r="525" spans="1:18" x14ac:dyDescent="0.3">
      <c r="A525" s="4" t="s">
        <v>1018</v>
      </c>
      <c r="B525" s="4" t="s">
        <v>138</v>
      </c>
      <c r="C525" s="4" t="s">
        <v>139</v>
      </c>
      <c r="D525" s="4" t="s">
        <v>21</v>
      </c>
      <c r="E525" s="4" t="s">
        <v>140</v>
      </c>
      <c r="F525" s="4" t="s">
        <v>506</v>
      </c>
      <c r="G525" s="34" t="s">
        <v>1019</v>
      </c>
      <c r="H525" s="35"/>
      <c r="I525" s="34" t="s">
        <v>15</v>
      </c>
      <c r="J525" s="35"/>
    </row>
    <row r="526" spans="1:18" ht="60" customHeight="1" x14ac:dyDescent="0.3">
      <c r="A526" s="15" t="s">
        <v>1103</v>
      </c>
      <c r="B526" s="15">
        <v>104749</v>
      </c>
      <c r="C526" s="15" t="str">
        <f>VLOOKUP(B526,S!$A:$G,2,FALSE)</f>
        <v>SINAPI</v>
      </c>
      <c r="D526" s="22" t="str">
        <f>VLOOKUP(B526,S!$A:$G,3,FALSE)</f>
        <v>CONECTOR GRAMPO METÁLICO TIPO OLHAL, PARA SPDA, PARA HASTE DE ATERRAMENTO DE 3/4" E CABOS DE 10 A 50 MM2 - FORNECIMENTO E INSTALAÇÃO. AF_08/2023</v>
      </c>
      <c r="E526" s="15" t="str">
        <f>VLOOKUP(B526,S!$A:$G,4,FALSE)</f>
        <v>UN</v>
      </c>
      <c r="F526" s="15"/>
      <c r="G526" s="73">
        <f>I530</f>
        <v>21.5</v>
      </c>
      <c r="H526" s="74"/>
      <c r="I526" s="73"/>
      <c r="J526" s="74"/>
      <c r="K526" s="16">
        <f>VLOOKUP(B526,S!A:G,5,FALSE)</f>
        <v>21.5</v>
      </c>
      <c r="L526" s="15" t="str">
        <f>IF(K526=G526,"OK, CONFORME TABELA",IF(G526&gt;K526,"ACIMA DA TABELA: ","ABAIXO DA TABELA: ")&amp;TRUNC((G526*100)/K526,2)&amp;" %")</f>
        <v>OK, CONFORME TABELA</v>
      </c>
    </row>
    <row r="527" spans="1:18" x14ac:dyDescent="0.3">
      <c r="A527" s="23" t="s">
        <v>1022</v>
      </c>
      <c r="B527" s="23">
        <v>88264</v>
      </c>
      <c r="C527" s="23" t="str">
        <f>VLOOKUP(B527,IF(A527="COMPOSICAO",S!$A:$E,I!$A:$E),2,FALSE)</f>
        <v>SINAPI</v>
      </c>
      <c r="D527" s="24" t="str">
        <f>VLOOKUP(B527,IF(A527="COMPOSICAO",S!$A:$E,I!$A:$E),3,FALSE)</f>
        <v>ELETRICISTA COM ENCARGOS COMPLEMENTARES</v>
      </c>
      <c r="E527" s="23" t="str">
        <f>VLOOKUP(B527,IF(A527="COMPOSICAO",S!$A:$E,I!$A:$E),4,FALSE)</f>
        <v>H</v>
      </c>
      <c r="F527" s="23">
        <f>0.1863/pcf</f>
        <v>0.18629999999999999</v>
      </c>
      <c r="G527" s="71">
        <f>IF(A527="COMPOSICAO",VLOOKUP("TOTAL SEM BDI - "&amp;B527,CPUAUX2!$A:$J,9,FALSE),VLOOKUP(B527,I!$A:$E,5,FALSE))</f>
        <v>27.74</v>
      </c>
      <c r="H527" s="72"/>
      <c r="I527" s="71">
        <f>TRUNC(F527*G527,2)</f>
        <v>5.16</v>
      </c>
      <c r="J527" s="72"/>
      <c r="M527" s="23">
        <f>B527</f>
        <v>88264</v>
      </c>
      <c r="N527" s="23">
        <f>SUMIF(CPU!M:M,B526,CPU!O:O)</f>
        <v>5</v>
      </c>
      <c r="O527" s="23">
        <f>F527*N527</f>
        <v>0.93149999999999999</v>
      </c>
      <c r="Q527" s="23">
        <f ca="1">SUMIF(CPU!M:M,B526,CPU!R:R)</f>
        <v>2</v>
      </c>
      <c r="R527" s="23">
        <f ca="1">F527*Q527</f>
        <v>0.37259999999999999</v>
      </c>
    </row>
    <row r="528" spans="1:18" ht="30" customHeight="1" x14ac:dyDescent="0.3">
      <c r="A528" s="23" t="s">
        <v>1022</v>
      </c>
      <c r="B528" s="23">
        <v>88247</v>
      </c>
      <c r="C528" s="23" t="str">
        <f>VLOOKUP(B528,IF(A528="COMPOSICAO",S!$A:$E,I!$A:$E),2,FALSE)</f>
        <v>SINAPI</v>
      </c>
      <c r="D528" s="24" t="str">
        <f>VLOOKUP(B528,IF(A528="COMPOSICAO",S!$A:$E,I!$A:$E),3,FALSE)</f>
        <v>AUXILIAR DE ELETRICISTA COM ENCARGOS COMPLEMENTARES</v>
      </c>
      <c r="E528" s="23" t="str">
        <f>VLOOKUP(B528,IF(A528="COMPOSICAO",S!$A:$E,I!$A:$E),4,FALSE)</f>
        <v>H</v>
      </c>
      <c r="F528" s="23">
        <f>0.1863/pcf</f>
        <v>0.18629999999999999</v>
      </c>
      <c r="G528" s="71">
        <f>IF(A528="COMPOSICAO",VLOOKUP("TOTAL SEM BDI - "&amp;B528,CPUAUX2!$A:$J,9,FALSE),VLOOKUP(B528,I!$A:$E,5,FALSE))</f>
        <v>22.810000000000002</v>
      </c>
      <c r="H528" s="72"/>
      <c r="I528" s="71">
        <f>TRUNC(F528*G528,2)</f>
        <v>4.24</v>
      </c>
      <c r="J528" s="72"/>
      <c r="M528" s="23">
        <f>B528</f>
        <v>88247</v>
      </c>
      <c r="N528" s="23">
        <f>SUMIF(CPU!M:M,B526,CPU!O:O)</f>
        <v>5</v>
      </c>
      <c r="O528" s="23">
        <f>F528*N528</f>
        <v>0.93149999999999999</v>
      </c>
      <c r="Q528" s="23">
        <f ca="1">SUMIF(CPU!M:M,B526,CPU!R:R)</f>
        <v>2</v>
      </c>
      <c r="R528" s="23">
        <f ca="1">F528*Q528</f>
        <v>0.37259999999999999</v>
      </c>
    </row>
    <row r="529" spans="1:18" ht="30" customHeight="1" x14ac:dyDescent="0.3">
      <c r="A529" s="23" t="s">
        <v>1025</v>
      </c>
      <c r="B529" s="23">
        <v>416</v>
      </c>
      <c r="C529" s="23" t="str">
        <f>VLOOKUP(B529,IF(A529="COMPOSICAO",S!$A:$E,I!$A:$E),2,FALSE)</f>
        <v>SINAPI</v>
      </c>
      <c r="D529" s="24" t="str">
        <f>VLOOKUP(B529,IF(A529="COMPOSICAO",S!$A:$E,I!$A:$E),3,FALSE)</f>
        <v>GRAMPO METALICO TIPO OLHAL PARA HASTE DE ATERRAMENTO DE 3/4", CONDUTOR DE *10* A 50 MM2</v>
      </c>
      <c r="E529" s="23" t="str">
        <f>VLOOKUP(B529,IF(A529="COMPOSICAO",S!$A:$E,I!$A:$E),4,FALSE)</f>
        <v>UN</v>
      </c>
      <c r="F529" s="23">
        <v>1</v>
      </c>
      <c r="G529" s="71">
        <f>IF(A529="COMPOSICAO",VLOOKUP("TOTAL SEM BDI - "&amp;B529,CPUAUX2!$A:$J,9,FALSE),VLOOKUP(B529,I!$A:$E,5,FALSE))</f>
        <v>12.1</v>
      </c>
      <c r="H529" s="72"/>
      <c r="I529" s="71">
        <f>TRUNC(F529*G529,2)</f>
        <v>12.1</v>
      </c>
      <c r="J529" s="72"/>
      <c r="M529" s="23">
        <f>B529</f>
        <v>416</v>
      </c>
      <c r="N529" s="23">
        <f>SUMIF(CPU!M:M,B526,CPU!O:O)</f>
        <v>5</v>
      </c>
      <c r="O529" s="23">
        <f>F529*N529</f>
        <v>5</v>
      </c>
      <c r="Q529" s="23">
        <f ca="1">SUMIF(CPU!M:M,B526,CPU!R:R)</f>
        <v>2</v>
      </c>
      <c r="R529" s="23">
        <f ca="1">F529*Q529</f>
        <v>2</v>
      </c>
    </row>
    <row r="530" spans="1:18" x14ac:dyDescent="0.3">
      <c r="A530" s="68" t="str">
        <f>"TOTAL SEM BDI - "&amp;B526</f>
        <v>TOTAL SEM BDI - 104749</v>
      </c>
      <c r="B530" s="69"/>
      <c r="C530" s="69"/>
      <c r="D530" s="69"/>
      <c r="E530" s="69"/>
      <c r="F530" s="69"/>
      <c r="G530" s="69"/>
      <c r="H530" s="70"/>
      <c r="I530" s="71">
        <f>SUM(I526:I529)</f>
        <v>21.5</v>
      </c>
      <c r="J530" s="72"/>
    </row>
    <row r="532" spans="1:18" x14ac:dyDescent="0.3">
      <c r="A532" s="4" t="s">
        <v>1018</v>
      </c>
      <c r="B532" s="4" t="s">
        <v>138</v>
      </c>
      <c r="C532" s="4" t="s">
        <v>139</v>
      </c>
      <c r="D532" s="4" t="s">
        <v>21</v>
      </c>
      <c r="E532" s="4" t="s">
        <v>140</v>
      </c>
      <c r="F532" s="4" t="s">
        <v>506</v>
      </c>
      <c r="G532" s="34" t="s">
        <v>1019</v>
      </c>
      <c r="H532" s="35"/>
      <c r="I532" s="34" t="s">
        <v>15</v>
      </c>
      <c r="J532" s="35"/>
    </row>
    <row r="533" spans="1:18" ht="45" customHeight="1" x14ac:dyDescent="0.3">
      <c r="A533" s="15" t="s">
        <v>1103</v>
      </c>
      <c r="B533" s="15">
        <v>96986</v>
      </c>
      <c r="C533" s="15" t="str">
        <f>VLOOKUP(B533,S!$A:$G,2,FALSE)</f>
        <v>SINAPI</v>
      </c>
      <c r="D533" s="22" t="str">
        <f>VLOOKUP(B533,S!$A:$G,3,FALSE)</f>
        <v>HASTE DE ATERRAMENTO, DIÂMETRO 3/4", COM 3 METROS - FORNECIMENTO E INSTALAÇÃO. AF_08/2023</v>
      </c>
      <c r="E533" s="15" t="str">
        <f>VLOOKUP(B533,S!$A:$G,4,FALSE)</f>
        <v>UN</v>
      </c>
      <c r="F533" s="15"/>
      <c r="G533" s="73">
        <f>I537</f>
        <v>136.6</v>
      </c>
      <c r="H533" s="74"/>
      <c r="I533" s="73"/>
      <c r="J533" s="74"/>
      <c r="K533" s="16">
        <f>VLOOKUP(B533,S!A:G,5,FALSE)</f>
        <v>136.6</v>
      </c>
      <c r="L533" s="15" t="str">
        <f>IF(K533=G533,"OK, CONFORME TABELA",IF(G533&gt;K533,"ACIMA DA TABELA: ","ABAIXO DA TABELA: ")&amp;TRUNC((G533*100)/K533,2)&amp;" %")</f>
        <v>OK, CONFORME TABELA</v>
      </c>
    </row>
    <row r="534" spans="1:18" x14ac:dyDescent="0.3">
      <c r="A534" s="23" t="s">
        <v>1022</v>
      </c>
      <c r="B534" s="23">
        <v>88264</v>
      </c>
      <c r="C534" s="23" t="str">
        <f>VLOOKUP(B534,IF(A534="COMPOSICAO",S!$A:$E,I!$A:$E),2,FALSE)</f>
        <v>SINAPI</v>
      </c>
      <c r="D534" s="24" t="str">
        <f>VLOOKUP(B534,IF(A534="COMPOSICAO",S!$A:$E,I!$A:$E),3,FALSE)</f>
        <v>ELETRICISTA COM ENCARGOS COMPLEMENTARES</v>
      </c>
      <c r="E534" s="23" t="str">
        <f>VLOOKUP(B534,IF(A534="COMPOSICAO",S!$A:$E,I!$A:$E),4,FALSE)</f>
        <v>H</v>
      </c>
      <c r="F534" s="23">
        <f>0.3882/pcf</f>
        <v>0.38819999999999999</v>
      </c>
      <c r="G534" s="71">
        <f>IF(A534="COMPOSICAO",VLOOKUP("TOTAL SEM BDI - "&amp;B534,CPUAUX2!$A:$J,9,FALSE),VLOOKUP(B534,I!$A:$E,5,FALSE))</f>
        <v>27.74</v>
      </c>
      <c r="H534" s="72"/>
      <c r="I534" s="71">
        <f>TRUNC(F534*G534,2)</f>
        <v>10.76</v>
      </c>
      <c r="J534" s="72"/>
      <c r="M534" s="23">
        <f>B534</f>
        <v>88264</v>
      </c>
      <c r="N534" s="23">
        <f>SUMIF(CPU!M:M,B533,CPU!O:O)</f>
        <v>5</v>
      </c>
      <c r="O534" s="23">
        <f>F534*N534</f>
        <v>1.9409999999999998</v>
      </c>
      <c r="Q534" s="23">
        <f ca="1">SUMIF(CPU!M:M,B533,CPU!R:R)</f>
        <v>2</v>
      </c>
      <c r="R534" s="23">
        <f ca="1">F534*Q534</f>
        <v>0.77639999999999998</v>
      </c>
    </row>
    <row r="535" spans="1:18" ht="30" customHeight="1" x14ac:dyDescent="0.3">
      <c r="A535" s="23" t="s">
        <v>1022</v>
      </c>
      <c r="B535" s="23">
        <v>88247</v>
      </c>
      <c r="C535" s="23" t="str">
        <f>VLOOKUP(B535,IF(A535="COMPOSICAO",S!$A:$E,I!$A:$E),2,FALSE)</f>
        <v>SINAPI</v>
      </c>
      <c r="D535" s="24" t="str">
        <f>VLOOKUP(B535,IF(A535="COMPOSICAO",S!$A:$E,I!$A:$E),3,FALSE)</f>
        <v>AUXILIAR DE ELETRICISTA COM ENCARGOS COMPLEMENTARES</v>
      </c>
      <c r="E535" s="23" t="str">
        <f>VLOOKUP(B535,IF(A535="COMPOSICAO",S!$A:$E,I!$A:$E),4,FALSE)</f>
        <v>H</v>
      </c>
      <c r="F535" s="23">
        <f>0.3882/pcf</f>
        <v>0.38819999999999999</v>
      </c>
      <c r="G535" s="71">
        <f>IF(A535="COMPOSICAO",VLOOKUP("TOTAL SEM BDI - "&amp;B535,CPUAUX2!$A:$J,9,FALSE),VLOOKUP(B535,I!$A:$E,5,FALSE))</f>
        <v>22.810000000000002</v>
      </c>
      <c r="H535" s="72"/>
      <c r="I535" s="71">
        <f>TRUNC(F535*G535,2)</f>
        <v>8.85</v>
      </c>
      <c r="J535" s="72"/>
      <c r="M535" s="23">
        <f>B535</f>
        <v>88247</v>
      </c>
      <c r="N535" s="23">
        <f>SUMIF(CPU!M:M,B533,CPU!O:O)</f>
        <v>5</v>
      </c>
      <c r="O535" s="23">
        <f>F535*N535</f>
        <v>1.9409999999999998</v>
      </c>
      <c r="Q535" s="23">
        <f ca="1">SUMIF(CPU!M:M,B533,CPU!R:R)</f>
        <v>2</v>
      </c>
      <c r="R535" s="23">
        <f ca="1">F535*Q535</f>
        <v>0.77639999999999998</v>
      </c>
    </row>
    <row r="536" spans="1:18" ht="45" customHeight="1" x14ac:dyDescent="0.3">
      <c r="A536" s="23" t="s">
        <v>1025</v>
      </c>
      <c r="B536" s="23">
        <v>3378</v>
      </c>
      <c r="C536" s="23" t="str">
        <f>VLOOKUP(B536,IF(A536="COMPOSICAO",S!$A:$E,I!$A:$E),2,FALSE)</f>
        <v>SINAPI</v>
      </c>
      <c r="D536" s="24" t="str">
        <f>VLOOKUP(B536,IF(A536="COMPOSICAO",S!$A:$E,I!$A:$E),3,FALSE)</f>
        <v>HASTE DE ATERRAMENTO EM ACO COM 3,00 M DE COMPRIMENTO E DN = 3/4", REVESTIDA COM BAIXA CAMADA DE COBRE, SEM CONECTOR</v>
      </c>
      <c r="E536" s="23" t="str">
        <f>VLOOKUP(B536,IF(A536="COMPOSICAO",S!$A:$E,I!$A:$E),4,FALSE)</f>
        <v>UN</v>
      </c>
      <c r="F536" s="23">
        <v>1</v>
      </c>
      <c r="G536" s="71">
        <f>IF(A536="COMPOSICAO",VLOOKUP("TOTAL SEM BDI - "&amp;B536,CPUAUX2!$A:$J,9,FALSE),VLOOKUP(B536,I!$A:$E,5,FALSE))</f>
        <v>116.99</v>
      </c>
      <c r="H536" s="72"/>
      <c r="I536" s="71">
        <f>TRUNC(F536*G536,2)</f>
        <v>116.99</v>
      </c>
      <c r="J536" s="72"/>
      <c r="M536" s="23">
        <f>B536</f>
        <v>3378</v>
      </c>
      <c r="N536" s="23">
        <f>SUMIF(CPU!M:M,B533,CPU!O:O)</f>
        <v>5</v>
      </c>
      <c r="O536" s="23">
        <f>F536*N536</f>
        <v>5</v>
      </c>
      <c r="Q536" s="23">
        <f ca="1">SUMIF(CPU!M:M,B533,CPU!R:R)</f>
        <v>2</v>
      </c>
      <c r="R536" s="23">
        <f ca="1">F536*Q536</f>
        <v>2</v>
      </c>
    </row>
    <row r="537" spans="1:18" x14ac:dyDescent="0.3">
      <c r="A537" s="68" t="str">
        <f>"TOTAL SEM BDI - "&amp;B533</f>
        <v>TOTAL SEM BDI - 96986</v>
      </c>
      <c r="B537" s="69"/>
      <c r="C537" s="69"/>
      <c r="D537" s="69"/>
      <c r="E537" s="69"/>
      <c r="F537" s="69"/>
      <c r="G537" s="69"/>
      <c r="H537" s="70"/>
      <c r="I537" s="71">
        <f>SUM(I533:I536)</f>
        <v>136.6</v>
      </c>
      <c r="J537" s="72"/>
    </row>
    <row r="539" spans="1:18" x14ac:dyDescent="0.3">
      <c r="A539" s="4" t="s">
        <v>1018</v>
      </c>
      <c r="B539" s="4" t="s">
        <v>138</v>
      </c>
      <c r="C539" s="4" t="s">
        <v>139</v>
      </c>
      <c r="D539" s="4" t="s">
        <v>21</v>
      </c>
      <c r="E539" s="4" t="s">
        <v>140</v>
      </c>
      <c r="F539" s="4" t="s">
        <v>506</v>
      </c>
      <c r="G539" s="34" t="s">
        <v>1019</v>
      </c>
      <c r="H539" s="35"/>
      <c r="I539" s="34" t="s">
        <v>15</v>
      </c>
      <c r="J539" s="35"/>
    </row>
    <row r="540" spans="1:18" ht="30" customHeight="1" x14ac:dyDescent="0.3">
      <c r="A540" s="15" t="s">
        <v>1103</v>
      </c>
      <c r="B540" s="15">
        <v>96977</v>
      </c>
      <c r="C540" s="15" t="str">
        <f>VLOOKUP(B540,S!$A:$G,2,FALSE)</f>
        <v>SINAPI</v>
      </c>
      <c r="D540" s="22" t="str">
        <f>VLOOKUP(B540,S!$A:$G,3,FALSE)</f>
        <v>CORDOALHA DE COBRE NU 50 MM², ENTERRADA - FORNECIMENTO E INSTALAÇÃO. AF_08/2023</v>
      </c>
      <c r="E540" s="15" t="str">
        <f>VLOOKUP(B540,S!$A:$G,4,FALSE)</f>
        <v>M</v>
      </c>
      <c r="F540" s="15"/>
      <c r="G540" s="73">
        <f>I544</f>
        <v>64.17</v>
      </c>
      <c r="H540" s="74"/>
      <c r="I540" s="73"/>
      <c r="J540" s="74"/>
      <c r="K540" s="16">
        <f>VLOOKUP(B540,S!A:G,5,FALSE)</f>
        <v>64.17</v>
      </c>
      <c r="L540" s="15" t="str">
        <f>IF(K540=G540,"OK, CONFORME TABELA",IF(G540&gt;K540,"ACIMA DA TABELA: ","ABAIXO DA TABELA: ")&amp;TRUNC((G540*100)/K540,2)&amp;" %")</f>
        <v>OK, CONFORME TABELA</v>
      </c>
    </row>
    <row r="541" spans="1:18" x14ac:dyDescent="0.3">
      <c r="A541" s="23" t="s">
        <v>1022</v>
      </c>
      <c r="B541" s="23">
        <v>88264</v>
      </c>
      <c r="C541" s="23" t="str">
        <f>VLOOKUP(B541,IF(A541="COMPOSICAO",S!$A:$E,I!$A:$E),2,FALSE)</f>
        <v>SINAPI</v>
      </c>
      <c r="D541" s="24" t="str">
        <f>VLOOKUP(B541,IF(A541="COMPOSICAO",S!$A:$E,I!$A:$E),3,FALSE)</f>
        <v>ELETRICISTA COM ENCARGOS COMPLEMENTARES</v>
      </c>
      <c r="E541" s="23" t="str">
        <f>VLOOKUP(B541,IF(A541="COMPOSICAO",S!$A:$E,I!$A:$E),4,FALSE)</f>
        <v>H</v>
      </c>
      <c r="F541" s="23">
        <f>0.0331/pcf</f>
        <v>3.3099999999999997E-2</v>
      </c>
      <c r="G541" s="71">
        <f>IF(A541="COMPOSICAO",VLOOKUP("TOTAL SEM BDI - "&amp;B541,CPUAUX2!$A:$J,9,FALSE),VLOOKUP(B541,I!$A:$E,5,FALSE))</f>
        <v>27.74</v>
      </c>
      <c r="H541" s="72"/>
      <c r="I541" s="71">
        <f>TRUNC(F541*G541,2)</f>
        <v>0.91</v>
      </c>
      <c r="J541" s="72"/>
      <c r="M541" s="23">
        <f>B541</f>
        <v>88264</v>
      </c>
      <c r="N541" s="23">
        <f>SUMIF(CPU!M:M,B540,CPU!O:O)</f>
        <v>9.75</v>
      </c>
      <c r="O541" s="23">
        <f>F541*N541</f>
        <v>0.32272499999999998</v>
      </c>
      <c r="Q541" s="23">
        <f ca="1">SUMIF(CPU!M:M,B540,CPU!R:R)</f>
        <v>3.9</v>
      </c>
      <c r="R541" s="23">
        <f ca="1">F541*Q541</f>
        <v>0.12908999999999998</v>
      </c>
    </row>
    <row r="542" spans="1:18" ht="30" customHeight="1" x14ac:dyDescent="0.3">
      <c r="A542" s="23" t="s">
        <v>1022</v>
      </c>
      <c r="B542" s="23">
        <v>88247</v>
      </c>
      <c r="C542" s="23" t="str">
        <f>VLOOKUP(B542,IF(A542="COMPOSICAO",S!$A:$E,I!$A:$E),2,FALSE)</f>
        <v>SINAPI</v>
      </c>
      <c r="D542" s="24" t="str">
        <f>VLOOKUP(B542,IF(A542="COMPOSICAO",S!$A:$E,I!$A:$E),3,FALSE)</f>
        <v>AUXILIAR DE ELETRICISTA COM ENCARGOS COMPLEMENTARES</v>
      </c>
      <c r="E542" s="23" t="str">
        <f>VLOOKUP(B542,IF(A542="COMPOSICAO",S!$A:$E,I!$A:$E),4,FALSE)</f>
        <v>H</v>
      </c>
      <c r="F542" s="23">
        <f>0.0331/pcf</f>
        <v>3.3099999999999997E-2</v>
      </c>
      <c r="G542" s="71">
        <f>IF(A542="COMPOSICAO",VLOOKUP("TOTAL SEM BDI - "&amp;B542,CPUAUX2!$A:$J,9,FALSE),VLOOKUP(B542,I!$A:$E,5,FALSE))</f>
        <v>22.810000000000002</v>
      </c>
      <c r="H542" s="72"/>
      <c r="I542" s="71">
        <f>TRUNC(F542*G542,2)</f>
        <v>0.75</v>
      </c>
      <c r="J542" s="72"/>
      <c r="M542" s="23">
        <f>B542</f>
        <v>88247</v>
      </c>
      <c r="N542" s="23">
        <f>SUMIF(CPU!M:M,B540,CPU!O:O)</f>
        <v>9.75</v>
      </c>
      <c r="O542" s="23">
        <f>F542*N542</f>
        <v>0.32272499999999998</v>
      </c>
      <c r="Q542" s="23">
        <f ca="1">SUMIF(CPU!M:M,B540,CPU!R:R)</f>
        <v>3.9</v>
      </c>
      <c r="R542" s="23">
        <f ca="1">F542*Q542</f>
        <v>0.12908999999999998</v>
      </c>
    </row>
    <row r="543" spans="1:18" x14ac:dyDescent="0.3">
      <c r="A543" s="23" t="s">
        <v>1025</v>
      </c>
      <c r="B543" s="23">
        <v>867</v>
      </c>
      <c r="C543" s="23" t="str">
        <f>VLOOKUP(B543,IF(A543="COMPOSICAO",S!$A:$E,I!$A:$E),2,FALSE)</f>
        <v>SINAPI</v>
      </c>
      <c r="D543" s="24" t="str">
        <f>VLOOKUP(B543,IF(A543="COMPOSICAO",S!$A:$E,I!$A:$E),3,FALSE)</f>
        <v>CABO DE COBRE NU 50 MM2 MEIO-DURO</v>
      </c>
      <c r="E543" s="23" t="str">
        <f>VLOOKUP(B543,IF(A543="COMPOSICAO",S!$A:$E,I!$A:$E),4,FALSE)</f>
        <v>M</v>
      </c>
      <c r="F543" s="23">
        <v>1.05</v>
      </c>
      <c r="G543" s="71">
        <f>IF(A543="COMPOSICAO",VLOOKUP("TOTAL SEM BDI - "&amp;B543,CPUAUX2!$A:$J,9,FALSE),VLOOKUP(B543,I!$A:$E,5,FALSE))</f>
        <v>59.54</v>
      </c>
      <c r="H543" s="72"/>
      <c r="I543" s="71">
        <f>TRUNC(F543*G543,2)</f>
        <v>62.51</v>
      </c>
      <c r="J543" s="72"/>
      <c r="M543" s="23">
        <f>B543</f>
        <v>867</v>
      </c>
      <c r="N543" s="23">
        <f>SUMIF(CPU!M:M,B540,CPU!O:O)</f>
        <v>9.75</v>
      </c>
      <c r="O543" s="23">
        <f>F543*N543</f>
        <v>10.237500000000001</v>
      </c>
      <c r="Q543" s="23">
        <f ca="1">SUMIF(CPU!M:M,B540,CPU!R:R)</f>
        <v>3.9</v>
      </c>
      <c r="R543" s="23">
        <f ca="1">F543*Q543</f>
        <v>4.0949999999999998</v>
      </c>
    </row>
    <row r="544" spans="1:18" x14ac:dyDescent="0.3">
      <c r="A544" s="68" t="str">
        <f>"TOTAL SEM BDI - "&amp;B540</f>
        <v>TOTAL SEM BDI - 96977</v>
      </c>
      <c r="B544" s="69"/>
      <c r="C544" s="69"/>
      <c r="D544" s="69"/>
      <c r="E544" s="69"/>
      <c r="F544" s="69"/>
      <c r="G544" s="69"/>
      <c r="H544" s="70"/>
      <c r="I544" s="71">
        <f>SUM(I540:I543)</f>
        <v>64.17</v>
      </c>
      <c r="J544" s="72"/>
    </row>
    <row r="546" spans="1:18" x14ac:dyDescent="0.3">
      <c r="A546" s="4" t="s">
        <v>1018</v>
      </c>
      <c r="B546" s="4" t="s">
        <v>138</v>
      </c>
      <c r="C546" s="4" t="s">
        <v>139</v>
      </c>
      <c r="D546" s="4" t="s">
        <v>21</v>
      </c>
      <c r="E546" s="4" t="s">
        <v>140</v>
      </c>
      <c r="F546" s="4" t="s">
        <v>506</v>
      </c>
      <c r="G546" s="34" t="s">
        <v>1019</v>
      </c>
      <c r="H546" s="35"/>
      <c r="I546" s="34" t="s">
        <v>15</v>
      </c>
      <c r="J546" s="35"/>
    </row>
    <row r="547" spans="1:18" ht="45" customHeight="1" x14ac:dyDescent="0.3">
      <c r="A547" s="15" t="s">
        <v>1074</v>
      </c>
      <c r="B547" s="15">
        <v>93659</v>
      </c>
      <c r="C547" s="15" t="str">
        <f>VLOOKUP(B547,S!$A:$G,2,FALSE)</f>
        <v>SINAPI</v>
      </c>
      <c r="D547" s="22" t="str">
        <f>VLOOKUP(B547,S!$A:$G,3,FALSE)</f>
        <v>DISJUNTOR MONOPOLAR TIPO DIN, CORRENTE NOMINAL DE 50A - FORNECIMENTO E INSTALAÇÃO. AF_10/2020</v>
      </c>
      <c r="E547" s="15" t="str">
        <f>VLOOKUP(B547,S!$A:$G,4,FALSE)</f>
        <v>UN</v>
      </c>
      <c r="F547" s="15"/>
      <c r="G547" s="73">
        <f>I552</f>
        <v>24.439999999999998</v>
      </c>
      <c r="H547" s="74"/>
      <c r="I547" s="73"/>
      <c r="J547" s="74"/>
      <c r="K547" s="16">
        <f>VLOOKUP(B547,S!A:G,5,FALSE)</f>
        <v>24.44</v>
      </c>
      <c r="L547" s="15" t="str">
        <f>IF(K547=G547,"OK, CONFORME TABELA",IF(G547&gt;K547,"ACIMA DA TABELA: ","ABAIXO DA TABELA: ")&amp;TRUNC((G547*100)/K547,2)&amp;" %")</f>
        <v>OK, CONFORME TABELA</v>
      </c>
    </row>
    <row r="548" spans="1:18" x14ac:dyDescent="0.3">
      <c r="A548" s="23" t="s">
        <v>1022</v>
      </c>
      <c r="B548" s="23">
        <v>88264</v>
      </c>
      <c r="C548" s="23" t="str">
        <f>VLOOKUP(B548,IF(A548="COMPOSICAO",S!$A:$E,I!$A:$E),2,FALSE)</f>
        <v>SINAPI</v>
      </c>
      <c r="D548" s="24" t="str">
        <f>VLOOKUP(B548,IF(A548="COMPOSICAO",S!$A:$E,I!$A:$E),3,FALSE)</f>
        <v>ELETRICISTA COM ENCARGOS COMPLEMENTARES</v>
      </c>
      <c r="E548" s="23" t="str">
        <f>VLOOKUP(B548,IF(A548="COMPOSICAO",S!$A:$E,I!$A:$E),4,FALSE)</f>
        <v>H</v>
      </c>
      <c r="F548" s="23">
        <f>0.1892/pcf</f>
        <v>0.18920000000000001</v>
      </c>
      <c r="G548" s="71">
        <f>IF(A548="COMPOSICAO",VLOOKUP("TOTAL SEM BDI - "&amp;B548,CPUAUX2!$A:$J,9,FALSE),VLOOKUP(B548,I!$A:$E,5,FALSE))</f>
        <v>27.74</v>
      </c>
      <c r="H548" s="72"/>
      <c r="I548" s="71">
        <f>TRUNC(F548*G548,2)</f>
        <v>5.24</v>
      </c>
      <c r="J548" s="72"/>
      <c r="M548" s="23">
        <f>B548</f>
        <v>88264</v>
      </c>
      <c r="N548" s="23">
        <f>SUMIF(CPU!M:M,B547,CPU!O:O)</f>
        <v>5</v>
      </c>
      <c r="O548" s="23">
        <f>F548*N548</f>
        <v>0.94600000000000006</v>
      </c>
      <c r="Q548" s="23">
        <f ca="1">SUMIF(CPU!M:M,B547,CPU!R:R)</f>
        <v>2</v>
      </c>
      <c r="R548" s="23">
        <f ca="1">F548*Q548</f>
        <v>0.37840000000000001</v>
      </c>
    </row>
    <row r="549" spans="1:18" ht="30" customHeight="1" x14ac:dyDescent="0.3">
      <c r="A549" s="23" t="s">
        <v>1022</v>
      </c>
      <c r="B549" s="23">
        <v>88247</v>
      </c>
      <c r="C549" s="23" t="str">
        <f>VLOOKUP(B549,IF(A549="COMPOSICAO",S!$A:$E,I!$A:$E),2,FALSE)</f>
        <v>SINAPI</v>
      </c>
      <c r="D549" s="24" t="str">
        <f>VLOOKUP(B549,IF(A549="COMPOSICAO",S!$A:$E,I!$A:$E),3,FALSE)</f>
        <v>AUXILIAR DE ELETRICISTA COM ENCARGOS COMPLEMENTARES</v>
      </c>
      <c r="E549" s="23" t="str">
        <f>VLOOKUP(B549,IF(A549="COMPOSICAO",S!$A:$E,I!$A:$E),4,FALSE)</f>
        <v>H</v>
      </c>
      <c r="F549" s="23">
        <f>0.1892/pcf</f>
        <v>0.18920000000000001</v>
      </c>
      <c r="G549" s="71">
        <f>IF(A549="COMPOSICAO",VLOOKUP("TOTAL SEM BDI - "&amp;B549,CPUAUX2!$A:$J,9,FALSE),VLOOKUP(B549,I!$A:$E,5,FALSE))</f>
        <v>22.810000000000002</v>
      </c>
      <c r="H549" s="72"/>
      <c r="I549" s="71">
        <f>TRUNC(F549*G549,2)</f>
        <v>4.3099999999999996</v>
      </c>
      <c r="J549" s="72"/>
      <c r="M549" s="23">
        <f>B549</f>
        <v>88247</v>
      </c>
      <c r="N549" s="23">
        <f>SUMIF(CPU!M:M,B547,CPU!O:O)</f>
        <v>5</v>
      </c>
      <c r="O549" s="23">
        <f>F549*N549</f>
        <v>0.94600000000000006</v>
      </c>
      <c r="Q549" s="23">
        <f ca="1">SUMIF(CPU!M:M,B547,CPU!R:R)</f>
        <v>2</v>
      </c>
      <c r="R549" s="23">
        <f ca="1">F549*Q549</f>
        <v>0.37840000000000001</v>
      </c>
    </row>
    <row r="550" spans="1:18" ht="30" customHeight="1" x14ac:dyDescent="0.3">
      <c r="A550" s="23" t="s">
        <v>1025</v>
      </c>
      <c r="B550" s="23">
        <v>34686</v>
      </c>
      <c r="C550" s="23" t="str">
        <f>VLOOKUP(B550,IF(A550="COMPOSICAO",S!$A:$E,I!$A:$E),2,FALSE)</f>
        <v>SINAPI</v>
      </c>
      <c r="D550" s="24" t="str">
        <f>VLOOKUP(B550,IF(A550="COMPOSICAO",S!$A:$E,I!$A:$E),3,FALSE)</f>
        <v>DISJUNTOR TERMOMAGNETICO PARA TRILHO DIN (IEC), MONOPOLAR, 40 - 50 A</v>
      </c>
      <c r="E550" s="23" t="str">
        <f>VLOOKUP(B550,IF(A550="COMPOSICAO",S!$A:$E,I!$A:$E),4,FALSE)</f>
        <v>UN</v>
      </c>
      <c r="F550" s="23">
        <v>1</v>
      </c>
      <c r="G550" s="71">
        <f>IF(A550="COMPOSICAO",VLOOKUP("TOTAL SEM BDI - "&amp;B550,CPUAUX2!$A:$J,9,FALSE),VLOOKUP(B550,I!$A:$E,5,FALSE))</f>
        <v>12.35</v>
      </c>
      <c r="H550" s="72"/>
      <c r="I550" s="71">
        <f>TRUNC(F550*G550,2)</f>
        <v>12.35</v>
      </c>
      <c r="J550" s="72"/>
      <c r="M550" s="23">
        <f>B550</f>
        <v>34686</v>
      </c>
      <c r="N550" s="23">
        <f>SUMIF(CPU!M:M,B547,CPU!O:O)</f>
        <v>5</v>
      </c>
      <c r="O550" s="23">
        <f>F550*N550</f>
        <v>5</v>
      </c>
      <c r="Q550" s="23">
        <f ca="1">SUMIF(CPU!M:M,B547,CPU!R:R)</f>
        <v>2</v>
      </c>
      <c r="R550" s="23">
        <f ca="1">F550*Q550</f>
        <v>2</v>
      </c>
    </row>
    <row r="551" spans="1:18" ht="45" customHeight="1" x14ac:dyDescent="0.3">
      <c r="A551" s="23" t="s">
        <v>1025</v>
      </c>
      <c r="B551" s="23">
        <v>1575</v>
      </c>
      <c r="C551" s="23" t="str">
        <f>VLOOKUP(B551,IF(A551="COMPOSICAO",S!$A:$E,I!$A:$E),2,FALSE)</f>
        <v>SINAPI</v>
      </c>
      <c r="D551" s="24" t="str">
        <f>VLOOKUP(B551,IF(A551="COMPOSICAO",S!$A:$E,I!$A:$E),3,FALSE)</f>
        <v>TERMINAL A COMPRESSAO EM COBRE ESTANHADO PARA CABO 16 MM2, 1 FURO E 1 COMPRESSAO, PARA PARAFUSO DE FIXACAO M6</v>
      </c>
      <c r="E551" s="23" t="str">
        <f>VLOOKUP(B551,IF(A551="COMPOSICAO",S!$A:$E,I!$A:$E),4,FALSE)</f>
        <v>UN</v>
      </c>
      <c r="F551" s="23">
        <v>1</v>
      </c>
      <c r="G551" s="71">
        <f>IF(A551="COMPOSICAO",VLOOKUP("TOTAL SEM BDI - "&amp;B551,CPUAUX2!$A:$J,9,FALSE),VLOOKUP(B551,I!$A:$E,5,FALSE))</f>
        <v>2.54</v>
      </c>
      <c r="H551" s="72"/>
      <c r="I551" s="71">
        <f>TRUNC(F551*G551,2)</f>
        <v>2.54</v>
      </c>
      <c r="J551" s="72"/>
      <c r="M551" s="23">
        <f>B551</f>
        <v>1575</v>
      </c>
      <c r="N551" s="23">
        <f>SUMIF(CPU!M:M,B547,CPU!O:O)</f>
        <v>5</v>
      </c>
      <c r="O551" s="23">
        <f>F551*N551</f>
        <v>5</v>
      </c>
      <c r="Q551" s="23">
        <f ca="1">SUMIF(CPU!M:M,B547,CPU!R:R)</f>
        <v>2</v>
      </c>
      <c r="R551" s="23">
        <f ca="1">F551*Q551</f>
        <v>2</v>
      </c>
    </row>
    <row r="552" spans="1:18" x14ac:dyDescent="0.3">
      <c r="A552" s="68" t="str">
        <f>"TOTAL SEM BDI - "&amp;B547</f>
        <v>TOTAL SEM BDI - 93659</v>
      </c>
      <c r="B552" s="69"/>
      <c r="C552" s="69"/>
      <c r="D552" s="69"/>
      <c r="E552" s="69"/>
      <c r="F552" s="69"/>
      <c r="G552" s="69"/>
      <c r="H552" s="70"/>
      <c r="I552" s="71">
        <f>SUM(I547:I551)</f>
        <v>24.439999999999998</v>
      </c>
      <c r="J552" s="72"/>
    </row>
    <row r="554" spans="1:18" x14ac:dyDescent="0.3">
      <c r="A554" s="4" t="s">
        <v>1018</v>
      </c>
      <c r="B554" s="4" t="s">
        <v>138</v>
      </c>
      <c r="C554" s="4" t="s">
        <v>139</v>
      </c>
      <c r="D554" s="4" t="s">
        <v>21</v>
      </c>
      <c r="E554" s="4" t="s">
        <v>140</v>
      </c>
      <c r="F554" s="4" t="s">
        <v>506</v>
      </c>
      <c r="G554" s="34" t="s">
        <v>1019</v>
      </c>
      <c r="H554" s="35"/>
      <c r="I554" s="34" t="s">
        <v>15</v>
      </c>
      <c r="J554" s="35"/>
    </row>
    <row r="555" spans="1:18" ht="45" customHeight="1" x14ac:dyDescent="0.3">
      <c r="A555" s="15" t="s">
        <v>1078</v>
      </c>
      <c r="B555" s="15">
        <v>91933</v>
      </c>
      <c r="C555" s="15" t="str">
        <f>VLOOKUP(B555,S!$A:$G,2,FALSE)</f>
        <v>SINAPI</v>
      </c>
      <c r="D555" s="22" t="str">
        <f>VLOOKUP(B555,S!$A:$G,3,FALSE)</f>
        <v>CABO DE COBRE FLEXÍVEL ISOLADO, 10 MM², ANTI-CHAMA 0,6/1,0 KV, PARA CIRCUITOS TERMINAIS - FORNECIMENTO E INSTALAÇÃO. AF_03/2023</v>
      </c>
      <c r="E555" s="15" t="str">
        <f>VLOOKUP(B555,S!$A:$G,4,FALSE)</f>
        <v>M</v>
      </c>
      <c r="F555" s="15"/>
      <c r="G555" s="73">
        <f>I560</f>
        <v>17.5</v>
      </c>
      <c r="H555" s="74"/>
      <c r="I555" s="73"/>
      <c r="J555" s="74"/>
      <c r="K555" s="16">
        <f>VLOOKUP(B555,S!A:G,5,FALSE)</f>
        <v>17.5</v>
      </c>
      <c r="L555" s="15" t="str">
        <f>IF(K555=G555,"OK, CONFORME TABELA",IF(G555&gt;K555,"ACIMA DA TABELA: ","ABAIXO DA TABELA: ")&amp;TRUNC((G555*100)/K555,2)&amp;" %")</f>
        <v>OK, CONFORME TABELA</v>
      </c>
    </row>
    <row r="556" spans="1:18" x14ac:dyDescent="0.3">
      <c r="A556" s="23" t="s">
        <v>1022</v>
      </c>
      <c r="B556" s="23">
        <v>88264</v>
      </c>
      <c r="C556" s="23" t="str">
        <f>VLOOKUP(B556,IF(A556="COMPOSICAO",S!$A:$E,I!$A:$E),2,FALSE)</f>
        <v>SINAPI</v>
      </c>
      <c r="D556" s="24" t="str">
        <f>VLOOKUP(B556,IF(A556="COMPOSICAO",S!$A:$E,I!$A:$E),3,FALSE)</f>
        <v>ELETRICISTA COM ENCARGOS COMPLEMENTARES</v>
      </c>
      <c r="E556" s="23" t="str">
        <f>VLOOKUP(B556,IF(A556="COMPOSICAO",S!$A:$E,I!$A:$E),4,FALSE)</f>
        <v>H</v>
      </c>
      <c r="F556" s="23">
        <f>0.076/pcf</f>
        <v>7.5999999999999998E-2</v>
      </c>
      <c r="G556" s="71">
        <f>IF(A556="COMPOSICAO",VLOOKUP("TOTAL SEM BDI - "&amp;B556,CPUAUX2!$A:$J,9,FALSE),VLOOKUP(B556,I!$A:$E,5,FALSE))</f>
        <v>27.74</v>
      </c>
      <c r="H556" s="72"/>
      <c r="I556" s="71">
        <f>TRUNC(F556*G556,2)</f>
        <v>2.1</v>
      </c>
      <c r="J556" s="72"/>
      <c r="M556" s="23">
        <f>B556</f>
        <v>88264</v>
      </c>
      <c r="N556" s="23">
        <f>SUMIF(CPU!M:M,B555,CPU!O:O)</f>
        <v>55</v>
      </c>
      <c r="O556" s="23">
        <f>F556*N556</f>
        <v>4.18</v>
      </c>
      <c r="Q556" s="23">
        <f ca="1">SUMIF(CPU!M:M,B555,CPU!R:R)</f>
        <v>22</v>
      </c>
      <c r="R556" s="23">
        <f ca="1">F556*Q556</f>
        <v>1.6719999999999999</v>
      </c>
    </row>
    <row r="557" spans="1:18" ht="30" customHeight="1" x14ac:dyDescent="0.3">
      <c r="A557" s="23" t="s">
        <v>1022</v>
      </c>
      <c r="B557" s="23">
        <v>88247</v>
      </c>
      <c r="C557" s="23" t="str">
        <f>VLOOKUP(B557,IF(A557="COMPOSICAO",S!$A:$E,I!$A:$E),2,FALSE)</f>
        <v>SINAPI</v>
      </c>
      <c r="D557" s="24" t="str">
        <f>VLOOKUP(B557,IF(A557="COMPOSICAO",S!$A:$E,I!$A:$E),3,FALSE)</f>
        <v>AUXILIAR DE ELETRICISTA COM ENCARGOS COMPLEMENTARES</v>
      </c>
      <c r="E557" s="23" t="str">
        <f>VLOOKUP(B557,IF(A557="COMPOSICAO",S!$A:$E,I!$A:$E),4,FALSE)</f>
        <v>H</v>
      </c>
      <c r="F557" s="23">
        <f>0.076/pcf</f>
        <v>7.5999999999999998E-2</v>
      </c>
      <c r="G557" s="71">
        <f>IF(A557="COMPOSICAO",VLOOKUP("TOTAL SEM BDI - "&amp;B557,CPUAUX2!$A:$J,9,FALSE),VLOOKUP(B557,I!$A:$E,5,FALSE))</f>
        <v>22.810000000000002</v>
      </c>
      <c r="H557" s="72"/>
      <c r="I557" s="71">
        <f>TRUNC(F557*G557,2)</f>
        <v>1.73</v>
      </c>
      <c r="J557" s="72"/>
      <c r="M557" s="23">
        <f>B557</f>
        <v>88247</v>
      </c>
      <c r="N557" s="23">
        <f>SUMIF(CPU!M:M,B555,CPU!O:O)</f>
        <v>55</v>
      </c>
      <c r="O557" s="23">
        <f>F557*N557</f>
        <v>4.18</v>
      </c>
      <c r="Q557" s="23">
        <f ca="1">SUMIF(CPU!M:M,B555,CPU!R:R)</f>
        <v>22</v>
      </c>
      <c r="R557" s="23">
        <f ca="1">F557*Q557</f>
        <v>1.6719999999999999</v>
      </c>
    </row>
    <row r="558" spans="1:18" ht="30" customHeight="1" x14ac:dyDescent="0.3">
      <c r="A558" s="23" t="s">
        <v>1025</v>
      </c>
      <c r="B558" s="23">
        <v>21127</v>
      </c>
      <c r="C558" s="23" t="str">
        <f>VLOOKUP(B558,IF(A558="COMPOSICAO",S!$A:$E,I!$A:$E),2,FALSE)</f>
        <v>SINAPI</v>
      </c>
      <c r="D558" s="24" t="str">
        <f>VLOOKUP(B558,IF(A558="COMPOSICAO",S!$A:$E,I!$A:$E),3,FALSE)</f>
        <v>FITA ISOLANTE ADESIVA ANTICHAMA, USO ATE 750 V, EM ROLO DE 19 MM X 5 M</v>
      </c>
      <c r="E558" s="23" t="str">
        <f>VLOOKUP(B558,IF(A558="COMPOSICAO",S!$A:$E,I!$A:$E),4,FALSE)</f>
        <v>UN</v>
      </c>
      <c r="F558" s="23">
        <v>9.4000000000000004E-3</v>
      </c>
      <c r="G558" s="71">
        <f>IF(A558="COMPOSICAO",VLOOKUP("TOTAL SEM BDI - "&amp;B558,CPUAUX2!$A:$J,9,FALSE),VLOOKUP(B558,I!$A:$E,5,FALSE))</f>
        <v>3.69</v>
      </c>
      <c r="H558" s="72"/>
      <c r="I558" s="71">
        <f>TRUNC(F558*G558,2)</f>
        <v>0.03</v>
      </c>
      <c r="J558" s="72"/>
      <c r="M558" s="23">
        <f>B558</f>
        <v>21127</v>
      </c>
      <c r="N558" s="23">
        <f>SUMIF(CPU!M:M,B555,CPU!O:O)</f>
        <v>55</v>
      </c>
      <c r="O558" s="23">
        <f>F558*N558</f>
        <v>0.51700000000000002</v>
      </c>
      <c r="Q558" s="23">
        <f ca="1">SUMIF(CPU!M:M,B555,CPU!R:R)</f>
        <v>22</v>
      </c>
      <c r="R558" s="23">
        <f ca="1">F558*Q558</f>
        <v>0.20680000000000001</v>
      </c>
    </row>
    <row r="559" spans="1:18" ht="60" customHeight="1" x14ac:dyDescent="0.3">
      <c r="A559" s="23" t="s">
        <v>1025</v>
      </c>
      <c r="B559" s="23">
        <v>1020</v>
      </c>
      <c r="C559" s="23" t="str">
        <f>VLOOKUP(B559,IF(A559="COMPOSICAO",S!$A:$E,I!$A:$E),2,FALSE)</f>
        <v>SINAPI</v>
      </c>
      <c r="D559" s="24" t="str">
        <f>VLOOKUP(B559,IF(A559="COMPOSICAO",S!$A:$E,I!$A:$E),3,FALSE)</f>
        <v>CABO DE COBRE, FLEXIVEL, CLASSE 4 OU 5, ISOLACAO EM PVC/A, ANTICHAMA BWF-B, COBERTURA PVC-ST1, ANTICHAMA BWF-B, 1 CONDUTOR, 0,6/1 KV, SECAO NOMINAL 10 MM2</v>
      </c>
      <c r="E559" s="23" t="str">
        <f>VLOOKUP(B559,IF(A559="COMPOSICAO",S!$A:$E,I!$A:$E),4,FALSE)</f>
        <v>M</v>
      </c>
      <c r="F559" s="23">
        <v>1.2434000000000001</v>
      </c>
      <c r="G559" s="71">
        <f>IF(A559="COMPOSICAO",VLOOKUP("TOTAL SEM BDI - "&amp;B559,CPUAUX2!$A:$J,9,FALSE),VLOOKUP(B559,I!$A:$E,5,FALSE))</f>
        <v>10.97</v>
      </c>
      <c r="H559" s="72"/>
      <c r="I559" s="71">
        <f>TRUNC(F559*G559,2)</f>
        <v>13.64</v>
      </c>
      <c r="J559" s="72"/>
      <c r="M559" s="23">
        <f>B559</f>
        <v>1020</v>
      </c>
      <c r="N559" s="23">
        <f>SUMIF(CPU!M:M,B555,CPU!O:O)</f>
        <v>55</v>
      </c>
      <c r="O559" s="23">
        <f>F559*N559</f>
        <v>68.387</v>
      </c>
      <c r="Q559" s="23">
        <f ca="1">SUMIF(CPU!M:M,B555,CPU!R:R)</f>
        <v>22</v>
      </c>
      <c r="R559" s="23">
        <f ca="1">F559*Q559</f>
        <v>27.354800000000001</v>
      </c>
    </row>
    <row r="560" spans="1:18" x14ac:dyDescent="0.3">
      <c r="A560" s="68" t="str">
        <f>"TOTAL SEM BDI - "&amp;B555</f>
        <v>TOTAL SEM BDI - 91933</v>
      </c>
      <c r="B560" s="69"/>
      <c r="C560" s="69"/>
      <c r="D560" s="69"/>
      <c r="E560" s="69"/>
      <c r="F560" s="69"/>
      <c r="G560" s="69"/>
      <c r="H560" s="70"/>
      <c r="I560" s="71">
        <f>SUM(I555:I559)</f>
        <v>17.5</v>
      </c>
      <c r="J560" s="72"/>
    </row>
    <row r="562" spans="1:18" x14ac:dyDescent="0.3">
      <c r="A562" s="4" t="s">
        <v>1018</v>
      </c>
      <c r="B562" s="4" t="s">
        <v>138</v>
      </c>
      <c r="C562" s="4" t="s">
        <v>139</v>
      </c>
      <c r="D562" s="4" t="s">
        <v>21</v>
      </c>
      <c r="E562" s="4" t="s">
        <v>140</v>
      </c>
      <c r="F562" s="4" t="s">
        <v>506</v>
      </c>
      <c r="G562" s="34" t="s">
        <v>1019</v>
      </c>
      <c r="H562" s="35"/>
      <c r="I562" s="34" t="s">
        <v>15</v>
      </c>
      <c r="J562" s="35"/>
    </row>
    <row r="563" spans="1:18" ht="60" customHeight="1" x14ac:dyDescent="0.3">
      <c r="A563" s="15" t="s">
        <v>1078</v>
      </c>
      <c r="B563" s="15">
        <v>91919</v>
      </c>
      <c r="C563" s="15" t="str">
        <f>VLOOKUP(B563,S!$A:$G,2,FALSE)</f>
        <v>SINAPI</v>
      </c>
      <c r="D563" s="22" t="str">
        <f>VLOOKUP(B563,S!$A:$G,3,FALSE)</f>
        <v>CURVA 180 GRAUS PARA ELETRODUTO, PVC, ROSCÁVEL, DN 32 MM (1"), PARA CIRCUITOS TERMINAIS, INSTALADA EM PAREDE - FORNECIMENTO E INSTALAÇÃO. AF_03/2023</v>
      </c>
      <c r="E563" s="15" t="str">
        <f>VLOOKUP(B563,S!$A:$G,4,FALSE)</f>
        <v>UN</v>
      </c>
      <c r="F563" s="15"/>
      <c r="G563" s="73">
        <f>I567</f>
        <v>22.47</v>
      </c>
      <c r="H563" s="74"/>
      <c r="I563" s="73"/>
      <c r="J563" s="74"/>
      <c r="K563" s="16">
        <f>VLOOKUP(B563,S!A:G,5,FALSE)</f>
        <v>22.47</v>
      </c>
      <c r="L563" s="15" t="str">
        <f>IF(K563=G563,"OK, CONFORME TABELA",IF(G563&gt;K563,"ACIMA DA TABELA: ","ABAIXO DA TABELA: ")&amp;TRUNC((G563*100)/K563,2)&amp;" %")</f>
        <v>OK, CONFORME TABELA</v>
      </c>
    </row>
    <row r="564" spans="1:18" x14ac:dyDescent="0.3">
      <c r="A564" s="23" t="s">
        <v>1022</v>
      </c>
      <c r="B564" s="23">
        <v>88264</v>
      </c>
      <c r="C564" s="23" t="str">
        <f>VLOOKUP(B564,IF(A564="COMPOSICAO",S!$A:$E,I!$A:$E),2,FALSE)</f>
        <v>SINAPI</v>
      </c>
      <c r="D564" s="24" t="str">
        <f>VLOOKUP(B564,IF(A564="COMPOSICAO",S!$A:$E,I!$A:$E),3,FALSE)</f>
        <v>ELETRICISTA COM ENCARGOS COMPLEMENTARES</v>
      </c>
      <c r="E564" s="23" t="str">
        <f>VLOOKUP(B564,IF(A564="COMPOSICAO",S!$A:$E,I!$A:$E),4,FALSE)</f>
        <v>H</v>
      </c>
      <c r="F564" s="23">
        <f>0.328/pcf</f>
        <v>0.32800000000000001</v>
      </c>
      <c r="G564" s="71">
        <f>IF(A564="COMPOSICAO",VLOOKUP("TOTAL SEM BDI - "&amp;B564,CPUAUX2!$A:$J,9,FALSE),VLOOKUP(B564,I!$A:$E,5,FALSE))</f>
        <v>27.74</v>
      </c>
      <c r="H564" s="72"/>
      <c r="I564" s="71">
        <f>TRUNC(F564*G564,2)</f>
        <v>9.09</v>
      </c>
      <c r="J564" s="72"/>
      <c r="M564" s="23">
        <f>B564</f>
        <v>88264</v>
      </c>
      <c r="N564" s="23">
        <f>SUMIF(CPU!M:M,B563,CPU!O:O)</f>
        <v>5</v>
      </c>
      <c r="O564" s="23">
        <f>F564*N564</f>
        <v>1.6400000000000001</v>
      </c>
      <c r="Q564" s="23">
        <f ca="1">SUMIF(CPU!M:M,B563,CPU!R:R)</f>
        <v>2</v>
      </c>
      <c r="R564" s="23">
        <f ca="1">F564*Q564</f>
        <v>0.65600000000000003</v>
      </c>
    </row>
    <row r="565" spans="1:18" ht="30" customHeight="1" x14ac:dyDescent="0.3">
      <c r="A565" s="23" t="s">
        <v>1022</v>
      </c>
      <c r="B565" s="23">
        <v>88247</v>
      </c>
      <c r="C565" s="23" t="str">
        <f>VLOOKUP(B565,IF(A565="COMPOSICAO",S!$A:$E,I!$A:$E),2,FALSE)</f>
        <v>SINAPI</v>
      </c>
      <c r="D565" s="24" t="str">
        <f>VLOOKUP(B565,IF(A565="COMPOSICAO",S!$A:$E,I!$A:$E),3,FALSE)</f>
        <v>AUXILIAR DE ELETRICISTA COM ENCARGOS COMPLEMENTARES</v>
      </c>
      <c r="E565" s="23" t="str">
        <f>VLOOKUP(B565,IF(A565="COMPOSICAO",S!$A:$E,I!$A:$E),4,FALSE)</f>
        <v>H</v>
      </c>
      <c r="F565" s="23">
        <f>0.328/pcf</f>
        <v>0.32800000000000001</v>
      </c>
      <c r="G565" s="71">
        <f>IF(A565="COMPOSICAO",VLOOKUP("TOTAL SEM BDI - "&amp;B565,CPUAUX2!$A:$J,9,FALSE),VLOOKUP(B565,I!$A:$E,5,FALSE))</f>
        <v>22.810000000000002</v>
      </c>
      <c r="H565" s="72"/>
      <c r="I565" s="71">
        <f>TRUNC(F565*G565,2)</f>
        <v>7.48</v>
      </c>
      <c r="J565" s="72"/>
      <c r="M565" s="23">
        <f>B565</f>
        <v>88247</v>
      </c>
      <c r="N565" s="23">
        <f>SUMIF(CPU!M:M,B563,CPU!O:O)</f>
        <v>5</v>
      </c>
      <c r="O565" s="23">
        <f>F565*N565</f>
        <v>1.6400000000000001</v>
      </c>
      <c r="Q565" s="23">
        <f ca="1">SUMIF(CPU!M:M,B563,CPU!R:R)</f>
        <v>2</v>
      </c>
      <c r="R565" s="23">
        <f ca="1">F565*Q565</f>
        <v>0.65600000000000003</v>
      </c>
    </row>
    <row r="566" spans="1:18" ht="30" customHeight="1" x14ac:dyDescent="0.3">
      <c r="A566" s="23" t="s">
        <v>1025</v>
      </c>
      <c r="B566" s="23">
        <v>39276</v>
      </c>
      <c r="C566" s="23" t="str">
        <f>VLOOKUP(B566,IF(A566="COMPOSICAO",S!$A:$E,I!$A:$E),2,FALSE)</f>
        <v>SINAPI</v>
      </c>
      <c r="D566" s="24" t="str">
        <f>VLOOKUP(B566,IF(A566="COMPOSICAO",S!$A:$E,I!$A:$E),3,FALSE)</f>
        <v>CURVA 180 GRAUS, DE PVC RIGIDO ROSCAVEL, DE 1", PARA ELETRODUTO</v>
      </c>
      <c r="E566" s="23" t="str">
        <f>VLOOKUP(B566,IF(A566="COMPOSICAO",S!$A:$E,I!$A:$E),4,FALSE)</f>
        <v>UN</v>
      </c>
      <c r="F566" s="23">
        <v>1</v>
      </c>
      <c r="G566" s="71">
        <f>IF(A566="COMPOSICAO",VLOOKUP("TOTAL SEM BDI - "&amp;B566,CPUAUX2!$A:$J,9,FALSE),VLOOKUP(B566,I!$A:$E,5,FALSE))</f>
        <v>5.9</v>
      </c>
      <c r="H566" s="72"/>
      <c r="I566" s="71">
        <f>TRUNC(F566*G566,2)</f>
        <v>5.9</v>
      </c>
      <c r="J566" s="72"/>
      <c r="M566" s="23">
        <f>B566</f>
        <v>39276</v>
      </c>
      <c r="N566" s="23">
        <f>SUMIF(CPU!M:M,B563,CPU!O:O)</f>
        <v>5</v>
      </c>
      <c r="O566" s="23">
        <f>F566*N566</f>
        <v>5</v>
      </c>
      <c r="Q566" s="23">
        <f ca="1">SUMIF(CPU!M:M,B563,CPU!R:R)</f>
        <v>2</v>
      </c>
      <c r="R566" s="23">
        <f ca="1">F566*Q566</f>
        <v>2</v>
      </c>
    </row>
    <row r="567" spans="1:18" x14ac:dyDescent="0.3">
      <c r="A567" s="68" t="str">
        <f>"TOTAL SEM BDI - "&amp;B563</f>
        <v>TOTAL SEM BDI - 91919</v>
      </c>
      <c r="B567" s="69"/>
      <c r="C567" s="69"/>
      <c r="D567" s="69"/>
      <c r="E567" s="69"/>
      <c r="F567" s="69"/>
      <c r="G567" s="69"/>
      <c r="H567" s="70"/>
      <c r="I567" s="71">
        <f>SUM(I563:I566)</f>
        <v>22.47</v>
      </c>
      <c r="J567" s="72"/>
    </row>
    <row r="569" spans="1:18" x14ac:dyDescent="0.3">
      <c r="A569" s="4" t="s">
        <v>1018</v>
      </c>
      <c r="B569" s="4" t="s">
        <v>138</v>
      </c>
      <c r="C569" s="4" t="s">
        <v>139</v>
      </c>
      <c r="D569" s="4" t="s">
        <v>21</v>
      </c>
      <c r="E569" s="4" t="s">
        <v>140</v>
      </c>
      <c r="F569" s="4" t="s">
        <v>506</v>
      </c>
      <c r="G569" s="34" t="s">
        <v>1019</v>
      </c>
      <c r="H569" s="35"/>
      <c r="I569" s="34" t="s">
        <v>15</v>
      </c>
      <c r="J569" s="35"/>
    </row>
    <row r="570" spans="1:18" ht="60" customHeight="1" x14ac:dyDescent="0.3">
      <c r="A570" s="15" t="s">
        <v>1078</v>
      </c>
      <c r="B570" s="15">
        <v>91917</v>
      </c>
      <c r="C570" s="15" t="str">
        <f>VLOOKUP(B570,S!$A:$G,2,FALSE)</f>
        <v>SINAPI</v>
      </c>
      <c r="D570" s="22" t="str">
        <f>VLOOKUP(B570,S!$A:$G,3,FALSE)</f>
        <v>CURVA 90 GRAUS PARA ELETRODUTO, PVC, ROSCÁVEL, DN 32 MM (1"), PARA CIRCUITOS TERMINAIS, INSTALADA EM PAREDE - FORNECIMENTO E INSTALAÇÃO. AF_03/2023</v>
      </c>
      <c r="E570" s="15" t="str">
        <f>VLOOKUP(B570,S!$A:$G,4,FALSE)</f>
        <v>UN</v>
      </c>
      <c r="F570" s="15"/>
      <c r="G570" s="73">
        <f>I574</f>
        <v>20.560000000000002</v>
      </c>
      <c r="H570" s="74"/>
      <c r="I570" s="73"/>
      <c r="J570" s="74"/>
      <c r="K570" s="16">
        <f>VLOOKUP(B570,S!A:G,5,FALSE)</f>
        <v>20.56</v>
      </c>
      <c r="L570" s="15" t="str">
        <f>IF(K570=G570,"OK, CONFORME TABELA",IF(G570&gt;K570,"ACIMA DA TABELA: ","ABAIXO DA TABELA: ")&amp;TRUNC((G570*100)/K570,2)&amp;" %")</f>
        <v>OK, CONFORME TABELA</v>
      </c>
    </row>
    <row r="571" spans="1:18" x14ac:dyDescent="0.3">
      <c r="A571" s="23" t="s">
        <v>1022</v>
      </c>
      <c r="B571" s="23">
        <v>88264</v>
      </c>
      <c r="C571" s="23" t="str">
        <f>VLOOKUP(B571,IF(A571="COMPOSICAO",S!$A:$E,I!$A:$E),2,FALSE)</f>
        <v>SINAPI</v>
      </c>
      <c r="D571" s="24" t="str">
        <f>VLOOKUP(B571,IF(A571="COMPOSICAO",S!$A:$E,I!$A:$E),3,FALSE)</f>
        <v>ELETRICISTA COM ENCARGOS COMPLEMENTARES</v>
      </c>
      <c r="E571" s="23" t="str">
        <f>VLOOKUP(B571,IF(A571="COMPOSICAO",S!$A:$E,I!$A:$E),4,FALSE)</f>
        <v>H</v>
      </c>
      <c r="F571" s="23">
        <f>0.328/pcf</f>
        <v>0.32800000000000001</v>
      </c>
      <c r="G571" s="71">
        <f>IF(A571="COMPOSICAO",VLOOKUP("TOTAL SEM BDI - "&amp;B571,CPUAUX2!$A:$J,9,FALSE),VLOOKUP(B571,I!$A:$E,5,FALSE))</f>
        <v>27.74</v>
      </c>
      <c r="H571" s="72"/>
      <c r="I571" s="71">
        <f>TRUNC(F571*G571,2)</f>
        <v>9.09</v>
      </c>
      <c r="J571" s="72"/>
      <c r="M571" s="23">
        <f>B571</f>
        <v>88264</v>
      </c>
      <c r="N571" s="23">
        <f>SUMIF(CPU!M:M,B570,CPU!O:O)</f>
        <v>5</v>
      </c>
      <c r="O571" s="23">
        <f>F571*N571</f>
        <v>1.6400000000000001</v>
      </c>
      <c r="Q571" s="23">
        <f ca="1">SUMIF(CPU!M:M,B570,CPU!R:R)</f>
        <v>2</v>
      </c>
      <c r="R571" s="23">
        <f ca="1">F571*Q571</f>
        <v>0.65600000000000003</v>
      </c>
    </row>
    <row r="572" spans="1:18" ht="30" customHeight="1" x14ac:dyDescent="0.3">
      <c r="A572" s="23" t="s">
        <v>1022</v>
      </c>
      <c r="B572" s="23">
        <v>88247</v>
      </c>
      <c r="C572" s="23" t="str">
        <f>VLOOKUP(B572,IF(A572="COMPOSICAO",S!$A:$E,I!$A:$E),2,FALSE)</f>
        <v>SINAPI</v>
      </c>
      <c r="D572" s="24" t="str">
        <f>VLOOKUP(B572,IF(A572="COMPOSICAO",S!$A:$E,I!$A:$E),3,FALSE)</f>
        <v>AUXILIAR DE ELETRICISTA COM ENCARGOS COMPLEMENTARES</v>
      </c>
      <c r="E572" s="23" t="str">
        <f>VLOOKUP(B572,IF(A572="COMPOSICAO",S!$A:$E,I!$A:$E),4,FALSE)</f>
        <v>H</v>
      </c>
      <c r="F572" s="23">
        <f>0.328/pcf</f>
        <v>0.32800000000000001</v>
      </c>
      <c r="G572" s="71">
        <f>IF(A572="COMPOSICAO",VLOOKUP("TOTAL SEM BDI - "&amp;B572,CPUAUX2!$A:$J,9,FALSE),VLOOKUP(B572,I!$A:$E,5,FALSE))</f>
        <v>22.810000000000002</v>
      </c>
      <c r="H572" s="72"/>
      <c r="I572" s="71">
        <f>TRUNC(F572*G572,2)</f>
        <v>7.48</v>
      </c>
      <c r="J572" s="72"/>
      <c r="M572" s="23">
        <f>B572</f>
        <v>88247</v>
      </c>
      <c r="N572" s="23">
        <f>SUMIF(CPU!M:M,B570,CPU!O:O)</f>
        <v>5</v>
      </c>
      <c r="O572" s="23">
        <f>F572*N572</f>
        <v>1.6400000000000001</v>
      </c>
      <c r="Q572" s="23">
        <f ca="1">SUMIF(CPU!M:M,B570,CPU!R:R)</f>
        <v>2</v>
      </c>
      <c r="R572" s="23">
        <f ca="1">F572*Q572</f>
        <v>0.65600000000000003</v>
      </c>
    </row>
    <row r="573" spans="1:18" ht="30" customHeight="1" x14ac:dyDescent="0.3">
      <c r="A573" s="23" t="s">
        <v>1025</v>
      </c>
      <c r="B573" s="23">
        <v>1884</v>
      </c>
      <c r="C573" s="23" t="str">
        <f>VLOOKUP(B573,IF(A573="COMPOSICAO",S!$A:$E,I!$A:$E),2,FALSE)</f>
        <v>SINAPI</v>
      </c>
      <c r="D573" s="24" t="str">
        <f>VLOOKUP(B573,IF(A573="COMPOSICAO",S!$A:$E,I!$A:$E),3,FALSE)</f>
        <v>CURVA 90 GRAUS, LONGA, DE PVC RIGIDO ROSCAVEL, DE 1", PARA ELETRODUTO</v>
      </c>
      <c r="E573" s="23" t="str">
        <f>VLOOKUP(B573,IF(A573="COMPOSICAO",S!$A:$E,I!$A:$E),4,FALSE)</f>
        <v>UN</v>
      </c>
      <c r="F573" s="23">
        <v>1</v>
      </c>
      <c r="G573" s="71">
        <f>IF(A573="COMPOSICAO",VLOOKUP("TOTAL SEM BDI - "&amp;B573,CPUAUX2!$A:$J,9,FALSE),VLOOKUP(B573,I!$A:$E,5,FALSE))</f>
        <v>3.99</v>
      </c>
      <c r="H573" s="72"/>
      <c r="I573" s="71">
        <f>TRUNC(F573*G573,2)</f>
        <v>3.99</v>
      </c>
      <c r="J573" s="72"/>
      <c r="M573" s="23">
        <f>B573</f>
        <v>1884</v>
      </c>
      <c r="N573" s="23">
        <f>SUMIF(CPU!M:M,B570,CPU!O:O)</f>
        <v>5</v>
      </c>
      <c r="O573" s="23">
        <f>F573*N573</f>
        <v>5</v>
      </c>
      <c r="Q573" s="23">
        <f ca="1">SUMIF(CPU!M:M,B570,CPU!R:R)</f>
        <v>2</v>
      </c>
      <c r="R573" s="23">
        <f ca="1">F573*Q573</f>
        <v>2</v>
      </c>
    </row>
    <row r="574" spans="1:18" x14ac:dyDescent="0.3">
      <c r="A574" s="68" t="str">
        <f>"TOTAL SEM BDI - "&amp;B570</f>
        <v>TOTAL SEM BDI - 91917</v>
      </c>
      <c r="B574" s="69"/>
      <c r="C574" s="69"/>
      <c r="D574" s="69"/>
      <c r="E574" s="69"/>
      <c r="F574" s="69"/>
      <c r="G574" s="69"/>
      <c r="H574" s="70"/>
      <c r="I574" s="71">
        <f>SUM(I570:I573)</f>
        <v>20.560000000000002</v>
      </c>
      <c r="J574" s="72"/>
    </row>
    <row r="576" spans="1:18" x14ac:dyDescent="0.3">
      <c r="A576" s="4" t="s">
        <v>1018</v>
      </c>
      <c r="B576" s="4" t="s">
        <v>138</v>
      </c>
      <c r="C576" s="4" t="s">
        <v>139</v>
      </c>
      <c r="D576" s="4" t="s">
        <v>21</v>
      </c>
      <c r="E576" s="4" t="s">
        <v>140</v>
      </c>
      <c r="F576" s="4" t="s">
        <v>506</v>
      </c>
      <c r="G576" s="34" t="s">
        <v>1019</v>
      </c>
      <c r="H576" s="35"/>
      <c r="I576" s="34" t="s">
        <v>15</v>
      </c>
      <c r="J576" s="35"/>
    </row>
    <row r="577" spans="1:18" ht="60" customHeight="1" x14ac:dyDescent="0.3">
      <c r="A577" s="15" t="s">
        <v>1078</v>
      </c>
      <c r="B577" s="15">
        <v>91885</v>
      </c>
      <c r="C577" s="15" t="str">
        <f>VLOOKUP(B577,S!$A:$G,2,FALSE)</f>
        <v>SINAPI</v>
      </c>
      <c r="D577" s="22" t="str">
        <f>VLOOKUP(B577,S!$A:$G,3,FALSE)</f>
        <v>LUVA PARA ELETRODUTO, PVC, ROSCÁVEL, DN 32 MM (1"), PARA CIRCUITOS TERMINAIS, INSTALADA EM PAREDE - FORNECIMENTO E INSTALAÇÃO. AF_03/2023</v>
      </c>
      <c r="E577" s="15" t="str">
        <f>VLOOKUP(B577,S!$A:$G,4,FALSE)</f>
        <v>UN</v>
      </c>
      <c r="F577" s="15"/>
      <c r="G577" s="73">
        <f>I581</f>
        <v>12.65</v>
      </c>
      <c r="H577" s="74"/>
      <c r="I577" s="73"/>
      <c r="J577" s="74"/>
      <c r="K577" s="16">
        <f>VLOOKUP(B577,S!A:G,5,FALSE)</f>
        <v>12.65</v>
      </c>
      <c r="L577" s="15" t="str">
        <f>IF(K577=G577,"OK, CONFORME TABELA",IF(G577&gt;K577,"ACIMA DA TABELA: ","ABAIXO DA TABELA: ")&amp;TRUNC((G577*100)/K577,2)&amp;" %")</f>
        <v>OK, CONFORME TABELA</v>
      </c>
    </row>
    <row r="578" spans="1:18" x14ac:dyDescent="0.3">
      <c r="A578" s="23" t="s">
        <v>1022</v>
      </c>
      <c r="B578" s="23">
        <v>88264</v>
      </c>
      <c r="C578" s="23" t="str">
        <f>VLOOKUP(B578,IF(A578="COMPOSICAO",S!$A:$E,I!$A:$E),2,FALSE)</f>
        <v>SINAPI</v>
      </c>
      <c r="D578" s="24" t="str">
        <f>VLOOKUP(B578,IF(A578="COMPOSICAO",S!$A:$E,I!$A:$E),3,FALSE)</f>
        <v>ELETRICISTA COM ENCARGOS COMPLEMENTARES</v>
      </c>
      <c r="E578" s="23" t="str">
        <f>VLOOKUP(B578,IF(A578="COMPOSICAO",S!$A:$E,I!$A:$E),4,FALSE)</f>
        <v>H</v>
      </c>
      <c r="F578" s="23">
        <f>0.219/pcf</f>
        <v>0.219</v>
      </c>
      <c r="G578" s="71">
        <f>IF(A578="COMPOSICAO",VLOOKUP("TOTAL SEM BDI - "&amp;B578,CPUAUX2!$A:$J,9,FALSE),VLOOKUP(B578,I!$A:$E,5,FALSE))</f>
        <v>27.74</v>
      </c>
      <c r="H578" s="72"/>
      <c r="I578" s="71">
        <f>TRUNC(F578*G578,2)</f>
        <v>6.07</v>
      </c>
      <c r="J578" s="72"/>
      <c r="M578" s="23">
        <f>B578</f>
        <v>88264</v>
      </c>
      <c r="N578" s="23">
        <f>SUMIF(CPU!M:M,B577,CPU!O:O)</f>
        <v>5</v>
      </c>
      <c r="O578" s="23">
        <f>F578*N578</f>
        <v>1.095</v>
      </c>
      <c r="Q578" s="23">
        <f ca="1">SUMIF(CPU!M:M,B577,CPU!R:R)</f>
        <v>2</v>
      </c>
      <c r="R578" s="23">
        <f ca="1">F578*Q578</f>
        <v>0.438</v>
      </c>
    </row>
    <row r="579" spans="1:18" ht="30" customHeight="1" x14ac:dyDescent="0.3">
      <c r="A579" s="23" t="s">
        <v>1022</v>
      </c>
      <c r="B579" s="23">
        <v>88247</v>
      </c>
      <c r="C579" s="23" t="str">
        <f>VLOOKUP(B579,IF(A579="COMPOSICAO",S!$A:$E,I!$A:$E),2,FALSE)</f>
        <v>SINAPI</v>
      </c>
      <c r="D579" s="24" t="str">
        <f>VLOOKUP(B579,IF(A579="COMPOSICAO",S!$A:$E,I!$A:$E),3,FALSE)</f>
        <v>AUXILIAR DE ELETRICISTA COM ENCARGOS COMPLEMENTARES</v>
      </c>
      <c r="E579" s="23" t="str">
        <f>VLOOKUP(B579,IF(A579="COMPOSICAO",S!$A:$E,I!$A:$E),4,FALSE)</f>
        <v>H</v>
      </c>
      <c r="F579" s="23">
        <f>0.219/pcf</f>
        <v>0.219</v>
      </c>
      <c r="G579" s="71">
        <f>IF(A579="COMPOSICAO",VLOOKUP("TOTAL SEM BDI - "&amp;B579,CPUAUX2!$A:$J,9,FALSE),VLOOKUP(B579,I!$A:$E,5,FALSE))</f>
        <v>22.810000000000002</v>
      </c>
      <c r="H579" s="72"/>
      <c r="I579" s="71">
        <f>TRUNC(F579*G579,2)</f>
        <v>4.99</v>
      </c>
      <c r="J579" s="72"/>
      <c r="M579" s="23">
        <f>B579</f>
        <v>88247</v>
      </c>
      <c r="N579" s="23">
        <f>SUMIF(CPU!M:M,B577,CPU!O:O)</f>
        <v>5</v>
      </c>
      <c r="O579" s="23">
        <f>F579*N579</f>
        <v>1.095</v>
      </c>
      <c r="Q579" s="23">
        <f ca="1">SUMIF(CPU!M:M,B577,CPU!R:R)</f>
        <v>2</v>
      </c>
      <c r="R579" s="23">
        <f ca="1">F579*Q579</f>
        <v>0.438</v>
      </c>
    </row>
    <row r="580" spans="1:18" ht="30" customHeight="1" x14ac:dyDescent="0.3">
      <c r="A580" s="23" t="s">
        <v>1025</v>
      </c>
      <c r="B580" s="23">
        <v>1892</v>
      </c>
      <c r="C580" s="23" t="str">
        <f>VLOOKUP(B580,IF(A580="COMPOSICAO",S!$A:$E,I!$A:$E),2,FALSE)</f>
        <v>SINAPI</v>
      </c>
      <c r="D580" s="24" t="str">
        <f>VLOOKUP(B580,IF(A580="COMPOSICAO",S!$A:$E,I!$A:$E),3,FALSE)</f>
        <v>LUVA EM PVC RIGIDO ROSCAVEL, DE 1", PARA ELETRODUTO</v>
      </c>
      <c r="E580" s="23" t="str">
        <f>VLOOKUP(B580,IF(A580="COMPOSICAO",S!$A:$E,I!$A:$E),4,FALSE)</f>
        <v>UN</v>
      </c>
      <c r="F580" s="23">
        <v>1</v>
      </c>
      <c r="G580" s="71">
        <f>IF(A580="COMPOSICAO",VLOOKUP("TOTAL SEM BDI - "&amp;B580,CPUAUX2!$A:$J,9,FALSE),VLOOKUP(B580,I!$A:$E,5,FALSE))</f>
        <v>1.59</v>
      </c>
      <c r="H580" s="72"/>
      <c r="I580" s="71">
        <f>TRUNC(F580*G580,2)</f>
        <v>1.59</v>
      </c>
      <c r="J580" s="72"/>
      <c r="M580" s="23">
        <f>B580</f>
        <v>1892</v>
      </c>
      <c r="N580" s="23">
        <f>SUMIF(CPU!M:M,B577,CPU!O:O)</f>
        <v>5</v>
      </c>
      <c r="O580" s="23">
        <f>F580*N580</f>
        <v>5</v>
      </c>
      <c r="Q580" s="23">
        <f ca="1">SUMIF(CPU!M:M,B577,CPU!R:R)</f>
        <v>2</v>
      </c>
      <c r="R580" s="23">
        <f ca="1">F580*Q580</f>
        <v>2</v>
      </c>
    </row>
    <row r="581" spans="1:18" x14ac:dyDescent="0.3">
      <c r="A581" s="68" t="str">
        <f>"TOTAL SEM BDI - "&amp;B577</f>
        <v>TOTAL SEM BDI - 91885</v>
      </c>
      <c r="B581" s="69"/>
      <c r="C581" s="69"/>
      <c r="D581" s="69"/>
      <c r="E581" s="69"/>
      <c r="F581" s="69"/>
      <c r="G581" s="69"/>
      <c r="H581" s="70"/>
      <c r="I581" s="71">
        <f>SUM(I577:I580)</f>
        <v>12.65</v>
      </c>
      <c r="J581" s="72"/>
    </row>
    <row r="583" spans="1:18" x14ac:dyDescent="0.3">
      <c r="A583" s="4" t="s">
        <v>1018</v>
      </c>
      <c r="B583" s="4" t="s">
        <v>138</v>
      </c>
      <c r="C583" s="4" t="s">
        <v>139</v>
      </c>
      <c r="D583" s="4" t="s">
        <v>21</v>
      </c>
      <c r="E583" s="4" t="s">
        <v>140</v>
      </c>
      <c r="F583" s="4" t="s">
        <v>506</v>
      </c>
      <c r="G583" s="34" t="s">
        <v>1019</v>
      </c>
      <c r="H583" s="35"/>
      <c r="I583" s="34" t="s">
        <v>15</v>
      </c>
      <c r="J583" s="35"/>
    </row>
    <row r="584" spans="1:18" ht="60" customHeight="1" x14ac:dyDescent="0.3">
      <c r="A584" s="15" t="s">
        <v>1078</v>
      </c>
      <c r="B584" s="15">
        <v>91872</v>
      </c>
      <c r="C584" s="15" t="str">
        <f>VLOOKUP(B584,S!$A:$G,2,FALSE)</f>
        <v>SINAPI</v>
      </c>
      <c r="D584" s="22" t="str">
        <f>VLOOKUP(B584,S!$A:$G,3,FALSE)</f>
        <v>ELETRODUTO RÍGIDO ROSCÁVEL, PVC, DN 32 MM (1"), PARA CIRCUITOS TERMINAIS, INSTALADO EM PAREDE - FORNECIMENTO E INSTALAÇÃO. AF_03/2023</v>
      </c>
      <c r="E584" s="15" t="str">
        <f>VLOOKUP(B584,S!$A:$G,4,FALSE)</f>
        <v>M</v>
      </c>
      <c r="F584" s="15"/>
      <c r="G584" s="73">
        <f>I588</f>
        <v>18.170000000000002</v>
      </c>
      <c r="H584" s="74"/>
      <c r="I584" s="73"/>
      <c r="J584" s="74"/>
      <c r="K584" s="16">
        <f>VLOOKUP(B584,S!A:G,5,FALSE)</f>
        <v>18.170000000000002</v>
      </c>
      <c r="L584" s="15" t="str">
        <f>IF(K584=G584,"OK, CONFORME TABELA",IF(G584&gt;K584,"ACIMA DA TABELA: ","ABAIXO DA TABELA: ")&amp;TRUNC((G584*100)/K584,2)&amp;" %")</f>
        <v>OK, CONFORME TABELA</v>
      </c>
    </row>
    <row r="585" spans="1:18" x14ac:dyDescent="0.3">
      <c r="A585" s="23" t="s">
        <v>1022</v>
      </c>
      <c r="B585" s="23">
        <v>88264</v>
      </c>
      <c r="C585" s="23" t="str">
        <f>VLOOKUP(B585,IF(A585="COMPOSICAO",S!$A:$E,I!$A:$E),2,FALSE)</f>
        <v>SINAPI</v>
      </c>
      <c r="D585" s="24" t="str">
        <f>VLOOKUP(B585,IF(A585="COMPOSICAO",S!$A:$E,I!$A:$E),3,FALSE)</f>
        <v>ELETRICISTA COM ENCARGOS COMPLEMENTARES</v>
      </c>
      <c r="E585" s="23" t="str">
        <f>VLOOKUP(B585,IF(A585="COMPOSICAO",S!$A:$E,I!$A:$E),4,FALSE)</f>
        <v>H</v>
      </c>
      <c r="F585" s="23">
        <f>0.197/pcf</f>
        <v>0.19700000000000001</v>
      </c>
      <c r="G585" s="71">
        <f>IF(A585="COMPOSICAO",VLOOKUP("TOTAL SEM BDI - "&amp;B585,CPUAUX2!$A:$J,9,FALSE),VLOOKUP(B585,I!$A:$E,5,FALSE))</f>
        <v>27.74</v>
      </c>
      <c r="H585" s="72"/>
      <c r="I585" s="71">
        <f>TRUNC(F585*G585,2)</f>
        <v>5.46</v>
      </c>
      <c r="J585" s="72"/>
      <c r="M585" s="23">
        <f>B585</f>
        <v>88264</v>
      </c>
      <c r="N585" s="23">
        <f>SUMIF(CPU!M:M,B584,CPU!O:O)</f>
        <v>30.25</v>
      </c>
      <c r="O585" s="23">
        <f>F585*N585</f>
        <v>5.9592499999999999</v>
      </c>
      <c r="Q585" s="23">
        <f ca="1">SUMIF(CPU!M:M,B584,CPU!R:R)</f>
        <v>12.1</v>
      </c>
      <c r="R585" s="23">
        <f ca="1">F585*Q585</f>
        <v>2.3837000000000002</v>
      </c>
    </row>
    <row r="586" spans="1:18" ht="30" customHeight="1" x14ac:dyDescent="0.3">
      <c r="A586" s="23" t="s">
        <v>1022</v>
      </c>
      <c r="B586" s="23">
        <v>88247</v>
      </c>
      <c r="C586" s="23" t="str">
        <f>VLOOKUP(B586,IF(A586="COMPOSICAO",S!$A:$E,I!$A:$E),2,FALSE)</f>
        <v>SINAPI</v>
      </c>
      <c r="D586" s="24" t="str">
        <f>VLOOKUP(B586,IF(A586="COMPOSICAO",S!$A:$E,I!$A:$E),3,FALSE)</f>
        <v>AUXILIAR DE ELETRICISTA COM ENCARGOS COMPLEMENTARES</v>
      </c>
      <c r="E586" s="23" t="str">
        <f>VLOOKUP(B586,IF(A586="COMPOSICAO",S!$A:$E,I!$A:$E),4,FALSE)</f>
        <v>H</v>
      </c>
      <c r="F586" s="23">
        <f>0.197/pcf</f>
        <v>0.19700000000000001</v>
      </c>
      <c r="G586" s="71">
        <f>IF(A586="COMPOSICAO",VLOOKUP("TOTAL SEM BDI - "&amp;B586,CPUAUX2!$A:$J,9,FALSE),VLOOKUP(B586,I!$A:$E,5,FALSE))</f>
        <v>22.810000000000002</v>
      </c>
      <c r="H586" s="72"/>
      <c r="I586" s="71">
        <f>TRUNC(F586*G586,2)</f>
        <v>4.49</v>
      </c>
      <c r="J586" s="72"/>
      <c r="M586" s="23">
        <f>B586</f>
        <v>88247</v>
      </c>
      <c r="N586" s="23">
        <f>SUMIF(CPU!M:M,B584,CPU!O:O)</f>
        <v>30.25</v>
      </c>
      <c r="O586" s="23">
        <f>F586*N586</f>
        <v>5.9592499999999999</v>
      </c>
      <c r="Q586" s="23">
        <f ca="1">SUMIF(CPU!M:M,B584,CPU!R:R)</f>
        <v>12.1</v>
      </c>
      <c r="R586" s="23">
        <f ca="1">F586*Q586</f>
        <v>2.3837000000000002</v>
      </c>
    </row>
    <row r="587" spans="1:18" ht="30" customHeight="1" x14ac:dyDescent="0.3">
      <c r="A587" s="23" t="s">
        <v>1025</v>
      </c>
      <c r="B587" s="23">
        <v>2685</v>
      </c>
      <c r="C587" s="23" t="str">
        <f>VLOOKUP(B587,IF(A587="COMPOSICAO",S!$A:$E,I!$A:$E),2,FALSE)</f>
        <v>SINAPI</v>
      </c>
      <c r="D587" s="24" t="str">
        <f>VLOOKUP(B587,IF(A587="COMPOSICAO",S!$A:$E,I!$A:$E),3,FALSE)</f>
        <v>ELETRODUTO DE PVC RIGIDO ROSCAVEL DE 1", SEM LUVA</v>
      </c>
      <c r="E587" s="23" t="str">
        <f>VLOOKUP(B587,IF(A587="COMPOSICAO",S!$A:$E,I!$A:$E),4,FALSE)</f>
        <v>M</v>
      </c>
      <c r="F587" s="23">
        <v>1.0169999999999999</v>
      </c>
      <c r="G587" s="71">
        <f>IF(A587="COMPOSICAO",VLOOKUP("TOTAL SEM BDI - "&amp;B587,CPUAUX2!$A:$J,9,FALSE),VLOOKUP(B587,I!$A:$E,5,FALSE))</f>
        <v>8.09</v>
      </c>
      <c r="H587" s="72"/>
      <c r="I587" s="71">
        <f>TRUNC(F587*G587,2)</f>
        <v>8.2200000000000006</v>
      </c>
      <c r="J587" s="72"/>
      <c r="M587" s="23">
        <f>B587</f>
        <v>2685</v>
      </c>
      <c r="N587" s="23">
        <f>SUMIF(CPU!M:M,B584,CPU!O:O)</f>
        <v>30.25</v>
      </c>
      <c r="O587" s="23">
        <f>F587*N587</f>
        <v>30.764249999999997</v>
      </c>
      <c r="Q587" s="23">
        <f ca="1">SUMIF(CPU!M:M,B584,CPU!R:R)</f>
        <v>12.1</v>
      </c>
      <c r="R587" s="23">
        <f ca="1">F587*Q587</f>
        <v>12.305699999999998</v>
      </c>
    </row>
    <row r="588" spans="1:18" x14ac:dyDescent="0.3">
      <c r="A588" s="68" t="str">
        <f>"TOTAL SEM BDI - "&amp;B584</f>
        <v>TOTAL SEM BDI - 91872</v>
      </c>
      <c r="B588" s="69"/>
      <c r="C588" s="69"/>
      <c r="D588" s="69"/>
      <c r="E588" s="69"/>
      <c r="F588" s="69"/>
      <c r="G588" s="69"/>
      <c r="H588" s="70"/>
      <c r="I588" s="71">
        <f>SUM(I584:I587)</f>
        <v>18.170000000000002</v>
      </c>
      <c r="J588" s="72"/>
    </row>
    <row r="590" spans="1:18" x14ac:dyDescent="0.3">
      <c r="A590" s="4" t="s">
        <v>1018</v>
      </c>
      <c r="B590" s="4" t="s">
        <v>138</v>
      </c>
      <c r="C590" s="4" t="s">
        <v>139</v>
      </c>
      <c r="D590" s="4" t="s">
        <v>21</v>
      </c>
      <c r="E590" s="4" t="s">
        <v>140</v>
      </c>
      <c r="F590" s="4" t="s">
        <v>506</v>
      </c>
      <c r="G590" s="34" t="s">
        <v>1019</v>
      </c>
      <c r="H590" s="35"/>
      <c r="I590" s="34" t="s">
        <v>15</v>
      </c>
      <c r="J590" s="35"/>
    </row>
    <row r="591" spans="1:18" ht="60" customHeight="1" x14ac:dyDescent="0.3">
      <c r="A591" s="15" t="s">
        <v>1094</v>
      </c>
      <c r="B591" s="15">
        <v>87367</v>
      </c>
      <c r="C591" s="15" t="str">
        <f>VLOOKUP(B591,S!$A:$G,2,FALSE)</f>
        <v>SINAPI</v>
      </c>
      <c r="D591" s="22" t="str">
        <f>VLOOKUP(B591,S!$A:$G,3,FALSE)</f>
        <v>ARGAMASSA TRAÇO 1:1:6 (EM VOLUME DE CIMENTO, CAL E AREIA MÉDIA ÚMIDA) PARA EMBOÇO/MASSA ÚNICA/ASSENTAMENTO DE ALVENARIA DE VEDAÇÃO, PREPARO MANUAL. AF_08/2019</v>
      </c>
      <c r="E591" s="15" t="str">
        <f>VLOOKUP(B591,S!$A:$G,4,FALSE)</f>
        <v>M3</v>
      </c>
      <c r="F591" s="15"/>
      <c r="G591" s="73">
        <f>I596</f>
        <v>760.22</v>
      </c>
      <c r="H591" s="74"/>
      <c r="I591" s="73"/>
      <c r="J591" s="74"/>
      <c r="K591" s="16">
        <f>VLOOKUP(B591,S!A:G,5,FALSE)</f>
        <v>760.22</v>
      </c>
      <c r="L591" s="15" t="str">
        <f>IF(K591=G591,"OK, CONFORME TABELA",IF(G591&gt;K591,"ACIMA DA TABELA: ","ABAIXO DA TABELA: ")&amp;TRUNC((G591*100)/K591,2)&amp;" %")</f>
        <v>OK, CONFORME TABELA</v>
      </c>
    </row>
    <row r="592" spans="1:18" x14ac:dyDescent="0.3">
      <c r="A592" s="23" t="s">
        <v>1022</v>
      </c>
      <c r="B592" s="23">
        <v>88316</v>
      </c>
      <c r="C592" s="23" t="str">
        <f>VLOOKUP(B592,IF(A592="COMPOSICAO",S!$A:$E,I!$A:$E),2,FALSE)</f>
        <v>SINAPI</v>
      </c>
      <c r="D592" s="24" t="str">
        <f>VLOOKUP(B592,IF(A592="COMPOSICAO",S!$A:$E,I!$A:$E),3,FALSE)</f>
        <v>SERVENTE COM ENCARGOS COMPLEMENTARES</v>
      </c>
      <c r="E592" s="23" t="str">
        <f>VLOOKUP(B592,IF(A592="COMPOSICAO",S!$A:$E,I!$A:$E),4,FALSE)</f>
        <v>H</v>
      </c>
      <c r="F592" s="23">
        <f>11.23/pcf</f>
        <v>11.23</v>
      </c>
      <c r="G592" s="71">
        <f>IF(A592="COMPOSICAO",VLOOKUP("TOTAL SEM BDI - "&amp;B592,CPUAUX2!$A:$J,9,FALSE),VLOOKUP(B592,I!$A:$E,5,FALSE))</f>
        <v>21.71</v>
      </c>
      <c r="H592" s="72"/>
      <c r="I592" s="71">
        <f>TRUNC(F592*G592,2)</f>
        <v>243.8</v>
      </c>
      <c r="J592" s="72"/>
      <c r="M592" s="23">
        <f>B592</f>
        <v>88316</v>
      </c>
      <c r="N592" s="23">
        <f>SUMIF(CPU!M:M,B591,CPU!O:O)</f>
        <v>5.6999999999999995E-2</v>
      </c>
      <c r="O592" s="23">
        <f>F592*N592</f>
        <v>0.64010999999999996</v>
      </c>
      <c r="Q592" s="23">
        <f ca="1">SUMIF(CPU!M:M,B591,CPU!R:R)</f>
        <v>2.2800000000000001E-2</v>
      </c>
      <c r="R592" s="23">
        <f ca="1">F592*Q592</f>
        <v>0.25604399999999999</v>
      </c>
    </row>
    <row r="593" spans="1:18" x14ac:dyDescent="0.3">
      <c r="A593" s="23" t="s">
        <v>1025</v>
      </c>
      <c r="B593" s="23">
        <v>1379</v>
      </c>
      <c r="C593" s="23" t="str">
        <f>VLOOKUP(B593,IF(A593="COMPOSICAO",S!$A:$E,I!$A:$E),2,FALSE)</f>
        <v>SINAPI</v>
      </c>
      <c r="D593" s="24" t="str">
        <f>VLOOKUP(B593,IF(A593="COMPOSICAO",S!$A:$E,I!$A:$E),3,FALSE)</f>
        <v>CIMENTO PORTLAND COMPOSTO CP II-32</v>
      </c>
      <c r="E593" s="23" t="str">
        <f>VLOOKUP(B593,IF(A593="COMPOSICAO",S!$A:$E,I!$A:$E),4,FALSE)</f>
        <v>KG</v>
      </c>
      <c r="F593" s="23">
        <v>261.89</v>
      </c>
      <c r="G593" s="71">
        <f>IF(A593="COMPOSICAO",VLOOKUP("TOTAL SEM BDI - "&amp;B593,CPUAUX2!$A:$J,9,FALSE),VLOOKUP(B593,I!$A:$E,5,FALSE))</f>
        <v>1</v>
      </c>
      <c r="H593" s="72"/>
      <c r="I593" s="71">
        <f>TRUNC(F593*G593,2)</f>
        <v>261.89</v>
      </c>
      <c r="J593" s="72"/>
      <c r="M593" s="23">
        <f>B593</f>
        <v>1379</v>
      </c>
      <c r="N593" s="23">
        <f>SUMIF(CPU!M:M,B591,CPU!O:O)</f>
        <v>5.6999999999999995E-2</v>
      </c>
      <c r="O593" s="23">
        <f>F593*N593</f>
        <v>14.927729999999999</v>
      </c>
      <c r="Q593" s="23">
        <f ca="1">SUMIF(CPU!M:M,B591,CPU!R:R)</f>
        <v>2.2800000000000001E-2</v>
      </c>
      <c r="R593" s="23">
        <f ca="1">F593*Q593</f>
        <v>5.9710919999999996</v>
      </c>
    </row>
    <row r="594" spans="1:18" x14ac:dyDescent="0.3">
      <c r="A594" s="23" t="s">
        <v>1025</v>
      </c>
      <c r="B594" s="23">
        <v>1106</v>
      </c>
      <c r="C594" s="23" t="str">
        <f>VLOOKUP(B594,IF(A594="COMPOSICAO",S!$A:$E,I!$A:$E),2,FALSE)</f>
        <v>SINAPI</v>
      </c>
      <c r="D594" s="24" t="str">
        <f>VLOOKUP(B594,IF(A594="COMPOSICAO",S!$A:$E,I!$A:$E),3,FALSE)</f>
        <v>CAL HIDRATADA CH-I PARA ARGAMASSAS</v>
      </c>
      <c r="E594" s="23" t="str">
        <f>VLOOKUP(B594,IF(A594="COMPOSICAO",S!$A:$E,I!$A:$E),4,FALSE)</f>
        <v>KG</v>
      </c>
      <c r="F594" s="23">
        <v>116.4</v>
      </c>
      <c r="G594" s="71">
        <f>IF(A594="COMPOSICAO",VLOOKUP("TOTAL SEM BDI - "&amp;B594,CPUAUX2!$A:$J,9,FALSE),VLOOKUP(B594,I!$A:$E,5,FALSE))</f>
        <v>1.24</v>
      </c>
      <c r="H594" s="72"/>
      <c r="I594" s="71">
        <f>TRUNC(F594*G594,2)</f>
        <v>144.33000000000001</v>
      </c>
      <c r="J594" s="72"/>
      <c r="M594" s="23">
        <f>B594</f>
        <v>1106</v>
      </c>
      <c r="N594" s="23">
        <f>SUMIF(CPU!M:M,B591,CPU!O:O)</f>
        <v>5.6999999999999995E-2</v>
      </c>
      <c r="O594" s="23">
        <f>F594*N594</f>
        <v>6.6347999999999994</v>
      </c>
      <c r="Q594" s="23">
        <f ca="1">SUMIF(CPU!M:M,B591,CPU!R:R)</f>
        <v>2.2800000000000001E-2</v>
      </c>
      <c r="R594" s="23">
        <f ca="1">F594*Q594</f>
        <v>2.6539200000000003</v>
      </c>
    </row>
    <row r="595" spans="1:18" ht="30" customHeight="1" x14ac:dyDescent="0.3">
      <c r="A595" s="23" t="s">
        <v>1025</v>
      </c>
      <c r="B595" s="23">
        <v>370</v>
      </c>
      <c r="C595" s="23" t="str">
        <f>VLOOKUP(B595,IF(A595="COMPOSICAO",S!$A:$E,I!$A:$E),2,FALSE)</f>
        <v>SINAPI</v>
      </c>
      <c r="D595" s="24" t="str">
        <f>VLOOKUP(B595,IF(A595="COMPOSICAO",S!$A:$E,I!$A:$E),3,FALSE)</f>
        <v>AREIA MEDIA - POSTO JAZIDA/FORNECEDOR (RETIRADO NA JAZIDA, SEM TRANSPORTE)</v>
      </c>
      <c r="E595" s="23" t="str">
        <f>VLOOKUP(B595,IF(A595="COMPOSICAO",S!$A:$E,I!$A:$E),4,FALSE)</f>
        <v>M3</v>
      </c>
      <c r="F595" s="23">
        <v>1.1599999999999999</v>
      </c>
      <c r="G595" s="71">
        <f>IF(A595="COMPOSICAO",VLOOKUP("TOTAL SEM BDI - "&amp;B595,CPUAUX2!$A:$J,9,FALSE),VLOOKUP(B595,I!$A:$E,5,FALSE))</f>
        <v>95</v>
      </c>
      <c r="H595" s="72"/>
      <c r="I595" s="71">
        <f>TRUNC(F595*G595,2)</f>
        <v>110.2</v>
      </c>
      <c r="J595" s="72"/>
      <c r="M595" s="23">
        <f>B595</f>
        <v>370</v>
      </c>
      <c r="N595" s="23">
        <f>SUMIF(CPU!M:M,B591,CPU!O:O)</f>
        <v>5.6999999999999995E-2</v>
      </c>
      <c r="O595" s="23">
        <f>F595*N595</f>
        <v>6.6119999999999984E-2</v>
      </c>
      <c r="Q595" s="23">
        <f ca="1">SUMIF(CPU!M:M,B591,CPU!R:R)</f>
        <v>2.2800000000000001E-2</v>
      </c>
      <c r="R595" s="23">
        <f ca="1">F595*Q595</f>
        <v>2.6447999999999999E-2</v>
      </c>
    </row>
    <row r="596" spans="1:18" x14ac:dyDescent="0.3">
      <c r="A596" s="68" t="str">
        <f>"TOTAL SEM BDI - "&amp;B591</f>
        <v>TOTAL SEM BDI - 87367</v>
      </c>
      <c r="B596" s="69"/>
      <c r="C596" s="69"/>
      <c r="D596" s="69"/>
      <c r="E596" s="69"/>
      <c r="F596" s="69"/>
      <c r="G596" s="69"/>
      <c r="H596" s="70"/>
      <c r="I596" s="71">
        <f>SUM(I591:I595)</f>
        <v>760.22</v>
      </c>
      <c r="J596" s="72"/>
    </row>
    <row r="598" spans="1:18" x14ac:dyDescent="0.3">
      <c r="A598" s="4" t="s">
        <v>1018</v>
      </c>
      <c r="B598" s="4" t="s">
        <v>138</v>
      </c>
      <c r="C598" s="4" t="s">
        <v>139</v>
      </c>
      <c r="D598" s="4" t="s">
        <v>21</v>
      </c>
      <c r="E598" s="4" t="s">
        <v>140</v>
      </c>
      <c r="F598" s="4" t="s">
        <v>506</v>
      </c>
      <c r="G598" s="34" t="s">
        <v>1019</v>
      </c>
      <c r="H598" s="35"/>
      <c r="I598" s="34" t="s">
        <v>15</v>
      </c>
      <c r="J598" s="35"/>
    </row>
    <row r="599" spans="1:18" x14ac:dyDescent="0.3">
      <c r="A599" s="15" t="s">
        <v>516</v>
      </c>
      <c r="B599" s="15" t="s">
        <v>1076</v>
      </c>
      <c r="C599" s="15" t="str">
        <f>VLOOKUP(B599,S!$A:$G,2,FALSE)</f>
        <v>ORSE</v>
      </c>
      <c r="D599" s="22" t="str">
        <f>VLOOKUP(B599,S!$A:$G,3,FALSE)</f>
        <v>ENCARGOS COMPLEMENTARES - SERVENTE</v>
      </c>
      <c r="E599" s="15" t="str">
        <f>VLOOKUP(B599,S!$A:$G,4,FALSE)</f>
        <v>H</v>
      </c>
      <c r="F599" s="15"/>
      <c r="G599" s="73">
        <f>I618</f>
        <v>3.9599999999999991</v>
      </c>
      <c r="H599" s="74"/>
      <c r="I599" s="73"/>
      <c r="J599" s="74"/>
      <c r="K599" s="16">
        <f>VLOOKUP(B599,S!A:G,5,FALSE)</f>
        <v>3.98</v>
      </c>
      <c r="L599" s="15" t="str">
        <f>IF(K599=G599,"OK, CONFORME TABELA",IF(G599&gt;K599,"ACIMA DA TABELA: ","ABAIXO DA TABELA: ")&amp;TRUNC((G599*100)/K599,2)&amp;" %")</f>
        <v>ABAIXO DA TABELA: 99,49 %</v>
      </c>
    </row>
    <row r="600" spans="1:18" x14ac:dyDescent="0.3">
      <c r="A600" s="23" t="s">
        <v>1025</v>
      </c>
      <c r="B600" s="23" t="s">
        <v>1104</v>
      </c>
      <c r="C600" s="23" t="str">
        <f>VLOOKUP(B600,IF(A600="COMPOSICAO",S!$A:$E,I!$A:$E),2,FALSE)</f>
        <v>ORSE</v>
      </c>
      <c r="D600" s="24" t="str">
        <f>VLOOKUP(B600,IF(A600="COMPOSICAO",S!$A:$E,I!$A:$E),3,FALSE)</f>
        <v>ALMOÇO (PARTICIPAÇÃO DO EMPREGADOR)</v>
      </c>
      <c r="E600" s="23" t="str">
        <f>VLOOKUP(B600,IF(A600="COMPOSICAO",S!$A:$E,I!$A:$E),4,FALSE)</f>
        <v>UN</v>
      </c>
      <c r="F600" s="23">
        <v>0.1018</v>
      </c>
      <c r="G600" s="71">
        <f>IF(A600="COMPOSICAO",VLOOKUP("TOTAL SEM BDI - "&amp;B600,CPUAUX2!$A:$J,9,FALSE),VLOOKUP(B600,I!$A:$E,5,FALSE))</f>
        <v>14</v>
      </c>
      <c r="H600" s="72"/>
      <c r="I600" s="71">
        <f t="shared" ref="I600:I617" si="116">TRUNC(F600*G600,2)</f>
        <v>1.42</v>
      </c>
      <c r="J600" s="72"/>
      <c r="M600" s="23" t="str">
        <f t="shared" ref="M600:M617" si="117">B600</f>
        <v>00158/ORSE</v>
      </c>
      <c r="N600" s="23">
        <f>SUMIF(CPU!M:M,B599,CPU!O:O)</f>
        <v>1.5</v>
      </c>
      <c r="O600" s="23">
        <f t="shared" ref="O600:O617" si="118">F600*N600</f>
        <v>0.1527</v>
      </c>
      <c r="Q600" s="23">
        <f ca="1">SUMIF(CPU!M:M,B599,CPU!R:R)</f>
        <v>0.6</v>
      </c>
      <c r="R600" s="23">
        <f t="shared" ref="R600:R617" ca="1" si="119">F600*Q600</f>
        <v>6.1079999999999995E-2</v>
      </c>
    </row>
    <row r="601" spans="1:18" x14ac:dyDescent="0.3">
      <c r="A601" s="23" t="s">
        <v>1025</v>
      </c>
      <c r="B601" s="23" t="s">
        <v>1105</v>
      </c>
      <c r="C601" s="23" t="str">
        <f>VLOOKUP(B601,IF(A601="COMPOSICAO",S!$A:$E,I!$A:$E),2,FALSE)</f>
        <v>ORSE</v>
      </c>
      <c r="D601" s="24" t="str">
        <f>VLOOKUP(B601,IF(A601="COMPOSICAO",S!$A:$E,I!$A:$E),3,FALSE)</f>
        <v>FARDAMENTO COM MANGAS CURTA</v>
      </c>
      <c r="E601" s="23" t="str">
        <f>VLOOKUP(B601,IF(A601="COMPOSICAO",S!$A:$E,I!$A:$E),4,FALSE)</f>
        <v>UN</v>
      </c>
      <c r="F601" s="23">
        <v>1.5E-3</v>
      </c>
      <c r="G601" s="71">
        <f>IF(A601="COMPOSICAO",VLOOKUP("TOTAL SEM BDI - "&amp;B601,CPUAUX2!$A:$J,9,FALSE),VLOOKUP(B601,I!$A:$E,5,FALSE))</f>
        <v>196.71</v>
      </c>
      <c r="H601" s="72"/>
      <c r="I601" s="71">
        <f t="shared" si="116"/>
        <v>0.28999999999999998</v>
      </c>
      <c r="J601" s="72"/>
      <c r="M601" s="23" t="str">
        <f t="shared" si="117"/>
        <v>00941/ORSE</v>
      </c>
      <c r="N601" s="23">
        <f>SUMIF(CPU!M:M,B599,CPU!O:O)</f>
        <v>1.5</v>
      </c>
      <c r="O601" s="23">
        <f t="shared" si="118"/>
        <v>2.2500000000000003E-3</v>
      </c>
      <c r="Q601" s="23">
        <f ca="1">SUMIF(CPU!M:M,B599,CPU!R:R)</f>
        <v>0.6</v>
      </c>
      <c r="R601" s="23">
        <f t="shared" ca="1" si="119"/>
        <v>8.9999999999999998E-4</v>
      </c>
    </row>
    <row r="602" spans="1:18" x14ac:dyDescent="0.3">
      <c r="A602" s="23" t="s">
        <v>1025</v>
      </c>
      <c r="B602" s="23" t="s">
        <v>1106</v>
      </c>
      <c r="C602" s="23" t="str">
        <f>VLOOKUP(B602,IF(A602="COMPOSICAO",S!$A:$E,I!$A:$E),2,FALSE)</f>
        <v>ORSE</v>
      </c>
      <c r="D602" s="24" t="str">
        <f>VLOOKUP(B602,IF(A602="COMPOSICAO",S!$A:$E,I!$A:$E),3,FALSE)</f>
        <v>ÓCULOS BRANCO PROTEÇÃO</v>
      </c>
      <c r="E602" s="23" t="str">
        <f>VLOOKUP(B602,IF(A602="COMPOSICAO",S!$A:$E,I!$A:$E),4,FALSE)</f>
        <v>PR</v>
      </c>
      <c r="F602" s="23">
        <v>8.0000000000000004E-4</v>
      </c>
      <c r="G602" s="71">
        <f>IF(A602="COMPOSICAO",VLOOKUP("TOTAL SEM BDI - "&amp;B602,CPUAUX2!$A:$J,9,FALSE),VLOOKUP(B602,I!$A:$E,5,FALSE))</f>
        <v>7</v>
      </c>
      <c r="H602" s="72"/>
      <c r="I602" s="71">
        <f t="shared" si="116"/>
        <v>0</v>
      </c>
      <c r="J602" s="72"/>
      <c r="M602" s="23" t="str">
        <f t="shared" si="117"/>
        <v>01651/ORSE</v>
      </c>
      <c r="N602" s="23">
        <f>SUMIF(CPU!M:M,B599,CPU!O:O)</f>
        <v>1.5</v>
      </c>
      <c r="O602" s="23">
        <f t="shared" si="118"/>
        <v>1.2000000000000001E-3</v>
      </c>
      <c r="Q602" s="23">
        <f ca="1">SUMIF(CPU!M:M,B599,CPU!R:R)</f>
        <v>0.6</v>
      </c>
      <c r="R602" s="23">
        <f t="shared" ca="1" si="119"/>
        <v>4.8000000000000001E-4</v>
      </c>
    </row>
    <row r="603" spans="1:18" x14ac:dyDescent="0.3">
      <c r="A603" s="23" t="s">
        <v>1025</v>
      </c>
      <c r="B603" s="23" t="s">
        <v>1107</v>
      </c>
      <c r="C603" s="23" t="str">
        <f>VLOOKUP(B603,IF(A603="COMPOSICAO",S!$A:$E,I!$A:$E),2,FALSE)</f>
        <v>ORSE</v>
      </c>
      <c r="D603" s="24" t="str">
        <f>VLOOKUP(B603,IF(A603="COMPOSICAO",S!$A:$E,I!$A:$E),3,FALSE)</f>
        <v>VALE TRANSPORTE</v>
      </c>
      <c r="E603" s="23" t="str">
        <f>VLOOKUP(B603,IF(A603="COMPOSICAO",S!$A:$E,I!$A:$E),4,FALSE)</f>
        <v>UN</v>
      </c>
      <c r="F603" s="23">
        <v>9.4100000000000003E-2</v>
      </c>
      <c r="G603" s="71">
        <f>IF(A603="COMPOSICAO",VLOOKUP("TOTAL SEM BDI - "&amp;B603,CPUAUX2!$A:$J,9,FALSE),VLOOKUP(B603,I!$A:$E,5,FALSE))</f>
        <v>4.5</v>
      </c>
      <c r="H603" s="72"/>
      <c r="I603" s="71">
        <f t="shared" si="116"/>
        <v>0.42</v>
      </c>
      <c r="J603" s="72"/>
      <c r="M603" s="23" t="str">
        <f t="shared" si="117"/>
        <v>02378/ORSE</v>
      </c>
      <c r="N603" s="23">
        <f>SUMIF(CPU!M:M,B599,CPU!O:O)</f>
        <v>1.5</v>
      </c>
      <c r="O603" s="23">
        <f t="shared" si="118"/>
        <v>0.14115</v>
      </c>
      <c r="Q603" s="23">
        <f ca="1">SUMIF(CPU!M:M,B599,CPU!R:R)</f>
        <v>0.6</v>
      </c>
      <c r="R603" s="23">
        <f t="shared" ca="1" si="119"/>
        <v>5.6459999999999996E-2</v>
      </c>
    </row>
    <row r="604" spans="1:18" x14ac:dyDescent="0.3">
      <c r="A604" s="23" t="s">
        <v>1025</v>
      </c>
      <c r="B604" s="23" t="s">
        <v>1108</v>
      </c>
      <c r="C604" s="23" t="str">
        <f>VLOOKUP(B604,IF(A604="COMPOSICAO",S!$A:$E,I!$A:$E),2,FALSE)</f>
        <v>ORSE</v>
      </c>
      <c r="D604" s="24" t="str">
        <f>VLOOKUP(B604,IF(A604="COMPOSICAO",S!$A:$E,I!$A:$E),3,FALSE)</f>
        <v>TALHADEIRA CHATA 10"</v>
      </c>
      <c r="E604" s="23" t="str">
        <f>VLOOKUP(B604,IF(A604="COMPOSICAO",S!$A:$E,I!$A:$E),4,FALSE)</f>
        <v>UN</v>
      </c>
      <c r="F604" s="23">
        <v>2.9999999999999997E-4</v>
      </c>
      <c r="G604" s="71">
        <f>IF(A604="COMPOSICAO",VLOOKUP("TOTAL SEM BDI - "&amp;B604,CPUAUX2!$A:$J,9,FALSE),VLOOKUP(B604,I!$A:$E,5,FALSE))</f>
        <v>18.579999999999998</v>
      </c>
      <c r="H604" s="72"/>
      <c r="I604" s="71">
        <f t="shared" si="116"/>
        <v>0</v>
      </c>
      <c r="J604" s="72"/>
      <c r="M604" s="23" t="str">
        <f t="shared" si="117"/>
        <v>04728/ORSE</v>
      </c>
      <c r="N604" s="23">
        <f>SUMIF(CPU!M:M,B599,CPU!O:O)</f>
        <v>1.5</v>
      </c>
      <c r="O604" s="23">
        <f t="shared" si="118"/>
        <v>4.4999999999999999E-4</v>
      </c>
      <c r="Q604" s="23">
        <f ca="1">SUMIF(CPU!M:M,B599,CPU!R:R)</f>
        <v>0.6</v>
      </c>
      <c r="R604" s="23">
        <f t="shared" ca="1" si="119"/>
        <v>1.7999999999999998E-4</v>
      </c>
    </row>
    <row r="605" spans="1:18" x14ac:dyDescent="0.3">
      <c r="A605" s="23" t="s">
        <v>1025</v>
      </c>
      <c r="B605" s="23" t="s">
        <v>1109</v>
      </c>
      <c r="C605" s="23" t="str">
        <f>VLOOKUP(B605,IF(A605="COMPOSICAO",S!$A:$E,I!$A:$E),2,FALSE)</f>
        <v>ORSE</v>
      </c>
      <c r="D605" s="24" t="str">
        <f>VLOOKUP(B605,IF(A605="COMPOSICAO",S!$A:$E,I!$A:$E),3,FALSE)</f>
        <v>MARRETA 1 KG COM CABO</v>
      </c>
      <c r="E605" s="23" t="str">
        <f>VLOOKUP(B605,IF(A605="COMPOSICAO",S!$A:$E,I!$A:$E),4,FALSE)</f>
        <v>UN</v>
      </c>
      <c r="F605" s="23">
        <v>1E-4</v>
      </c>
      <c r="G605" s="71">
        <f>IF(A605="COMPOSICAO",VLOOKUP("TOTAL SEM BDI - "&amp;B605,CPUAUX2!$A:$J,9,FALSE),VLOOKUP(B605,I!$A:$E,5,FALSE))</f>
        <v>37.799999999999997</v>
      </c>
      <c r="H605" s="72"/>
      <c r="I605" s="71">
        <f t="shared" si="116"/>
        <v>0</v>
      </c>
      <c r="J605" s="72"/>
      <c r="M605" s="23" t="str">
        <f t="shared" si="117"/>
        <v>04729/ORSE</v>
      </c>
      <c r="N605" s="23">
        <f>SUMIF(CPU!M:M,B599,CPU!O:O)</f>
        <v>1.5</v>
      </c>
      <c r="O605" s="23">
        <f t="shared" si="118"/>
        <v>1.5000000000000001E-4</v>
      </c>
      <c r="Q605" s="23">
        <f ca="1">SUMIF(CPU!M:M,B599,CPU!R:R)</f>
        <v>0.6</v>
      </c>
      <c r="R605" s="23">
        <f t="shared" ca="1" si="119"/>
        <v>6.0000000000000002E-5</v>
      </c>
    </row>
    <row r="606" spans="1:18" x14ac:dyDescent="0.3">
      <c r="A606" s="23" t="s">
        <v>1025</v>
      </c>
      <c r="B606" s="23" t="s">
        <v>1110</v>
      </c>
      <c r="C606" s="23" t="str">
        <f>VLOOKUP(B606,IF(A606="COMPOSICAO",S!$A:$E,I!$A:$E),2,FALSE)</f>
        <v>ORSE</v>
      </c>
      <c r="D606" s="24" t="str">
        <f>VLOOKUP(B606,IF(A606="COMPOSICAO",S!$A:$E,I!$A:$E),3,FALSE)</f>
        <v>SEGURO DE VIDA E ACIDENTE EM GRUPO</v>
      </c>
      <c r="E606" s="23" t="str">
        <f>VLOOKUP(B606,IF(A606="COMPOSICAO",S!$A:$E,I!$A:$E),4,FALSE)</f>
        <v>UN</v>
      </c>
      <c r="F606" s="23">
        <v>4.4999999999999997E-3</v>
      </c>
      <c r="G606" s="71">
        <f>IF(A606="COMPOSICAO",VLOOKUP("TOTAL SEM BDI - "&amp;B606,CPUAUX2!$A:$J,9,FALSE),VLOOKUP(B606,I!$A:$E,5,FALSE))</f>
        <v>12.54</v>
      </c>
      <c r="H606" s="72"/>
      <c r="I606" s="71">
        <f t="shared" si="116"/>
        <v>0.05</v>
      </c>
      <c r="J606" s="72"/>
      <c r="M606" s="23" t="str">
        <f t="shared" si="117"/>
        <v>10362/ORSE</v>
      </c>
      <c r="N606" s="23">
        <f>SUMIF(CPU!M:M,B599,CPU!O:O)</f>
        <v>1.5</v>
      </c>
      <c r="O606" s="23">
        <f t="shared" si="118"/>
        <v>6.7499999999999991E-3</v>
      </c>
      <c r="Q606" s="23">
        <f ca="1">SUMIF(CPU!M:M,B599,CPU!R:R)</f>
        <v>0.6</v>
      </c>
      <c r="R606" s="23">
        <f t="shared" ca="1" si="119"/>
        <v>2.6999999999999997E-3</v>
      </c>
    </row>
    <row r="607" spans="1:18" x14ac:dyDescent="0.3">
      <c r="A607" s="23" t="s">
        <v>1025</v>
      </c>
      <c r="B607" s="23" t="s">
        <v>1111</v>
      </c>
      <c r="C607" s="23" t="str">
        <f>VLOOKUP(B607,IF(A607="COMPOSICAO",S!$A:$E,I!$A:$E),2,FALSE)</f>
        <v>ORSE</v>
      </c>
      <c r="D607" s="24" t="str">
        <f>VLOOKUP(B607,IF(A607="COMPOSICAO",S!$A:$E,I!$A:$E),3,FALSE)</f>
        <v>CESTA BÁSICA</v>
      </c>
      <c r="E607" s="23" t="str">
        <f>VLOOKUP(B607,IF(A607="COMPOSICAO",S!$A:$E,I!$A:$E),4,FALSE)</f>
        <v>UN</v>
      </c>
      <c r="F607" s="23">
        <v>4.4999999999999997E-3</v>
      </c>
      <c r="G607" s="71">
        <f>IF(A607="COMPOSICAO",VLOOKUP("TOTAL SEM BDI - "&amp;B607,CPUAUX2!$A:$J,9,FALSE),VLOOKUP(B607,I!$A:$E,5,FALSE))</f>
        <v>205</v>
      </c>
      <c r="H607" s="72"/>
      <c r="I607" s="71">
        <f t="shared" si="116"/>
        <v>0.92</v>
      </c>
      <c r="J607" s="72"/>
      <c r="M607" s="23" t="str">
        <f t="shared" si="117"/>
        <v>10492/ORSE</v>
      </c>
      <c r="N607" s="23">
        <f>SUMIF(CPU!M:M,B599,CPU!O:O)</f>
        <v>1.5</v>
      </c>
      <c r="O607" s="23">
        <f t="shared" si="118"/>
        <v>6.7499999999999991E-3</v>
      </c>
      <c r="Q607" s="23">
        <f ca="1">SUMIF(CPU!M:M,B599,CPU!R:R)</f>
        <v>0.6</v>
      </c>
      <c r="R607" s="23">
        <f t="shared" ca="1" si="119"/>
        <v>2.6999999999999997E-3</v>
      </c>
    </row>
    <row r="608" spans="1:18" x14ac:dyDescent="0.3">
      <c r="A608" s="23" t="s">
        <v>1025</v>
      </c>
      <c r="B608" s="23" t="s">
        <v>1112</v>
      </c>
      <c r="C608" s="23" t="str">
        <f>VLOOKUP(B608,IF(A608="COMPOSICAO",S!$A:$E,I!$A:$E),2,FALSE)</f>
        <v>ORSE</v>
      </c>
      <c r="D608" s="24" t="str">
        <f>VLOOKUP(B608,IF(A608="COMPOSICAO",S!$A:$E,I!$A:$E),3,FALSE)</f>
        <v>EXAMES ADMISSIONAIS/DEMISSIONAIS (CHECKUP)</v>
      </c>
      <c r="E608" s="23" t="str">
        <f>VLOOKUP(B608,IF(A608="COMPOSICAO",S!$A:$E,I!$A:$E),4,FALSE)</f>
        <v>CJ</v>
      </c>
      <c r="F608" s="23">
        <v>4.0000000000000002E-4</v>
      </c>
      <c r="G608" s="71">
        <f>IF(A608="COMPOSICAO",VLOOKUP("TOTAL SEM BDI - "&amp;B608,CPUAUX2!$A:$J,9,FALSE),VLOOKUP(B608,I!$A:$E,5,FALSE))</f>
        <v>300</v>
      </c>
      <c r="H608" s="72"/>
      <c r="I608" s="71">
        <f t="shared" si="116"/>
        <v>0.12</v>
      </c>
      <c r="J608" s="72"/>
      <c r="M608" s="23" t="str">
        <f t="shared" si="117"/>
        <v>10517/ORSE</v>
      </c>
      <c r="N608" s="23">
        <f>SUMIF(CPU!M:M,B599,CPU!O:O)</f>
        <v>1.5</v>
      </c>
      <c r="O608" s="23">
        <f t="shared" si="118"/>
        <v>6.0000000000000006E-4</v>
      </c>
      <c r="Q608" s="23">
        <f ca="1">SUMIF(CPU!M:M,B599,CPU!R:R)</f>
        <v>0.6</v>
      </c>
      <c r="R608" s="23">
        <f t="shared" ca="1" si="119"/>
        <v>2.4000000000000001E-4</v>
      </c>
    </row>
    <row r="609" spans="1:18" x14ac:dyDescent="0.3">
      <c r="A609" s="23" t="s">
        <v>1025</v>
      </c>
      <c r="B609" s="23" t="s">
        <v>1113</v>
      </c>
      <c r="C609" s="23" t="str">
        <f>VLOOKUP(B609,IF(A609="COMPOSICAO",S!$A:$E,I!$A:$E),2,FALSE)</f>
        <v>ORSE</v>
      </c>
      <c r="D609" s="24" t="str">
        <f>VLOOKUP(B609,IF(A609="COMPOSICAO",S!$A:$E,I!$A:$E),3,FALSE)</f>
        <v>PROTETOR AURICULAR</v>
      </c>
      <c r="E609" s="23" t="str">
        <f>VLOOKUP(B609,IF(A609="COMPOSICAO",S!$A:$E,I!$A:$E),4,FALSE)</f>
        <v>UN</v>
      </c>
      <c r="F609" s="23">
        <v>4.4999999999999997E-3</v>
      </c>
      <c r="G609" s="71">
        <f>IF(A609="COMPOSICAO",VLOOKUP("TOTAL SEM BDI - "&amp;B609,CPUAUX2!$A:$J,9,FALSE),VLOOKUP(B609,I!$A:$E,5,FALSE))</f>
        <v>4.9000000000000004</v>
      </c>
      <c r="H609" s="72"/>
      <c r="I609" s="71">
        <f t="shared" si="116"/>
        <v>0.02</v>
      </c>
      <c r="J609" s="72"/>
      <c r="M609" s="23" t="str">
        <f t="shared" si="117"/>
        <v>10596/ORSE</v>
      </c>
      <c r="N609" s="23">
        <f>SUMIF(CPU!M:M,B599,CPU!O:O)</f>
        <v>1.5</v>
      </c>
      <c r="O609" s="23">
        <f t="shared" si="118"/>
        <v>6.7499999999999991E-3</v>
      </c>
      <c r="Q609" s="23">
        <f ca="1">SUMIF(CPU!M:M,B599,CPU!R:R)</f>
        <v>0.6</v>
      </c>
      <c r="R609" s="23">
        <f t="shared" ca="1" si="119"/>
        <v>2.6999999999999997E-3</v>
      </c>
    </row>
    <row r="610" spans="1:18" x14ac:dyDescent="0.3">
      <c r="A610" s="23" t="s">
        <v>1025</v>
      </c>
      <c r="B610" s="23" t="s">
        <v>1114</v>
      </c>
      <c r="C610" s="23" t="str">
        <f>VLOOKUP(B610,IF(A610="COMPOSICAO",S!$A:$E,I!$A:$E),2,FALSE)</f>
        <v>ORSE</v>
      </c>
      <c r="D610" s="24" t="str">
        <f>VLOOKUP(B610,IF(A610="COMPOSICAO",S!$A:$E,I!$A:$E),3,FALSE)</f>
        <v>PROTETOR SOLAR FPS 30 COM 120ML</v>
      </c>
      <c r="E610" s="23" t="str">
        <f>VLOOKUP(B610,IF(A610="COMPOSICAO",S!$A:$E,I!$A:$E),4,FALSE)</f>
        <v>UN</v>
      </c>
      <c r="F610" s="23">
        <v>1.8E-3</v>
      </c>
      <c r="G610" s="71">
        <f>IF(A610="COMPOSICAO",VLOOKUP("TOTAL SEM BDI - "&amp;B610,CPUAUX2!$A:$J,9,FALSE),VLOOKUP(B610,I!$A:$E,5,FALSE))</f>
        <v>18</v>
      </c>
      <c r="H610" s="72"/>
      <c r="I610" s="71">
        <f t="shared" si="116"/>
        <v>0.03</v>
      </c>
      <c r="J610" s="72"/>
      <c r="M610" s="23" t="str">
        <f t="shared" si="117"/>
        <v>10599/ORSE</v>
      </c>
      <c r="N610" s="23">
        <f>SUMIF(CPU!M:M,B599,CPU!O:O)</f>
        <v>1.5</v>
      </c>
      <c r="O610" s="23">
        <f t="shared" si="118"/>
        <v>2.7000000000000001E-3</v>
      </c>
      <c r="Q610" s="23">
        <f ca="1">SUMIF(CPU!M:M,B599,CPU!R:R)</f>
        <v>0.6</v>
      </c>
      <c r="R610" s="23">
        <f t="shared" ca="1" si="119"/>
        <v>1.08E-3</v>
      </c>
    </row>
    <row r="611" spans="1:18" ht="30" customHeight="1" x14ac:dyDescent="0.3">
      <c r="A611" s="23" t="s">
        <v>1025</v>
      </c>
      <c r="B611" s="23" t="s">
        <v>1115</v>
      </c>
      <c r="C611" s="23" t="str">
        <f>VLOOKUP(B611,IF(A611="COMPOSICAO",S!$A:$E,I!$A:$E),2,FALSE)</f>
        <v>ORSE</v>
      </c>
      <c r="D611" s="24" t="str">
        <f>VLOOKUP(B611,IF(A611="COMPOSICAO",S!$A:$E,I!$A:$E),3,FALSE)</f>
        <v>REFEIÇÃO - CAFÉ DA MANHÃ ( CAFÉ COM LEITE E DOIS PÃES COM MANTEIGA)</v>
      </c>
      <c r="E611" s="23" t="str">
        <f>VLOOKUP(B611,IF(A611="COMPOSICAO",S!$A:$E,I!$A:$E),4,FALSE)</f>
        <v>UN</v>
      </c>
      <c r="F611" s="23">
        <v>0.1018</v>
      </c>
      <c r="G611" s="71">
        <f>IF(A611="COMPOSICAO",VLOOKUP("TOTAL SEM BDI - "&amp;B611,CPUAUX2!$A:$J,9,FALSE),VLOOKUP(B611,I!$A:$E,5,FALSE))</f>
        <v>5</v>
      </c>
      <c r="H611" s="72"/>
      <c r="I611" s="71">
        <f t="shared" si="116"/>
        <v>0.5</v>
      </c>
      <c r="J611" s="72"/>
      <c r="M611" s="23" t="str">
        <f t="shared" si="117"/>
        <v>10761/ORSE</v>
      </c>
      <c r="N611" s="23">
        <f>SUMIF(CPU!M:M,B599,CPU!O:O)</f>
        <v>1.5</v>
      </c>
      <c r="O611" s="23">
        <f t="shared" si="118"/>
        <v>0.1527</v>
      </c>
      <c r="Q611" s="23">
        <f ca="1">SUMIF(CPU!M:M,B599,CPU!R:R)</f>
        <v>0.6</v>
      </c>
      <c r="R611" s="23">
        <f t="shared" ca="1" si="119"/>
        <v>6.1079999999999995E-2</v>
      </c>
    </row>
    <row r="612" spans="1:18" x14ac:dyDescent="0.3">
      <c r="A612" s="23" t="s">
        <v>1025</v>
      </c>
      <c r="B612" s="23" t="s">
        <v>1116</v>
      </c>
      <c r="C612" s="23" t="str">
        <f>VLOOKUP(B612,IF(A612="COMPOSICAO",S!$A:$E,I!$A:$E),2,FALSE)</f>
        <v>ORSE</v>
      </c>
      <c r="D612" s="24" t="str">
        <f>VLOOKUP(B612,IF(A612="COMPOSICAO",S!$A:$E,I!$A:$E),3,FALSE)</f>
        <v>PÁ QUADRADA</v>
      </c>
      <c r="E612" s="23" t="str">
        <f>VLOOKUP(B612,IF(A612="COMPOSICAO",S!$A:$E,I!$A:$E),4,FALSE)</f>
        <v>UN</v>
      </c>
      <c r="F612" s="23">
        <v>2.0000000000000001E-4</v>
      </c>
      <c r="G612" s="71">
        <f>IF(A612="COMPOSICAO",VLOOKUP("TOTAL SEM BDI - "&amp;B612,CPUAUX2!$A:$J,9,FALSE),VLOOKUP(B612,I!$A:$E,5,FALSE))</f>
        <v>36.9</v>
      </c>
      <c r="H612" s="72"/>
      <c r="I612" s="71">
        <f t="shared" si="116"/>
        <v>0</v>
      </c>
      <c r="J612" s="72"/>
      <c r="M612" s="23" t="str">
        <f t="shared" si="117"/>
        <v>10788/ORSE</v>
      </c>
      <c r="N612" s="23">
        <f>SUMIF(CPU!M:M,B599,CPU!O:O)</f>
        <v>1.5</v>
      </c>
      <c r="O612" s="23">
        <f t="shared" si="118"/>
        <v>3.0000000000000003E-4</v>
      </c>
      <c r="Q612" s="23">
        <f ca="1">SUMIF(CPU!M:M,B599,CPU!R:R)</f>
        <v>0.6</v>
      </c>
      <c r="R612" s="23">
        <f t="shared" ca="1" si="119"/>
        <v>1.2E-4</v>
      </c>
    </row>
    <row r="613" spans="1:18" ht="30" customHeight="1" x14ac:dyDescent="0.3">
      <c r="A613" s="23" t="s">
        <v>1025</v>
      </c>
      <c r="B613" s="23">
        <v>2711</v>
      </c>
      <c r="C613" s="23" t="str">
        <f>VLOOKUP(B613,IF(A613="COMPOSICAO",S!$A:$E,I!$A:$E),2,FALSE)</f>
        <v>SINAPI</v>
      </c>
      <c r="D613" s="24" t="str">
        <f>VLOOKUP(B613,IF(A613="COMPOSICAO",S!$A:$E,I!$A:$E),3,FALSE)</f>
        <v>CARRINHO DE MAO, EM ACO, COM CAPACIDADE DE *45 A 65* L / *100* KG, PNEU COM CAMARA</v>
      </c>
      <c r="E613" s="23" t="str">
        <f>VLOOKUP(B613,IF(A613="COMPOSICAO",S!$A:$E,I!$A:$E),4,FALSE)</f>
        <v>UN</v>
      </c>
      <c r="F613" s="23">
        <v>2.0000000000000001E-4</v>
      </c>
      <c r="G613" s="71">
        <f>IF(A613="COMPOSICAO",VLOOKUP("TOTAL SEM BDI - "&amp;B613,CPUAUX2!$A:$J,9,FALSE),VLOOKUP(B613,I!$A:$E,5,FALSE))</f>
        <v>369</v>
      </c>
      <c r="H613" s="72"/>
      <c r="I613" s="71">
        <f t="shared" si="116"/>
        <v>7.0000000000000007E-2</v>
      </c>
      <c r="J613" s="72"/>
      <c r="M613" s="23">
        <f t="shared" si="117"/>
        <v>2711</v>
      </c>
      <c r="N613" s="23">
        <f>SUMIF(CPU!M:M,B599,CPU!O:O)</f>
        <v>1.5</v>
      </c>
      <c r="O613" s="23">
        <f t="shared" si="118"/>
        <v>3.0000000000000003E-4</v>
      </c>
      <c r="Q613" s="23">
        <f ca="1">SUMIF(CPU!M:M,B599,CPU!R:R)</f>
        <v>0.6</v>
      </c>
      <c r="R613" s="23">
        <f t="shared" ca="1" si="119"/>
        <v>1.2E-4</v>
      </c>
    </row>
    <row r="614" spans="1:18" ht="30" customHeight="1" x14ac:dyDescent="0.3">
      <c r="A614" s="23" t="s">
        <v>1025</v>
      </c>
      <c r="B614" s="23">
        <v>12892</v>
      </c>
      <c r="C614" s="23" t="str">
        <f>VLOOKUP(B614,IF(A614="COMPOSICAO",S!$A:$E,I!$A:$E),2,FALSE)</f>
        <v>SINAPI</v>
      </c>
      <c r="D614" s="24" t="str">
        <f>VLOOKUP(B614,IF(A614="COMPOSICAO",S!$A:$E,I!$A:$E),3,FALSE)</f>
        <v>LUVA RASPA DE COURO, CANO CURTO (PUNHO *7* CM)</v>
      </c>
      <c r="E614" s="23" t="str">
        <f>VLOOKUP(B614,IF(A614="COMPOSICAO",S!$A:$E,I!$A:$E),4,FALSE)</f>
        <v>PAR</v>
      </c>
      <c r="F614" s="23">
        <v>2.3E-3</v>
      </c>
      <c r="G614" s="71">
        <f>IF(A614="COMPOSICAO",VLOOKUP("TOTAL SEM BDI - "&amp;B614,CPUAUX2!$A:$J,9,FALSE),VLOOKUP(B614,I!$A:$E,5,FALSE))</f>
        <v>15.21</v>
      </c>
      <c r="H614" s="72"/>
      <c r="I614" s="71">
        <f t="shared" si="116"/>
        <v>0.03</v>
      </c>
      <c r="J614" s="72"/>
      <c r="M614" s="23">
        <f t="shared" si="117"/>
        <v>12892</v>
      </c>
      <c r="N614" s="23">
        <f>SUMIF(CPU!M:M,B599,CPU!O:O)</f>
        <v>1.5</v>
      </c>
      <c r="O614" s="23">
        <f t="shared" si="118"/>
        <v>3.4499999999999999E-3</v>
      </c>
      <c r="Q614" s="23">
        <f ca="1">SUMIF(CPU!M:M,B599,CPU!R:R)</f>
        <v>0.6</v>
      </c>
      <c r="R614" s="23">
        <f t="shared" ca="1" si="119"/>
        <v>1.3799999999999999E-3</v>
      </c>
    </row>
    <row r="615" spans="1:18" ht="30" customHeight="1" x14ac:dyDescent="0.3">
      <c r="A615" s="23" t="s">
        <v>1025</v>
      </c>
      <c r="B615" s="23">
        <v>12893</v>
      </c>
      <c r="C615" s="23" t="str">
        <f>VLOOKUP(B615,IF(A615="COMPOSICAO",S!$A:$E,I!$A:$E),2,FALSE)</f>
        <v>SINAPI</v>
      </c>
      <c r="D615" s="24" t="str">
        <f>VLOOKUP(B615,IF(A615="COMPOSICAO",S!$A:$E,I!$A:$E),3,FALSE)</f>
        <v>BOTA DE SEGURANCA COM BIQUEIRA DE ACO E COLARINHO ACOLCHOADO</v>
      </c>
      <c r="E615" s="23" t="str">
        <f>VLOOKUP(B615,IF(A615="COMPOSICAO",S!$A:$E,I!$A:$E),4,FALSE)</f>
        <v>PAR</v>
      </c>
      <c r="F615" s="23">
        <v>8.0000000000000004E-4</v>
      </c>
      <c r="G615" s="71">
        <f>IF(A615="COMPOSICAO",VLOOKUP("TOTAL SEM BDI - "&amp;B615,CPUAUX2!$A:$J,9,FALSE),VLOOKUP(B615,I!$A:$E,5,FALSE))</f>
        <v>103.39</v>
      </c>
      <c r="H615" s="72"/>
      <c r="I615" s="71">
        <f t="shared" si="116"/>
        <v>0.08</v>
      </c>
      <c r="J615" s="72"/>
      <c r="M615" s="23">
        <f t="shared" si="117"/>
        <v>12893</v>
      </c>
      <c r="N615" s="23">
        <f>SUMIF(CPU!M:M,B599,CPU!O:O)</f>
        <v>1.5</v>
      </c>
      <c r="O615" s="23">
        <f t="shared" si="118"/>
        <v>1.2000000000000001E-3</v>
      </c>
      <c r="Q615" s="23">
        <f ca="1">SUMIF(CPU!M:M,B599,CPU!R:R)</f>
        <v>0.6</v>
      </c>
      <c r="R615" s="23">
        <f t="shared" ca="1" si="119"/>
        <v>4.8000000000000001E-4</v>
      </c>
    </row>
    <row r="616" spans="1:18" ht="30" customHeight="1" x14ac:dyDescent="0.3">
      <c r="A616" s="23" t="s">
        <v>1025</v>
      </c>
      <c r="B616" s="23">
        <v>12894</v>
      </c>
      <c r="C616" s="23" t="str">
        <f>VLOOKUP(B616,IF(A616="COMPOSICAO",S!$A:$E,I!$A:$E),2,FALSE)</f>
        <v>SINAPI</v>
      </c>
      <c r="D616" s="24" t="str">
        <f>VLOOKUP(B616,IF(A616="COMPOSICAO",S!$A:$E,I!$A:$E),3,FALSE)</f>
        <v>CAPA PARA CHUVA EM PVC COM FORRO DE POLIESTER, COM CAPUZ (AMARELA OU AZUL)</v>
      </c>
      <c r="E616" s="23" t="str">
        <f>VLOOKUP(B616,IF(A616="COMPOSICAO",S!$A:$E,I!$A:$E),4,FALSE)</f>
        <v>UN</v>
      </c>
      <c r="F616" s="23">
        <v>2.0000000000000001E-4</v>
      </c>
      <c r="G616" s="71">
        <f>IF(A616="COMPOSICAO",VLOOKUP("TOTAL SEM BDI - "&amp;B616,CPUAUX2!$A:$J,9,FALSE),VLOOKUP(B616,I!$A:$E,5,FALSE))</f>
        <v>28.12</v>
      </c>
      <c r="H616" s="72"/>
      <c r="I616" s="71">
        <f t="shared" si="116"/>
        <v>0</v>
      </c>
      <c r="J616" s="72"/>
      <c r="M616" s="23">
        <f t="shared" si="117"/>
        <v>12894</v>
      </c>
      <c r="N616" s="23">
        <f>SUMIF(CPU!M:M,B599,CPU!O:O)</f>
        <v>1.5</v>
      </c>
      <c r="O616" s="23">
        <f t="shared" si="118"/>
        <v>3.0000000000000003E-4</v>
      </c>
      <c r="Q616" s="23">
        <f ca="1">SUMIF(CPU!M:M,B599,CPU!R:R)</f>
        <v>0.6</v>
      </c>
      <c r="R616" s="23">
        <f t="shared" ca="1" si="119"/>
        <v>1.2E-4</v>
      </c>
    </row>
    <row r="617" spans="1:18" ht="30" customHeight="1" x14ac:dyDescent="0.3">
      <c r="A617" s="23" t="s">
        <v>1025</v>
      </c>
      <c r="B617" s="23">
        <v>12895</v>
      </c>
      <c r="C617" s="23" t="str">
        <f>VLOOKUP(B617,IF(A617="COMPOSICAO",S!$A:$E,I!$A:$E),2,FALSE)</f>
        <v>SINAPI</v>
      </c>
      <c r="D617" s="24" t="str">
        <f>VLOOKUP(B617,IF(A617="COMPOSICAO",S!$A:$E,I!$A:$E),3,FALSE)</f>
        <v>CAPACETE DE SEGURANCA ABA FRONTAL COM SUSPENSAO DE POLIETILENO, SEM JUGULAR (CLASSE B)</v>
      </c>
      <c r="E617" s="23" t="str">
        <f>VLOOKUP(B617,IF(A617="COMPOSICAO",S!$A:$E,I!$A:$E),4,FALSE)</f>
        <v>UN</v>
      </c>
      <c r="F617" s="23">
        <v>5.9999999999999995E-4</v>
      </c>
      <c r="G617" s="71">
        <f>IF(A617="COMPOSICAO",VLOOKUP("TOTAL SEM BDI - "&amp;B617,CPUAUX2!$A:$J,9,FALSE),VLOOKUP(B617,I!$A:$E,5,FALSE))</f>
        <v>18.88</v>
      </c>
      <c r="H617" s="72"/>
      <c r="I617" s="71">
        <f t="shared" si="116"/>
        <v>0.01</v>
      </c>
      <c r="J617" s="72"/>
      <c r="M617" s="23">
        <f t="shared" si="117"/>
        <v>12895</v>
      </c>
      <c r="N617" s="23">
        <f>SUMIF(CPU!M:M,B599,CPU!O:O)</f>
        <v>1.5</v>
      </c>
      <c r="O617" s="23">
        <f t="shared" si="118"/>
        <v>8.9999999999999998E-4</v>
      </c>
      <c r="Q617" s="23">
        <f ca="1">SUMIF(CPU!M:M,B599,CPU!R:R)</f>
        <v>0.6</v>
      </c>
      <c r="R617" s="23">
        <f t="shared" ca="1" si="119"/>
        <v>3.5999999999999997E-4</v>
      </c>
    </row>
    <row r="618" spans="1:18" x14ac:dyDescent="0.3">
      <c r="A618" s="68" t="str">
        <f>"TOTAL SEM BDI - "&amp;B599</f>
        <v>TOTAL SEM BDI - 10549/ORSE</v>
      </c>
      <c r="B618" s="69"/>
      <c r="C618" s="69"/>
      <c r="D618" s="69"/>
      <c r="E618" s="69"/>
      <c r="F618" s="69"/>
      <c r="G618" s="69"/>
      <c r="H618" s="70"/>
      <c r="I618" s="71">
        <f>SUM(I599:I617)</f>
        <v>3.9599999999999991</v>
      </c>
      <c r="J618" s="72"/>
    </row>
    <row r="620" spans="1:18" x14ac:dyDescent="0.3">
      <c r="A620" s="4" t="s">
        <v>1018</v>
      </c>
      <c r="B620" s="4" t="s">
        <v>138</v>
      </c>
      <c r="C620" s="4" t="s">
        <v>139</v>
      </c>
      <c r="D620" s="4" t="s">
        <v>21</v>
      </c>
      <c r="E620" s="4" t="s">
        <v>140</v>
      </c>
      <c r="F620" s="4" t="s">
        <v>506</v>
      </c>
      <c r="G620" s="34" t="s">
        <v>1019</v>
      </c>
      <c r="H620" s="35"/>
      <c r="I620" s="34" t="s">
        <v>15</v>
      </c>
      <c r="J620" s="35"/>
    </row>
    <row r="621" spans="1:18" x14ac:dyDescent="0.3">
      <c r="A621" s="15" t="s">
        <v>516</v>
      </c>
      <c r="B621" s="15" t="s">
        <v>1077</v>
      </c>
      <c r="C621" s="15" t="str">
        <f>VLOOKUP(B621,S!$A:$G,2,FALSE)</f>
        <v>ORSE</v>
      </c>
      <c r="D621" s="22" t="str">
        <f>VLOOKUP(B621,S!$A:$G,3,FALSE)</f>
        <v>ENCARGOS COMPLEMENTARES - ELETRICISTA</v>
      </c>
      <c r="E621" s="15" t="str">
        <f>VLOOKUP(B621,S!$A:$G,4,FALSE)</f>
        <v>H</v>
      </c>
      <c r="F621" s="15"/>
      <c r="G621" s="73">
        <f>I640</f>
        <v>3.7799999999999989</v>
      </c>
      <c r="H621" s="74"/>
      <c r="I621" s="73"/>
      <c r="J621" s="74"/>
      <c r="K621" s="16">
        <f>VLOOKUP(B621,S!A:G,5,FALSE)</f>
        <v>3.83</v>
      </c>
      <c r="L621" s="15" t="str">
        <f>IF(K621=G621,"OK, CONFORME TABELA",IF(G621&gt;K621,"ACIMA DA TABELA: ","ABAIXO DA TABELA: ")&amp;TRUNC((G621*100)/K621,2)&amp;" %")</f>
        <v>ABAIXO DA TABELA: 98,69 %</v>
      </c>
    </row>
    <row r="622" spans="1:18" x14ac:dyDescent="0.3">
      <c r="A622" s="23" t="s">
        <v>1025</v>
      </c>
      <c r="B622" s="23" t="s">
        <v>1104</v>
      </c>
      <c r="C622" s="23" t="str">
        <f>VLOOKUP(B622,IF(A622="COMPOSICAO",S!$A:$E,I!$A:$E),2,FALSE)</f>
        <v>ORSE</v>
      </c>
      <c r="D622" s="24" t="str">
        <f>VLOOKUP(B622,IF(A622="COMPOSICAO",S!$A:$E,I!$A:$E),3,FALSE)</f>
        <v>ALMOÇO (PARTICIPAÇÃO DO EMPREGADOR)</v>
      </c>
      <c r="E622" s="23" t="str">
        <f>VLOOKUP(B622,IF(A622="COMPOSICAO",S!$A:$E,I!$A:$E),4,FALSE)</f>
        <v>UN</v>
      </c>
      <c r="F622" s="23">
        <v>0.1018</v>
      </c>
      <c r="G622" s="71">
        <f>IF(A622="COMPOSICAO",VLOOKUP("TOTAL SEM BDI - "&amp;B622,CPUAUX2!$A:$J,9,FALSE),VLOOKUP(B622,I!$A:$E,5,FALSE))</f>
        <v>14</v>
      </c>
      <c r="H622" s="72"/>
      <c r="I622" s="71">
        <f t="shared" ref="I622:I639" si="120">TRUNC(F622*G622,2)</f>
        <v>1.42</v>
      </c>
      <c r="J622" s="72"/>
      <c r="M622" s="23" t="str">
        <f t="shared" ref="M622:M639" si="121">B622</f>
        <v>00158/ORSE</v>
      </c>
      <c r="N622" s="23">
        <f>SUMIF(CPU!M:M,B621,CPU!O:O)</f>
        <v>1.5</v>
      </c>
      <c r="O622" s="23">
        <f t="shared" ref="O622:O639" si="122">F622*N622</f>
        <v>0.1527</v>
      </c>
      <c r="Q622" s="23">
        <f ca="1">SUMIF(CPU!M:M,B621,CPU!R:R)</f>
        <v>0.6</v>
      </c>
      <c r="R622" s="23">
        <f t="shared" ref="R622:R639" ca="1" si="123">F622*Q622</f>
        <v>6.1079999999999995E-2</v>
      </c>
    </row>
    <row r="623" spans="1:18" x14ac:dyDescent="0.3">
      <c r="A623" s="23" t="s">
        <v>1025</v>
      </c>
      <c r="B623" s="23" t="s">
        <v>1105</v>
      </c>
      <c r="C623" s="23" t="str">
        <f>VLOOKUP(B623,IF(A623="COMPOSICAO",S!$A:$E,I!$A:$E),2,FALSE)</f>
        <v>ORSE</v>
      </c>
      <c r="D623" s="24" t="str">
        <f>VLOOKUP(B623,IF(A623="COMPOSICAO",S!$A:$E,I!$A:$E),3,FALSE)</f>
        <v>FARDAMENTO COM MANGAS CURTA</v>
      </c>
      <c r="E623" s="23" t="str">
        <f>VLOOKUP(B623,IF(A623="COMPOSICAO",S!$A:$E,I!$A:$E),4,FALSE)</f>
        <v>UN</v>
      </c>
      <c r="F623" s="23">
        <v>1.5E-3</v>
      </c>
      <c r="G623" s="71">
        <f>IF(A623="COMPOSICAO",VLOOKUP("TOTAL SEM BDI - "&amp;B623,CPUAUX2!$A:$J,9,FALSE),VLOOKUP(B623,I!$A:$E,5,FALSE))</f>
        <v>196.71</v>
      </c>
      <c r="H623" s="72"/>
      <c r="I623" s="71">
        <f t="shared" si="120"/>
        <v>0.28999999999999998</v>
      </c>
      <c r="J623" s="72"/>
      <c r="M623" s="23" t="str">
        <f t="shared" si="121"/>
        <v>00941/ORSE</v>
      </c>
      <c r="N623" s="23">
        <f>SUMIF(CPU!M:M,B621,CPU!O:O)</f>
        <v>1.5</v>
      </c>
      <c r="O623" s="23">
        <f t="shared" si="122"/>
        <v>2.2500000000000003E-3</v>
      </c>
      <c r="Q623" s="23">
        <f ca="1">SUMIF(CPU!M:M,B621,CPU!R:R)</f>
        <v>0.6</v>
      </c>
      <c r="R623" s="23">
        <f t="shared" ca="1" si="123"/>
        <v>8.9999999999999998E-4</v>
      </c>
    </row>
    <row r="624" spans="1:18" x14ac:dyDescent="0.3">
      <c r="A624" s="23" t="s">
        <v>1025</v>
      </c>
      <c r="B624" s="23" t="s">
        <v>1106</v>
      </c>
      <c r="C624" s="23" t="str">
        <f>VLOOKUP(B624,IF(A624="COMPOSICAO",S!$A:$E,I!$A:$E),2,FALSE)</f>
        <v>ORSE</v>
      </c>
      <c r="D624" s="24" t="str">
        <f>VLOOKUP(B624,IF(A624="COMPOSICAO",S!$A:$E,I!$A:$E),3,FALSE)</f>
        <v>ÓCULOS BRANCO PROTEÇÃO</v>
      </c>
      <c r="E624" s="23" t="str">
        <f>VLOOKUP(B624,IF(A624="COMPOSICAO",S!$A:$E,I!$A:$E),4,FALSE)</f>
        <v>PR</v>
      </c>
      <c r="F624" s="23">
        <v>8.0000000000000004E-4</v>
      </c>
      <c r="G624" s="71">
        <f>IF(A624="COMPOSICAO",VLOOKUP("TOTAL SEM BDI - "&amp;B624,CPUAUX2!$A:$J,9,FALSE),VLOOKUP(B624,I!$A:$E,5,FALSE))</f>
        <v>7</v>
      </c>
      <c r="H624" s="72"/>
      <c r="I624" s="71">
        <f t="shared" si="120"/>
        <v>0</v>
      </c>
      <c r="J624" s="72"/>
      <c r="M624" s="23" t="str">
        <f t="shared" si="121"/>
        <v>01651/ORSE</v>
      </c>
      <c r="N624" s="23">
        <f>SUMIF(CPU!M:M,B621,CPU!O:O)</f>
        <v>1.5</v>
      </c>
      <c r="O624" s="23">
        <f t="shared" si="122"/>
        <v>1.2000000000000001E-3</v>
      </c>
      <c r="Q624" s="23">
        <f ca="1">SUMIF(CPU!M:M,B621,CPU!R:R)</f>
        <v>0.6</v>
      </c>
      <c r="R624" s="23">
        <f t="shared" ca="1" si="123"/>
        <v>4.8000000000000001E-4</v>
      </c>
    </row>
    <row r="625" spans="1:18" x14ac:dyDescent="0.3">
      <c r="A625" s="23" t="s">
        <v>1025</v>
      </c>
      <c r="B625" s="23" t="s">
        <v>1107</v>
      </c>
      <c r="C625" s="23" t="str">
        <f>VLOOKUP(B625,IF(A625="COMPOSICAO",S!$A:$E,I!$A:$E),2,FALSE)</f>
        <v>ORSE</v>
      </c>
      <c r="D625" s="24" t="str">
        <f>VLOOKUP(B625,IF(A625="COMPOSICAO",S!$A:$E,I!$A:$E),3,FALSE)</f>
        <v>VALE TRANSPORTE</v>
      </c>
      <c r="E625" s="23" t="str">
        <f>VLOOKUP(B625,IF(A625="COMPOSICAO",S!$A:$E,I!$A:$E),4,FALSE)</f>
        <v>UN</v>
      </c>
      <c r="F625" s="23">
        <v>6.54E-2</v>
      </c>
      <c r="G625" s="71">
        <f>IF(A625="COMPOSICAO",VLOOKUP("TOTAL SEM BDI - "&amp;B625,CPUAUX2!$A:$J,9,FALSE),VLOOKUP(B625,I!$A:$E,5,FALSE))</f>
        <v>4.5</v>
      </c>
      <c r="H625" s="72"/>
      <c r="I625" s="71">
        <f t="shared" si="120"/>
        <v>0.28999999999999998</v>
      </c>
      <c r="J625" s="72"/>
      <c r="M625" s="23" t="str">
        <f t="shared" si="121"/>
        <v>02378/ORSE</v>
      </c>
      <c r="N625" s="23">
        <f>SUMIF(CPU!M:M,B621,CPU!O:O)</f>
        <v>1.5</v>
      </c>
      <c r="O625" s="23">
        <f t="shared" si="122"/>
        <v>9.8099999999999993E-2</v>
      </c>
      <c r="Q625" s="23">
        <f ca="1">SUMIF(CPU!M:M,B621,CPU!R:R)</f>
        <v>0.6</v>
      </c>
      <c r="R625" s="23">
        <f t="shared" ca="1" si="123"/>
        <v>3.9239999999999997E-2</v>
      </c>
    </row>
    <row r="626" spans="1:18" x14ac:dyDescent="0.3">
      <c r="A626" s="23" t="s">
        <v>1025</v>
      </c>
      <c r="B626" s="23" t="s">
        <v>1110</v>
      </c>
      <c r="C626" s="23" t="str">
        <f>VLOOKUP(B626,IF(A626="COMPOSICAO",S!$A:$E,I!$A:$E),2,FALSE)</f>
        <v>ORSE</v>
      </c>
      <c r="D626" s="24" t="str">
        <f>VLOOKUP(B626,IF(A626="COMPOSICAO",S!$A:$E,I!$A:$E),3,FALSE)</f>
        <v>SEGURO DE VIDA E ACIDENTE EM GRUPO</v>
      </c>
      <c r="E626" s="23" t="str">
        <f>VLOOKUP(B626,IF(A626="COMPOSICAO",S!$A:$E,I!$A:$E),4,FALSE)</f>
        <v>UN</v>
      </c>
      <c r="F626" s="23">
        <v>4.4999999999999997E-3</v>
      </c>
      <c r="G626" s="71">
        <f>IF(A626="COMPOSICAO",VLOOKUP("TOTAL SEM BDI - "&amp;B626,CPUAUX2!$A:$J,9,FALSE),VLOOKUP(B626,I!$A:$E,5,FALSE))</f>
        <v>12.54</v>
      </c>
      <c r="H626" s="72"/>
      <c r="I626" s="71">
        <f t="shared" si="120"/>
        <v>0.05</v>
      </c>
      <c r="J626" s="72"/>
      <c r="M626" s="23" t="str">
        <f t="shared" si="121"/>
        <v>10362/ORSE</v>
      </c>
      <c r="N626" s="23">
        <f>SUMIF(CPU!M:M,B621,CPU!O:O)</f>
        <v>1.5</v>
      </c>
      <c r="O626" s="23">
        <f t="shared" si="122"/>
        <v>6.7499999999999991E-3</v>
      </c>
      <c r="Q626" s="23">
        <f ca="1">SUMIF(CPU!M:M,B621,CPU!R:R)</f>
        <v>0.6</v>
      </c>
      <c r="R626" s="23">
        <f t="shared" ca="1" si="123"/>
        <v>2.6999999999999997E-3</v>
      </c>
    </row>
    <row r="627" spans="1:18" x14ac:dyDescent="0.3">
      <c r="A627" s="23" t="s">
        <v>1025</v>
      </c>
      <c r="B627" s="23" t="s">
        <v>1111</v>
      </c>
      <c r="C627" s="23" t="str">
        <f>VLOOKUP(B627,IF(A627="COMPOSICAO",S!$A:$E,I!$A:$E),2,FALSE)</f>
        <v>ORSE</v>
      </c>
      <c r="D627" s="24" t="str">
        <f>VLOOKUP(B627,IF(A627="COMPOSICAO",S!$A:$E,I!$A:$E),3,FALSE)</f>
        <v>CESTA BÁSICA</v>
      </c>
      <c r="E627" s="23" t="str">
        <f>VLOOKUP(B627,IF(A627="COMPOSICAO",S!$A:$E,I!$A:$E),4,FALSE)</f>
        <v>UN</v>
      </c>
      <c r="F627" s="23">
        <v>4.4999999999999997E-3</v>
      </c>
      <c r="G627" s="71">
        <f>IF(A627="COMPOSICAO",VLOOKUP("TOTAL SEM BDI - "&amp;B627,CPUAUX2!$A:$J,9,FALSE),VLOOKUP(B627,I!$A:$E,5,FALSE))</f>
        <v>205</v>
      </c>
      <c r="H627" s="72"/>
      <c r="I627" s="71">
        <f t="shared" si="120"/>
        <v>0.92</v>
      </c>
      <c r="J627" s="72"/>
      <c r="M627" s="23" t="str">
        <f t="shared" si="121"/>
        <v>10492/ORSE</v>
      </c>
      <c r="N627" s="23">
        <f>SUMIF(CPU!M:M,B621,CPU!O:O)</f>
        <v>1.5</v>
      </c>
      <c r="O627" s="23">
        <f t="shared" si="122"/>
        <v>6.7499999999999991E-3</v>
      </c>
      <c r="Q627" s="23">
        <f ca="1">SUMIF(CPU!M:M,B621,CPU!R:R)</f>
        <v>0.6</v>
      </c>
      <c r="R627" s="23">
        <f t="shared" ca="1" si="123"/>
        <v>2.6999999999999997E-3</v>
      </c>
    </row>
    <row r="628" spans="1:18" x14ac:dyDescent="0.3">
      <c r="A628" s="23" t="s">
        <v>1025</v>
      </c>
      <c r="B628" s="23" t="s">
        <v>1112</v>
      </c>
      <c r="C628" s="23" t="str">
        <f>VLOOKUP(B628,IF(A628="COMPOSICAO",S!$A:$E,I!$A:$E),2,FALSE)</f>
        <v>ORSE</v>
      </c>
      <c r="D628" s="24" t="str">
        <f>VLOOKUP(B628,IF(A628="COMPOSICAO",S!$A:$E,I!$A:$E),3,FALSE)</f>
        <v>EXAMES ADMISSIONAIS/DEMISSIONAIS (CHECKUP)</v>
      </c>
      <c r="E628" s="23" t="str">
        <f>VLOOKUP(B628,IF(A628="COMPOSICAO",S!$A:$E,I!$A:$E),4,FALSE)</f>
        <v>CJ</v>
      </c>
      <c r="F628" s="23">
        <v>4.0000000000000002E-4</v>
      </c>
      <c r="G628" s="71">
        <f>IF(A628="COMPOSICAO",VLOOKUP("TOTAL SEM BDI - "&amp;B628,CPUAUX2!$A:$J,9,FALSE),VLOOKUP(B628,I!$A:$E,5,FALSE))</f>
        <v>300</v>
      </c>
      <c r="H628" s="72"/>
      <c r="I628" s="71">
        <f t="shared" si="120"/>
        <v>0.12</v>
      </c>
      <c r="J628" s="72"/>
      <c r="M628" s="23" t="str">
        <f t="shared" si="121"/>
        <v>10517/ORSE</v>
      </c>
      <c r="N628" s="23">
        <f>SUMIF(CPU!M:M,B621,CPU!O:O)</f>
        <v>1.5</v>
      </c>
      <c r="O628" s="23">
        <f t="shared" si="122"/>
        <v>6.0000000000000006E-4</v>
      </c>
      <c r="Q628" s="23">
        <f ca="1">SUMIF(CPU!M:M,B621,CPU!R:R)</f>
        <v>0.6</v>
      </c>
      <c r="R628" s="23">
        <f t="shared" ca="1" si="123"/>
        <v>2.4000000000000001E-4</v>
      </c>
    </row>
    <row r="629" spans="1:18" x14ac:dyDescent="0.3">
      <c r="A629" s="23" t="s">
        <v>1025</v>
      </c>
      <c r="B629" s="23" t="s">
        <v>1117</v>
      </c>
      <c r="C629" s="23" t="str">
        <f>VLOOKUP(B629,IF(A629="COMPOSICAO",S!$A:$E,I!$A:$E),2,FALSE)</f>
        <v>ORSE</v>
      </c>
      <c r="D629" s="24" t="str">
        <f>VLOOKUP(B629,IF(A629="COMPOSICAO",S!$A:$E,I!$A:$E),3,FALSE)</f>
        <v>CHAVE DE FENDA CHATA 30 CM</v>
      </c>
      <c r="E629" s="23" t="str">
        <f>VLOOKUP(B629,IF(A629="COMPOSICAO",S!$A:$E,I!$A:$E),4,FALSE)</f>
        <v>UN</v>
      </c>
      <c r="F629" s="23">
        <v>2.0000000000000001E-4</v>
      </c>
      <c r="G629" s="71">
        <f>IF(A629="COMPOSICAO",VLOOKUP("TOTAL SEM BDI - "&amp;B629,CPUAUX2!$A:$J,9,FALSE),VLOOKUP(B629,I!$A:$E,5,FALSE))</f>
        <v>26.89</v>
      </c>
      <c r="H629" s="72"/>
      <c r="I629" s="71">
        <f t="shared" si="120"/>
        <v>0</v>
      </c>
      <c r="J629" s="72"/>
      <c r="M629" s="23" t="str">
        <f t="shared" si="121"/>
        <v>10579/ORSE</v>
      </c>
      <c r="N629" s="23">
        <f>SUMIF(CPU!M:M,B621,CPU!O:O)</f>
        <v>1.5</v>
      </c>
      <c r="O629" s="23">
        <f t="shared" si="122"/>
        <v>3.0000000000000003E-4</v>
      </c>
      <c r="Q629" s="23">
        <f ca="1">SUMIF(CPU!M:M,B621,CPU!R:R)</f>
        <v>0.6</v>
      </c>
      <c r="R629" s="23">
        <f t="shared" ca="1" si="123"/>
        <v>1.2E-4</v>
      </c>
    </row>
    <row r="630" spans="1:18" x14ac:dyDescent="0.3">
      <c r="A630" s="23" t="s">
        <v>1025</v>
      </c>
      <c r="B630" s="23" t="s">
        <v>1113</v>
      </c>
      <c r="C630" s="23" t="str">
        <f>VLOOKUP(B630,IF(A630="COMPOSICAO",S!$A:$E,I!$A:$E),2,FALSE)</f>
        <v>ORSE</v>
      </c>
      <c r="D630" s="24" t="str">
        <f>VLOOKUP(B630,IF(A630="COMPOSICAO",S!$A:$E,I!$A:$E),3,FALSE)</f>
        <v>PROTETOR AURICULAR</v>
      </c>
      <c r="E630" s="23" t="str">
        <f>VLOOKUP(B630,IF(A630="COMPOSICAO",S!$A:$E,I!$A:$E),4,FALSE)</f>
        <v>UN</v>
      </c>
      <c r="F630" s="23">
        <v>4.4999999999999997E-3</v>
      </c>
      <c r="G630" s="71">
        <f>IF(A630="COMPOSICAO",VLOOKUP("TOTAL SEM BDI - "&amp;B630,CPUAUX2!$A:$J,9,FALSE),VLOOKUP(B630,I!$A:$E,5,FALSE))</f>
        <v>4.9000000000000004</v>
      </c>
      <c r="H630" s="72"/>
      <c r="I630" s="71">
        <f t="shared" si="120"/>
        <v>0.02</v>
      </c>
      <c r="J630" s="72"/>
      <c r="M630" s="23" t="str">
        <f t="shared" si="121"/>
        <v>10596/ORSE</v>
      </c>
      <c r="N630" s="23">
        <f>SUMIF(CPU!M:M,B621,CPU!O:O)</f>
        <v>1.5</v>
      </c>
      <c r="O630" s="23">
        <f t="shared" si="122"/>
        <v>6.7499999999999991E-3</v>
      </c>
      <c r="Q630" s="23">
        <f ca="1">SUMIF(CPU!M:M,B621,CPU!R:R)</f>
        <v>0.6</v>
      </c>
      <c r="R630" s="23">
        <f t="shared" ca="1" si="123"/>
        <v>2.6999999999999997E-3</v>
      </c>
    </row>
    <row r="631" spans="1:18" x14ac:dyDescent="0.3">
      <c r="A631" s="23" t="s">
        <v>1025</v>
      </c>
      <c r="B631" s="23" t="s">
        <v>1114</v>
      </c>
      <c r="C631" s="23" t="str">
        <f>VLOOKUP(B631,IF(A631="COMPOSICAO",S!$A:$E,I!$A:$E),2,FALSE)</f>
        <v>ORSE</v>
      </c>
      <c r="D631" s="24" t="str">
        <f>VLOOKUP(B631,IF(A631="COMPOSICAO",S!$A:$E,I!$A:$E),3,FALSE)</f>
        <v>PROTETOR SOLAR FPS 30 COM 120ML</v>
      </c>
      <c r="E631" s="23" t="str">
        <f>VLOOKUP(B631,IF(A631="COMPOSICAO",S!$A:$E,I!$A:$E),4,FALSE)</f>
        <v>UN</v>
      </c>
      <c r="F631" s="23">
        <v>1.8E-3</v>
      </c>
      <c r="G631" s="71">
        <f>IF(A631="COMPOSICAO",VLOOKUP("TOTAL SEM BDI - "&amp;B631,CPUAUX2!$A:$J,9,FALSE),VLOOKUP(B631,I!$A:$E,5,FALSE))</f>
        <v>18</v>
      </c>
      <c r="H631" s="72"/>
      <c r="I631" s="71">
        <f t="shared" si="120"/>
        <v>0.03</v>
      </c>
      <c r="J631" s="72"/>
      <c r="M631" s="23" t="str">
        <f t="shared" si="121"/>
        <v>10599/ORSE</v>
      </c>
      <c r="N631" s="23">
        <f>SUMIF(CPU!M:M,B621,CPU!O:O)</f>
        <v>1.5</v>
      </c>
      <c r="O631" s="23">
        <f t="shared" si="122"/>
        <v>2.7000000000000001E-3</v>
      </c>
      <c r="Q631" s="23">
        <f ca="1">SUMIF(CPU!M:M,B621,CPU!R:R)</f>
        <v>0.6</v>
      </c>
      <c r="R631" s="23">
        <f t="shared" ca="1" si="123"/>
        <v>1.08E-3</v>
      </c>
    </row>
    <row r="632" spans="1:18" ht="30" customHeight="1" x14ac:dyDescent="0.3">
      <c r="A632" s="23" t="s">
        <v>1025</v>
      </c>
      <c r="B632" s="23" t="s">
        <v>1115</v>
      </c>
      <c r="C632" s="23" t="str">
        <f>VLOOKUP(B632,IF(A632="COMPOSICAO",S!$A:$E,I!$A:$E),2,FALSE)</f>
        <v>ORSE</v>
      </c>
      <c r="D632" s="24" t="str">
        <f>VLOOKUP(B632,IF(A632="COMPOSICAO",S!$A:$E,I!$A:$E),3,FALSE)</f>
        <v>REFEIÇÃO - CAFÉ DA MANHÃ ( CAFÉ COM LEITE E DOIS PÃES COM MANTEIGA)</v>
      </c>
      <c r="E632" s="23" t="str">
        <f>VLOOKUP(B632,IF(A632="COMPOSICAO",S!$A:$E,I!$A:$E),4,FALSE)</f>
        <v>UN</v>
      </c>
      <c r="F632" s="23">
        <v>0.1018</v>
      </c>
      <c r="G632" s="71">
        <f>IF(A632="COMPOSICAO",VLOOKUP("TOTAL SEM BDI - "&amp;B632,CPUAUX2!$A:$J,9,FALSE),VLOOKUP(B632,I!$A:$E,5,FALSE))</f>
        <v>5</v>
      </c>
      <c r="H632" s="72"/>
      <c r="I632" s="71">
        <f t="shared" si="120"/>
        <v>0.5</v>
      </c>
      <c r="J632" s="72"/>
      <c r="M632" s="23" t="str">
        <f t="shared" si="121"/>
        <v>10761/ORSE</v>
      </c>
      <c r="N632" s="23">
        <f>SUMIF(CPU!M:M,B621,CPU!O:O)</f>
        <v>1.5</v>
      </c>
      <c r="O632" s="23">
        <f t="shared" si="122"/>
        <v>0.1527</v>
      </c>
      <c r="Q632" s="23">
        <f ca="1">SUMIF(CPU!M:M,B621,CPU!R:R)</f>
        <v>0.6</v>
      </c>
      <c r="R632" s="23">
        <f t="shared" ca="1" si="123"/>
        <v>6.1079999999999995E-2</v>
      </c>
    </row>
    <row r="633" spans="1:18" x14ac:dyDescent="0.3">
      <c r="A633" s="23" t="s">
        <v>1025</v>
      </c>
      <c r="B633" s="23" t="s">
        <v>1118</v>
      </c>
      <c r="C633" s="23" t="str">
        <f>VLOOKUP(B633,IF(A633="COMPOSICAO",S!$A:$E,I!$A:$E),2,FALSE)</f>
        <v>ORSE</v>
      </c>
      <c r="D633" s="24" t="str">
        <f>VLOOKUP(B633,IF(A633="COMPOSICAO",S!$A:$E,I!$A:$E),3,FALSE)</f>
        <v>ALICATE COM ISOLAMENTO</v>
      </c>
      <c r="E633" s="23" t="str">
        <f>VLOOKUP(B633,IF(A633="COMPOSICAO",S!$A:$E,I!$A:$E),4,FALSE)</f>
        <v>UN</v>
      </c>
      <c r="F633" s="23">
        <v>2.0000000000000001E-4</v>
      </c>
      <c r="G633" s="71">
        <f>IF(A633="COMPOSICAO",VLOOKUP("TOTAL SEM BDI - "&amp;B633,CPUAUX2!$A:$J,9,FALSE),VLOOKUP(B633,I!$A:$E,5,FALSE))</f>
        <v>47.69</v>
      </c>
      <c r="H633" s="72"/>
      <c r="I633" s="71">
        <f t="shared" si="120"/>
        <v>0</v>
      </c>
      <c r="J633" s="72"/>
      <c r="M633" s="23" t="str">
        <f t="shared" si="121"/>
        <v>11240/ORSE</v>
      </c>
      <c r="N633" s="23">
        <f>SUMIF(CPU!M:M,B621,CPU!O:O)</f>
        <v>1.5</v>
      </c>
      <c r="O633" s="23">
        <f t="shared" si="122"/>
        <v>3.0000000000000003E-4</v>
      </c>
      <c r="Q633" s="23">
        <f ca="1">SUMIF(CPU!M:M,B621,CPU!R:R)</f>
        <v>0.6</v>
      </c>
      <c r="R633" s="23">
        <f t="shared" ca="1" si="123"/>
        <v>1.2E-4</v>
      </c>
    </row>
    <row r="634" spans="1:18" x14ac:dyDescent="0.3">
      <c r="A634" s="23" t="s">
        <v>1025</v>
      </c>
      <c r="B634" s="23" t="s">
        <v>1119</v>
      </c>
      <c r="C634" s="23" t="str">
        <f>VLOOKUP(B634,IF(A634="COMPOSICAO",S!$A:$E,I!$A:$E),2,FALSE)</f>
        <v>ORSE</v>
      </c>
      <c r="D634" s="24" t="str">
        <f>VLOOKUP(B634,IF(A634="COMPOSICAO",S!$A:$E,I!$A:$E),3,FALSE)</f>
        <v>ALICATE VOLT-AMPERIMETRO</v>
      </c>
      <c r="E634" s="23" t="str">
        <f>VLOOKUP(B634,IF(A634="COMPOSICAO",S!$A:$E,I!$A:$E),4,FALSE)</f>
        <v>UN</v>
      </c>
      <c r="F634" s="23">
        <v>2.0000000000000001E-4</v>
      </c>
      <c r="G634" s="71">
        <f>IF(A634="COMPOSICAO",VLOOKUP("TOTAL SEM BDI - "&amp;B634,CPUAUX2!$A:$J,9,FALSE),VLOOKUP(B634,I!$A:$E,5,FALSE))</f>
        <v>170.6</v>
      </c>
      <c r="H634" s="72"/>
      <c r="I634" s="71">
        <f t="shared" si="120"/>
        <v>0.03</v>
      </c>
      <c r="J634" s="72"/>
      <c r="M634" s="23" t="str">
        <f t="shared" si="121"/>
        <v>11241/ORSE</v>
      </c>
      <c r="N634" s="23">
        <f>SUMIF(CPU!M:M,B621,CPU!O:O)</f>
        <v>1.5</v>
      </c>
      <c r="O634" s="23">
        <f t="shared" si="122"/>
        <v>3.0000000000000003E-4</v>
      </c>
      <c r="Q634" s="23">
        <f ca="1">SUMIF(CPU!M:M,B621,CPU!R:R)</f>
        <v>0.6</v>
      </c>
      <c r="R634" s="23">
        <f t="shared" ca="1" si="123"/>
        <v>1.2E-4</v>
      </c>
    </row>
    <row r="635" spans="1:18" x14ac:dyDescent="0.3">
      <c r="A635" s="23" t="s">
        <v>1025</v>
      </c>
      <c r="B635" s="23" t="s">
        <v>1120</v>
      </c>
      <c r="C635" s="23" t="str">
        <f>VLOOKUP(B635,IF(A635="COMPOSICAO",S!$A:$E,I!$A:$E),2,FALSE)</f>
        <v>ORSE</v>
      </c>
      <c r="D635" s="24" t="str">
        <f>VLOOKUP(B635,IF(A635="COMPOSICAO",S!$A:$E,I!$A:$E),3,FALSE)</f>
        <v>CHAVE INGLESA 12"</v>
      </c>
      <c r="E635" s="23" t="str">
        <f>VLOOKUP(B635,IF(A635="COMPOSICAO",S!$A:$E,I!$A:$E),4,FALSE)</f>
        <v>UN</v>
      </c>
      <c r="F635" s="23">
        <v>1E-4</v>
      </c>
      <c r="G635" s="71">
        <f>IF(A635="COMPOSICAO",VLOOKUP("TOTAL SEM BDI - "&amp;B635,CPUAUX2!$A:$J,9,FALSE),VLOOKUP(B635,I!$A:$E,5,FALSE))</f>
        <v>34</v>
      </c>
      <c r="H635" s="72"/>
      <c r="I635" s="71">
        <f t="shared" si="120"/>
        <v>0</v>
      </c>
      <c r="J635" s="72"/>
      <c r="M635" s="23" t="str">
        <f t="shared" si="121"/>
        <v>11242/ORSE</v>
      </c>
      <c r="N635" s="23">
        <f>SUMIF(CPU!M:M,B621,CPU!O:O)</f>
        <v>1.5</v>
      </c>
      <c r="O635" s="23">
        <f t="shared" si="122"/>
        <v>1.5000000000000001E-4</v>
      </c>
      <c r="Q635" s="23">
        <f ca="1">SUMIF(CPU!M:M,B621,CPU!R:R)</f>
        <v>0.6</v>
      </c>
      <c r="R635" s="23">
        <f t="shared" ca="1" si="123"/>
        <v>6.0000000000000002E-5</v>
      </c>
    </row>
    <row r="636" spans="1:18" ht="30" customHeight="1" x14ac:dyDescent="0.3">
      <c r="A636" s="23" t="s">
        <v>1025</v>
      </c>
      <c r="B636" s="23">
        <v>12892</v>
      </c>
      <c r="C636" s="23" t="str">
        <f>VLOOKUP(B636,IF(A636="COMPOSICAO",S!$A:$E,I!$A:$E),2,FALSE)</f>
        <v>SINAPI</v>
      </c>
      <c r="D636" s="24" t="str">
        <f>VLOOKUP(B636,IF(A636="COMPOSICAO",S!$A:$E,I!$A:$E),3,FALSE)</f>
        <v>LUVA RASPA DE COURO, CANO CURTO (PUNHO *7* CM)</v>
      </c>
      <c r="E636" s="23" t="str">
        <f>VLOOKUP(B636,IF(A636="COMPOSICAO",S!$A:$E,I!$A:$E),4,FALSE)</f>
        <v>PAR</v>
      </c>
      <c r="F636" s="23">
        <v>2.3E-3</v>
      </c>
      <c r="G636" s="71">
        <f>IF(A636="COMPOSICAO",VLOOKUP("TOTAL SEM BDI - "&amp;B636,CPUAUX2!$A:$J,9,FALSE),VLOOKUP(B636,I!$A:$E,5,FALSE))</f>
        <v>15.21</v>
      </c>
      <c r="H636" s="72"/>
      <c r="I636" s="71">
        <f t="shared" si="120"/>
        <v>0.03</v>
      </c>
      <c r="J636" s="72"/>
      <c r="M636" s="23">
        <f t="shared" si="121"/>
        <v>12892</v>
      </c>
      <c r="N636" s="23">
        <f>SUMIF(CPU!M:M,B621,CPU!O:O)</f>
        <v>1.5</v>
      </c>
      <c r="O636" s="23">
        <f t="shared" si="122"/>
        <v>3.4499999999999999E-3</v>
      </c>
      <c r="Q636" s="23">
        <f ca="1">SUMIF(CPU!M:M,B621,CPU!R:R)</f>
        <v>0.6</v>
      </c>
      <c r="R636" s="23">
        <f t="shared" ca="1" si="123"/>
        <v>1.3799999999999999E-3</v>
      </c>
    </row>
    <row r="637" spans="1:18" ht="30" customHeight="1" x14ac:dyDescent="0.3">
      <c r="A637" s="23" t="s">
        <v>1025</v>
      </c>
      <c r="B637" s="23">
        <v>12893</v>
      </c>
      <c r="C637" s="23" t="str">
        <f>VLOOKUP(B637,IF(A637="COMPOSICAO",S!$A:$E,I!$A:$E),2,FALSE)</f>
        <v>SINAPI</v>
      </c>
      <c r="D637" s="24" t="str">
        <f>VLOOKUP(B637,IF(A637="COMPOSICAO",S!$A:$E,I!$A:$E),3,FALSE)</f>
        <v>BOTA DE SEGURANCA COM BIQUEIRA DE ACO E COLARINHO ACOLCHOADO</v>
      </c>
      <c r="E637" s="23" t="str">
        <f>VLOOKUP(B637,IF(A637="COMPOSICAO",S!$A:$E,I!$A:$E),4,FALSE)</f>
        <v>PAR</v>
      </c>
      <c r="F637" s="23">
        <v>6.9999999999999999E-4</v>
      </c>
      <c r="G637" s="71">
        <f>IF(A637="COMPOSICAO",VLOOKUP("TOTAL SEM BDI - "&amp;B637,CPUAUX2!$A:$J,9,FALSE),VLOOKUP(B637,I!$A:$E,5,FALSE))</f>
        <v>103.39</v>
      </c>
      <c r="H637" s="72"/>
      <c r="I637" s="71">
        <f t="shared" si="120"/>
        <v>7.0000000000000007E-2</v>
      </c>
      <c r="J637" s="72"/>
      <c r="M637" s="23">
        <f t="shared" si="121"/>
        <v>12893</v>
      </c>
      <c r="N637" s="23">
        <f>SUMIF(CPU!M:M,B621,CPU!O:O)</f>
        <v>1.5</v>
      </c>
      <c r="O637" s="23">
        <f t="shared" si="122"/>
        <v>1.0499999999999999E-3</v>
      </c>
      <c r="Q637" s="23">
        <f ca="1">SUMIF(CPU!M:M,B621,CPU!R:R)</f>
        <v>0.6</v>
      </c>
      <c r="R637" s="23">
        <f t="shared" ca="1" si="123"/>
        <v>4.1999999999999996E-4</v>
      </c>
    </row>
    <row r="638" spans="1:18" ht="30" customHeight="1" x14ac:dyDescent="0.3">
      <c r="A638" s="23" t="s">
        <v>1025</v>
      </c>
      <c r="B638" s="23">
        <v>12894</v>
      </c>
      <c r="C638" s="23" t="str">
        <f>VLOOKUP(B638,IF(A638="COMPOSICAO",S!$A:$E,I!$A:$E),2,FALSE)</f>
        <v>SINAPI</v>
      </c>
      <c r="D638" s="24" t="str">
        <f>VLOOKUP(B638,IF(A638="COMPOSICAO",S!$A:$E,I!$A:$E),3,FALSE)</f>
        <v>CAPA PARA CHUVA EM PVC COM FORRO DE POLIESTER, COM CAPUZ (AMARELA OU AZUL)</v>
      </c>
      <c r="E638" s="23" t="str">
        <f>VLOOKUP(B638,IF(A638="COMPOSICAO",S!$A:$E,I!$A:$E),4,FALSE)</f>
        <v>UN</v>
      </c>
      <c r="F638" s="23">
        <v>2.0000000000000001E-4</v>
      </c>
      <c r="G638" s="71">
        <f>IF(A638="COMPOSICAO",VLOOKUP("TOTAL SEM BDI - "&amp;B638,CPUAUX2!$A:$J,9,FALSE),VLOOKUP(B638,I!$A:$E,5,FALSE))</f>
        <v>28.12</v>
      </c>
      <c r="H638" s="72"/>
      <c r="I638" s="71">
        <f t="shared" si="120"/>
        <v>0</v>
      </c>
      <c r="J638" s="72"/>
      <c r="M638" s="23">
        <f t="shared" si="121"/>
        <v>12894</v>
      </c>
      <c r="N638" s="23">
        <f>SUMIF(CPU!M:M,B621,CPU!O:O)</f>
        <v>1.5</v>
      </c>
      <c r="O638" s="23">
        <f t="shared" si="122"/>
        <v>3.0000000000000003E-4</v>
      </c>
      <c r="Q638" s="23">
        <f ca="1">SUMIF(CPU!M:M,B621,CPU!R:R)</f>
        <v>0.6</v>
      </c>
      <c r="R638" s="23">
        <f t="shared" ca="1" si="123"/>
        <v>1.2E-4</v>
      </c>
    </row>
    <row r="639" spans="1:18" ht="30" customHeight="1" x14ac:dyDescent="0.3">
      <c r="A639" s="23" t="s">
        <v>1025</v>
      </c>
      <c r="B639" s="23">
        <v>12895</v>
      </c>
      <c r="C639" s="23" t="str">
        <f>VLOOKUP(B639,IF(A639="COMPOSICAO",S!$A:$E,I!$A:$E),2,FALSE)</f>
        <v>SINAPI</v>
      </c>
      <c r="D639" s="24" t="str">
        <f>VLOOKUP(B639,IF(A639="COMPOSICAO",S!$A:$E,I!$A:$E),3,FALSE)</f>
        <v>CAPACETE DE SEGURANCA ABA FRONTAL COM SUSPENSAO DE POLIETILENO, SEM JUGULAR (CLASSE B)</v>
      </c>
      <c r="E639" s="23" t="str">
        <f>VLOOKUP(B639,IF(A639="COMPOSICAO",S!$A:$E,I!$A:$E),4,FALSE)</f>
        <v>UN</v>
      </c>
      <c r="F639" s="23">
        <v>5.9999999999999995E-4</v>
      </c>
      <c r="G639" s="71">
        <f>IF(A639="COMPOSICAO",VLOOKUP("TOTAL SEM BDI - "&amp;B639,CPUAUX2!$A:$J,9,FALSE),VLOOKUP(B639,I!$A:$E,5,FALSE))</f>
        <v>18.88</v>
      </c>
      <c r="H639" s="72"/>
      <c r="I639" s="71">
        <f t="shared" si="120"/>
        <v>0.01</v>
      </c>
      <c r="J639" s="72"/>
      <c r="M639" s="23">
        <f t="shared" si="121"/>
        <v>12895</v>
      </c>
      <c r="N639" s="23">
        <f>SUMIF(CPU!M:M,B621,CPU!O:O)</f>
        <v>1.5</v>
      </c>
      <c r="O639" s="23">
        <f t="shared" si="122"/>
        <v>8.9999999999999998E-4</v>
      </c>
      <c r="Q639" s="23">
        <f ca="1">SUMIF(CPU!M:M,B621,CPU!R:R)</f>
        <v>0.6</v>
      </c>
      <c r="R639" s="23">
        <f t="shared" ca="1" si="123"/>
        <v>3.5999999999999997E-4</v>
      </c>
    </row>
    <row r="640" spans="1:18" x14ac:dyDescent="0.3">
      <c r="A640" s="68" t="str">
        <f>"TOTAL SEM BDI - "&amp;B621</f>
        <v>TOTAL SEM BDI - 10552/ORSE</v>
      </c>
      <c r="B640" s="69"/>
      <c r="C640" s="69"/>
      <c r="D640" s="69"/>
      <c r="E640" s="69"/>
      <c r="F640" s="69"/>
      <c r="G640" s="69"/>
      <c r="H640" s="70"/>
      <c r="I640" s="71">
        <f>SUM(I621:I639)</f>
        <v>3.7799999999999989</v>
      </c>
      <c r="J640" s="72"/>
    </row>
    <row r="642" spans="1:18" x14ac:dyDescent="0.3">
      <c r="A642" s="4" t="s">
        <v>1018</v>
      </c>
      <c r="B642" s="4" t="s">
        <v>138</v>
      </c>
      <c r="C642" s="4" t="s">
        <v>139</v>
      </c>
      <c r="D642" s="4" t="s">
        <v>21</v>
      </c>
      <c r="E642" s="4" t="s">
        <v>140</v>
      </c>
      <c r="F642" s="4" t="s">
        <v>506</v>
      </c>
      <c r="G642" s="34" t="s">
        <v>1019</v>
      </c>
      <c r="H642" s="35"/>
      <c r="I642" s="34" t="s">
        <v>15</v>
      </c>
      <c r="J642" s="35"/>
    </row>
    <row r="643" spans="1:18" ht="45" customHeight="1" x14ac:dyDescent="0.3">
      <c r="A643" s="15" t="s">
        <v>1121</v>
      </c>
      <c r="B643" s="15">
        <v>90447</v>
      </c>
      <c r="C643" s="15" t="str">
        <f>VLOOKUP(B643,S!$A:$G,2,FALSE)</f>
        <v>SINAPI</v>
      </c>
      <c r="D643" s="22" t="str">
        <f>VLOOKUP(B643,S!$A:$G,3,FALSE)</f>
        <v>RASGO LINEAR MANUAL EM ALVENARIA, PARA ELETRODUTOS, DIÂMETROS MENORES OU IGUAIS A 40 MM. AF_09/2023</v>
      </c>
      <c r="E643" s="15" t="str">
        <f>VLOOKUP(B643,S!$A:$G,4,FALSE)</f>
        <v>M</v>
      </c>
      <c r="F643" s="15"/>
      <c r="G643" s="73">
        <f>I646</f>
        <v>8.01</v>
      </c>
      <c r="H643" s="74"/>
      <c r="I643" s="73"/>
      <c r="J643" s="74"/>
      <c r="K643" s="16">
        <f>VLOOKUP(B643,S!A:G,5,FALSE)</f>
        <v>8.01</v>
      </c>
      <c r="L643" s="15" t="str">
        <f>IF(K643=G643,"OK, CONFORME TABELA",IF(G643&gt;K643,"ACIMA DA TABELA: ","ABAIXO DA TABELA: ")&amp;TRUNC((G643*100)/K643,2)&amp;" %")</f>
        <v>OK, CONFORME TABELA</v>
      </c>
    </row>
    <row r="644" spans="1:18" x14ac:dyDescent="0.3">
      <c r="A644" s="23" t="s">
        <v>1022</v>
      </c>
      <c r="B644" s="23">
        <v>88264</v>
      </c>
      <c r="C644" s="23" t="str">
        <f>VLOOKUP(B644,IF(A644="COMPOSICAO",S!$A:$E,I!$A:$E),2,FALSE)</f>
        <v>SINAPI</v>
      </c>
      <c r="D644" s="24" t="str">
        <f>VLOOKUP(B644,IF(A644="COMPOSICAO",S!$A:$E,I!$A:$E),3,FALSE)</f>
        <v>ELETRICISTA COM ENCARGOS COMPLEMENTARES</v>
      </c>
      <c r="E644" s="23" t="str">
        <f>VLOOKUP(B644,IF(A644="COMPOSICAO",S!$A:$E,I!$A:$E),4,FALSE)</f>
        <v>H</v>
      </c>
      <c r="F644" s="23">
        <f>0.2348/pcf</f>
        <v>0.23480000000000001</v>
      </c>
      <c r="G644" s="71">
        <f>IF(A644="COMPOSICAO",VLOOKUP("TOTAL SEM BDI - "&amp;B644,CPUAUX2!$A:$J,9,FALSE),VLOOKUP(B644,I!$A:$E,5,FALSE))</f>
        <v>27.74</v>
      </c>
      <c r="H644" s="72"/>
      <c r="I644" s="71">
        <f>TRUNC(F644*G644,2)</f>
        <v>6.51</v>
      </c>
      <c r="J644" s="72"/>
      <c r="M644" s="23">
        <f>B644</f>
        <v>88264</v>
      </c>
      <c r="N644" s="23">
        <f>SUMIF(CPU!M:M,B643,CPU!O:O)</f>
        <v>11</v>
      </c>
      <c r="O644" s="23">
        <f>F644*N644</f>
        <v>2.5828000000000002</v>
      </c>
      <c r="Q644" s="23">
        <f ca="1">SUMIF(CPU!M:M,B643,CPU!R:R)</f>
        <v>4.4000000000000004</v>
      </c>
      <c r="R644" s="23">
        <f ca="1">F644*Q644</f>
        <v>1.03312</v>
      </c>
    </row>
    <row r="645" spans="1:18" ht="30" customHeight="1" x14ac:dyDescent="0.3">
      <c r="A645" s="23" t="s">
        <v>1022</v>
      </c>
      <c r="B645" s="23">
        <v>88247</v>
      </c>
      <c r="C645" s="23" t="str">
        <f>VLOOKUP(B645,IF(A645="COMPOSICAO",S!$A:$E,I!$A:$E),2,FALSE)</f>
        <v>SINAPI</v>
      </c>
      <c r="D645" s="24" t="str">
        <f>VLOOKUP(B645,IF(A645="COMPOSICAO",S!$A:$E,I!$A:$E),3,FALSE)</f>
        <v>AUXILIAR DE ELETRICISTA COM ENCARGOS COMPLEMENTARES</v>
      </c>
      <c r="E645" s="23" t="str">
        <f>VLOOKUP(B645,IF(A645="COMPOSICAO",S!$A:$E,I!$A:$E),4,FALSE)</f>
        <v>H</v>
      </c>
      <c r="F645" s="23">
        <f>0.066/pcf</f>
        <v>6.6000000000000003E-2</v>
      </c>
      <c r="G645" s="71">
        <f>IF(A645="COMPOSICAO",VLOOKUP("TOTAL SEM BDI - "&amp;B645,CPUAUX2!$A:$J,9,FALSE),VLOOKUP(B645,I!$A:$E,5,FALSE))</f>
        <v>22.810000000000002</v>
      </c>
      <c r="H645" s="72"/>
      <c r="I645" s="71">
        <f>TRUNC(F645*G645,2)</f>
        <v>1.5</v>
      </c>
      <c r="J645" s="72"/>
      <c r="M645" s="23">
        <f>B645</f>
        <v>88247</v>
      </c>
      <c r="N645" s="23">
        <f>SUMIF(CPU!M:M,B643,CPU!O:O)</f>
        <v>11</v>
      </c>
      <c r="O645" s="23">
        <f>F645*N645</f>
        <v>0.72599999999999998</v>
      </c>
      <c r="Q645" s="23">
        <f ca="1">SUMIF(CPU!M:M,B643,CPU!R:R)</f>
        <v>4.4000000000000004</v>
      </c>
      <c r="R645" s="23">
        <f ca="1">F645*Q645</f>
        <v>0.29040000000000005</v>
      </c>
    </row>
    <row r="646" spans="1:18" x14ac:dyDescent="0.3">
      <c r="A646" s="68" t="str">
        <f>"TOTAL SEM BDI - "&amp;B643</f>
        <v>TOTAL SEM BDI - 90447</v>
      </c>
      <c r="B646" s="69"/>
      <c r="C646" s="69"/>
      <c r="D646" s="69"/>
      <c r="E646" s="69"/>
      <c r="F646" s="69"/>
      <c r="G646" s="69"/>
      <c r="H646" s="70"/>
      <c r="I646" s="71">
        <f>SUM(I643:I645)</f>
        <v>8.01</v>
      </c>
      <c r="J646" s="72"/>
    </row>
    <row r="648" spans="1:18" x14ac:dyDescent="0.3">
      <c r="A648" s="4" t="s">
        <v>1018</v>
      </c>
      <c r="B648" s="4" t="s">
        <v>138</v>
      </c>
      <c r="C648" s="4" t="s">
        <v>139</v>
      </c>
      <c r="D648" s="4" t="s">
        <v>21</v>
      </c>
      <c r="E648" s="4" t="s">
        <v>140</v>
      </c>
      <c r="F648" s="4" t="s">
        <v>506</v>
      </c>
      <c r="G648" s="34" t="s">
        <v>1019</v>
      </c>
      <c r="H648" s="35"/>
      <c r="I648" s="34" t="s">
        <v>15</v>
      </c>
      <c r="J648" s="35"/>
    </row>
    <row r="649" spans="1:18" ht="30" customHeight="1" x14ac:dyDescent="0.3">
      <c r="A649" s="15" t="s">
        <v>1121</v>
      </c>
      <c r="B649" s="15">
        <v>90456</v>
      </c>
      <c r="C649" s="15" t="str">
        <f>VLOOKUP(B649,S!$A:$G,2,FALSE)</f>
        <v>SINAPI</v>
      </c>
      <c r="D649" s="22" t="str">
        <f>VLOOKUP(B649,S!$A:$G,3,FALSE)</f>
        <v>QUEBRA EM ALVENARIA PARA INSTALAÇÃO DE CAIXA DE TOMADA (4X4 OU 4X2). AF_09/2023</v>
      </c>
      <c r="E649" s="15" t="str">
        <f>VLOOKUP(B649,S!$A:$G,4,FALSE)</f>
        <v>UN</v>
      </c>
      <c r="F649" s="15"/>
      <c r="G649" s="73">
        <f>I652</f>
        <v>5.3</v>
      </c>
      <c r="H649" s="74"/>
      <c r="I649" s="73"/>
      <c r="J649" s="74"/>
      <c r="K649" s="16">
        <f>VLOOKUP(B649,S!A:G,5,FALSE)</f>
        <v>5.3</v>
      </c>
      <c r="L649" s="15" t="str">
        <f>IF(K649=G649,"OK, CONFORME TABELA",IF(G649&gt;K649,"ACIMA DA TABELA: ","ABAIXO DA TABELA: ")&amp;TRUNC((G649*100)/K649,2)&amp;" %")</f>
        <v>OK, CONFORME TABELA</v>
      </c>
    </row>
    <row r="650" spans="1:18" x14ac:dyDescent="0.3">
      <c r="A650" s="23" t="s">
        <v>1022</v>
      </c>
      <c r="B650" s="23">
        <v>88264</v>
      </c>
      <c r="C650" s="23" t="str">
        <f>VLOOKUP(B650,IF(A650="COMPOSICAO",S!$A:$E,I!$A:$E),2,FALSE)</f>
        <v>SINAPI</v>
      </c>
      <c r="D650" s="24" t="str">
        <f>VLOOKUP(B650,IF(A650="COMPOSICAO",S!$A:$E,I!$A:$E),3,FALSE)</f>
        <v>ELETRICISTA COM ENCARGOS COMPLEMENTARES</v>
      </c>
      <c r="E650" s="23" t="str">
        <f>VLOOKUP(B650,IF(A650="COMPOSICAO",S!$A:$E,I!$A:$E),4,FALSE)</f>
        <v>H</v>
      </c>
      <c r="F650" s="23">
        <f>0.1556/pcf</f>
        <v>0.15559999999999999</v>
      </c>
      <c r="G650" s="71">
        <f>IF(A650="COMPOSICAO",VLOOKUP("TOTAL SEM BDI - "&amp;B650,CPUAUX2!$A:$J,9,FALSE),VLOOKUP(B650,I!$A:$E,5,FALSE))</f>
        <v>27.74</v>
      </c>
      <c r="H650" s="72"/>
      <c r="I650" s="71">
        <f>TRUNC(F650*G650,2)</f>
        <v>4.3099999999999996</v>
      </c>
      <c r="J650" s="72"/>
      <c r="M650" s="23">
        <f>B650</f>
        <v>88264</v>
      </c>
      <c r="N650" s="23">
        <f>SUMIF(CPU!M:M,B649,CPU!O:O)</f>
        <v>5</v>
      </c>
      <c r="O650" s="23">
        <f>F650*N650</f>
        <v>0.77799999999999991</v>
      </c>
      <c r="Q650" s="23">
        <f ca="1">SUMIF(CPU!M:M,B649,CPU!R:R)</f>
        <v>2</v>
      </c>
      <c r="R650" s="23">
        <f ca="1">F650*Q650</f>
        <v>0.31119999999999998</v>
      </c>
    </row>
    <row r="651" spans="1:18" ht="30" customHeight="1" x14ac:dyDescent="0.3">
      <c r="A651" s="23" t="s">
        <v>1022</v>
      </c>
      <c r="B651" s="23">
        <v>88247</v>
      </c>
      <c r="C651" s="23" t="str">
        <f>VLOOKUP(B651,IF(A651="COMPOSICAO",S!$A:$E,I!$A:$E),2,FALSE)</f>
        <v>SINAPI</v>
      </c>
      <c r="D651" s="24" t="str">
        <f>VLOOKUP(B651,IF(A651="COMPOSICAO",S!$A:$E,I!$A:$E),3,FALSE)</f>
        <v>AUXILIAR DE ELETRICISTA COM ENCARGOS COMPLEMENTARES</v>
      </c>
      <c r="E651" s="23" t="str">
        <f>VLOOKUP(B651,IF(A651="COMPOSICAO",S!$A:$E,I!$A:$E),4,FALSE)</f>
        <v>H</v>
      </c>
      <c r="F651" s="23">
        <f>0.0438/pcf</f>
        <v>4.3799999999999999E-2</v>
      </c>
      <c r="G651" s="71">
        <f>IF(A651="COMPOSICAO",VLOOKUP("TOTAL SEM BDI - "&amp;B651,CPUAUX2!$A:$J,9,FALSE),VLOOKUP(B651,I!$A:$E,5,FALSE))</f>
        <v>22.810000000000002</v>
      </c>
      <c r="H651" s="72"/>
      <c r="I651" s="71">
        <f>TRUNC(F651*G651,2)</f>
        <v>0.99</v>
      </c>
      <c r="J651" s="72"/>
      <c r="M651" s="23">
        <f>B651</f>
        <v>88247</v>
      </c>
      <c r="N651" s="23">
        <f>SUMIF(CPU!M:M,B649,CPU!O:O)</f>
        <v>5</v>
      </c>
      <c r="O651" s="23">
        <f>F651*N651</f>
        <v>0.219</v>
      </c>
      <c r="Q651" s="23">
        <f ca="1">SUMIF(CPU!M:M,B649,CPU!R:R)</f>
        <v>2</v>
      </c>
      <c r="R651" s="23">
        <f ca="1">F651*Q651</f>
        <v>8.7599999999999997E-2</v>
      </c>
    </row>
    <row r="652" spans="1:18" x14ac:dyDescent="0.3">
      <c r="A652" s="68" t="str">
        <f>"TOTAL SEM BDI - "&amp;B649</f>
        <v>TOTAL SEM BDI - 90456</v>
      </c>
      <c r="B652" s="69"/>
      <c r="C652" s="69"/>
      <c r="D652" s="69"/>
      <c r="E652" s="69"/>
      <c r="F652" s="69"/>
      <c r="G652" s="69"/>
      <c r="H652" s="70"/>
      <c r="I652" s="71">
        <f>SUM(I649:I651)</f>
        <v>5.3</v>
      </c>
      <c r="J652" s="72"/>
    </row>
    <row r="654" spans="1:18" x14ac:dyDescent="0.3">
      <c r="A654" s="4" t="s">
        <v>1018</v>
      </c>
      <c r="B654" s="4" t="s">
        <v>138</v>
      </c>
      <c r="C654" s="4" t="s">
        <v>139</v>
      </c>
      <c r="D654" s="4" t="s">
        <v>21</v>
      </c>
      <c r="E654" s="4" t="s">
        <v>140</v>
      </c>
      <c r="F654" s="4" t="s">
        <v>506</v>
      </c>
      <c r="G654" s="34" t="s">
        <v>1019</v>
      </c>
      <c r="H654" s="35"/>
      <c r="I654" s="34" t="s">
        <v>15</v>
      </c>
      <c r="J654" s="35"/>
    </row>
    <row r="655" spans="1:18" ht="60" customHeight="1" x14ac:dyDescent="0.3">
      <c r="A655" s="15" t="s">
        <v>1121</v>
      </c>
      <c r="B655" s="15">
        <v>90466</v>
      </c>
      <c r="C655" s="15" t="str">
        <f>VLOOKUP(B655,S!$A:$G,2,FALSE)</f>
        <v>SINAPI</v>
      </c>
      <c r="D655" s="22" t="str">
        <f>VLOOKUP(B655,S!$A:$G,3,FALSE)</f>
        <v>CHUMBAMENTO LINEAR EM ALVENARIA PARA RAMAIS/DISTRIBUIÇÃO DE INSTALAÇÕES HIDRÁULICAS COM DIÂMETROS MENORES OU IGUAIS A 40 MM. AF_09/2023</v>
      </c>
      <c r="E655" s="15" t="str">
        <f>VLOOKUP(B655,S!$A:$G,4,FALSE)</f>
        <v>M</v>
      </c>
      <c r="F655" s="15"/>
      <c r="G655" s="73">
        <f>I659</f>
        <v>15.47</v>
      </c>
      <c r="H655" s="74"/>
      <c r="I655" s="73"/>
      <c r="J655" s="74"/>
      <c r="K655" s="16">
        <f>VLOOKUP(B655,S!A:G,5,FALSE)</f>
        <v>15.47</v>
      </c>
      <c r="L655" s="15" t="str">
        <f>IF(K655=G655,"OK, CONFORME TABELA",IF(G655&gt;K655,"ACIMA DA TABELA: ","ABAIXO DA TABELA: ")&amp;TRUNC((G655*100)/K655,2)&amp;" %")</f>
        <v>OK, CONFORME TABELA</v>
      </c>
    </row>
    <row r="656" spans="1:18" ht="45" customHeight="1" x14ac:dyDescent="0.3">
      <c r="A656" s="23" t="s">
        <v>1022</v>
      </c>
      <c r="B656" s="23">
        <v>88629</v>
      </c>
      <c r="C656" s="23" t="str">
        <f>VLOOKUP(B656,IF(A656="COMPOSICAO",S!$A:$E,I!$A:$E),2,FALSE)</f>
        <v>SINAPI</v>
      </c>
      <c r="D656" s="24" t="str">
        <f>VLOOKUP(B656,IF(A656="COMPOSICAO",S!$A:$E,I!$A:$E),3,FALSE)</f>
        <v>ARGAMASSA TRAÇO 1:3 (EM VOLUME DE CIMENTO E AREIA MÉDIA ÚMIDA), PREPARO MANUAL. AF_08/2019</v>
      </c>
      <c r="E656" s="23" t="str">
        <f>VLOOKUP(B656,IF(A656="COMPOSICAO",S!$A:$E,I!$A:$E),4,FALSE)</f>
        <v>M3</v>
      </c>
      <c r="F656" s="23">
        <v>5.1000000000000004E-3</v>
      </c>
      <c r="G656" s="71">
        <f>IF(A656="COMPOSICAO",VLOOKUP("TOTAL SEM BDI - "&amp;B656,CPUAUX2!$A:$J,9,FALSE),VLOOKUP(B656,I!$A:$E,5,FALSE))</f>
        <v>770.66</v>
      </c>
      <c r="H656" s="72"/>
      <c r="I656" s="71">
        <f>TRUNC(F656*G656,2)</f>
        <v>3.93</v>
      </c>
      <c r="J656" s="72"/>
      <c r="M656" s="23">
        <f>B656</f>
        <v>88629</v>
      </c>
      <c r="N656" s="23">
        <f>SUMIF(CPU!M:M,B655,CPU!O:O)</f>
        <v>11</v>
      </c>
      <c r="O656" s="23">
        <f>F656*N656</f>
        <v>5.6100000000000004E-2</v>
      </c>
      <c r="Q656" s="23">
        <f ca="1">SUMIF(CPU!M:M,B655,CPU!R:R)</f>
        <v>4.4000000000000004</v>
      </c>
      <c r="R656" s="23">
        <f ca="1">F656*Q656</f>
        <v>2.2440000000000005E-2</v>
      </c>
    </row>
    <row r="657" spans="1:18" ht="30" customHeight="1" x14ac:dyDescent="0.3">
      <c r="A657" s="23" t="s">
        <v>1022</v>
      </c>
      <c r="B657" s="23">
        <v>88267</v>
      </c>
      <c r="C657" s="23" t="str">
        <f>VLOOKUP(B657,IF(A657="COMPOSICAO",S!$A:$E,I!$A:$E),2,FALSE)</f>
        <v>SINAPI</v>
      </c>
      <c r="D657" s="24" t="str">
        <f>VLOOKUP(B657,IF(A657="COMPOSICAO",S!$A:$E,I!$A:$E),3,FALSE)</f>
        <v>ENCANADOR OU BOMBEIRO HIDRÁULICO COM ENCARGOS COMPLEMENTARES</v>
      </c>
      <c r="E657" s="23" t="str">
        <f>VLOOKUP(B657,IF(A657="COMPOSICAO",S!$A:$E,I!$A:$E),4,FALSE)</f>
        <v>H</v>
      </c>
      <c r="F657" s="23">
        <f>0.365/pcf</f>
        <v>0.36499999999999999</v>
      </c>
      <c r="G657" s="71">
        <f>IF(A657="COMPOSICAO",VLOOKUP("TOTAL SEM BDI - "&amp;B657,CPUAUX2!$A:$J,9,FALSE),VLOOKUP(B657,I!$A:$E,5,FALSE))</f>
        <v>26.669999999999998</v>
      </c>
      <c r="H657" s="72"/>
      <c r="I657" s="71">
        <f>TRUNC(F657*G657,2)</f>
        <v>9.73</v>
      </c>
      <c r="J657" s="72"/>
      <c r="M657" s="23">
        <f>B657</f>
        <v>88267</v>
      </c>
      <c r="N657" s="23">
        <f>SUMIF(CPU!M:M,B655,CPU!O:O)</f>
        <v>11</v>
      </c>
      <c r="O657" s="23">
        <f>F657*N657</f>
        <v>4.0149999999999997</v>
      </c>
      <c r="Q657" s="23">
        <f ca="1">SUMIF(CPU!M:M,B655,CPU!R:R)</f>
        <v>4.4000000000000004</v>
      </c>
      <c r="R657" s="23">
        <f ca="1">F657*Q657</f>
        <v>1.6060000000000001</v>
      </c>
    </row>
    <row r="658" spans="1:18" ht="30" customHeight="1" x14ac:dyDescent="0.3">
      <c r="A658" s="23" t="s">
        <v>1022</v>
      </c>
      <c r="B658" s="23">
        <v>88248</v>
      </c>
      <c r="C658" s="23" t="str">
        <f>VLOOKUP(B658,IF(A658="COMPOSICAO",S!$A:$E,I!$A:$E),2,FALSE)</f>
        <v>SINAPI</v>
      </c>
      <c r="D658" s="24" t="str">
        <f>VLOOKUP(B658,IF(A658="COMPOSICAO",S!$A:$E,I!$A:$E),3,FALSE)</f>
        <v>AUXILIAR DE ENCANADOR OU BOMBEIRO HIDRÁULICO COM ENCARGOS COMPLEMENTARES</v>
      </c>
      <c r="E658" s="23" t="str">
        <f>VLOOKUP(B658,IF(A658="COMPOSICAO",S!$A:$E,I!$A:$E),4,FALSE)</f>
        <v>H</v>
      </c>
      <c r="F658" s="23">
        <f>0.083/pcf</f>
        <v>8.3000000000000004E-2</v>
      </c>
      <c r="G658" s="71">
        <f>IF(A658="COMPOSICAO",VLOOKUP("TOTAL SEM BDI - "&amp;B658,CPUAUX2!$A:$J,9,FALSE),VLOOKUP(B658,I!$A:$E,5,FALSE))</f>
        <v>21.82</v>
      </c>
      <c r="H658" s="72"/>
      <c r="I658" s="71">
        <f>TRUNC(F658*G658,2)</f>
        <v>1.81</v>
      </c>
      <c r="J658" s="72"/>
      <c r="M658" s="23">
        <f>B658</f>
        <v>88248</v>
      </c>
      <c r="N658" s="23">
        <f>SUMIF(CPU!M:M,B655,CPU!O:O)</f>
        <v>11</v>
      </c>
      <c r="O658" s="23">
        <f>F658*N658</f>
        <v>0.91300000000000003</v>
      </c>
      <c r="Q658" s="23">
        <f ca="1">SUMIF(CPU!M:M,B655,CPU!R:R)</f>
        <v>4.4000000000000004</v>
      </c>
      <c r="R658" s="23">
        <f ca="1">F658*Q658</f>
        <v>0.36520000000000002</v>
      </c>
    </row>
    <row r="659" spans="1:18" x14ac:dyDescent="0.3">
      <c r="A659" s="68" t="str">
        <f>"TOTAL SEM BDI - "&amp;B655</f>
        <v>TOTAL SEM BDI - 90466</v>
      </c>
      <c r="B659" s="69"/>
      <c r="C659" s="69"/>
      <c r="D659" s="69"/>
      <c r="E659" s="69"/>
      <c r="F659" s="69"/>
      <c r="G659" s="69"/>
      <c r="H659" s="70"/>
      <c r="I659" s="71">
        <f>SUM(I655:I658)</f>
        <v>15.47</v>
      </c>
      <c r="J659" s="72"/>
    </row>
    <row r="661" spans="1:18" x14ac:dyDescent="0.3">
      <c r="A661" s="4" t="s">
        <v>1018</v>
      </c>
      <c r="B661" s="4" t="s">
        <v>138</v>
      </c>
      <c r="C661" s="4" t="s">
        <v>139</v>
      </c>
      <c r="D661" s="4" t="s">
        <v>21</v>
      </c>
      <c r="E661" s="4" t="s">
        <v>140</v>
      </c>
      <c r="F661" s="4" t="s">
        <v>506</v>
      </c>
      <c r="G661" s="34" t="s">
        <v>1019</v>
      </c>
      <c r="H661" s="35"/>
      <c r="I661" s="34" t="s">
        <v>15</v>
      </c>
      <c r="J661" s="35"/>
    </row>
    <row r="662" spans="1:18" ht="60" customHeight="1" x14ac:dyDescent="0.3">
      <c r="A662" s="15" t="s">
        <v>1078</v>
      </c>
      <c r="B662" s="15">
        <v>91852</v>
      </c>
      <c r="C662" s="15" t="str">
        <f>VLOOKUP(B662,S!$A:$G,2,FALSE)</f>
        <v>SINAPI</v>
      </c>
      <c r="D662" s="22" t="str">
        <f>VLOOKUP(B662,S!$A:$G,3,FALSE)</f>
        <v>ELETRODUTO FLEXÍVEL CORRUGADO, PVC, DN 20 MM (1/2"), PARA CIRCUITOS TERMINAIS, INSTALADO EM PAREDE - FORNECIMENTO E INSTALAÇÃO. AF_03/2023</v>
      </c>
      <c r="E662" s="15" t="str">
        <f>VLOOKUP(B662,S!$A:$G,4,FALSE)</f>
        <v>M</v>
      </c>
      <c r="F662" s="15"/>
      <c r="G662" s="73">
        <f>I666</f>
        <v>8.8000000000000007</v>
      </c>
      <c r="H662" s="74"/>
      <c r="I662" s="73"/>
      <c r="J662" s="74"/>
      <c r="K662" s="16">
        <f>VLOOKUP(B662,S!A:G,5,FALSE)</f>
        <v>8.8000000000000007</v>
      </c>
      <c r="L662" s="15" t="str">
        <f>IF(K662=G662,"OK, CONFORME TABELA",IF(G662&gt;K662,"ACIMA DA TABELA: ","ABAIXO DA TABELA: ")&amp;TRUNC((G662*100)/K662,2)&amp;" %")</f>
        <v>OK, CONFORME TABELA</v>
      </c>
    </row>
    <row r="663" spans="1:18" x14ac:dyDescent="0.3">
      <c r="A663" s="23" t="s">
        <v>1022</v>
      </c>
      <c r="B663" s="23">
        <v>88264</v>
      </c>
      <c r="C663" s="23" t="str">
        <f>VLOOKUP(B663,IF(A663="COMPOSICAO",S!$A:$E,I!$A:$E),2,FALSE)</f>
        <v>SINAPI</v>
      </c>
      <c r="D663" s="24" t="str">
        <f>VLOOKUP(B663,IF(A663="COMPOSICAO",S!$A:$E,I!$A:$E),3,FALSE)</f>
        <v>ELETRICISTA COM ENCARGOS COMPLEMENTARES</v>
      </c>
      <c r="E663" s="23" t="str">
        <f>VLOOKUP(B663,IF(A663="COMPOSICAO",S!$A:$E,I!$A:$E),4,FALSE)</f>
        <v>H</v>
      </c>
      <c r="F663" s="23">
        <f>0.124/pcf</f>
        <v>0.124</v>
      </c>
      <c r="G663" s="71">
        <f>IF(A663="COMPOSICAO",VLOOKUP("TOTAL SEM BDI - "&amp;B663,CPUAUX2!$A:$J,9,FALSE),VLOOKUP(B663,I!$A:$E,5,FALSE))</f>
        <v>27.74</v>
      </c>
      <c r="H663" s="72"/>
      <c r="I663" s="71">
        <f>TRUNC(F663*G663,2)</f>
        <v>3.43</v>
      </c>
      <c r="J663" s="72"/>
      <c r="M663" s="23">
        <f>B663</f>
        <v>88264</v>
      </c>
      <c r="N663" s="23">
        <f>SUMIF(CPU!M:M,B662,CPU!O:O)</f>
        <v>11</v>
      </c>
      <c r="O663" s="23">
        <f>F663*N663</f>
        <v>1.3639999999999999</v>
      </c>
      <c r="Q663" s="23">
        <f ca="1">SUMIF(CPU!M:M,B662,CPU!R:R)</f>
        <v>4.4000000000000004</v>
      </c>
      <c r="R663" s="23">
        <f ca="1">F663*Q663</f>
        <v>0.54560000000000008</v>
      </c>
    </row>
    <row r="664" spans="1:18" ht="30" customHeight="1" x14ac:dyDescent="0.3">
      <c r="A664" s="23" t="s">
        <v>1022</v>
      </c>
      <c r="B664" s="23">
        <v>88247</v>
      </c>
      <c r="C664" s="23" t="str">
        <f>VLOOKUP(B664,IF(A664="COMPOSICAO",S!$A:$E,I!$A:$E),2,FALSE)</f>
        <v>SINAPI</v>
      </c>
      <c r="D664" s="24" t="str">
        <f>VLOOKUP(B664,IF(A664="COMPOSICAO",S!$A:$E,I!$A:$E),3,FALSE)</f>
        <v>AUXILIAR DE ELETRICISTA COM ENCARGOS COMPLEMENTARES</v>
      </c>
      <c r="E664" s="23" t="str">
        <f>VLOOKUP(B664,IF(A664="COMPOSICAO",S!$A:$E,I!$A:$E),4,FALSE)</f>
        <v>H</v>
      </c>
      <c r="F664" s="23">
        <f>0.124/pcf</f>
        <v>0.124</v>
      </c>
      <c r="G664" s="71">
        <f>IF(A664="COMPOSICAO",VLOOKUP("TOTAL SEM BDI - "&amp;B664,CPUAUX2!$A:$J,9,FALSE),VLOOKUP(B664,I!$A:$E,5,FALSE))</f>
        <v>22.810000000000002</v>
      </c>
      <c r="H664" s="72"/>
      <c r="I664" s="71">
        <f>TRUNC(F664*G664,2)</f>
        <v>2.82</v>
      </c>
      <c r="J664" s="72"/>
      <c r="M664" s="23">
        <f>B664</f>
        <v>88247</v>
      </c>
      <c r="N664" s="23">
        <f>SUMIF(CPU!M:M,B662,CPU!O:O)</f>
        <v>11</v>
      </c>
      <c r="O664" s="23">
        <f>F664*N664</f>
        <v>1.3639999999999999</v>
      </c>
      <c r="Q664" s="23">
        <f ca="1">SUMIF(CPU!M:M,B662,CPU!R:R)</f>
        <v>4.4000000000000004</v>
      </c>
      <c r="R664" s="23">
        <f ca="1">F664*Q664</f>
        <v>0.54560000000000008</v>
      </c>
    </row>
    <row r="665" spans="1:18" ht="30" customHeight="1" x14ac:dyDescent="0.3">
      <c r="A665" s="23" t="s">
        <v>1025</v>
      </c>
      <c r="B665" s="23">
        <v>2689</v>
      </c>
      <c r="C665" s="23" t="str">
        <f>VLOOKUP(B665,IF(A665="COMPOSICAO",S!$A:$E,I!$A:$E),2,FALSE)</f>
        <v>SINAPI</v>
      </c>
      <c r="D665" s="24" t="str">
        <f>VLOOKUP(B665,IF(A665="COMPOSICAO",S!$A:$E,I!$A:$E),3,FALSE)</f>
        <v>ELETRODUTO PVC FLEXIVEL CORRUGADO, COR AMARELA, DE 20 MM</v>
      </c>
      <c r="E665" s="23" t="str">
        <f>VLOOKUP(B665,IF(A665="COMPOSICAO",S!$A:$E,I!$A:$E),4,FALSE)</f>
        <v>M</v>
      </c>
      <c r="F665" s="23">
        <v>1.0169999999999999</v>
      </c>
      <c r="G665" s="71">
        <f>IF(A665="COMPOSICAO",VLOOKUP("TOTAL SEM BDI - "&amp;B665,CPUAUX2!$A:$J,9,FALSE),VLOOKUP(B665,I!$A:$E,5,FALSE))</f>
        <v>2.5099999999999998</v>
      </c>
      <c r="H665" s="72"/>
      <c r="I665" s="71">
        <f>TRUNC(F665*G665,2)</f>
        <v>2.5499999999999998</v>
      </c>
      <c r="J665" s="72"/>
      <c r="M665" s="23">
        <f>B665</f>
        <v>2689</v>
      </c>
      <c r="N665" s="23">
        <f>SUMIF(CPU!M:M,B662,CPU!O:O)</f>
        <v>11</v>
      </c>
      <c r="O665" s="23">
        <f>F665*N665</f>
        <v>11.186999999999999</v>
      </c>
      <c r="Q665" s="23">
        <f ca="1">SUMIF(CPU!M:M,B662,CPU!R:R)</f>
        <v>4.4000000000000004</v>
      </c>
      <c r="R665" s="23">
        <f ca="1">F665*Q665</f>
        <v>4.4748000000000001</v>
      </c>
    </row>
    <row r="666" spans="1:18" x14ac:dyDescent="0.3">
      <c r="A666" s="68" t="str">
        <f>"TOTAL SEM BDI - "&amp;B662</f>
        <v>TOTAL SEM BDI - 91852</v>
      </c>
      <c r="B666" s="69"/>
      <c r="C666" s="69"/>
      <c r="D666" s="69"/>
      <c r="E666" s="69"/>
      <c r="F666" s="69"/>
      <c r="G666" s="69"/>
      <c r="H666" s="70"/>
      <c r="I666" s="71">
        <f>SUM(I662:I665)</f>
        <v>8.8000000000000007</v>
      </c>
      <c r="J666" s="72"/>
    </row>
    <row r="668" spans="1:18" x14ac:dyDescent="0.3">
      <c r="A668" s="4" t="s">
        <v>1018</v>
      </c>
      <c r="B668" s="4" t="s">
        <v>138</v>
      </c>
      <c r="C668" s="4" t="s">
        <v>139</v>
      </c>
      <c r="D668" s="4" t="s">
        <v>21</v>
      </c>
      <c r="E668" s="4" t="s">
        <v>140</v>
      </c>
      <c r="F668" s="4" t="s">
        <v>506</v>
      </c>
      <c r="G668" s="34" t="s">
        <v>1019</v>
      </c>
      <c r="H668" s="35"/>
      <c r="I668" s="34" t="s">
        <v>15</v>
      </c>
      <c r="J668" s="35"/>
    </row>
    <row r="669" spans="1:18" ht="45" customHeight="1" x14ac:dyDescent="0.3">
      <c r="A669" s="15" t="s">
        <v>1078</v>
      </c>
      <c r="B669" s="15">
        <v>91926</v>
      </c>
      <c r="C669" s="15" t="str">
        <f>VLOOKUP(B669,S!$A:$G,2,FALSE)</f>
        <v>SINAPI</v>
      </c>
      <c r="D669" s="22" t="str">
        <f>VLOOKUP(B669,S!$A:$G,3,FALSE)</f>
        <v>CABO DE COBRE FLEXÍVEL ISOLADO, 2,5 MM², ANTI-CHAMA 450/750 V, PARA CIRCUITOS TERMINAIS - FORNECIMENTO E INSTALAÇÃO. AF_03/2023</v>
      </c>
      <c r="E669" s="15" t="str">
        <f>VLOOKUP(B669,S!$A:$G,4,FALSE)</f>
        <v>M</v>
      </c>
      <c r="F669" s="15"/>
      <c r="G669" s="73">
        <f>I674</f>
        <v>4.63</v>
      </c>
      <c r="H669" s="74"/>
      <c r="I669" s="73"/>
      <c r="J669" s="74"/>
      <c r="K669" s="16">
        <f>VLOOKUP(B669,S!A:G,5,FALSE)</f>
        <v>4.63</v>
      </c>
      <c r="L669" s="15" t="str">
        <f>IF(K669=G669,"OK, CONFORME TABELA",IF(G669&gt;K669,"ACIMA DA TABELA: ","ABAIXO DA TABELA: ")&amp;TRUNC((G669*100)/K669,2)&amp;" %")</f>
        <v>OK, CONFORME TABELA</v>
      </c>
    </row>
    <row r="670" spans="1:18" x14ac:dyDescent="0.3">
      <c r="A670" s="23" t="s">
        <v>1022</v>
      </c>
      <c r="B670" s="23">
        <v>88264</v>
      </c>
      <c r="C670" s="23" t="str">
        <f>VLOOKUP(B670,IF(A670="COMPOSICAO",S!$A:$E,I!$A:$E),2,FALSE)</f>
        <v>SINAPI</v>
      </c>
      <c r="D670" s="24" t="str">
        <f>VLOOKUP(B670,IF(A670="COMPOSICAO",S!$A:$E,I!$A:$E),3,FALSE)</f>
        <v>ELETRICISTA COM ENCARGOS COMPLEMENTARES</v>
      </c>
      <c r="E670" s="23" t="str">
        <f>VLOOKUP(B670,IF(A670="COMPOSICAO",S!$A:$E,I!$A:$E),4,FALSE)</f>
        <v>H</v>
      </c>
      <c r="F670" s="23">
        <f>0.029/pcf</f>
        <v>2.9000000000000001E-2</v>
      </c>
      <c r="G670" s="71">
        <f>IF(A670="COMPOSICAO",VLOOKUP("TOTAL SEM BDI - "&amp;B670,CPUAUX2!$A:$J,9,FALSE),VLOOKUP(B670,I!$A:$E,5,FALSE))</f>
        <v>27.74</v>
      </c>
      <c r="H670" s="72"/>
      <c r="I670" s="71">
        <f>TRUNC(F670*G670,2)</f>
        <v>0.8</v>
      </c>
      <c r="J670" s="72"/>
      <c r="M670" s="23">
        <f>B670</f>
        <v>88264</v>
      </c>
      <c r="N670" s="23">
        <f>SUMIF(CPU!M:M,B669,CPU!O:O)</f>
        <v>105</v>
      </c>
      <c r="O670" s="23">
        <f>F670*N670</f>
        <v>3.0450000000000004</v>
      </c>
      <c r="Q670" s="23">
        <f ca="1">SUMIF(CPU!M:M,B669,CPU!R:R)</f>
        <v>42</v>
      </c>
      <c r="R670" s="23">
        <f ca="1">F670*Q670</f>
        <v>1.218</v>
      </c>
    </row>
    <row r="671" spans="1:18" ht="30" customHeight="1" x14ac:dyDescent="0.3">
      <c r="A671" s="23" t="s">
        <v>1022</v>
      </c>
      <c r="B671" s="23">
        <v>88247</v>
      </c>
      <c r="C671" s="23" t="str">
        <f>VLOOKUP(B671,IF(A671="COMPOSICAO",S!$A:$E,I!$A:$E),2,FALSE)</f>
        <v>SINAPI</v>
      </c>
      <c r="D671" s="24" t="str">
        <f>VLOOKUP(B671,IF(A671="COMPOSICAO",S!$A:$E,I!$A:$E),3,FALSE)</f>
        <v>AUXILIAR DE ELETRICISTA COM ENCARGOS COMPLEMENTARES</v>
      </c>
      <c r="E671" s="23" t="str">
        <f>VLOOKUP(B671,IF(A671="COMPOSICAO",S!$A:$E,I!$A:$E),4,FALSE)</f>
        <v>H</v>
      </c>
      <c r="F671" s="23">
        <f>0.029/pcf</f>
        <v>2.9000000000000001E-2</v>
      </c>
      <c r="G671" s="71">
        <f>IF(A671="COMPOSICAO",VLOOKUP("TOTAL SEM BDI - "&amp;B671,CPUAUX2!$A:$J,9,FALSE),VLOOKUP(B671,I!$A:$E,5,FALSE))</f>
        <v>22.810000000000002</v>
      </c>
      <c r="H671" s="72"/>
      <c r="I671" s="71">
        <f>TRUNC(F671*G671,2)</f>
        <v>0.66</v>
      </c>
      <c r="J671" s="72"/>
      <c r="M671" s="23">
        <f>B671</f>
        <v>88247</v>
      </c>
      <c r="N671" s="23">
        <f>SUMIF(CPU!M:M,B669,CPU!O:O)</f>
        <v>105</v>
      </c>
      <c r="O671" s="23">
        <f>F671*N671</f>
        <v>3.0450000000000004</v>
      </c>
      <c r="Q671" s="23">
        <f ca="1">SUMIF(CPU!M:M,B669,CPU!R:R)</f>
        <v>42</v>
      </c>
      <c r="R671" s="23">
        <f ca="1">F671*Q671</f>
        <v>1.218</v>
      </c>
    </row>
    <row r="672" spans="1:18" ht="30" customHeight="1" x14ac:dyDescent="0.3">
      <c r="A672" s="23" t="s">
        <v>1025</v>
      </c>
      <c r="B672" s="23">
        <v>21127</v>
      </c>
      <c r="C672" s="23" t="str">
        <f>VLOOKUP(B672,IF(A672="COMPOSICAO",S!$A:$E,I!$A:$E),2,FALSE)</f>
        <v>SINAPI</v>
      </c>
      <c r="D672" s="24" t="str">
        <f>VLOOKUP(B672,IF(A672="COMPOSICAO",S!$A:$E,I!$A:$E),3,FALSE)</f>
        <v>FITA ISOLANTE ADESIVA ANTICHAMA, USO ATE 750 V, EM ROLO DE 19 MM X 5 M</v>
      </c>
      <c r="E672" s="23" t="str">
        <f>VLOOKUP(B672,IF(A672="COMPOSICAO",S!$A:$E,I!$A:$E),4,FALSE)</f>
        <v>UN</v>
      </c>
      <c r="F672" s="23">
        <v>9.4000000000000004E-3</v>
      </c>
      <c r="G672" s="71">
        <f>IF(A672="COMPOSICAO",VLOOKUP("TOTAL SEM BDI - "&amp;B672,CPUAUX2!$A:$J,9,FALSE),VLOOKUP(B672,I!$A:$E,5,FALSE))</f>
        <v>3.69</v>
      </c>
      <c r="H672" s="72"/>
      <c r="I672" s="71">
        <f>TRUNC(F672*G672,2)</f>
        <v>0.03</v>
      </c>
      <c r="J672" s="72"/>
      <c r="M672" s="23">
        <f>B672</f>
        <v>21127</v>
      </c>
      <c r="N672" s="23">
        <f>SUMIF(CPU!M:M,B669,CPU!O:O)</f>
        <v>105</v>
      </c>
      <c r="O672" s="23">
        <f>F672*N672</f>
        <v>0.98699999999999999</v>
      </c>
      <c r="Q672" s="23">
        <f ca="1">SUMIF(CPU!M:M,B669,CPU!R:R)</f>
        <v>42</v>
      </c>
      <c r="R672" s="23">
        <f ca="1">F672*Q672</f>
        <v>0.39480000000000004</v>
      </c>
    </row>
    <row r="673" spans="1:18" ht="45" customHeight="1" x14ac:dyDescent="0.3">
      <c r="A673" s="23" t="s">
        <v>1025</v>
      </c>
      <c r="B673" s="23">
        <v>1014</v>
      </c>
      <c r="C673" s="23" t="str">
        <f>VLOOKUP(B673,IF(A673="COMPOSICAO",S!$A:$E,I!$A:$E),2,FALSE)</f>
        <v>SINAPI</v>
      </c>
      <c r="D673" s="24" t="str">
        <f>VLOOKUP(B673,IF(A673="COMPOSICAO",S!$A:$E,I!$A:$E),3,FALSE)</f>
        <v>CABO DE COBRE, FLEXIVEL, CLASSE 4 OU 5, ISOLACAO EM PVC/A, ANTICHAMA BWF-B, 1 CONDUTOR, 450/750 V, SECAO NOMINAL 2,5 MM2</v>
      </c>
      <c r="E673" s="23" t="str">
        <f>VLOOKUP(B673,IF(A673="COMPOSICAO",S!$A:$E,I!$A:$E),4,FALSE)</f>
        <v>M</v>
      </c>
      <c r="F673" s="23">
        <v>1.2434000000000001</v>
      </c>
      <c r="G673" s="71">
        <f>IF(A673="COMPOSICAO",VLOOKUP("TOTAL SEM BDI - "&amp;B673,CPUAUX2!$A:$J,9,FALSE),VLOOKUP(B673,I!$A:$E,5,FALSE))</f>
        <v>2.5299999999999998</v>
      </c>
      <c r="H673" s="72"/>
      <c r="I673" s="71">
        <f>TRUNC(F673*G673,2)</f>
        <v>3.14</v>
      </c>
      <c r="J673" s="72"/>
      <c r="M673" s="23">
        <f>B673</f>
        <v>1014</v>
      </c>
      <c r="N673" s="23">
        <f>SUMIF(CPU!M:M,B669,CPU!O:O)</f>
        <v>105</v>
      </c>
      <c r="O673" s="23">
        <f>F673*N673</f>
        <v>130.55700000000002</v>
      </c>
      <c r="Q673" s="23">
        <f ca="1">SUMIF(CPU!M:M,B669,CPU!R:R)</f>
        <v>42</v>
      </c>
      <c r="R673" s="23">
        <f ca="1">F673*Q673</f>
        <v>52.222799999999999</v>
      </c>
    </row>
    <row r="674" spans="1:18" x14ac:dyDescent="0.3">
      <c r="A674" s="68" t="str">
        <f>"TOTAL SEM BDI - "&amp;B669</f>
        <v>TOTAL SEM BDI - 91926</v>
      </c>
      <c r="B674" s="69"/>
      <c r="C674" s="69"/>
      <c r="D674" s="69"/>
      <c r="E674" s="69"/>
      <c r="F674" s="69"/>
      <c r="G674" s="69"/>
      <c r="H674" s="70"/>
      <c r="I674" s="71">
        <f>SUM(I669:I673)</f>
        <v>4.63</v>
      </c>
      <c r="J674" s="72"/>
    </row>
    <row r="676" spans="1:18" x14ac:dyDescent="0.3">
      <c r="A676" s="4" t="s">
        <v>1018</v>
      </c>
      <c r="B676" s="4" t="s">
        <v>138</v>
      </c>
      <c r="C676" s="4" t="s">
        <v>139</v>
      </c>
      <c r="D676" s="4" t="s">
        <v>21</v>
      </c>
      <c r="E676" s="4" t="s">
        <v>140</v>
      </c>
      <c r="F676" s="4" t="s">
        <v>506</v>
      </c>
      <c r="G676" s="34" t="s">
        <v>1019</v>
      </c>
      <c r="H676" s="35"/>
      <c r="I676" s="34" t="s">
        <v>15</v>
      </c>
      <c r="J676" s="35"/>
    </row>
    <row r="677" spans="1:18" ht="45" customHeight="1" x14ac:dyDescent="0.3">
      <c r="A677" s="15" t="s">
        <v>1078</v>
      </c>
      <c r="B677" s="15">
        <v>91940</v>
      </c>
      <c r="C677" s="15" t="str">
        <f>VLOOKUP(B677,S!$A:$G,2,FALSE)</f>
        <v>SINAPI</v>
      </c>
      <c r="D677" s="22" t="str">
        <f>VLOOKUP(B677,S!$A:$G,3,FALSE)</f>
        <v>CAIXA RETANGULAR 4" X 2" MÉDIA (1,30 M DO PISO), PVC, INSTALADA EM PAREDE - FORNECIMENTO E INSTALAÇÃO. AF_03/2023</v>
      </c>
      <c r="E677" s="15" t="str">
        <f>VLOOKUP(B677,S!$A:$G,4,FALSE)</f>
        <v>UN</v>
      </c>
      <c r="F677" s="15"/>
      <c r="G677" s="73">
        <f>I682</f>
        <v>17.66</v>
      </c>
      <c r="H677" s="74"/>
      <c r="I677" s="73"/>
      <c r="J677" s="74"/>
      <c r="K677" s="16">
        <f>VLOOKUP(B677,S!A:G,5,FALSE)</f>
        <v>17.66</v>
      </c>
      <c r="L677" s="15" t="str">
        <f>IF(K677=G677,"OK, CONFORME TABELA",IF(G677&gt;K677,"ACIMA DA TABELA: ","ABAIXO DA TABELA: ")&amp;TRUNC((G677*100)/K677,2)&amp;" %")</f>
        <v>OK, CONFORME TABELA</v>
      </c>
    </row>
    <row r="678" spans="1:18" ht="45" customHeight="1" x14ac:dyDescent="0.3">
      <c r="A678" s="23" t="s">
        <v>1022</v>
      </c>
      <c r="B678" s="23">
        <v>88629</v>
      </c>
      <c r="C678" s="23" t="str">
        <f>VLOOKUP(B678,IF(A678="COMPOSICAO",S!$A:$E,I!$A:$E),2,FALSE)</f>
        <v>SINAPI</v>
      </c>
      <c r="D678" s="24" t="str">
        <f>VLOOKUP(B678,IF(A678="COMPOSICAO",S!$A:$E,I!$A:$E),3,FALSE)</f>
        <v>ARGAMASSA TRAÇO 1:3 (EM VOLUME DE CIMENTO E AREIA MÉDIA ÚMIDA), PREPARO MANUAL. AF_08/2019</v>
      </c>
      <c r="E678" s="23" t="str">
        <f>VLOOKUP(B678,IF(A678="COMPOSICAO",S!$A:$E,I!$A:$E),4,FALSE)</f>
        <v>M3</v>
      </c>
      <c r="F678" s="23">
        <v>8.9999999999999998E-4</v>
      </c>
      <c r="G678" s="71">
        <f>IF(A678="COMPOSICAO",VLOOKUP("TOTAL SEM BDI - "&amp;B678,CPUAUX2!$A:$J,9,FALSE),VLOOKUP(B678,I!$A:$E,5,FALSE))</f>
        <v>770.66</v>
      </c>
      <c r="H678" s="72"/>
      <c r="I678" s="71">
        <f>TRUNC(F678*G678,2)</f>
        <v>0.69</v>
      </c>
      <c r="J678" s="72"/>
      <c r="M678" s="23">
        <f>B678</f>
        <v>88629</v>
      </c>
      <c r="N678" s="23">
        <f>SUMIF(CPU!M:M,B677,CPU!O:O)</f>
        <v>5</v>
      </c>
      <c r="O678" s="23">
        <f>F678*N678</f>
        <v>4.4999999999999997E-3</v>
      </c>
      <c r="Q678" s="23">
        <f ca="1">SUMIF(CPU!M:M,B677,CPU!R:R)</f>
        <v>2</v>
      </c>
      <c r="R678" s="23">
        <f ca="1">F678*Q678</f>
        <v>1.8E-3</v>
      </c>
    </row>
    <row r="679" spans="1:18" x14ac:dyDescent="0.3">
      <c r="A679" s="23" t="s">
        <v>1022</v>
      </c>
      <c r="B679" s="23">
        <v>88264</v>
      </c>
      <c r="C679" s="23" t="str">
        <f>VLOOKUP(B679,IF(A679="COMPOSICAO",S!$A:$E,I!$A:$E),2,FALSE)</f>
        <v>SINAPI</v>
      </c>
      <c r="D679" s="24" t="str">
        <f>VLOOKUP(B679,IF(A679="COMPOSICAO",S!$A:$E,I!$A:$E),3,FALSE)</f>
        <v>ELETRICISTA COM ENCARGOS COMPLEMENTARES</v>
      </c>
      <c r="E679" s="23" t="str">
        <f>VLOOKUP(B679,IF(A679="COMPOSICAO",S!$A:$E,I!$A:$E),4,FALSE)</f>
        <v>H</v>
      </c>
      <c r="F679" s="23">
        <f>0.291/pcf</f>
        <v>0.29099999999999998</v>
      </c>
      <c r="G679" s="71">
        <f>IF(A679="COMPOSICAO",VLOOKUP("TOTAL SEM BDI - "&amp;B679,CPUAUX2!$A:$J,9,FALSE),VLOOKUP(B679,I!$A:$E,5,FALSE))</f>
        <v>27.74</v>
      </c>
      <c r="H679" s="72"/>
      <c r="I679" s="71">
        <f>TRUNC(F679*G679,2)</f>
        <v>8.07</v>
      </c>
      <c r="J679" s="72"/>
      <c r="M679" s="23">
        <f>B679</f>
        <v>88264</v>
      </c>
      <c r="N679" s="23">
        <f>SUMIF(CPU!M:M,B677,CPU!O:O)</f>
        <v>5</v>
      </c>
      <c r="O679" s="23">
        <f>F679*N679</f>
        <v>1.4549999999999998</v>
      </c>
      <c r="Q679" s="23">
        <f ca="1">SUMIF(CPU!M:M,B677,CPU!R:R)</f>
        <v>2</v>
      </c>
      <c r="R679" s="23">
        <f ca="1">F679*Q679</f>
        <v>0.58199999999999996</v>
      </c>
    </row>
    <row r="680" spans="1:18" ht="30" customHeight="1" x14ac:dyDescent="0.3">
      <c r="A680" s="23" t="s">
        <v>1022</v>
      </c>
      <c r="B680" s="23">
        <v>88247</v>
      </c>
      <c r="C680" s="23" t="str">
        <f>VLOOKUP(B680,IF(A680="COMPOSICAO",S!$A:$E,I!$A:$E),2,FALSE)</f>
        <v>SINAPI</v>
      </c>
      <c r="D680" s="24" t="str">
        <f>VLOOKUP(B680,IF(A680="COMPOSICAO",S!$A:$E,I!$A:$E),3,FALSE)</f>
        <v>AUXILIAR DE ELETRICISTA COM ENCARGOS COMPLEMENTARES</v>
      </c>
      <c r="E680" s="23" t="str">
        <f>VLOOKUP(B680,IF(A680="COMPOSICAO",S!$A:$E,I!$A:$E),4,FALSE)</f>
        <v>H</v>
      </c>
      <c r="F680" s="23">
        <f>0.291/pcf</f>
        <v>0.29099999999999998</v>
      </c>
      <c r="G680" s="71">
        <f>IF(A680="COMPOSICAO",VLOOKUP("TOTAL SEM BDI - "&amp;B680,CPUAUX2!$A:$J,9,FALSE),VLOOKUP(B680,I!$A:$E,5,FALSE))</f>
        <v>22.810000000000002</v>
      </c>
      <c r="H680" s="72"/>
      <c r="I680" s="71">
        <f>TRUNC(F680*G680,2)</f>
        <v>6.63</v>
      </c>
      <c r="J680" s="72"/>
      <c r="M680" s="23">
        <f>B680</f>
        <v>88247</v>
      </c>
      <c r="N680" s="23">
        <f>SUMIF(CPU!M:M,B677,CPU!O:O)</f>
        <v>5</v>
      </c>
      <c r="O680" s="23">
        <f>F680*N680</f>
        <v>1.4549999999999998</v>
      </c>
      <c r="Q680" s="23">
        <f ca="1">SUMIF(CPU!M:M,B677,CPU!R:R)</f>
        <v>2</v>
      </c>
      <c r="R680" s="23">
        <f ca="1">F680*Q680</f>
        <v>0.58199999999999996</v>
      </c>
    </row>
    <row r="681" spans="1:18" ht="30" customHeight="1" x14ac:dyDescent="0.3">
      <c r="A681" s="23" t="s">
        <v>1025</v>
      </c>
      <c r="B681" s="23">
        <v>1872</v>
      </c>
      <c r="C681" s="23" t="str">
        <f>VLOOKUP(B681,IF(A681="COMPOSICAO",S!$A:$E,I!$A:$E),2,FALSE)</f>
        <v>SINAPI</v>
      </c>
      <c r="D681" s="24" t="str">
        <f>VLOOKUP(B681,IF(A681="COMPOSICAO",S!$A:$E,I!$A:$E),3,FALSE)</f>
        <v>CAIXA DE PASSAGEM, EM PVC, DE 4" X 2", PARA ELETRODUTO FLEXIVEL CORRUGADO</v>
      </c>
      <c r="E681" s="23" t="str">
        <f>VLOOKUP(B681,IF(A681="COMPOSICAO",S!$A:$E,I!$A:$E),4,FALSE)</f>
        <v>UN</v>
      </c>
      <c r="F681" s="23">
        <v>1</v>
      </c>
      <c r="G681" s="71">
        <f>IF(A681="COMPOSICAO",VLOOKUP("TOTAL SEM BDI - "&amp;B681,CPUAUX2!$A:$J,9,FALSE),VLOOKUP(B681,I!$A:$E,5,FALSE))</f>
        <v>2.27</v>
      </c>
      <c r="H681" s="72"/>
      <c r="I681" s="71">
        <f>TRUNC(F681*G681,2)</f>
        <v>2.27</v>
      </c>
      <c r="J681" s="72"/>
      <c r="M681" s="23">
        <f>B681</f>
        <v>1872</v>
      </c>
      <c r="N681" s="23">
        <f>SUMIF(CPU!M:M,B677,CPU!O:O)</f>
        <v>5</v>
      </c>
      <c r="O681" s="23">
        <f>F681*N681</f>
        <v>5</v>
      </c>
      <c r="Q681" s="23">
        <f ca="1">SUMIF(CPU!M:M,B677,CPU!R:R)</f>
        <v>2</v>
      </c>
      <c r="R681" s="23">
        <f ca="1">F681*Q681</f>
        <v>2</v>
      </c>
    </row>
    <row r="682" spans="1:18" x14ac:dyDescent="0.3">
      <c r="A682" s="68" t="str">
        <f>"TOTAL SEM BDI - "&amp;B677</f>
        <v>TOTAL SEM BDI - 91940</v>
      </c>
      <c r="B682" s="69"/>
      <c r="C682" s="69"/>
      <c r="D682" s="69"/>
      <c r="E682" s="69"/>
      <c r="F682" s="69"/>
      <c r="G682" s="69"/>
      <c r="H682" s="70"/>
      <c r="I682" s="71">
        <f>SUM(I677:I681)</f>
        <v>17.66</v>
      </c>
      <c r="J682" s="72"/>
    </row>
    <row r="684" spans="1:18" x14ac:dyDescent="0.3">
      <c r="A684" s="4" t="s">
        <v>1018</v>
      </c>
      <c r="B684" s="4" t="s">
        <v>138</v>
      </c>
      <c r="C684" s="4" t="s">
        <v>139</v>
      </c>
      <c r="D684" s="4" t="s">
        <v>21</v>
      </c>
      <c r="E684" s="4" t="s">
        <v>140</v>
      </c>
      <c r="F684" s="4" t="s">
        <v>506</v>
      </c>
      <c r="G684" s="34" t="s">
        <v>1019</v>
      </c>
      <c r="H684" s="35"/>
      <c r="I684" s="34" t="s">
        <v>15</v>
      </c>
      <c r="J684" s="35"/>
    </row>
    <row r="685" spans="1:18" ht="45" customHeight="1" x14ac:dyDescent="0.3">
      <c r="A685" s="15" t="s">
        <v>1078</v>
      </c>
      <c r="B685" s="15">
        <v>92023</v>
      </c>
      <c r="C685" s="15" t="str">
        <f>VLOOKUP(B685,S!$A:$G,2,FALSE)</f>
        <v>SINAPI</v>
      </c>
      <c r="D685" s="22" t="str">
        <f>VLOOKUP(B685,S!$A:$G,3,FALSE)</f>
        <v>INTERRUPTOR SIMPLES (1 MÓDULO) COM 1 TOMADA DE EMBUTIR 2P+T 10 A, INCLUINDO SUPORTE E PLACA - FORNECIMENTO E INSTALAÇÃO. AF_03/2023</v>
      </c>
      <c r="E685" s="15" t="str">
        <f>VLOOKUP(B685,S!$A:$G,4,FALSE)</f>
        <v>UN</v>
      </c>
      <c r="F685" s="15"/>
      <c r="G685" s="73">
        <f>I688</f>
        <v>53.71</v>
      </c>
      <c r="H685" s="74"/>
      <c r="I685" s="73"/>
      <c r="J685" s="74"/>
      <c r="K685" s="16">
        <f>VLOOKUP(B685,S!A:G,5,FALSE)</f>
        <v>53.71</v>
      </c>
      <c r="L685" s="15" t="str">
        <f>IF(K685=G685,"OK, CONFORME TABELA",IF(G685&gt;K685,"ACIMA DA TABELA: ","ABAIXO DA TABELA: ")&amp;TRUNC((G685*100)/K685,2)&amp;" %")</f>
        <v>OK, CONFORME TABELA</v>
      </c>
    </row>
    <row r="686" spans="1:18" ht="45" customHeight="1" x14ac:dyDescent="0.3">
      <c r="A686" s="23" t="s">
        <v>1022</v>
      </c>
      <c r="B686" s="23">
        <v>92022</v>
      </c>
      <c r="C686" s="23" t="str">
        <f>VLOOKUP(B686,IF(A686="COMPOSICAO",S!$A:$E,I!$A:$E),2,FALSE)</f>
        <v>SINAPI</v>
      </c>
      <c r="D686" s="24" t="str">
        <f>VLOOKUP(B686,IF(A686="COMPOSICAO",S!$A:$E,I!$A:$E),3,FALSE)</f>
        <v>INTERRUPTOR SIMPLES (1 MÓDULO) COM 1 TOMADA DE EMBUTIR 2P+T 10 A, SEM SUPORTE E SEM PLACA - FORNECIMENTO E INSTALAÇÃO. AF_03/2023</v>
      </c>
      <c r="E686" s="23" t="str">
        <f>VLOOKUP(B686,IF(A686="COMPOSICAO",S!$A:$E,I!$A:$E),4,FALSE)</f>
        <v>UN</v>
      </c>
      <c r="F686" s="23">
        <v>1</v>
      </c>
      <c r="G686" s="71">
        <f>IF(A686="COMPOSICAO",VLOOKUP("TOTAL SEM BDI - "&amp;B686,CPUAUX2!$A:$J,9,FALSE),VLOOKUP(B686,I!$A:$E,5,FALSE))</f>
        <v>42</v>
      </c>
      <c r="H686" s="72"/>
      <c r="I686" s="71">
        <f>TRUNC(F686*G686,2)</f>
        <v>42</v>
      </c>
      <c r="J686" s="72"/>
      <c r="M686" s="23">
        <f>B686</f>
        <v>92022</v>
      </c>
      <c r="N686" s="23">
        <f>SUMIF(CPU!M:M,B685,CPU!O:O)</f>
        <v>5</v>
      </c>
      <c r="O686" s="23">
        <f>F686*N686</f>
        <v>5</v>
      </c>
      <c r="Q686" s="23">
        <f ca="1">SUMIF(CPU!M:M,B685,CPU!R:R)</f>
        <v>2</v>
      </c>
      <c r="R686" s="23">
        <f ca="1">F686*Q686</f>
        <v>2</v>
      </c>
    </row>
    <row r="687" spans="1:18" ht="45" customHeight="1" x14ac:dyDescent="0.3">
      <c r="A687" s="23" t="s">
        <v>1022</v>
      </c>
      <c r="B687" s="23">
        <v>91946</v>
      </c>
      <c r="C687" s="23" t="str">
        <f>VLOOKUP(B687,IF(A687="COMPOSICAO",S!$A:$E,I!$A:$E),2,FALSE)</f>
        <v>SINAPI</v>
      </c>
      <c r="D687" s="24" t="str">
        <f>VLOOKUP(B687,IF(A687="COMPOSICAO",S!$A:$E,I!$A:$E),3,FALSE)</f>
        <v>SUPORTE PARAFUSADO COM PLACA DE ENCAIXE 4" X 2" MÉDIO (1,30 M DO PISO) PARA PONTO ELÉTRICO - FORNECIMENTO E INSTALAÇÃO. AF_03/2023</v>
      </c>
      <c r="E687" s="23" t="str">
        <f>VLOOKUP(B687,IF(A687="COMPOSICAO",S!$A:$E,I!$A:$E),4,FALSE)</f>
        <v>UN</v>
      </c>
      <c r="F687" s="23">
        <v>1</v>
      </c>
      <c r="G687" s="71">
        <f>IF(A687="COMPOSICAO",VLOOKUP("TOTAL SEM BDI - "&amp;B687,CPUAUX2!$A:$J,9,FALSE),VLOOKUP(B687,I!$A:$E,5,FALSE))</f>
        <v>11.71</v>
      </c>
      <c r="H687" s="72"/>
      <c r="I687" s="71">
        <f>TRUNC(F687*G687,2)</f>
        <v>11.71</v>
      </c>
      <c r="J687" s="72"/>
      <c r="M687" s="23">
        <f>B687</f>
        <v>91946</v>
      </c>
      <c r="N687" s="23">
        <f>SUMIF(CPU!M:M,B685,CPU!O:O)</f>
        <v>5</v>
      </c>
      <c r="O687" s="23">
        <f>F687*N687</f>
        <v>5</v>
      </c>
      <c r="Q687" s="23">
        <f ca="1">SUMIF(CPU!M:M,B685,CPU!R:R)</f>
        <v>2</v>
      </c>
      <c r="R687" s="23">
        <f ca="1">F687*Q687</f>
        <v>2</v>
      </c>
    </row>
    <row r="688" spans="1:18" x14ac:dyDescent="0.3">
      <c r="A688" s="68" t="str">
        <f>"TOTAL SEM BDI - "&amp;B685</f>
        <v>TOTAL SEM BDI - 92023</v>
      </c>
      <c r="B688" s="69"/>
      <c r="C688" s="69"/>
      <c r="D688" s="69"/>
      <c r="E688" s="69"/>
      <c r="F688" s="69"/>
      <c r="G688" s="69"/>
      <c r="H688" s="70"/>
      <c r="I688" s="71">
        <f>SUM(I685:I687)</f>
        <v>53.71</v>
      </c>
      <c r="J688" s="72"/>
    </row>
    <row r="690" spans="1:18" x14ac:dyDescent="0.3">
      <c r="A690" s="4" t="s">
        <v>1018</v>
      </c>
      <c r="B690" s="4" t="s">
        <v>138</v>
      </c>
      <c r="C690" s="4" t="s">
        <v>139</v>
      </c>
      <c r="D690" s="4" t="s">
        <v>21</v>
      </c>
      <c r="E690" s="4" t="s">
        <v>140</v>
      </c>
      <c r="F690" s="4" t="s">
        <v>506</v>
      </c>
      <c r="G690" s="34" t="s">
        <v>1019</v>
      </c>
      <c r="H690" s="35"/>
      <c r="I690" s="34" t="s">
        <v>15</v>
      </c>
      <c r="J690" s="35"/>
    </row>
    <row r="691" spans="1:18" ht="30" customHeight="1" x14ac:dyDescent="0.3">
      <c r="A691" s="15" t="s">
        <v>516</v>
      </c>
      <c r="B691" s="15" t="s">
        <v>1081</v>
      </c>
      <c r="C691" s="15" t="str">
        <f>VLOOKUP(B691,S!$A:$G,2,FALSE)</f>
        <v>SEINFRA</v>
      </c>
      <c r="D691" s="22" t="str">
        <f>VLOOKUP(B691,S!$A:$G,3,FALSE)</f>
        <v>CONCRETO P/VIBR., FCK 10 MPa COM AGREGADO ADQUIRIDO</v>
      </c>
      <c r="E691" s="15" t="str">
        <f>VLOOKUP(B691,S!$A:$G,4,FALSE)</f>
        <v>M3</v>
      </c>
      <c r="F691" s="15"/>
      <c r="G691" s="73">
        <f>I697</f>
        <v>482.47</v>
      </c>
      <c r="H691" s="74"/>
      <c r="I691" s="73"/>
      <c r="J691" s="74"/>
      <c r="K691" s="16">
        <f>VLOOKUP(B691,S!A:G,5,FALSE)</f>
        <v>482.49</v>
      </c>
      <c r="L691" s="15" t="str">
        <f>IF(K691=G691,"OK, CONFORME TABELA",IF(G691&gt;K691,"ACIMA DA TABELA: ","ABAIXO DA TABELA: ")&amp;TRUNC((G691*100)/K691,2)&amp;" %")</f>
        <v>ABAIXO DA TABELA: 99,99 %</v>
      </c>
    </row>
    <row r="692" spans="1:18" x14ac:dyDescent="0.3">
      <c r="A692" s="23" t="s">
        <v>1025</v>
      </c>
      <c r="B692" s="23" t="s">
        <v>1122</v>
      </c>
      <c r="C692" s="23" t="str">
        <f>VLOOKUP(B692,IF(A692="COMPOSICAO",S!$A:$E,I!$A:$E),2,FALSE)</f>
        <v>SEINFRA</v>
      </c>
      <c r="D692" s="24" t="str">
        <f>VLOOKUP(B692,IF(A692="COMPOSICAO",S!$A:$E,I!$A:$E),3,FALSE)</f>
        <v>BETONEIRA ELÉTRICA 580L (CHP)</v>
      </c>
      <c r="E692" s="23" t="str">
        <f>VLOOKUP(B692,IF(A692="COMPOSICAO",S!$A:$E,I!$A:$E),4,FALSE)</f>
        <v>H</v>
      </c>
      <c r="F692" s="23">
        <f>0.714/pcf</f>
        <v>0.71399999999999997</v>
      </c>
      <c r="G692" s="71">
        <f>IF(A692="COMPOSICAO",VLOOKUP("TOTAL SEM BDI - "&amp;B692,CPUAUX2!$A:$J,9,FALSE),VLOOKUP(B692,I!$A:$E,5,FALSE))</f>
        <v>27.6</v>
      </c>
      <c r="H692" s="72"/>
      <c r="I692" s="71">
        <f>TRUNC(F692*G692,2)</f>
        <v>19.7</v>
      </c>
      <c r="J692" s="72"/>
      <c r="M692" s="23" t="str">
        <f>B692</f>
        <v>I0682</v>
      </c>
      <c r="N692" s="23">
        <f>SUMIF(CPU!M:M,B691,CPU!O:O)</f>
        <v>1.3</v>
      </c>
      <c r="O692" s="23">
        <f>F692*N692</f>
        <v>0.92820000000000003</v>
      </c>
      <c r="Q692" s="23">
        <f ca="1">SUMIF(CPU!M:M,B691,CPU!R:R)</f>
        <v>0.52</v>
      </c>
      <c r="R692" s="23">
        <f ca="1">F692*Q692</f>
        <v>0.37128</v>
      </c>
    </row>
    <row r="693" spans="1:18" x14ac:dyDescent="0.3">
      <c r="A693" s="23" t="s">
        <v>1025</v>
      </c>
      <c r="B693" s="23" t="s">
        <v>1066</v>
      </c>
      <c r="C693" s="23" t="str">
        <f>VLOOKUP(B693,IF(A693="COMPOSICAO",S!$A:$E,I!$A:$E),2,FALSE)</f>
        <v>SEINFRA</v>
      </c>
      <c r="D693" s="24" t="str">
        <f>VLOOKUP(B693,IF(A693="COMPOSICAO",S!$A:$E,I!$A:$E),3,FALSE)</f>
        <v>SERVENTE</v>
      </c>
      <c r="E693" s="23" t="str">
        <f>VLOOKUP(B693,IF(A693="COMPOSICAO",S!$A:$E,I!$A:$E),4,FALSE)</f>
        <v>H</v>
      </c>
      <c r="F693" s="23">
        <f>6/pcf</f>
        <v>6</v>
      </c>
      <c r="G693" s="71">
        <f>IF(A693="COMPOSICAO",VLOOKUP("TOTAL SEM BDI - "&amp;B693,CPUAUX2!$A:$J,9,FALSE),VLOOKUP(B693,I!$A:$E,5,FALSE))</f>
        <v>20.260000000000002</v>
      </c>
      <c r="H693" s="72"/>
      <c r="I693" s="71">
        <f>TRUNC(F693*G693,2)</f>
        <v>121.56</v>
      </c>
      <c r="J693" s="72"/>
      <c r="M693" s="23" t="str">
        <f>B693</f>
        <v>I2543</v>
      </c>
      <c r="N693" s="23">
        <f>SUMIF(CPU!M:M,B691,CPU!O:O)</f>
        <v>1.3</v>
      </c>
      <c r="O693" s="23">
        <f>F693*N693</f>
        <v>7.8000000000000007</v>
      </c>
      <c r="Q693" s="23">
        <f ca="1">SUMIF(CPU!M:M,B691,CPU!R:R)</f>
        <v>0.52</v>
      </c>
      <c r="R693" s="23">
        <f ca="1">F693*Q693</f>
        <v>3.12</v>
      </c>
    </row>
    <row r="694" spans="1:18" x14ac:dyDescent="0.3">
      <c r="A694" s="23" t="s">
        <v>1025</v>
      </c>
      <c r="B694" s="23" t="s">
        <v>1123</v>
      </c>
      <c r="C694" s="23" t="str">
        <f>VLOOKUP(B694,IF(A694="COMPOSICAO",S!$A:$E,I!$A:$E),2,FALSE)</f>
        <v>SEINFRA</v>
      </c>
      <c r="D694" s="24" t="str">
        <f>VLOOKUP(B694,IF(A694="COMPOSICAO",S!$A:$E,I!$A:$E),3,FALSE)</f>
        <v>AREIA MEDIA</v>
      </c>
      <c r="E694" s="23" t="str">
        <f>VLOOKUP(B694,IF(A694="COMPOSICAO",S!$A:$E,I!$A:$E),4,FALSE)</f>
        <v>M3</v>
      </c>
      <c r="F694" s="23">
        <v>0.91969999999999996</v>
      </c>
      <c r="G694" s="71">
        <f>IF(A694="COMPOSICAO",VLOOKUP("TOTAL SEM BDI - "&amp;B694,CPUAUX2!$A:$J,9,FALSE),VLOOKUP(B694,I!$A:$E,5,FALSE))</f>
        <v>83.58</v>
      </c>
      <c r="H694" s="72"/>
      <c r="I694" s="71">
        <f>TRUNC(F694*G694,2)</f>
        <v>76.86</v>
      </c>
      <c r="J694" s="72"/>
      <c r="M694" s="23" t="str">
        <f>B694</f>
        <v>I0109</v>
      </c>
      <c r="N694" s="23">
        <f>SUMIF(CPU!M:M,B691,CPU!O:O)</f>
        <v>1.3</v>
      </c>
      <c r="O694" s="23">
        <f>F694*N694</f>
        <v>1.1956100000000001</v>
      </c>
      <c r="Q694" s="23">
        <f ca="1">SUMIF(CPU!M:M,B691,CPU!R:R)</f>
        <v>0.52</v>
      </c>
      <c r="R694" s="23">
        <f ca="1">F694*Q694</f>
        <v>0.478244</v>
      </c>
    </row>
    <row r="695" spans="1:18" x14ac:dyDescent="0.3">
      <c r="A695" s="23" t="s">
        <v>1025</v>
      </c>
      <c r="B695" s="23" t="s">
        <v>1068</v>
      </c>
      <c r="C695" s="23" t="str">
        <f>VLOOKUP(B695,IF(A695="COMPOSICAO",S!$A:$E,I!$A:$E),2,FALSE)</f>
        <v>SEINFRA</v>
      </c>
      <c r="D695" s="24" t="str">
        <f>VLOOKUP(B695,IF(A695="COMPOSICAO",S!$A:$E,I!$A:$E),3,FALSE)</f>
        <v>CIMENTO PORTLAND</v>
      </c>
      <c r="E695" s="23" t="str">
        <f>VLOOKUP(B695,IF(A695="COMPOSICAO",S!$A:$E,I!$A:$E),4,FALSE)</f>
        <v>KG</v>
      </c>
      <c r="F695" s="23">
        <v>254</v>
      </c>
      <c r="G695" s="71">
        <f>IF(A695="COMPOSICAO",VLOOKUP("TOTAL SEM BDI - "&amp;B695,CPUAUX2!$A:$J,9,FALSE),VLOOKUP(B695,I!$A:$E,5,FALSE))</f>
        <v>0.71</v>
      </c>
      <c r="H695" s="72"/>
      <c r="I695" s="71">
        <f>TRUNC(F695*G695,2)</f>
        <v>180.34</v>
      </c>
      <c r="J695" s="72"/>
      <c r="M695" s="23" t="str">
        <f>B695</f>
        <v>I0805</v>
      </c>
      <c r="N695" s="23">
        <f>SUMIF(CPU!M:M,B691,CPU!O:O)</f>
        <v>1.3</v>
      </c>
      <c r="O695" s="23">
        <f>F695*N695</f>
        <v>330.2</v>
      </c>
      <c r="Q695" s="23">
        <f ca="1">SUMIF(CPU!M:M,B691,CPU!R:R)</f>
        <v>0.52</v>
      </c>
      <c r="R695" s="23">
        <f ca="1">F695*Q695</f>
        <v>132.08000000000001</v>
      </c>
    </row>
    <row r="696" spans="1:18" x14ac:dyDescent="0.3">
      <c r="A696" s="23" t="s">
        <v>1025</v>
      </c>
      <c r="B696" s="23" t="s">
        <v>1124</v>
      </c>
      <c r="C696" s="23" t="str">
        <f>VLOOKUP(B696,IF(A696="COMPOSICAO",S!$A:$E,I!$A:$E),2,FALSE)</f>
        <v>SEINFRA</v>
      </c>
      <c r="D696" s="24" t="str">
        <f>VLOOKUP(B696,IF(A696="COMPOSICAO",S!$A:$E,I!$A:$E),3,FALSE)</f>
        <v>PEDRISCO</v>
      </c>
      <c r="E696" s="23" t="str">
        <f>VLOOKUP(B696,IF(A696="COMPOSICAO",S!$A:$E,I!$A:$E),4,FALSE)</f>
        <v>M3</v>
      </c>
      <c r="F696" s="23">
        <v>0.83599999999999997</v>
      </c>
      <c r="G696" s="71">
        <f>IF(A696="COMPOSICAO",VLOOKUP("TOTAL SEM BDI - "&amp;B696,CPUAUX2!$A:$J,9,FALSE),VLOOKUP(B696,I!$A:$E,5,FALSE))</f>
        <v>100.5</v>
      </c>
      <c r="H696" s="72"/>
      <c r="I696" s="71">
        <f>TRUNC(F696*G696,2)</f>
        <v>84.01</v>
      </c>
      <c r="J696" s="72"/>
      <c r="M696" s="23" t="str">
        <f>B696</f>
        <v>I1605</v>
      </c>
      <c r="N696" s="23">
        <f>SUMIF(CPU!M:M,B691,CPU!O:O)</f>
        <v>1.3</v>
      </c>
      <c r="O696" s="23">
        <f>F696*N696</f>
        <v>1.0868</v>
      </c>
      <c r="Q696" s="23">
        <f ca="1">SUMIF(CPU!M:M,B691,CPU!R:R)</f>
        <v>0.52</v>
      </c>
      <c r="R696" s="23">
        <f ca="1">F696*Q696</f>
        <v>0.43472</v>
      </c>
    </row>
    <row r="697" spans="1:18" x14ac:dyDescent="0.3">
      <c r="A697" s="68" t="str">
        <f>"TOTAL SEM BDI - "&amp;B691</f>
        <v>TOTAL SEM BDI - C0838</v>
      </c>
      <c r="B697" s="69"/>
      <c r="C697" s="69"/>
      <c r="D697" s="69"/>
      <c r="E697" s="69"/>
      <c r="F697" s="69"/>
      <c r="G697" s="69"/>
      <c r="H697" s="70"/>
      <c r="I697" s="71">
        <f>SUM(I691:I696)</f>
        <v>482.47</v>
      </c>
      <c r="J697" s="72"/>
    </row>
    <row r="699" spans="1:18" x14ac:dyDescent="0.3">
      <c r="A699" s="4" t="s">
        <v>1018</v>
      </c>
      <c r="B699" s="4" t="s">
        <v>138</v>
      </c>
      <c r="C699" s="4" t="s">
        <v>139</v>
      </c>
      <c r="D699" s="4" t="s">
        <v>21</v>
      </c>
      <c r="E699" s="4" t="s">
        <v>140</v>
      </c>
      <c r="F699" s="4" t="s">
        <v>506</v>
      </c>
      <c r="G699" s="34" t="s">
        <v>1019</v>
      </c>
      <c r="H699" s="35"/>
      <c r="I699" s="34" t="s">
        <v>15</v>
      </c>
      <c r="J699" s="35"/>
    </row>
    <row r="700" spans="1:18" ht="30" customHeight="1" x14ac:dyDescent="0.3">
      <c r="A700" s="15" t="s">
        <v>516</v>
      </c>
      <c r="B700" s="15" t="s">
        <v>1082</v>
      </c>
      <c r="C700" s="15" t="str">
        <f>VLOOKUP(B700,S!$A:$G,2,FALSE)</f>
        <v>SEINFRA</v>
      </c>
      <c r="D700" s="22" t="str">
        <f>VLOOKUP(B700,S!$A:$G,3,FALSE)</f>
        <v>FORMA DE TÁBUAS DE 1" DE 3A. P/FUNDAÇÕES UTIL. 5 X</v>
      </c>
      <c r="E700" s="15" t="str">
        <f>VLOOKUP(B700,S!$A:$G,4,FALSE)</f>
        <v>M2</v>
      </c>
      <c r="F700" s="15"/>
      <c r="G700" s="73">
        <f>I707</f>
        <v>83.639999999999986</v>
      </c>
      <c r="H700" s="74"/>
      <c r="I700" s="73"/>
      <c r="J700" s="74"/>
      <c r="K700" s="16">
        <f>VLOOKUP(B700,S!A:G,5,FALSE)</f>
        <v>83.65</v>
      </c>
      <c r="L700" s="15" t="str">
        <f>IF(K700=G700,"OK, CONFORME TABELA",IF(G700&gt;K700,"ACIMA DA TABELA: ","ABAIXO DA TABELA: ")&amp;TRUNC((G700*100)/K700,2)&amp;" %")</f>
        <v>ABAIXO DA TABELA: 99,98 %</v>
      </c>
    </row>
    <row r="701" spans="1:18" x14ac:dyDescent="0.3">
      <c r="A701" s="23" t="s">
        <v>1025</v>
      </c>
      <c r="B701" s="23" t="s">
        <v>1125</v>
      </c>
      <c r="C701" s="23" t="str">
        <f>VLOOKUP(B701,IF(A701="COMPOSICAO",S!$A:$E,I!$A:$E),2,FALSE)</f>
        <v>SEINFRA</v>
      </c>
      <c r="D701" s="24" t="str">
        <f>VLOOKUP(B701,IF(A701="COMPOSICAO",S!$A:$E,I!$A:$E),3,FALSE)</f>
        <v>AJUDANTE DE CARPINTEIRO</v>
      </c>
      <c r="E701" s="23" t="str">
        <f>VLOOKUP(B701,IF(A701="COMPOSICAO",S!$A:$E,I!$A:$E),4,FALSE)</f>
        <v>H</v>
      </c>
      <c r="F701" s="23">
        <f>1.3/pcf</f>
        <v>1.3</v>
      </c>
      <c r="G701" s="71">
        <f>IF(A701="COMPOSICAO",VLOOKUP("TOTAL SEM BDI - "&amp;B701,CPUAUX2!$A:$J,9,FALSE),VLOOKUP(B701,I!$A:$E,5,FALSE))</f>
        <v>21.1</v>
      </c>
      <c r="H701" s="72"/>
      <c r="I701" s="71">
        <f t="shared" ref="I701:I706" si="124">TRUNC(F701*G701,2)</f>
        <v>27.43</v>
      </c>
      <c r="J701" s="72"/>
      <c r="M701" s="23" t="str">
        <f t="shared" ref="M701:M706" si="125">B701</f>
        <v>I0041</v>
      </c>
      <c r="N701" s="23">
        <f>SUMIF(CPU!M:M,B700,CPU!O:O)</f>
        <v>5.2</v>
      </c>
      <c r="O701" s="23">
        <f t="shared" ref="O701:O706" si="126">F701*N701</f>
        <v>6.7600000000000007</v>
      </c>
      <c r="Q701" s="23">
        <f ca="1">SUMIF(CPU!M:M,B700,CPU!R:R)</f>
        <v>2.08</v>
      </c>
      <c r="R701" s="23">
        <f t="shared" ref="R701:R706" ca="1" si="127">F701*Q701</f>
        <v>2.7040000000000002</v>
      </c>
    </row>
    <row r="702" spans="1:18" x14ac:dyDescent="0.3">
      <c r="A702" s="23" t="s">
        <v>1025</v>
      </c>
      <c r="B702" s="23" t="s">
        <v>1126</v>
      </c>
      <c r="C702" s="23" t="str">
        <f>VLOOKUP(B702,IF(A702="COMPOSICAO",S!$A:$E,I!$A:$E),2,FALSE)</f>
        <v>SEINFRA</v>
      </c>
      <c r="D702" s="24" t="str">
        <f>VLOOKUP(B702,IF(A702="COMPOSICAO",S!$A:$E,I!$A:$E),3,FALSE)</f>
        <v>CARPINTEIRO</v>
      </c>
      <c r="E702" s="23" t="str">
        <f>VLOOKUP(B702,IF(A702="COMPOSICAO",S!$A:$E,I!$A:$E),4,FALSE)</f>
        <v>H</v>
      </c>
      <c r="F702" s="23">
        <f>1.3/pcf</f>
        <v>1.3</v>
      </c>
      <c r="G702" s="71">
        <f>IF(A702="COMPOSICAO",VLOOKUP("TOTAL SEM BDI - "&amp;B702,CPUAUX2!$A:$J,9,FALSE),VLOOKUP(B702,I!$A:$E,5,FALSE))</f>
        <v>26.86</v>
      </c>
      <c r="H702" s="72"/>
      <c r="I702" s="71">
        <f t="shared" si="124"/>
        <v>34.909999999999997</v>
      </c>
      <c r="J702" s="72"/>
      <c r="M702" s="23" t="str">
        <f t="shared" si="125"/>
        <v>I0498</v>
      </c>
      <c r="N702" s="23">
        <f>SUMIF(CPU!M:M,B700,CPU!O:O)</f>
        <v>5.2</v>
      </c>
      <c r="O702" s="23">
        <f t="shared" si="126"/>
        <v>6.7600000000000007</v>
      </c>
      <c r="Q702" s="23">
        <f ca="1">SUMIF(CPU!M:M,B700,CPU!R:R)</f>
        <v>2.08</v>
      </c>
      <c r="R702" s="23">
        <f t="shared" ca="1" si="127"/>
        <v>2.7040000000000002</v>
      </c>
    </row>
    <row r="703" spans="1:18" x14ac:dyDescent="0.3">
      <c r="A703" s="23" t="s">
        <v>1025</v>
      </c>
      <c r="B703" s="23" t="s">
        <v>1127</v>
      </c>
      <c r="C703" s="23" t="str">
        <f>VLOOKUP(B703,IF(A703="COMPOSICAO",S!$A:$E,I!$A:$E),2,FALSE)</f>
        <v>SEINFRA</v>
      </c>
      <c r="D703" s="24" t="str">
        <f>VLOOKUP(B703,IF(A703="COMPOSICAO",S!$A:$E,I!$A:$E),3,FALSE)</f>
        <v>DESMOLDANTE PARA FORMAS</v>
      </c>
      <c r="E703" s="23" t="str">
        <f>VLOOKUP(B703,IF(A703="COMPOSICAO",S!$A:$E,I!$A:$E),4,FALSE)</f>
        <v>L</v>
      </c>
      <c r="F703" s="23">
        <v>0.4</v>
      </c>
      <c r="G703" s="71">
        <f>IF(A703="COMPOSICAO",VLOOKUP("TOTAL SEM BDI - "&amp;B703,CPUAUX2!$A:$J,9,FALSE),VLOOKUP(B703,I!$A:$E,5,FALSE))</f>
        <v>8.4499999999999993</v>
      </c>
      <c r="H703" s="72"/>
      <c r="I703" s="71">
        <f t="shared" si="124"/>
        <v>3.38</v>
      </c>
      <c r="J703" s="72"/>
      <c r="M703" s="23" t="str">
        <f t="shared" si="125"/>
        <v>I0965</v>
      </c>
      <c r="N703" s="23">
        <f>SUMIF(CPU!M:M,B700,CPU!O:O)</f>
        <v>5.2</v>
      </c>
      <c r="O703" s="23">
        <f t="shared" si="126"/>
        <v>2.08</v>
      </c>
      <c r="Q703" s="23">
        <f ca="1">SUMIF(CPU!M:M,B700,CPU!R:R)</f>
        <v>2.08</v>
      </c>
      <c r="R703" s="23">
        <f t="shared" ca="1" si="127"/>
        <v>0.83200000000000007</v>
      </c>
    </row>
    <row r="704" spans="1:18" ht="30" customHeight="1" x14ac:dyDescent="0.3">
      <c r="A704" s="23" t="s">
        <v>1025</v>
      </c>
      <c r="B704" s="23" t="s">
        <v>1128</v>
      </c>
      <c r="C704" s="23" t="str">
        <f>VLOOKUP(B704,IF(A704="COMPOSICAO",S!$A:$E,I!$A:$E),2,FALSE)</f>
        <v>SEINFRA</v>
      </c>
      <c r="D704" s="24" t="str">
        <f>VLOOKUP(B704,IF(A704="COMPOSICAO",S!$A:$E,I!$A:$E),3,FALSE)</f>
        <v>PREGO 18X27 (2.1/2" X 10) (APROXIMADAMENTE 198UN/KG)</v>
      </c>
      <c r="E704" s="23" t="str">
        <f>VLOOKUP(B704,IF(A704="COMPOSICAO",S!$A:$E,I!$A:$E),4,FALSE)</f>
        <v>KG</v>
      </c>
      <c r="F704" s="23">
        <v>0.15</v>
      </c>
      <c r="G704" s="71">
        <f>IF(A704="COMPOSICAO",VLOOKUP("TOTAL SEM BDI - "&amp;B704,CPUAUX2!$A:$J,9,FALSE),VLOOKUP(B704,I!$A:$E,5,FALSE))</f>
        <v>14.2</v>
      </c>
      <c r="H704" s="72"/>
      <c r="I704" s="71">
        <f t="shared" si="124"/>
        <v>2.13</v>
      </c>
      <c r="J704" s="72"/>
      <c r="M704" s="23" t="str">
        <f t="shared" si="125"/>
        <v>I1728</v>
      </c>
      <c r="N704" s="23">
        <f>SUMIF(CPU!M:M,B700,CPU!O:O)</f>
        <v>5.2</v>
      </c>
      <c r="O704" s="23">
        <f t="shared" si="126"/>
        <v>0.78</v>
      </c>
      <c r="Q704" s="23">
        <f ca="1">SUMIF(CPU!M:M,B700,CPU!R:R)</f>
        <v>2.08</v>
      </c>
      <c r="R704" s="23">
        <f t="shared" ca="1" si="127"/>
        <v>0.312</v>
      </c>
    </row>
    <row r="705" spans="1:18" x14ac:dyDescent="0.3">
      <c r="A705" s="23" t="s">
        <v>1025</v>
      </c>
      <c r="B705" s="23" t="s">
        <v>1129</v>
      </c>
      <c r="C705" s="23" t="str">
        <f>VLOOKUP(B705,IF(A705="COMPOSICAO",S!$A:$E,I!$A:$E),2,FALSE)</f>
        <v>SEINFRA</v>
      </c>
      <c r="D705" s="24" t="str">
        <f>VLOOKUP(B705,IF(A705="COMPOSICAO",S!$A:$E,I!$A:$E),3,FALSE)</f>
        <v>SARRAFO DE 1"X4"</v>
      </c>
      <c r="E705" s="23" t="str">
        <f>VLOOKUP(B705,IF(A705="COMPOSICAO",S!$A:$E,I!$A:$E),4,FALSE)</f>
        <v>M</v>
      </c>
      <c r="F705" s="23">
        <v>0.5</v>
      </c>
      <c r="G705" s="71">
        <f>IF(A705="COMPOSICAO",VLOOKUP("TOTAL SEM BDI - "&amp;B705,CPUAUX2!$A:$J,9,FALSE),VLOOKUP(B705,I!$A:$E,5,FALSE))</f>
        <v>6.05</v>
      </c>
      <c r="H705" s="72"/>
      <c r="I705" s="71">
        <f t="shared" si="124"/>
        <v>3.02</v>
      </c>
      <c r="J705" s="72"/>
      <c r="M705" s="23" t="str">
        <f t="shared" si="125"/>
        <v>I1846</v>
      </c>
      <c r="N705" s="23">
        <f>SUMIF(CPU!M:M,B700,CPU!O:O)</f>
        <v>5.2</v>
      </c>
      <c r="O705" s="23">
        <f t="shared" si="126"/>
        <v>2.6</v>
      </c>
      <c r="Q705" s="23">
        <f ca="1">SUMIF(CPU!M:M,B700,CPU!R:R)</f>
        <v>2.08</v>
      </c>
      <c r="R705" s="23">
        <f t="shared" ca="1" si="127"/>
        <v>1.04</v>
      </c>
    </row>
    <row r="706" spans="1:18" x14ac:dyDescent="0.3">
      <c r="A706" s="23" t="s">
        <v>1025</v>
      </c>
      <c r="B706" s="23" t="s">
        <v>1130</v>
      </c>
      <c r="C706" s="23" t="str">
        <f>VLOOKUP(B706,IF(A706="COMPOSICAO",S!$A:$E,I!$A:$E),2,FALSE)</f>
        <v>SEINFRA</v>
      </c>
      <c r="D706" s="24" t="str">
        <f>VLOOKUP(B706,IF(A706="COMPOSICAO",S!$A:$E,I!$A:$E),3,FALSE)</f>
        <v>TABUA DE 1" DE 3A. - L = 30cm</v>
      </c>
      <c r="E706" s="23" t="str">
        <f>VLOOKUP(B706,IF(A706="COMPOSICAO",S!$A:$E,I!$A:$E),4,FALSE)</f>
        <v>M</v>
      </c>
      <c r="F706" s="23">
        <v>1</v>
      </c>
      <c r="G706" s="71">
        <f>IF(A706="COMPOSICAO",VLOOKUP("TOTAL SEM BDI - "&amp;B706,CPUAUX2!$A:$J,9,FALSE),VLOOKUP(B706,I!$A:$E,5,FALSE))</f>
        <v>12.77</v>
      </c>
      <c r="H706" s="72"/>
      <c r="I706" s="71">
        <f t="shared" si="124"/>
        <v>12.77</v>
      </c>
      <c r="J706" s="72"/>
      <c r="M706" s="23" t="str">
        <f t="shared" si="125"/>
        <v>I1916</v>
      </c>
      <c r="N706" s="23">
        <f>SUMIF(CPU!M:M,B700,CPU!O:O)</f>
        <v>5.2</v>
      </c>
      <c r="O706" s="23">
        <f t="shared" si="126"/>
        <v>5.2</v>
      </c>
      <c r="Q706" s="23">
        <f ca="1">SUMIF(CPU!M:M,B700,CPU!R:R)</f>
        <v>2.08</v>
      </c>
      <c r="R706" s="23">
        <f t="shared" ca="1" si="127"/>
        <v>2.08</v>
      </c>
    </row>
    <row r="707" spans="1:18" x14ac:dyDescent="0.3">
      <c r="A707" s="68" t="str">
        <f>"TOTAL SEM BDI - "&amp;B700</f>
        <v>TOTAL SEM BDI - C1400</v>
      </c>
      <c r="B707" s="69"/>
      <c r="C707" s="69"/>
      <c r="D707" s="69"/>
      <c r="E707" s="69"/>
      <c r="F707" s="69"/>
      <c r="G707" s="69"/>
      <c r="H707" s="70"/>
      <c r="I707" s="71">
        <f>SUM(I700:I706)</f>
        <v>83.639999999999986</v>
      </c>
      <c r="J707" s="72"/>
    </row>
    <row r="709" spans="1:18" x14ac:dyDescent="0.3">
      <c r="A709" s="4" t="s">
        <v>1018</v>
      </c>
      <c r="B709" s="4" t="s">
        <v>138</v>
      </c>
      <c r="C709" s="4" t="s">
        <v>139</v>
      </c>
      <c r="D709" s="4" t="s">
        <v>21</v>
      </c>
      <c r="E709" s="4" t="s">
        <v>140</v>
      </c>
      <c r="F709" s="4" t="s">
        <v>506</v>
      </c>
      <c r="G709" s="34" t="s">
        <v>1019</v>
      </c>
      <c r="H709" s="35"/>
      <c r="I709" s="34" t="s">
        <v>15</v>
      </c>
      <c r="J709" s="35"/>
    </row>
    <row r="710" spans="1:18" ht="30" customHeight="1" x14ac:dyDescent="0.3">
      <c r="A710" s="15" t="s">
        <v>1093</v>
      </c>
      <c r="B710" s="15">
        <v>88246</v>
      </c>
      <c r="C710" s="15" t="str">
        <f>VLOOKUP(B710,S!$A:$G,2,FALSE)</f>
        <v>SINAPI</v>
      </c>
      <c r="D710" s="22" t="str">
        <f>VLOOKUP(B710,S!$A:$G,3,FALSE)</f>
        <v>ASSENTADOR DE TUBOS COM ENCARGOS COMPLEMENTARES</v>
      </c>
      <c r="E710" s="15" t="str">
        <f>VLOOKUP(B710,S!$A:$G,4,FALSE)</f>
        <v>H</v>
      </c>
      <c r="F710" s="15"/>
      <c r="G710" s="73">
        <f>I719</f>
        <v>19.630000000000003</v>
      </c>
      <c r="H710" s="74"/>
      <c r="I710" s="73"/>
      <c r="J710" s="74"/>
      <c r="K710" s="16">
        <f>VLOOKUP(B710,S!A:G,5,FALSE)</f>
        <v>19.63</v>
      </c>
      <c r="L710" s="15" t="str">
        <f>IF(K710=G710,"OK, CONFORME TABELA",IF(G710&gt;K710,"ACIMA DA TABELA: ","ABAIXO DA TABELA: ")&amp;TRUNC((G710*100)/K710,2)&amp;" %")</f>
        <v>OK, CONFORME TABELA</v>
      </c>
    </row>
    <row r="711" spans="1:18" ht="30" customHeight="1" x14ac:dyDescent="0.3">
      <c r="A711" s="23" t="s">
        <v>1022</v>
      </c>
      <c r="B711" s="23">
        <v>95315</v>
      </c>
      <c r="C711" s="23" t="str">
        <f>VLOOKUP(B711,IF(A711="COMPOSICAO",S!$A:$E,I!$A:$E),2,FALSE)</f>
        <v>SINAPI</v>
      </c>
      <c r="D711" s="24" t="str">
        <f>VLOOKUP(B711,IF(A711="COMPOSICAO",S!$A:$E,I!$A:$E),3,FALSE)</f>
        <v>CURSO DE CAPACITAÇÃO PARA ASSENTADOR DE TUBOS (ENCARGOS COMPLEMENTARES) - HORISTA</v>
      </c>
      <c r="E711" s="23" t="str">
        <f>VLOOKUP(B711,IF(A711="COMPOSICAO",S!$A:$E,I!$A:$E),4,FALSE)</f>
        <v>H</v>
      </c>
      <c r="F711" s="23">
        <v>1</v>
      </c>
      <c r="G711" s="71">
        <f>IF(A711="COMPOSICAO",VLOOKUP("TOTAL SEM BDI - "&amp;B711,CPUAUX2!$A:$J,9,FALSE),VLOOKUP(B711,I!$A:$E,5,FALSE))</f>
        <v>0.2</v>
      </c>
      <c r="H711" s="72"/>
      <c r="I711" s="71">
        <f t="shared" ref="I711:I718" si="128">TRUNC(F711*G711,2)</f>
        <v>0.2</v>
      </c>
      <c r="J711" s="72"/>
      <c r="M711" s="23">
        <f t="shared" ref="M711:M718" si="129">B711</f>
        <v>95315</v>
      </c>
      <c r="N711" s="23">
        <f>SUMIF(CPU!M:M,B710,CPU!O:O)</f>
        <v>5.0999999999999996</v>
      </c>
      <c r="O711" s="23">
        <f t="shared" ref="O711:O718" si="130">F711*N711</f>
        <v>5.0999999999999996</v>
      </c>
      <c r="Q711" s="23">
        <f ca="1">SUMIF(CPU!M:M,B710,CPU!R:R)</f>
        <v>2.04</v>
      </c>
      <c r="R711" s="23">
        <f t="shared" ref="R711:R718" ca="1" si="131">F711*Q711</f>
        <v>2.04</v>
      </c>
    </row>
    <row r="712" spans="1:18" ht="30" customHeight="1" x14ac:dyDescent="0.3">
      <c r="A712" s="23" t="s">
        <v>1025</v>
      </c>
      <c r="B712" s="23">
        <v>43488</v>
      </c>
      <c r="C712" s="23" t="str">
        <f>VLOOKUP(B712,IF(A712="COMPOSICAO",S!$A:$E,I!$A:$E),2,FALSE)</f>
        <v>SINAPI</v>
      </c>
      <c r="D712" s="24" t="str">
        <f>VLOOKUP(B712,IF(A712="COMPOSICAO",S!$A:$E,I!$A:$E),3,FALSE)</f>
        <v>EPI - FAMILIA OPERADOR ESCAVADEIRA - HORISTA (ENCARGOS COMPLEMENTARES - COLETADO CAIXA)</v>
      </c>
      <c r="E712" s="23" t="str">
        <f>VLOOKUP(B712,IF(A712="COMPOSICAO",S!$A:$E,I!$A:$E),4,FALSE)</f>
        <v>H</v>
      </c>
      <c r="F712" s="23">
        <v>1</v>
      </c>
      <c r="G712" s="71">
        <f>IF(A712="COMPOSICAO",VLOOKUP("TOTAL SEM BDI - "&amp;B712,CPUAUX2!$A:$J,9,FALSE),VLOOKUP(B712,I!$A:$E,5,FALSE))</f>
        <v>0.89</v>
      </c>
      <c r="H712" s="72"/>
      <c r="I712" s="71">
        <f t="shared" si="128"/>
        <v>0.89</v>
      </c>
      <c r="J712" s="72"/>
      <c r="M712" s="23">
        <f t="shared" si="129"/>
        <v>43488</v>
      </c>
      <c r="N712" s="23">
        <f>SUMIF(CPU!M:M,B710,CPU!O:O)</f>
        <v>5.0999999999999996</v>
      </c>
      <c r="O712" s="23">
        <f t="shared" si="130"/>
        <v>5.0999999999999996</v>
      </c>
      <c r="Q712" s="23">
        <f ca="1">SUMIF(CPU!M:M,B710,CPU!R:R)</f>
        <v>2.04</v>
      </c>
      <c r="R712" s="23">
        <f t="shared" ca="1" si="131"/>
        <v>2.04</v>
      </c>
    </row>
    <row r="713" spans="1:18" ht="45" customHeight="1" x14ac:dyDescent="0.3">
      <c r="A713" s="23" t="s">
        <v>1025</v>
      </c>
      <c r="B713" s="23">
        <v>43464</v>
      </c>
      <c r="C713" s="23" t="str">
        <f>VLOOKUP(B713,IF(A713="COMPOSICAO",S!$A:$E,I!$A:$E),2,FALSE)</f>
        <v>SINAPI</v>
      </c>
      <c r="D713" s="24" t="str">
        <f>VLOOKUP(B713,IF(A713="COMPOSICAO",S!$A:$E,I!$A:$E),3,FALSE)</f>
        <v>FERRAMENTAS - FAMILIA OPERADOR ESCAVADEIRA - HORISTA (ENCARGOS COMPLEMENTARES - COLETADO CAIXA)</v>
      </c>
      <c r="E713" s="23" t="str">
        <f>VLOOKUP(B713,IF(A713="COMPOSICAO",S!$A:$E,I!$A:$E),4,FALSE)</f>
        <v>H</v>
      </c>
      <c r="F713" s="23">
        <v>1</v>
      </c>
      <c r="G713" s="71">
        <f>IF(A713="COMPOSICAO",VLOOKUP("TOTAL SEM BDI - "&amp;B713,CPUAUX2!$A:$J,9,FALSE),VLOOKUP(B713,I!$A:$E,5,FALSE))</f>
        <v>0.01</v>
      </c>
      <c r="H713" s="72"/>
      <c r="I713" s="71">
        <f t="shared" si="128"/>
        <v>0.01</v>
      </c>
      <c r="J713" s="72"/>
      <c r="M713" s="23">
        <f t="shared" si="129"/>
        <v>43464</v>
      </c>
      <c r="N713" s="23">
        <f>SUMIF(CPU!M:M,B710,CPU!O:O)</f>
        <v>5.0999999999999996</v>
      </c>
      <c r="O713" s="23">
        <f t="shared" si="130"/>
        <v>5.0999999999999996</v>
      </c>
      <c r="Q713" s="23">
        <f ca="1">SUMIF(CPU!M:M,B710,CPU!R:R)</f>
        <v>2.04</v>
      </c>
      <c r="R713" s="23">
        <f t="shared" ca="1" si="131"/>
        <v>2.04</v>
      </c>
    </row>
    <row r="714" spans="1:18" x14ac:dyDescent="0.3">
      <c r="A714" s="23" t="s">
        <v>1025</v>
      </c>
      <c r="B714" s="23">
        <v>40331</v>
      </c>
      <c r="C714" s="23" t="str">
        <f>VLOOKUP(B714,IF(A714="COMPOSICAO",S!$A:$E,I!$A:$E),2,FALSE)</f>
        <v>SINAPI</v>
      </c>
      <c r="D714" s="24" t="str">
        <f>VLOOKUP(B714,IF(A714="COMPOSICAO",S!$A:$E,I!$A:$E),3,FALSE)</f>
        <v>ASSENTADOR DE MANILHAS (HORISTA)</v>
      </c>
      <c r="E714" s="23" t="str">
        <f>VLOOKUP(B714,IF(A714="COMPOSICAO",S!$A:$E,I!$A:$E),4,FALSE)</f>
        <v>H</v>
      </c>
      <c r="F714" s="23">
        <v>1</v>
      </c>
      <c r="G714" s="71">
        <f>IF(A714="COMPOSICAO",VLOOKUP("TOTAL SEM BDI - "&amp;B714,CPUAUX2!$A:$J,9,FALSE),VLOOKUP(B714,I!$A:$E,5,FALSE))</f>
        <v>13.99</v>
      </c>
      <c r="H714" s="72"/>
      <c r="I714" s="71">
        <f t="shared" si="128"/>
        <v>13.99</v>
      </c>
      <c r="J714" s="72"/>
      <c r="M714" s="23">
        <f t="shared" si="129"/>
        <v>40331</v>
      </c>
      <c r="N714" s="23">
        <f>SUMIF(CPU!M:M,B710,CPU!O:O)</f>
        <v>5.0999999999999996</v>
      </c>
      <c r="O714" s="23">
        <f t="shared" si="130"/>
        <v>5.0999999999999996</v>
      </c>
      <c r="Q714" s="23">
        <f ca="1">SUMIF(CPU!M:M,B710,CPU!R:R)</f>
        <v>2.04</v>
      </c>
      <c r="R714" s="23">
        <f t="shared" ca="1" si="131"/>
        <v>2.04</v>
      </c>
    </row>
    <row r="715" spans="1:18" ht="30" customHeight="1" x14ac:dyDescent="0.3">
      <c r="A715" s="23" t="s">
        <v>1025</v>
      </c>
      <c r="B715" s="23">
        <v>37373</v>
      </c>
      <c r="C715" s="23" t="str">
        <f>VLOOKUP(B715,IF(A715="COMPOSICAO",S!$A:$E,I!$A:$E),2,FALSE)</f>
        <v>SINAPI</v>
      </c>
      <c r="D715" s="24" t="str">
        <f>VLOOKUP(B715,IF(A715="COMPOSICAO",S!$A:$E,I!$A:$E),3,FALSE)</f>
        <v>SEGURO - HORISTA (COLETADO CAIXA - ENCARGOS COMPLEMENTARES)</v>
      </c>
      <c r="E715" s="23" t="str">
        <f>VLOOKUP(B715,IF(A715="COMPOSICAO",S!$A:$E,I!$A:$E),4,FALSE)</f>
        <v>H</v>
      </c>
      <c r="F715" s="23">
        <v>1</v>
      </c>
      <c r="G715" s="71">
        <f>IF(A715="COMPOSICAO",VLOOKUP("TOTAL SEM BDI - "&amp;B715,CPUAUX2!$A:$J,9,FALSE),VLOOKUP(B715,I!$A:$E,5,FALSE))</f>
        <v>0.08</v>
      </c>
      <c r="H715" s="72"/>
      <c r="I715" s="71">
        <f t="shared" si="128"/>
        <v>0.08</v>
      </c>
      <c r="J715" s="72"/>
      <c r="M715" s="23">
        <f t="shared" si="129"/>
        <v>37373</v>
      </c>
      <c r="N715" s="23">
        <f>SUMIF(CPU!M:M,B710,CPU!O:O)</f>
        <v>5.0999999999999996</v>
      </c>
      <c r="O715" s="23">
        <f t="shared" si="130"/>
        <v>5.0999999999999996</v>
      </c>
      <c r="Q715" s="23">
        <f ca="1">SUMIF(CPU!M:M,B710,CPU!R:R)</f>
        <v>2.04</v>
      </c>
      <c r="R715" s="23">
        <f t="shared" ca="1" si="131"/>
        <v>2.04</v>
      </c>
    </row>
    <row r="716" spans="1:18" ht="30" customHeight="1" x14ac:dyDescent="0.3">
      <c r="A716" s="23" t="s">
        <v>1025</v>
      </c>
      <c r="B716" s="23">
        <v>37372</v>
      </c>
      <c r="C716" s="23" t="str">
        <f>VLOOKUP(B716,IF(A716="COMPOSICAO",S!$A:$E,I!$A:$E),2,FALSE)</f>
        <v>SINAPI</v>
      </c>
      <c r="D716" s="24" t="str">
        <f>VLOOKUP(B716,IF(A716="COMPOSICAO",S!$A:$E,I!$A:$E),3,FALSE)</f>
        <v>EXAMES - HORISTA (COLETADO CAIXA - ENCARGOS COMPLEMENTARES)</v>
      </c>
      <c r="E716" s="23" t="str">
        <f>VLOOKUP(B716,IF(A716="COMPOSICAO",S!$A:$E,I!$A:$E),4,FALSE)</f>
        <v>H</v>
      </c>
      <c r="F716" s="23">
        <v>1</v>
      </c>
      <c r="G716" s="71">
        <f>IF(A716="COMPOSICAO",VLOOKUP("TOTAL SEM BDI - "&amp;B716,CPUAUX2!$A:$J,9,FALSE),VLOOKUP(B716,I!$A:$E,5,FALSE))</f>
        <v>1.43</v>
      </c>
      <c r="H716" s="72"/>
      <c r="I716" s="71">
        <f t="shared" si="128"/>
        <v>1.43</v>
      </c>
      <c r="J716" s="72"/>
      <c r="M716" s="23">
        <f t="shared" si="129"/>
        <v>37372</v>
      </c>
      <c r="N716" s="23">
        <f>SUMIF(CPU!M:M,B710,CPU!O:O)</f>
        <v>5.0999999999999996</v>
      </c>
      <c r="O716" s="23">
        <f t="shared" si="130"/>
        <v>5.0999999999999996</v>
      </c>
      <c r="Q716" s="23">
        <f ca="1">SUMIF(CPU!M:M,B710,CPU!R:R)</f>
        <v>2.04</v>
      </c>
      <c r="R716" s="23">
        <f t="shared" ca="1" si="131"/>
        <v>2.04</v>
      </c>
    </row>
    <row r="717" spans="1:18" ht="30" customHeight="1" x14ac:dyDescent="0.3">
      <c r="A717" s="23" t="s">
        <v>1025</v>
      </c>
      <c r="B717" s="23">
        <v>37371</v>
      </c>
      <c r="C717" s="23" t="str">
        <f>VLOOKUP(B717,IF(A717="COMPOSICAO",S!$A:$E,I!$A:$E),2,FALSE)</f>
        <v>SINAPI</v>
      </c>
      <c r="D717" s="24" t="str">
        <f>VLOOKUP(B717,IF(A717="COMPOSICAO",S!$A:$E,I!$A:$E),3,FALSE)</f>
        <v>TRANSPORTE - HORISTA (COLETADO CAIXA - ENCARGOS COMPLEMENTARES)</v>
      </c>
      <c r="E717" s="23" t="str">
        <f>VLOOKUP(B717,IF(A717="COMPOSICAO",S!$A:$E,I!$A:$E),4,FALSE)</f>
        <v>H</v>
      </c>
      <c r="F717" s="23">
        <v>1</v>
      </c>
      <c r="G717" s="71">
        <f>IF(A717="COMPOSICAO",VLOOKUP("TOTAL SEM BDI - "&amp;B717,CPUAUX2!$A:$J,9,FALSE),VLOOKUP(B717,I!$A:$E,5,FALSE))</f>
        <v>0.56999999999999995</v>
      </c>
      <c r="H717" s="72"/>
      <c r="I717" s="71">
        <f t="shared" si="128"/>
        <v>0.56999999999999995</v>
      </c>
      <c r="J717" s="72"/>
      <c r="M717" s="23">
        <f t="shared" si="129"/>
        <v>37371</v>
      </c>
      <c r="N717" s="23">
        <f>SUMIF(CPU!M:M,B710,CPU!O:O)</f>
        <v>5.0999999999999996</v>
      </c>
      <c r="O717" s="23">
        <f t="shared" si="130"/>
        <v>5.0999999999999996</v>
      </c>
      <c r="Q717" s="23">
        <f ca="1">SUMIF(CPU!M:M,B710,CPU!R:R)</f>
        <v>2.04</v>
      </c>
      <c r="R717" s="23">
        <f t="shared" ca="1" si="131"/>
        <v>2.04</v>
      </c>
    </row>
    <row r="718" spans="1:18" ht="30" customHeight="1" x14ac:dyDescent="0.3">
      <c r="A718" s="23" t="s">
        <v>1025</v>
      </c>
      <c r="B718" s="23">
        <v>37370</v>
      </c>
      <c r="C718" s="23" t="str">
        <f>VLOOKUP(B718,IF(A718="COMPOSICAO",S!$A:$E,I!$A:$E),2,FALSE)</f>
        <v>SINAPI</v>
      </c>
      <c r="D718" s="24" t="str">
        <f>VLOOKUP(B718,IF(A718="COMPOSICAO",S!$A:$E,I!$A:$E),3,FALSE)</f>
        <v>ALIMENTACAO - HORISTA (COLETADO CAIXA - ENCARGOS COMPLEMENTARES)</v>
      </c>
      <c r="E718" s="23" t="str">
        <f>VLOOKUP(B718,IF(A718="COMPOSICAO",S!$A:$E,I!$A:$E),4,FALSE)</f>
        <v>H</v>
      </c>
      <c r="F718" s="23">
        <v>1</v>
      </c>
      <c r="G718" s="71">
        <f>IF(A718="COMPOSICAO",VLOOKUP("TOTAL SEM BDI - "&amp;B718,CPUAUX2!$A:$J,9,FALSE),VLOOKUP(B718,I!$A:$E,5,FALSE))</f>
        <v>2.46</v>
      </c>
      <c r="H718" s="72"/>
      <c r="I718" s="71">
        <f t="shared" si="128"/>
        <v>2.46</v>
      </c>
      <c r="J718" s="72"/>
      <c r="M718" s="23">
        <f t="shared" si="129"/>
        <v>37370</v>
      </c>
      <c r="N718" s="23">
        <f>SUMIF(CPU!M:M,B710,CPU!O:O)</f>
        <v>5.0999999999999996</v>
      </c>
      <c r="O718" s="23">
        <f t="shared" si="130"/>
        <v>5.0999999999999996</v>
      </c>
      <c r="Q718" s="23">
        <f ca="1">SUMIF(CPU!M:M,B710,CPU!R:R)</f>
        <v>2.04</v>
      </c>
      <c r="R718" s="23">
        <f t="shared" ca="1" si="131"/>
        <v>2.04</v>
      </c>
    </row>
    <row r="719" spans="1:18" x14ac:dyDescent="0.3">
      <c r="A719" s="68" t="str">
        <f>"TOTAL SEM BDI - "&amp;B710</f>
        <v>TOTAL SEM BDI - 88246</v>
      </c>
      <c r="B719" s="69"/>
      <c r="C719" s="69"/>
      <c r="D719" s="69"/>
      <c r="E719" s="69"/>
      <c r="F719" s="69"/>
      <c r="G719" s="69"/>
      <c r="H719" s="70"/>
      <c r="I719" s="71">
        <f>SUM(I710:I718)</f>
        <v>19.630000000000003</v>
      </c>
      <c r="J719" s="72"/>
    </row>
    <row r="721" spans="1:18" x14ac:dyDescent="0.3">
      <c r="A721" s="4" t="s">
        <v>1018</v>
      </c>
      <c r="B721" s="4" t="s">
        <v>138</v>
      </c>
      <c r="C721" s="4" t="s">
        <v>139</v>
      </c>
      <c r="D721" s="4" t="s">
        <v>21</v>
      </c>
      <c r="E721" s="4" t="s">
        <v>140</v>
      </c>
      <c r="F721" s="4" t="s">
        <v>506</v>
      </c>
      <c r="G721" s="34" t="s">
        <v>1019</v>
      </c>
      <c r="H721" s="35"/>
      <c r="I721" s="34" t="s">
        <v>15</v>
      </c>
      <c r="J721" s="35"/>
    </row>
    <row r="722" spans="1:18" ht="45" customHeight="1" x14ac:dyDescent="0.3">
      <c r="A722" s="15" t="s">
        <v>1131</v>
      </c>
      <c r="B722" s="15">
        <v>102619</v>
      </c>
      <c r="C722" s="15" t="str">
        <f>VLOOKUP(B722,S!$A:$G,2,FALSE)</f>
        <v>SINAPI</v>
      </c>
      <c r="D722" s="22" t="str">
        <f>VLOOKUP(B722,S!$A:$G,3,FALSE)</f>
        <v>CAIXA D´ÁGUA EM POLIÉSTER REFORÇADO COM FIBRA DE VIDRO, 10000 LITROS - FORNECIMENTO E INSTALAÇÃO. AF_06/2021</v>
      </c>
      <c r="E722" s="15" t="str">
        <f>VLOOKUP(B722,S!$A:$G,4,FALSE)</f>
        <v>UN</v>
      </c>
      <c r="F722" s="15"/>
      <c r="G722" s="73">
        <f>I728</f>
        <v>6414.07</v>
      </c>
      <c r="H722" s="74"/>
      <c r="I722" s="73"/>
      <c r="J722" s="74"/>
      <c r="K722" s="16">
        <f>VLOOKUP(B722,S!A:G,5,FALSE)</f>
        <v>6414.07</v>
      </c>
      <c r="L722" s="15" t="str">
        <f>IF(K722=G722,"OK, CONFORME TABELA",IF(G722&gt;K722,"ACIMA DA TABELA: ","ABAIXO DA TABELA: ")&amp;TRUNC((G722*100)/K722,2)&amp;" %")</f>
        <v>OK, CONFORME TABELA</v>
      </c>
    </row>
    <row r="723" spans="1:18" ht="45" customHeight="1" x14ac:dyDescent="0.3">
      <c r="A723" s="23" t="s">
        <v>1022</v>
      </c>
      <c r="B723" s="23">
        <v>93288</v>
      </c>
      <c r="C723" s="23" t="str">
        <f>VLOOKUP(B723,IF(A723="COMPOSICAO",S!$A:$E,I!$A:$E),2,FALSE)</f>
        <v>SINAPI</v>
      </c>
      <c r="D723" s="24" t="str">
        <f>VLOOKUP(B723,IF(A723="COMPOSICAO",S!$A:$E,I!$A:$E),3,FALSE)</f>
        <v>GUINDASTE HIDRÁULICO AUTOPROPELIDO, COM LANÇA TELESCÓPICA 40 M, CAPACIDADE MÁXIMA 60 T, POTÊNCIA 260 KW - CHI DIURNO. AF_03/2016</v>
      </c>
      <c r="E723" s="23" t="str">
        <f>VLOOKUP(B723,IF(A723="COMPOSICAO",S!$A:$E,I!$A:$E),4,FALSE)</f>
        <v>CHI</v>
      </c>
      <c r="F723" s="23">
        <v>2.3611</v>
      </c>
      <c r="G723" s="71">
        <f>IF(A723="COMPOSICAO",VLOOKUP("TOTAL SEM BDI - "&amp;B723,CPUAUX2!$A:$J,9,FALSE),VLOOKUP(B723,I!$A:$E,5,FALSE))</f>
        <v>184.01999999999998</v>
      </c>
      <c r="H723" s="72"/>
      <c r="I723" s="71">
        <f>TRUNC(F723*G723,2)</f>
        <v>434.48</v>
      </c>
      <c r="J723" s="72"/>
      <c r="M723" s="23">
        <f>B723</f>
        <v>93288</v>
      </c>
      <c r="N723" s="23">
        <f>SUMIF(CPU!M:M,B722,CPU!O:O)</f>
        <v>5</v>
      </c>
      <c r="O723" s="23">
        <f>F723*N723</f>
        <v>11.8055</v>
      </c>
      <c r="Q723" s="23">
        <f ca="1">SUMIF(CPU!M:M,B722,CPU!R:R)</f>
        <v>2</v>
      </c>
      <c r="R723" s="23">
        <f ca="1">F723*Q723</f>
        <v>4.7222</v>
      </c>
    </row>
    <row r="724" spans="1:18" ht="45" customHeight="1" x14ac:dyDescent="0.3">
      <c r="A724" s="23" t="s">
        <v>1022</v>
      </c>
      <c r="B724" s="23">
        <v>93287</v>
      </c>
      <c r="C724" s="23" t="str">
        <f>VLOOKUP(B724,IF(A724="COMPOSICAO",S!$A:$E,I!$A:$E),2,FALSE)</f>
        <v>SINAPI</v>
      </c>
      <c r="D724" s="24" t="str">
        <f>VLOOKUP(B724,IF(A724="COMPOSICAO",S!$A:$E,I!$A:$E),3,FALSE)</f>
        <v>GUINDASTE HIDRÁULICO AUTOPROPELIDO, COM LANÇA TELESCÓPICA 40 M, CAPACIDADE MÁXIMA 60 T, POTÊNCIA 260 KW - CHP DIURNO. AF_03/2016</v>
      </c>
      <c r="E724" s="23" t="str">
        <f>VLOOKUP(B724,IF(A724="COMPOSICAO",S!$A:$E,I!$A:$E),4,FALSE)</f>
        <v>CHP</v>
      </c>
      <c r="F724" s="23">
        <v>0.26340000000000002</v>
      </c>
      <c r="G724" s="71">
        <f>IF(A724="COMPOSICAO",VLOOKUP("TOTAL SEM BDI - "&amp;B724,CPUAUX2!$A:$J,9,FALSE),VLOOKUP(B724,I!$A:$E,5,FALSE))</f>
        <v>358.49</v>
      </c>
      <c r="H724" s="72"/>
      <c r="I724" s="71">
        <f>TRUNC(F724*G724,2)</f>
        <v>94.42</v>
      </c>
      <c r="J724" s="72"/>
      <c r="M724" s="23">
        <f>B724</f>
        <v>93287</v>
      </c>
      <c r="N724" s="23">
        <f>SUMIF(CPU!M:M,B722,CPU!O:O)</f>
        <v>5</v>
      </c>
      <c r="O724" s="23">
        <f>F724*N724</f>
        <v>1.3170000000000002</v>
      </c>
      <c r="Q724" s="23">
        <f ca="1">SUMIF(CPU!M:M,B722,CPU!R:R)</f>
        <v>2</v>
      </c>
      <c r="R724" s="23">
        <f ca="1">F724*Q724</f>
        <v>0.52680000000000005</v>
      </c>
    </row>
    <row r="725" spans="1:18" ht="30" customHeight="1" x14ac:dyDescent="0.3">
      <c r="A725" s="23" t="s">
        <v>1022</v>
      </c>
      <c r="B725" s="23">
        <v>88267</v>
      </c>
      <c r="C725" s="23" t="str">
        <f>VLOOKUP(B725,IF(A725="COMPOSICAO",S!$A:$E,I!$A:$E),2,FALSE)</f>
        <v>SINAPI</v>
      </c>
      <c r="D725" s="24" t="str">
        <f>VLOOKUP(B725,IF(A725="COMPOSICAO",S!$A:$E,I!$A:$E),3,FALSE)</f>
        <v>ENCANADOR OU BOMBEIRO HIDRÁULICO COM ENCARGOS COMPLEMENTARES</v>
      </c>
      <c r="E725" s="23" t="str">
        <f>VLOOKUP(B725,IF(A725="COMPOSICAO",S!$A:$E,I!$A:$E),4,FALSE)</f>
        <v>H</v>
      </c>
      <c r="F725" s="23">
        <f>1.4821/pcf</f>
        <v>1.4821</v>
      </c>
      <c r="G725" s="71">
        <f>IF(A725="COMPOSICAO",VLOOKUP("TOTAL SEM BDI - "&amp;B725,CPUAUX2!$A:$J,9,FALSE),VLOOKUP(B725,I!$A:$E,5,FALSE))</f>
        <v>26.669999999999998</v>
      </c>
      <c r="H725" s="72"/>
      <c r="I725" s="71">
        <f>TRUNC(F725*G725,2)</f>
        <v>39.520000000000003</v>
      </c>
      <c r="J725" s="72"/>
      <c r="M725" s="23">
        <f>B725</f>
        <v>88267</v>
      </c>
      <c r="N725" s="23">
        <f>SUMIF(CPU!M:M,B722,CPU!O:O)</f>
        <v>5</v>
      </c>
      <c r="O725" s="23">
        <f>F725*N725</f>
        <v>7.4104999999999999</v>
      </c>
      <c r="Q725" s="23">
        <f ca="1">SUMIF(CPU!M:M,B722,CPU!R:R)</f>
        <v>2</v>
      </c>
      <c r="R725" s="23">
        <f ca="1">F725*Q725</f>
        <v>2.9641999999999999</v>
      </c>
    </row>
    <row r="726" spans="1:18" ht="30" customHeight="1" x14ac:dyDescent="0.3">
      <c r="A726" s="23" t="s">
        <v>1022</v>
      </c>
      <c r="B726" s="23">
        <v>88248</v>
      </c>
      <c r="C726" s="23" t="str">
        <f>VLOOKUP(B726,IF(A726="COMPOSICAO",S!$A:$E,I!$A:$E),2,FALSE)</f>
        <v>SINAPI</v>
      </c>
      <c r="D726" s="24" t="str">
        <f>VLOOKUP(B726,IF(A726="COMPOSICAO",S!$A:$E,I!$A:$E),3,FALSE)</f>
        <v>AUXILIAR DE ENCANADOR OU BOMBEIRO HIDRÁULICO COM ENCARGOS COMPLEMENTARES</v>
      </c>
      <c r="E726" s="23" t="str">
        <f>VLOOKUP(B726,IF(A726="COMPOSICAO",S!$A:$E,I!$A:$E),4,FALSE)</f>
        <v>H</v>
      </c>
      <c r="F726" s="23">
        <f>1.4821/pcf</f>
        <v>1.4821</v>
      </c>
      <c r="G726" s="71">
        <f>IF(A726="COMPOSICAO",VLOOKUP("TOTAL SEM BDI - "&amp;B726,CPUAUX2!$A:$J,9,FALSE),VLOOKUP(B726,I!$A:$E,5,FALSE))</f>
        <v>21.82</v>
      </c>
      <c r="H726" s="72"/>
      <c r="I726" s="71">
        <f>TRUNC(F726*G726,2)</f>
        <v>32.33</v>
      </c>
      <c r="J726" s="72"/>
      <c r="M726" s="23">
        <f>B726</f>
        <v>88248</v>
      </c>
      <c r="N726" s="23">
        <f>SUMIF(CPU!M:M,B722,CPU!O:O)</f>
        <v>5</v>
      </c>
      <c r="O726" s="23">
        <f>F726*N726</f>
        <v>7.4104999999999999</v>
      </c>
      <c r="Q726" s="23">
        <f ca="1">SUMIF(CPU!M:M,B722,CPU!R:R)</f>
        <v>2</v>
      </c>
      <c r="R726" s="23">
        <f ca="1">F726*Q726</f>
        <v>2.9641999999999999</v>
      </c>
    </row>
    <row r="727" spans="1:18" ht="45" customHeight="1" x14ac:dyDescent="0.3">
      <c r="A727" s="23" t="s">
        <v>1025</v>
      </c>
      <c r="B727" s="23">
        <v>37106</v>
      </c>
      <c r="C727" s="23" t="str">
        <f>VLOOKUP(B727,IF(A727="COMPOSICAO",S!$A:$E,I!$A:$E),2,FALSE)</f>
        <v>SINAPI</v>
      </c>
      <c r="D727" s="24" t="str">
        <f>VLOOKUP(B727,IF(A727="COMPOSICAO",S!$A:$E,I!$A:$E),3,FALSE)</f>
        <v>CAIXA D'AGUA / RESERVATORIO EM POLIESTER REFORCADO COM FIBRA DE VIDRO, 10000 LITROS, COM TAMPA</v>
      </c>
      <c r="E727" s="23" t="str">
        <f>VLOOKUP(B727,IF(A727="COMPOSICAO",S!$A:$E,I!$A:$E),4,FALSE)</f>
        <v>UN</v>
      </c>
      <c r="F727" s="23">
        <v>1</v>
      </c>
      <c r="G727" s="71">
        <f>IF(A727="COMPOSICAO",VLOOKUP("TOTAL SEM BDI - "&amp;B727,CPUAUX2!$A:$J,9,FALSE),VLOOKUP(B727,I!$A:$E,5,FALSE))</f>
        <v>5813.32</v>
      </c>
      <c r="H727" s="72"/>
      <c r="I727" s="71">
        <f>TRUNC(F727*G727,2)</f>
        <v>5813.32</v>
      </c>
      <c r="J727" s="72"/>
      <c r="M727" s="23">
        <f>B727</f>
        <v>37106</v>
      </c>
      <c r="N727" s="23">
        <f>SUMIF(CPU!M:M,B722,CPU!O:O)</f>
        <v>5</v>
      </c>
      <c r="O727" s="23">
        <f>F727*N727</f>
        <v>5</v>
      </c>
      <c r="Q727" s="23">
        <f ca="1">SUMIF(CPU!M:M,B722,CPU!R:R)</f>
        <v>2</v>
      </c>
      <c r="R727" s="23">
        <f ca="1">F727*Q727</f>
        <v>2</v>
      </c>
    </row>
    <row r="728" spans="1:18" x14ac:dyDescent="0.3">
      <c r="A728" s="68" t="str">
        <f>"TOTAL SEM BDI - "&amp;B722</f>
        <v>TOTAL SEM BDI - 102619</v>
      </c>
      <c r="B728" s="69"/>
      <c r="C728" s="69"/>
      <c r="D728" s="69"/>
      <c r="E728" s="69"/>
      <c r="F728" s="69"/>
      <c r="G728" s="69"/>
      <c r="H728" s="70"/>
      <c r="I728" s="71">
        <f>SUM(I722:I727)</f>
        <v>6414.07</v>
      </c>
      <c r="J728" s="72"/>
    </row>
    <row r="730" spans="1:18" x14ac:dyDescent="0.3">
      <c r="A730" s="4" t="s">
        <v>1018</v>
      </c>
      <c r="B730" s="4" t="s">
        <v>138</v>
      </c>
      <c r="C730" s="4" t="s">
        <v>139</v>
      </c>
      <c r="D730" s="4" t="s">
        <v>21</v>
      </c>
      <c r="E730" s="4" t="s">
        <v>140</v>
      </c>
      <c r="F730" s="4" t="s">
        <v>506</v>
      </c>
      <c r="G730" s="34" t="s">
        <v>1019</v>
      </c>
      <c r="H730" s="35"/>
      <c r="I730" s="34" t="s">
        <v>15</v>
      </c>
      <c r="J730" s="35"/>
    </row>
    <row r="731" spans="1:18" ht="30" customHeight="1" x14ac:dyDescent="0.3">
      <c r="A731" s="15" t="s">
        <v>1132</v>
      </c>
      <c r="B731" s="15" t="s">
        <v>1086</v>
      </c>
      <c r="C731" s="15" t="str">
        <f>VLOOKUP(B731,S!$A:$G,2,FALSE)</f>
        <v>PRÓPRIA</v>
      </c>
      <c r="D731" s="22" t="str">
        <f>VLOOKUP(B731,S!$A:$G,3,FALSE)</f>
        <v>PINTURA LOGOTIPO DA SECRETARIA EM RESERVATÓRIO DE FIBRA DE VIDRO</v>
      </c>
      <c r="E731" s="15" t="str">
        <f>VLOOKUP(B731,S!$A:$G,4,FALSE)</f>
        <v>UND</v>
      </c>
      <c r="F731" s="15"/>
      <c r="G731" s="73">
        <f>I736</f>
        <v>84.889999999999986</v>
      </c>
      <c r="H731" s="74"/>
      <c r="I731" s="73"/>
      <c r="J731" s="74"/>
      <c r="K731" s="16">
        <f>VLOOKUP(B731,S!A:G,5,FALSE)</f>
        <v>0</v>
      </c>
      <c r="L731" s="15" t="s">
        <v>1021</v>
      </c>
    </row>
    <row r="732" spans="1:18" x14ac:dyDescent="0.3">
      <c r="A732" s="23" t="s">
        <v>1022</v>
      </c>
      <c r="B732" s="23">
        <v>88316</v>
      </c>
      <c r="C732" s="23" t="str">
        <f>VLOOKUP(B732,IF(A732="COMPOSICAO",S!$A:$E,I!$A:$E),2,FALSE)</f>
        <v>SINAPI</v>
      </c>
      <c r="D732" s="24" t="str">
        <f>VLOOKUP(B732,IF(A732="COMPOSICAO",S!$A:$E,I!$A:$E),3,FALSE)</f>
        <v>SERVENTE COM ENCARGOS COMPLEMENTARES</v>
      </c>
      <c r="E732" s="23" t="str">
        <f>VLOOKUP(B732,IF(A732="COMPOSICAO",S!$A:$E,I!$A:$E),4,FALSE)</f>
        <v>H</v>
      </c>
      <c r="F732" s="23">
        <f>1/pcf</f>
        <v>1</v>
      </c>
      <c r="G732" s="71">
        <f>IF(A732="COMPOSICAO",VLOOKUP("TOTAL SEM BDI - "&amp;B732,CPUAUX2!$A:$J,9,FALSE),VLOOKUP(B732,I!$A:$E,5,FALSE))</f>
        <v>21.71</v>
      </c>
      <c r="H732" s="72"/>
      <c r="I732" s="71">
        <f>TRUNC(F732*G732,2)</f>
        <v>21.71</v>
      </c>
      <c r="J732" s="72"/>
      <c r="M732" s="23">
        <f>B732</f>
        <v>88316</v>
      </c>
      <c r="N732" s="23">
        <f>SUMIF(CPU!M:M,B731,CPU!O:O)</f>
        <v>5</v>
      </c>
      <c r="O732" s="23">
        <f>F732*N732</f>
        <v>5</v>
      </c>
      <c r="Q732" s="23">
        <f ca="1">SUMIF(CPU!M:M,B731,CPU!R:R)</f>
        <v>2</v>
      </c>
      <c r="R732" s="23">
        <f ca="1">F732*Q732</f>
        <v>2</v>
      </c>
    </row>
    <row r="733" spans="1:18" x14ac:dyDescent="0.3">
      <c r="A733" s="23" t="s">
        <v>1022</v>
      </c>
      <c r="B733" s="23">
        <v>88310</v>
      </c>
      <c r="C733" s="23" t="str">
        <f>VLOOKUP(B733,IF(A733="COMPOSICAO",S!$A:$E,I!$A:$E),2,FALSE)</f>
        <v>SINAPI</v>
      </c>
      <c r="D733" s="24" t="str">
        <f>VLOOKUP(B733,IF(A733="COMPOSICAO",S!$A:$E,I!$A:$E),3,FALSE)</f>
        <v>PINTOR COM ENCARGOS COMPLEMENTARES</v>
      </c>
      <c r="E733" s="23" t="str">
        <f>VLOOKUP(B733,IF(A733="COMPOSICAO",S!$A:$E,I!$A:$E),4,FALSE)</f>
        <v>H</v>
      </c>
      <c r="F733" s="23">
        <f>2/pcf</f>
        <v>2</v>
      </c>
      <c r="G733" s="71">
        <f>IF(A733="COMPOSICAO",VLOOKUP("TOTAL SEM BDI - "&amp;B733,CPUAUX2!$A:$J,9,FALSE),VLOOKUP(B733,I!$A:$E,5,FALSE))</f>
        <v>29.069999999999997</v>
      </c>
      <c r="H733" s="72"/>
      <c r="I733" s="71">
        <f>TRUNC(F733*G733,2)</f>
        <v>58.14</v>
      </c>
      <c r="J733" s="72"/>
      <c r="M733" s="23">
        <f>B733</f>
        <v>88310</v>
      </c>
      <c r="N733" s="23">
        <f>SUMIF(CPU!M:M,B731,CPU!O:O)</f>
        <v>5</v>
      </c>
      <c r="O733" s="23">
        <f>F733*N733</f>
        <v>10</v>
      </c>
      <c r="Q733" s="23">
        <f ca="1">SUMIF(CPU!M:M,B731,CPU!R:R)</f>
        <v>2</v>
      </c>
      <c r="R733" s="23">
        <f ca="1">F733*Q733</f>
        <v>4</v>
      </c>
    </row>
    <row r="734" spans="1:18" ht="30" customHeight="1" x14ac:dyDescent="0.3">
      <c r="A734" s="23" t="s">
        <v>1025</v>
      </c>
      <c r="B734" s="23">
        <v>43776</v>
      </c>
      <c r="C734" s="23" t="str">
        <f>VLOOKUP(B734,IF(A734="COMPOSICAO",S!$A:$E,I!$A:$E),2,FALSE)</f>
        <v>SINAPI</v>
      </c>
      <c r="D734" s="24" t="str">
        <f>VLOOKUP(B734,IF(A734="COMPOSICAO",S!$A:$E,I!$A:$E),3,FALSE)</f>
        <v>TINTA A OLEO BRILHANTE, PARA MADEIRAS E METAIS</v>
      </c>
      <c r="E734" s="23" t="str">
        <f>VLOOKUP(B734,IF(A734="COMPOSICAO",S!$A:$E,I!$A:$E),4,FALSE)</f>
        <v>L</v>
      </c>
      <c r="F734" s="23">
        <v>0.17</v>
      </c>
      <c r="G734" s="71">
        <f>IF(A734="COMPOSICAO",VLOOKUP("TOTAL SEM BDI - "&amp;B734,CPUAUX2!$A:$J,9,FALSE),VLOOKUP(B734,I!$A:$E,5,FALSE))</f>
        <v>26.79</v>
      </c>
      <c r="H734" s="72"/>
      <c r="I734" s="71">
        <f>TRUNC(F734*G734,2)</f>
        <v>4.55</v>
      </c>
      <c r="J734" s="72"/>
      <c r="M734" s="23">
        <f>B734</f>
        <v>43776</v>
      </c>
      <c r="N734" s="23">
        <f>SUMIF(CPU!M:M,B731,CPU!O:O)</f>
        <v>5</v>
      </c>
      <c r="O734" s="23">
        <f>F734*N734</f>
        <v>0.85000000000000009</v>
      </c>
      <c r="Q734" s="23">
        <f ca="1">SUMIF(CPU!M:M,B731,CPU!R:R)</f>
        <v>2</v>
      </c>
      <c r="R734" s="23">
        <f ca="1">F734*Q734</f>
        <v>0.34</v>
      </c>
    </row>
    <row r="735" spans="1:18" x14ac:dyDescent="0.3">
      <c r="A735" s="23" t="s">
        <v>1025</v>
      </c>
      <c r="B735" s="23">
        <v>5318</v>
      </c>
      <c r="C735" s="23" t="str">
        <f>VLOOKUP(B735,IF(A735="COMPOSICAO",S!$A:$E,I!$A:$E),2,FALSE)</f>
        <v>SINAPI</v>
      </c>
      <c r="D735" s="24" t="str">
        <f>VLOOKUP(B735,IF(A735="COMPOSICAO",S!$A:$E,I!$A:$E),3,FALSE)</f>
        <v>DILUENTE AGUARRAS</v>
      </c>
      <c r="E735" s="23" t="str">
        <f>VLOOKUP(B735,IF(A735="COMPOSICAO",S!$A:$E,I!$A:$E),4,FALSE)</f>
        <v>L</v>
      </c>
      <c r="F735" s="23">
        <v>1.7000000000000001E-2</v>
      </c>
      <c r="G735" s="71">
        <f>IF(A735="COMPOSICAO",VLOOKUP("TOTAL SEM BDI - "&amp;B735,CPUAUX2!$A:$J,9,FALSE),VLOOKUP(B735,I!$A:$E,5,FALSE))</f>
        <v>29.16</v>
      </c>
      <c r="H735" s="72"/>
      <c r="I735" s="71">
        <f>TRUNC(F735*G735,2)</f>
        <v>0.49</v>
      </c>
      <c r="J735" s="72"/>
      <c r="M735" s="23">
        <f>B735</f>
        <v>5318</v>
      </c>
      <c r="N735" s="23">
        <f>SUMIF(CPU!M:M,B731,CPU!O:O)</f>
        <v>5</v>
      </c>
      <c r="O735" s="23">
        <f>F735*N735</f>
        <v>8.5000000000000006E-2</v>
      </c>
      <c r="Q735" s="23">
        <f ca="1">SUMIF(CPU!M:M,B731,CPU!R:R)</f>
        <v>2</v>
      </c>
      <c r="R735" s="23">
        <f ca="1">F735*Q735</f>
        <v>3.4000000000000002E-2</v>
      </c>
    </row>
    <row r="736" spans="1:18" x14ac:dyDescent="0.3">
      <c r="A736" s="68" t="str">
        <f>"TOTAL SEM BDI - "&amp;B731</f>
        <v>TOTAL SEM BDI - COMPOS33</v>
      </c>
      <c r="B736" s="69"/>
      <c r="C736" s="69"/>
      <c r="D736" s="69"/>
      <c r="E736" s="69"/>
      <c r="F736" s="69"/>
      <c r="G736" s="69"/>
      <c r="H736" s="70"/>
      <c r="I736" s="71">
        <f>SUM(I731:I735)</f>
        <v>84.889999999999986</v>
      </c>
      <c r="J736" s="72"/>
    </row>
    <row r="738" spans="1:18" x14ac:dyDescent="0.3">
      <c r="A738" s="4" t="s">
        <v>1018</v>
      </c>
      <c r="B738" s="4" t="s">
        <v>138</v>
      </c>
      <c r="C738" s="4" t="s">
        <v>139</v>
      </c>
      <c r="D738" s="4" t="s">
        <v>21</v>
      </c>
      <c r="E738" s="4" t="s">
        <v>140</v>
      </c>
      <c r="F738" s="4" t="s">
        <v>506</v>
      </c>
      <c r="G738" s="34" t="s">
        <v>1019</v>
      </c>
      <c r="H738" s="35"/>
      <c r="I738" s="34" t="s">
        <v>15</v>
      </c>
      <c r="J738" s="35"/>
    </row>
    <row r="739" spans="1:18" ht="45" customHeight="1" x14ac:dyDescent="0.3">
      <c r="A739" s="15" t="s">
        <v>516</v>
      </c>
      <c r="B739" s="15" t="s">
        <v>1087</v>
      </c>
      <c r="C739" s="15" t="str">
        <f>VLOOKUP(B739,S!$A:$G,2,FALSE)</f>
        <v>ORSE</v>
      </c>
      <c r="D739" s="22" t="str">
        <f>VLOOKUP(B739,S!$A:$G,3,FALSE)</f>
        <v>FORMA PLANA PARA ESTRUTURAS, EM COMPENSADO RESINADO DE 12MM, 05 USOS, INCLUSIVE ESCORAMENTO - REVISADA 07..2015</v>
      </c>
      <c r="E739" s="15" t="str">
        <f>VLOOKUP(B739,S!$A:$G,4,FALSE)</f>
        <v>M2</v>
      </c>
      <c r="F739" s="15"/>
      <c r="G739" s="73">
        <f>I752</f>
        <v>80.710000000000008</v>
      </c>
      <c r="H739" s="74"/>
      <c r="I739" s="73"/>
      <c r="J739" s="74"/>
      <c r="K739" s="16">
        <f>VLOOKUP(B739,S!A:G,5,FALSE)</f>
        <v>80.489999999999995</v>
      </c>
      <c r="L739" s="15" t="str">
        <f>IF(K739=G739,"OK, CONFORME TABELA",IF(G739&gt;K739,"ACIMA DA TABELA: ","ABAIXO DA TABELA: ")&amp;TRUNC((G739*100)/K739,2)&amp;" %")</f>
        <v>ACIMA DA TABELA: 100,27 %</v>
      </c>
    </row>
    <row r="740" spans="1:18" ht="30" customHeight="1" x14ac:dyDescent="0.3">
      <c r="A740" s="23" t="s">
        <v>1025</v>
      </c>
      <c r="B740" s="23" t="s">
        <v>1133</v>
      </c>
      <c r="C740" s="23" t="str">
        <f>VLOOKUP(B740,IF(A740="COMPOSICAO",S!$A:$E,I!$A:$E),2,FALSE)</f>
        <v>ORSE</v>
      </c>
      <c r="D740" s="24" t="str">
        <f>VLOOKUP(B740,IF(A740="COMPOSICAO",S!$A:$E,I!$A:$E),3,FALSE)</f>
        <v>COMPENSADO RESINADO 12MM - MADEIRIT OU SIMILAR</v>
      </c>
      <c r="E740" s="23" t="str">
        <f>VLOOKUP(B740,IF(A740="COMPOSICAO",S!$A:$E,I!$A:$E),4,FALSE)</f>
        <v>M2</v>
      </c>
      <c r="F740" s="23">
        <v>0.23400000000000001</v>
      </c>
      <c r="G740" s="71">
        <f>IF(A740="COMPOSICAO",VLOOKUP("TOTAL SEM BDI - "&amp;B740,CPUAUX2!$A:$J,9,FALSE),VLOOKUP(B740,I!$A:$E,5,FALSE))</f>
        <v>44.17</v>
      </c>
      <c r="H740" s="72"/>
      <c r="I740" s="71">
        <f t="shared" ref="I740:I751" si="132">TRUNC(F740*G740,2)</f>
        <v>10.33</v>
      </c>
      <c r="J740" s="72"/>
      <c r="M740" s="23" t="str">
        <f t="shared" ref="M740:M751" si="133">B740</f>
        <v>00630/ORSE</v>
      </c>
      <c r="N740" s="23">
        <f>SUMIF(CPU!M:M,B739,CPU!O:O)</f>
        <v>13</v>
      </c>
      <c r="O740" s="23">
        <f t="shared" ref="O740:O751" si="134">F740*N740</f>
        <v>3.0420000000000003</v>
      </c>
      <c r="Q740" s="23">
        <f ca="1">SUMIF(CPU!M:M,B739,CPU!R:R)</f>
        <v>5.2</v>
      </c>
      <c r="R740" s="23">
        <f t="shared" ref="R740:R751" ca="1" si="135">F740*Q740</f>
        <v>1.2168000000000001</v>
      </c>
    </row>
    <row r="741" spans="1:18" ht="30" customHeight="1" x14ac:dyDescent="0.3">
      <c r="A741" s="23" t="s">
        <v>1025</v>
      </c>
      <c r="B741" s="23" t="s">
        <v>1134</v>
      </c>
      <c r="C741" s="23" t="str">
        <f>VLOOKUP(B741,IF(A741="COMPOSICAO",S!$A:$E,I!$A:$E),2,FALSE)</f>
        <v>ORSE</v>
      </c>
      <c r="D741" s="24" t="str">
        <f>VLOOKUP(B741,IF(A741="COMPOSICAO",S!$A:$E,I!$A:$E),3,FALSE)</f>
        <v>MADEIRA MISTA SERRADA (BARROTE) 6 X 6CM - 0,0036 M3/M (ANGELIM, LOURO)</v>
      </c>
      <c r="E741" s="23" t="str">
        <f>VLOOKUP(B741,IF(A741="COMPOSICAO",S!$A:$E,I!$A:$E),4,FALSE)</f>
        <v>M</v>
      </c>
      <c r="F741" s="23">
        <v>1.2270000000000001</v>
      </c>
      <c r="G741" s="71">
        <f>IF(A741="COMPOSICAO",VLOOKUP("TOTAL SEM BDI - "&amp;B741,CPUAUX2!$A:$J,9,FALSE),VLOOKUP(B741,I!$A:$E,5,FALSE))</f>
        <v>6.69</v>
      </c>
      <c r="H741" s="72"/>
      <c r="I741" s="71">
        <f t="shared" si="132"/>
        <v>8.1999999999999993</v>
      </c>
      <c r="J741" s="72"/>
      <c r="M741" s="23" t="str">
        <f t="shared" si="133"/>
        <v>01569/ORSE</v>
      </c>
      <c r="N741" s="23">
        <f>SUMIF(CPU!M:M,B739,CPU!O:O)</f>
        <v>13</v>
      </c>
      <c r="O741" s="23">
        <f t="shared" si="134"/>
        <v>15.951000000000001</v>
      </c>
      <c r="Q741" s="23">
        <f ca="1">SUMIF(CPU!M:M,B739,CPU!R:R)</f>
        <v>5.2</v>
      </c>
      <c r="R741" s="23">
        <f t="shared" ca="1" si="135"/>
        <v>6.3804000000000007</v>
      </c>
    </row>
    <row r="742" spans="1:18" ht="15" customHeight="1" x14ac:dyDescent="0.3">
      <c r="A742" s="23" t="s">
        <v>1025</v>
      </c>
      <c r="B742" s="23">
        <v>1213</v>
      </c>
      <c r="C742" s="23" t="str">
        <f>VLOOKUP(B742,IF(A742="COMPOSICAO",S!$A:$E,I!$A:$E),2,FALSE)</f>
        <v>SINAPI</v>
      </c>
      <c r="D742" s="24" t="str">
        <f>VLOOKUP(B742,IF(A742="COMPOSICAO",S!$A:$E,I!$A:$E),3,FALSE)</f>
        <v>CARPINTEIRO DE FORMAS PARA CONCRETO (HORISTA)</v>
      </c>
      <c r="E742" s="23" t="str">
        <f>VLOOKUP(B742,IF(A742="COMPOSICAO",S!$A:$E,I!$A:$E),4,FALSE)</f>
        <v>H</v>
      </c>
      <c r="F742" s="23">
        <f>0.973/pcf</f>
        <v>0.97299999999999998</v>
      </c>
      <c r="G742" s="71">
        <f>IF(A742="COMPOSICAO",VLOOKUP("TOTAL SEM BDI - "&amp;B742,CPUAUX2!$A:$J,9,FALSE),VLOOKUP(B742,I!$A:$E,5,FALSE))</f>
        <v>20.329999999999998</v>
      </c>
      <c r="H742" s="72"/>
      <c r="I742" s="71">
        <f t="shared" si="132"/>
        <v>19.78</v>
      </c>
      <c r="J742" s="72"/>
      <c r="M742" s="23">
        <f t="shared" si="133"/>
        <v>1213</v>
      </c>
      <c r="N742" s="23">
        <f>SUMIF(CPU!M:M,B739,CPU!O:O)</f>
        <v>13</v>
      </c>
      <c r="O742" s="23">
        <f t="shared" si="134"/>
        <v>12.648999999999999</v>
      </c>
      <c r="Q742" s="23">
        <f ca="1">SUMIF(CPU!M:M,B739,CPU!R:R)</f>
        <v>5.2</v>
      </c>
      <c r="R742" s="23">
        <f t="shared" ca="1" si="135"/>
        <v>5.0595999999999997</v>
      </c>
    </row>
    <row r="743" spans="1:18" ht="30" customHeight="1" x14ac:dyDescent="0.3">
      <c r="A743" s="23" t="s">
        <v>1025</v>
      </c>
      <c r="B743" s="23">
        <v>2692</v>
      </c>
      <c r="C743" s="23" t="str">
        <f>VLOOKUP(B743,IF(A743="COMPOSICAO",S!$A:$E,I!$A:$E),2,FALSE)</f>
        <v>SINAPI</v>
      </c>
      <c r="D743" s="24" t="str">
        <f>VLOOKUP(B743,IF(A743="COMPOSICAO",S!$A:$E,I!$A:$E),3,FALSE)</f>
        <v>DESMOLDANTE PROTETOR PARA FORMAS DE MADEIRA, DE BASE OLEOSA EMULSIONADA EM AGUA</v>
      </c>
      <c r="E743" s="23" t="str">
        <f>VLOOKUP(B743,IF(A743="COMPOSICAO",S!$A:$E,I!$A:$E),4,FALSE)</f>
        <v>L</v>
      </c>
      <c r="F743" s="23">
        <v>0.02</v>
      </c>
      <c r="G743" s="71">
        <f>IF(A743="COMPOSICAO",VLOOKUP("TOTAL SEM BDI - "&amp;B743,CPUAUX2!$A:$J,9,FALSE),VLOOKUP(B743,I!$A:$E,5,FALSE))</f>
        <v>10.75</v>
      </c>
      <c r="H743" s="72"/>
      <c r="I743" s="71">
        <f t="shared" si="132"/>
        <v>0.21</v>
      </c>
      <c r="J743" s="72"/>
      <c r="M743" s="23">
        <f t="shared" si="133"/>
        <v>2692</v>
      </c>
      <c r="N743" s="23">
        <f>SUMIF(CPU!M:M,B739,CPU!O:O)</f>
        <v>13</v>
      </c>
      <c r="O743" s="23">
        <f t="shared" si="134"/>
        <v>0.26</v>
      </c>
      <c r="Q743" s="23">
        <f ca="1">SUMIF(CPU!M:M,B739,CPU!R:R)</f>
        <v>5.2</v>
      </c>
      <c r="R743" s="23">
        <f t="shared" ca="1" si="135"/>
        <v>0.10400000000000001</v>
      </c>
    </row>
    <row r="744" spans="1:18" ht="30" customHeight="1" x14ac:dyDescent="0.3">
      <c r="A744" s="23" t="s">
        <v>1025</v>
      </c>
      <c r="B744" s="23">
        <v>4509</v>
      </c>
      <c r="C744" s="23" t="str">
        <f>VLOOKUP(B744,IF(A744="COMPOSICAO",S!$A:$E,I!$A:$E),2,FALSE)</f>
        <v>SINAPI</v>
      </c>
      <c r="D744" s="24" t="str">
        <f>VLOOKUP(B744,IF(A744="COMPOSICAO",S!$A:$E,I!$A:$E),3,FALSE)</f>
        <v>SARRAFO *2,5 X 10* CM EM PINUS, MISTA OU EQUIVALENTE DA REGIAO - BRUTA</v>
      </c>
      <c r="E744" s="23" t="str">
        <f>VLOOKUP(B744,IF(A744="COMPOSICAO",S!$A:$E,I!$A:$E),4,FALSE)</f>
        <v>M</v>
      </c>
      <c r="F744" s="23">
        <v>1.089</v>
      </c>
      <c r="G744" s="71">
        <f>IF(A744="COMPOSICAO",VLOOKUP("TOTAL SEM BDI - "&amp;B744,CPUAUX2!$A:$J,9,FALSE),VLOOKUP(B744,I!$A:$E,5,FALSE))</f>
        <v>5.0999999999999996</v>
      </c>
      <c r="H744" s="72"/>
      <c r="I744" s="71">
        <f t="shared" si="132"/>
        <v>5.55</v>
      </c>
      <c r="J744" s="72"/>
      <c r="M744" s="23">
        <f t="shared" si="133"/>
        <v>4509</v>
      </c>
      <c r="N744" s="23">
        <f>SUMIF(CPU!M:M,B739,CPU!O:O)</f>
        <v>13</v>
      </c>
      <c r="O744" s="23">
        <f t="shared" si="134"/>
        <v>14.157</v>
      </c>
      <c r="Q744" s="23">
        <f ca="1">SUMIF(CPU!M:M,B739,CPU!R:R)</f>
        <v>5.2</v>
      </c>
      <c r="R744" s="23">
        <f t="shared" ca="1" si="135"/>
        <v>5.6627999999999998</v>
      </c>
    </row>
    <row r="745" spans="1:18" ht="30" customHeight="1" x14ac:dyDescent="0.3">
      <c r="A745" s="23" t="s">
        <v>1025</v>
      </c>
      <c r="B745" s="23">
        <v>5068</v>
      </c>
      <c r="C745" s="23" t="str">
        <f>VLOOKUP(B745,IF(A745="COMPOSICAO",S!$A:$E,I!$A:$E),2,FALSE)</f>
        <v>SINAPI</v>
      </c>
      <c r="D745" s="24" t="str">
        <f>VLOOKUP(B745,IF(A745="COMPOSICAO",S!$A:$E,I!$A:$E),3,FALSE)</f>
        <v>PREGO DE ACO POLIDO COM CABECA 17 X 21 (2 X 11)</v>
      </c>
      <c r="E745" s="23" t="str">
        <f>VLOOKUP(B745,IF(A745="COMPOSICAO",S!$A:$E,I!$A:$E),4,FALSE)</f>
        <v>KG</v>
      </c>
      <c r="F745" s="23">
        <v>2.5000000000000001E-2</v>
      </c>
      <c r="G745" s="71">
        <f>IF(A745="COMPOSICAO",VLOOKUP("TOTAL SEM BDI - "&amp;B745,CPUAUX2!$A:$J,9,FALSE),VLOOKUP(B745,I!$A:$E,5,FALSE))</f>
        <v>20.34</v>
      </c>
      <c r="H745" s="72"/>
      <c r="I745" s="71">
        <f t="shared" si="132"/>
        <v>0.5</v>
      </c>
      <c r="J745" s="72"/>
      <c r="M745" s="23">
        <f t="shared" si="133"/>
        <v>5068</v>
      </c>
      <c r="N745" s="23">
        <f>SUMIF(CPU!M:M,B739,CPU!O:O)</f>
        <v>13</v>
      </c>
      <c r="O745" s="23">
        <f t="shared" si="134"/>
        <v>0.32500000000000001</v>
      </c>
      <c r="Q745" s="23">
        <f ca="1">SUMIF(CPU!M:M,B739,CPU!R:R)</f>
        <v>5.2</v>
      </c>
      <c r="R745" s="23">
        <f t="shared" ca="1" si="135"/>
        <v>0.13</v>
      </c>
    </row>
    <row r="746" spans="1:18" ht="30" customHeight="1" x14ac:dyDescent="0.3">
      <c r="A746" s="23" t="s">
        <v>1025</v>
      </c>
      <c r="B746" s="23">
        <v>5069</v>
      </c>
      <c r="C746" s="23" t="str">
        <f>VLOOKUP(B746,IF(A746="COMPOSICAO",S!$A:$E,I!$A:$E),2,FALSE)</f>
        <v>SINAPI</v>
      </c>
      <c r="D746" s="24" t="str">
        <f>VLOOKUP(B746,IF(A746="COMPOSICAO",S!$A:$E,I!$A:$E),3,FALSE)</f>
        <v>PREGO DE ACO POLIDO COM CABECA 17 X 27 (2 1/2 X 11)</v>
      </c>
      <c r="E746" s="23" t="str">
        <f>VLOOKUP(B746,IF(A746="COMPOSICAO",S!$A:$E,I!$A:$E),4,FALSE)</f>
        <v>KG</v>
      </c>
      <c r="F746" s="23">
        <v>0.1</v>
      </c>
      <c r="G746" s="71">
        <f>IF(A746="COMPOSICAO",VLOOKUP("TOTAL SEM BDI - "&amp;B746,CPUAUX2!$A:$J,9,FALSE),VLOOKUP(B746,I!$A:$E,5,FALSE))</f>
        <v>20.74</v>
      </c>
      <c r="H746" s="72"/>
      <c r="I746" s="71">
        <f t="shared" si="132"/>
        <v>2.0699999999999998</v>
      </c>
      <c r="J746" s="72"/>
      <c r="M746" s="23">
        <f t="shared" si="133"/>
        <v>5069</v>
      </c>
      <c r="N746" s="23">
        <f>SUMIF(CPU!M:M,B739,CPU!O:O)</f>
        <v>13</v>
      </c>
      <c r="O746" s="23">
        <f t="shared" si="134"/>
        <v>1.3</v>
      </c>
      <c r="Q746" s="23">
        <f ca="1">SUMIF(CPU!M:M,B739,CPU!R:R)</f>
        <v>5.2</v>
      </c>
      <c r="R746" s="23">
        <f t="shared" ca="1" si="135"/>
        <v>0.52</v>
      </c>
    </row>
    <row r="747" spans="1:18" x14ac:dyDescent="0.3">
      <c r="A747" s="23" t="s">
        <v>1025</v>
      </c>
      <c r="B747" s="23">
        <v>6111</v>
      </c>
      <c r="C747" s="23" t="str">
        <f>VLOOKUP(B747,IF(A747="COMPOSICAO",S!$A:$E,I!$A:$E),2,FALSE)</f>
        <v>SINAPI</v>
      </c>
      <c r="D747" s="24" t="str">
        <f>VLOOKUP(B747,IF(A747="COMPOSICAO",S!$A:$E,I!$A:$E),3,FALSE)</f>
        <v>SERVENTE DE OBRAS (HORISTA)</v>
      </c>
      <c r="E747" s="23" t="str">
        <f>VLOOKUP(B747,IF(A747="COMPOSICAO",S!$A:$E,I!$A:$E),4,FALSE)</f>
        <v>H</v>
      </c>
      <c r="F747" s="23">
        <f>1.35/pcf</f>
        <v>1.35</v>
      </c>
      <c r="G747" s="71">
        <f>IF(A747="COMPOSICAO",VLOOKUP("TOTAL SEM BDI - "&amp;B747,CPUAUX2!$A:$J,9,FALSE),VLOOKUP(B747,I!$A:$E,5,FALSE))</f>
        <v>14.86</v>
      </c>
      <c r="H747" s="72"/>
      <c r="I747" s="71">
        <f t="shared" si="132"/>
        <v>20.059999999999999</v>
      </c>
      <c r="J747" s="72"/>
      <c r="M747" s="23">
        <f t="shared" si="133"/>
        <v>6111</v>
      </c>
      <c r="N747" s="23">
        <f>SUMIF(CPU!M:M,B739,CPU!O:O)</f>
        <v>13</v>
      </c>
      <c r="O747" s="23">
        <f t="shared" si="134"/>
        <v>17.55</v>
      </c>
      <c r="Q747" s="23">
        <f ca="1">SUMIF(CPU!M:M,B739,CPU!R:R)</f>
        <v>5.2</v>
      </c>
      <c r="R747" s="23">
        <f t="shared" ca="1" si="135"/>
        <v>7.0200000000000005</v>
      </c>
    </row>
    <row r="748" spans="1:18" ht="45" customHeight="1" x14ac:dyDescent="0.3">
      <c r="A748" s="23" t="s">
        <v>1025</v>
      </c>
      <c r="B748" s="23">
        <v>6193</v>
      </c>
      <c r="C748" s="23" t="str">
        <f>VLOOKUP(B748,IF(A748="COMPOSICAO",S!$A:$E,I!$A:$E),2,FALSE)</f>
        <v>SINAPI</v>
      </c>
      <c r="D748" s="24" t="str">
        <f>VLOOKUP(B748,IF(A748="COMPOSICAO",S!$A:$E,I!$A:$E),3,FALSE)</f>
        <v>TABUA NAO APARELHADA *2,5 X 20* CM, EM MACARANDUBA/MASSARANDUBA, ANGELIM OU EQUIVALENTE DA REGIAO - BRUTA</v>
      </c>
      <c r="E748" s="23" t="str">
        <f>VLOOKUP(B748,IF(A748="COMPOSICAO",S!$A:$E,I!$A:$E),4,FALSE)</f>
        <v>M</v>
      </c>
      <c r="F748" s="23">
        <v>0.122</v>
      </c>
      <c r="G748" s="71">
        <f>IF(A748="COMPOSICAO",VLOOKUP("TOTAL SEM BDI - "&amp;B748,CPUAUX2!$A:$J,9,FALSE),VLOOKUP(B748,I!$A:$E,5,FALSE))</f>
        <v>14.13</v>
      </c>
      <c r="H748" s="72"/>
      <c r="I748" s="71">
        <f t="shared" si="132"/>
        <v>1.72</v>
      </c>
      <c r="J748" s="72"/>
      <c r="M748" s="23">
        <f t="shared" si="133"/>
        <v>6193</v>
      </c>
      <c r="N748" s="23">
        <f>SUMIF(CPU!M:M,B739,CPU!O:O)</f>
        <v>13</v>
      </c>
      <c r="O748" s="23">
        <f t="shared" si="134"/>
        <v>1.5859999999999999</v>
      </c>
      <c r="Q748" s="23">
        <f ca="1">SUMIF(CPU!M:M,B739,CPU!R:R)</f>
        <v>5.2</v>
      </c>
      <c r="R748" s="23">
        <f t="shared" ca="1" si="135"/>
        <v>0.63439999999999996</v>
      </c>
    </row>
    <row r="749" spans="1:18" ht="30" customHeight="1" x14ac:dyDescent="0.3">
      <c r="A749" s="23" t="s">
        <v>1025</v>
      </c>
      <c r="B749" s="23">
        <v>43130</v>
      </c>
      <c r="C749" s="23" t="str">
        <f>VLOOKUP(B749,IF(A749="COMPOSICAO",S!$A:$E,I!$A:$E),2,FALSE)</f>
        <v>SINAPI</v>
      </c>
      <c r="D749" s="24" t="str">
        <f>VLOOKUP(B749,IF(A749="COMPOSICAO",S!$A:$E,I!$A:$E),3,FALSE)</f>
        <v>ARAME GALVANIZADO 12 BWG, D = 2,76 MM (0,048 KG/M) OU 14 BWG, D = 2,11 MM (0,026 KG/M)</v>
      </c>
      <c r="E749" s="23" t="str">
        <f>VLOOKUP(B749,IF(A749="COMPOSICAO",S!$A:$E,I!$A:$E),4,FALSE)</f>
        <v>KG</v>
      </c>
      <c r="F749" s="23">
        <v>0.15</v>
      </c>
      <c r="G749" s="71">
        <f>IF(A749="COMPOSICAO",VLOOKUP("TOTAL SEM BDI - "&amp;B749,CPUAUX2!$A:$J,9,FALSE),VLOOKUP(B749,I!$A:$E,5,FALSE))</f>
        <v>21.59</v>
      </c>
      <c r="H749" s="72"/>
      <c r="I749" s="71">
        <f t="shared" si="132"/>
        <v>3.23</v>
      </c>
      <c r="J749" s="72"/>
      <c r="M749" s="23">
        <f t="shared" si="133"/>
        <v>43130</v>
      </c>
      <c r="N749" s="23">
        <f>SUMIF(CPU!M:M,B739,CPU!O:O)</f>
        <v>13</v>
      </c>
      <c r="O749" s="23">
        <f t="shared" si="134"/>
        <v>1.95</v>
      </c>
      <c r="Q749" s="23">
        <f ca="1">SUMIF(CPU!M:M,B739,CPU!R:R)</f>
        <v>5.2</v>
      </c>
      <c r="R749" s="23">
        <f t="shared" ca="1" si="135"/>
        <v>0.78</v>
      </c>
    </row>
    <row r="750" spans="1:18" x14ac:dyDescent="0.3">
      <c r="A750" s="23" t="s">
        <v>1022</v>
      </c>
      <c r="B750" s="23" t="s">
        <v>1076</v>
      </c>
      <c r="C750" s="23" t="str">
        <f>VLOOKUP(B750,IF(A750="COMPOSICAO",S!$A:$E,I!$A:$E),2,FALSE)</f>
        <v>ORSE</v>
      </c>
      <c r="D750" s="24" t="str">
        <f>VLOOKUP(B750,IF(A750="COMPOSICAO",S!$A:$E,I!$A:$E),3,FALSE)</f>
        <v>ENCARGOS COMPLEMENTARES - SERVENTE</v>
      </c>
      <c r="E750" s="23" t="str">
        <f>VLOOKUP(B750,IF(A750="COMPOSICAO",S!$A:$E,I!$A:$E),4,FALSE)</f>
        <v>H</v>
      </c>
      <c r="F750" s="23">
        <f>1.35/pcf</f>
        <v>1.35</v>
      </c>
      <c r="G750" s="71">
        <f>IF(A750="COMPOSICAO",VLOOKUP("TOTAL SEM BDI - "&amp;B750,CPUAUX2!$A:$J,9,FALSE),VLOOKUP(B750,I!$A:$E,5,FALSE))</f>
        <v>3.9599999999999991</v>
      </c>
      <c r="H750" s="72"/>
      <c r="I750" s="71">
        <f t="shared" si="132"/>
        <v>5.34</v>
      </c>
      <c r="J750" s="72"/>
      <c r="M750" s="23" t="str">
        <f t="shared" si="133"/>
        <v>10549/ORSE</v>
      </c>
      <c r="N750" s="23">
        <f>SUMIF(CPU!M:M,B739,CPU!O:O)</f>
        <v>13</v>
      </c>
      <c r="O750" s="23">
        <f t="shared" si="134"/>
        <v>17.55</v>
      </c>
      <c r="Q750" s="23">
        <f ca="1">SUMIF(CPU!M:M,B739,CPU!R:R)</f>
        <v>5.2</v>
      </c>
      <c r="R750" s="23">
        <f t="shared" ca="1" si="135"/>
        <v>7.0200000000000005</v>
      </c>
    </row>
    <row r="751" spans="1:18" x14ac:dyDescent="0.3">
      <c r="A751" s="23" t="s">
        <v>1022</v>
      </c>
      <c r="B751" s="23" t="s">
        <v>1135</v>
      </c>
      <c r="C751" s="23" t="str">
        <f>VLOOKUP(B751,IF(A751="COMPOSICAO",S!$A:$E,I!$A:$E),2,FALSE)</f>
        <v>ORSE</v>
      </c>
      <c r="D751" s="24" t="str">
        <f>VLOOKUP(B751,IF(A751="COMPOSICAO",S!$A:$E,I!$A:$E),3,FALSE)</f>
        <v>ENCARGOS COMPLEMENTARES - CARPINTEIRO</v>
      </c>
      <c r="E751" s="23" t="str">
        <f>VLOOKUP(B751,IF(A751="COMPOSICAO",S!$A:$E,I!$A:$E),4,FALSE)</f>
        <v>H</v>
      </c>
      <c r="F751" s="23">
        <f>0.973/pcf</f>
        <v>0.97299999999999998</v>
      </c>
      <c r="G751" s="71">
        <f>IF(A751="COMPOSICAO",VLOOKUP("TOTAL SEM BDI - "&amp;B751,CPUAUX2!$A:$J,9,FALSE),VLOOKUP(B751,I!$A:$E,5,FALSE))</f>
        <v>3.8299999999999992</v>
      </c>
      <c r="H751" s="72"/>
      <c r="I751" s="71">
        <f t="shared" si="132"/>
        <v>3.72</v>
      </c>
      <c r="J751" s="72"/>
      <c r="M751" s="23" t="str">
        <f t="shared" si="133"/>
        <v>10551/ORSE</v>
      </c>
      <c r="N751" s="23">
        <f>SUMIF(CPU!M:M,B739,CPU!O:O)</f>
        <v>13</v>
      </c>
      <c r="O751" s="23">
        <f t="shared" si="134"/>
        <v>12.648999999999999</v>
      </c>
      <c r="Q751" s="23">
        <f ca="1">SUMIF(CPU!M:M,B739,CPU!R:R)</f>
        <v>5.2</v>
      </c>
      <c r="R751" s="23">
        <f t="shared" ca="1" si="135"/>
        <v>5.0595999999999997</v>
      </c>
    </row>
    <row r="752" spans="1:18" x14ac:dyDescent="0.3">
      <c r="A752" s="68" t="str">
        <f>"TOTAL SEM BDI - "&amp;B739</f>
        <v>TOTAL SEM BDI - 00116/ORSE</v>
      </c>
      <c r="B752" s="69"/>
      <c r="C752" s="69"/>
      <c r="D752" s="69"/>
      <c r="E752" s="69"/>
      <c r="F752" s="69"/>
      <c r="G752" s="69"/>
      <c r="H752" s="70"/>
      <c r="I752" s="71">
        <f>SUM(I739:I751)</f>
        <v>80.710000000000008</v>
      </c>
      <c r="J752" s="72"/>
    </row>
    <row r="754" spans="1:18" x14ac:dyDescent="0.3">
      <c r="A754" s="4" t="s">
        <v>1018</v>
      </c>
      <c r="B754" s="4" t="s">
        <v>138</v>
      </c>
      <c r="C754" s="4" t="s">
        <v>139</v>
      </c>
      <c r="D754" s="4" t="s">
        <v>21</v>
      </c>
      <c r="E754" s="4" t="s">
        <v>140</v>
      </c>
      <c r="F754" s="4" t="s">
        <v>506</v>
      </c>
      <c r="G754" s="34" t="s">
        <v>1019</v>
      </c>
      <c r="H754" s="35"/>
      <c r="I754" s="34" t="s">
        <v>15</v>
      </c>
      <c r="J754" s="35"/>
    </row>
    <row r="755" spans="1:18" ht="30" customHeight="1" x14ac:dyDescent="0.3">
      <c r="A755" s="15" t="s">
        <v>516</v>
      </c>
      <c r="B755" s="15" t="s">
        <v>1088</v>
      </c>
      <c r="C755" s="15" t="str">
        <f>VLOOKUP(B755,S!$A:$G,2,FALSE)</f>
        <v>ORSE</v>
      </c>
      <c r="D755" s="22" t="str">
        <f>VLOOKUP(B755,S!$A:$G,3,FALSE)</f>
        <v>CONCRETO SIMPLES FABRICADO NA OBRA, FCK=15 MPA, LANÇADO E ADENSADO</v>
      </c>
      <c r="E755" s="15" t="str">
        <f>VLOOKUP(B755,S!$A:$G,4,FALSE)</f>
        <v>M3</v>
      </c>
      <c r="F755" s="15"/>
      <c r="G755" s="73">
        <f>I758</f>
        <v>754.81</v>
      </c>
      <c r="H755" s="74"/>
      <c r="I755" s="73"/>
      <c r="J755" s="74"/>
      <c r="K755" s="16">
        <f>VLOOKUP(B755,S!A:G,5,FALSE)</f>
        <v>592.69000000000005</v>
      </c>
      <c r="L755" s="15" t="str">
        <f>IF(K755=G755,"OK, CONFORME TABELA",IF(G755&gt;K755,"ACIMA DA TABELA: ","ABAIXO DA TABELA: ")&amp;TRUNC((G755*100)/K755,2)&amp;" %")</f>
        <v>ACIMA DA TABELA: 127,35 %</v>
      </c>
    </row>
    <row r="756" spans="1:18" ht="30" customHeight="1" x14ac:dyDescent="0.3">
      <c r="A756" s="23" t="s">
        <v>1022</v>
      </c>
      <c r="B756" s="23" t="s">
        <v>1136</v>
      </c>
      <c r="C756" s="23" t="str">
        <f>VLOOKUP(B756,IF(A756="COMPOSICAO",S!$A:$E,I!$A:$E),2,FALSE)</f>
        <v>ORSE</v>
      </c>
      <c r="D756" s="24" t="str">
        <f>VLOOKUP(B756,IF(A756="COMPOSICAO",S!$A:$E,I!$A:$E),3,FALSE)</f>
        <v>CONCRETO SIMPLES FCK= 15 MPA (B1/B2), FABRICADO NA OBRA, SEM LANÇAMENTO E ADENSAMENTO</v>
      </c>
      <c r="E756" s="23" t="str">
        <f>VLOOKUP(B756,IF(A756="COMPOSICAO",S!$A:$E,I!$A:$E),4,FALSE)</f>
        <v>M3</v>
      </c>
      <c r="F756" s="23">
        <v>1</v>
      </c>
      <c r="G756" s="71">
        <f>IF(A756="COMPOSICAO",VLOOKUP("TOTAL SEM BDI - "&amp;B756,CPUAUX2!$A:$J,9,FALSE),VLOOKUP(B756,I!$A:$E,5,FALSE))</f>
        <v>702.66</v>
      </c>
      <c r="H756" s="72"/>
      <c r="I756" s="71">
        <f>TRUNC(F756*G756,2)</f>
        <v>702.66</v>
      </c>
      <c r="J756" s="72"/>
      <c r="M756" s="23" t="str">
        <f>B756</f>
        <v>00125/ORSE</v>
      </c>
      <c r="N756" s="23">
        <f>SUMIF(CPU!M:M,B755,CPU!O:O)</f>
        <v>1.3</v>
      </c>
      <c r="O756" s="23">
        <f>F756*N756</f>
        <v>1.3</v>
      </c>
      <c r="Q756" s="23">
        <f ca="1">SUMIF(CPU!M:M,B755,CPU!R:R)</f>
        <v>0.52</v>
      </c>
      <c r="R756" s="23">
        <f ca="1">F756*Q756</f>
        <v>0.52</v>
      </c>
    </row>
    <row r="757" spans="1:18" ht="45" customHeight="1" x14ac:dyDescent="0.3">
      <c r="A757" s="23" t="s">
        <v>1022</v>
      </c>
      <c r="B757" s="23" t="s">
        <v>1137</v>
      </c>
      <c r="C757" s="23" t="str">
        <f>VLOOKUP(B757,IF(A757="COMPOSICAO",S!$A:$E,I!$A:$E),2,FALSE)</f>
        <v>ORSE</v>
      </c>
      <c r="D757" s="24" t="str">
        <f>VLOOKUP(B757,IF(A757="COMPOSICAO",S!$A:$E,I!$A:$E),3,FALSE)</f>
        <v>LANÇAMENTO DE CONCRETO SIMPLES FABRICADO NA OBRA, INCLUSIVE ADENSAMENTO E ACABAMENTO EM PEÇAS DA SUPERESTRUTURA</v>
      </c>
      <c r="E757" s="23" t="str">
        <f>VLOOKUP(B757,IF(A757="COMPOSICAO",S!$A:$E,I!$A:$E),4,FALSE)</f>
        <v>M3</v>
      </c>
      <c r="F757" s="23">
        <v>1</v>
      </c>
      <c r="G757" s="71">
        <f>IF(A757="COMPOSICAO",VLOOKUP("TOTAL SEM BDI - "&amp;B757,CPUAUX2!$A:$J,9,FALSE),VLOOKUP(B757,I!$A:$E,5,FALSE))</f>
        <v>52.15</v>
      </c>
      <c r="H757" s="72"/>
      <c r="I757" s="71">
        <f>TRUNC(F757*G757,2)</f>
        <v>52.15</v>
      </c>
      <c r="J757" s="72"/>
      <c r="M757" s="23" t="str">
        <f>B757</f>
        <v>07692/ORSE</v>
      </c>
      <c r="N757" s="23">
        <f>SUMIF(CPU!M:M,B755,CPU!O:O)</f>
        <v>1.3</v>
      </c>
      <c r="O757" s="23">
        <f>F757*N757</f>
        <v>1.3</v>
      </c>
      <c r="Q757" s="23">
        <f ca="1">SUMIF(CPU!M:M,B755,CPU!R:R)</f>
        <v>0.52</v>
      </c>
      <c r="R757" s="23">
        <f ca="1">F757*Q757</f>
        <v>0.52</v>
      </c>
    </row>
    <row r="758" spans="1:18" x14ac:dyDescent="0.3">
      <c r="A758" s="68" t="str">
        <f>"TOTAL SEM BDI - "&amp;B755</f>
        <v>TOTAL SEM BDI - 00126/ORSE</v>
      </c>
      <c r="B758" s="69"/>
      <c r="C758" s="69"/>
      <c r="D758" s="69"/>
      <c r="E758" s="69"/>
      <c r="F758" s="69"/>
      <c r="G758" s="69"/>
      <c r="H758" s="70"/>
      <c r="I758" s="71">
        <f>SUM(I755:I757)</f>
        <v>754.81</v>
      </c>
      <c r="J758" s="72"/>
    </row>
    <row r="760" spans="1:18" x14ac:dyDescent="0.3">
      <c r="A760" s="4" t="s">
        <v>1018</v>
      </c>
      <c r="B760" s="4" t="s">
        <v>138</v>
      </c>
      <c r="C760" s="4" t="s">
        <v>139</v>
      </c>
      <c r="D760" s="4" t="s">
        <v>21</v>
      </c>
      <c r="E760" s="4" t="s">
        <v>140</v>
      </c>
      <c r="F760" s="4" t="s">
        <v>506</v>
      </c>
      <c r="G760" s="34" t="s">
        <v>1019</v>
      </c>
      <c r="H760" s="35"/>
      <c r="I760" s="34" t="s">
        <v>15</v>
      </c>
      <c r="J760" s="35"/>
    </row>
    <row r="761" spans="1:18" ht="60" customHeight="1" x14ac:dyDescent="0.3">
      <c r="A761" s="15" t="s">
        <v>516</v>
      </c>
      <c r="B761" s="15" t="s">
        <v>1089</v>
      </c>
      <c r="C761" s="15" t="str">
        <f>VLOOKUP(B761,S!$A:$G,2,FALSE)</f>
        <v>ORSE</v>
      </c>
      <c r="D761" s="22" t="str">
        <f>VLOOKUP(B761,S!$A:$G,3,FALSE)</f>
        <v>AÇO CA - 50 Ø 6,3 A 12,5MM, INCLUSIVE CORTE, DOBRAGEM, MONTAGEM E COLOCACAO DE FERRAGENS NAS FORMAS, PARA SUPERESTRUTURAS E FUNDAÇÕES - R1</v>
      </c>
      <c r="E761" s="15" t="str">
        <f>VLOOKUP(B761,S!$A:$G,4,FALSE)</f>
        <v>KG</v>
      </c>
      <c r="F761" s="15"/>
      <c r="G761" s="73">
        <f>I770</f>
        <v>13.200000000000003</v>
      </c>
      <c r="H761" s="74"/>
      <c r="I761" s="73"/>
      <c r="J761" s="74"/>
      <c r="K761" s="16">
        <f>VLOOKUP(B761,S!A:G,5,FALSE)</f>
        <v>13.24</v>
      </c>
      <c r="L761" s="15" t="str">
        <f>IF(K761=G761,"OK, CONFORME TABELA",IF(G761&gt;K761,"ACIMA DA TABELA: ","ABAIXO DA TABELA: ")&amp;TRUNC((G761*100)/K761,2)&amp;" %")</f>
        <v>ABAIXO DA TABELA: 99,69 %</v>
      </c>
    </row>
    <row r="762" spans="1:18" x14ac:dyDescent="0.3">
      <c r="A762" s="23" t="s">
        <v>1025</v>
      </c>
      <c r="B762" s="23" t="s">
        <v>1138</v>
      </c>
      <c r="C762" s="23" t="str">
        <f>VLOOKUP(B762,IF(A762="COMPOSICAO",S!$A:$E,I!$A:$E),2,FALSE)</f>
        <v>ORSE</v>
      </c>
      <c r="D762" s="24" t="str">
        <f>VLOOKUP(B762,IF(A762="COMPOSICAO",S!$A:$E,I!$A:$E),3,FALSE)</f>
        <v>AÇO CA-50 6,3 A 12,5 MM</v>
      </c>
      <c r="E762" s="23" t="str">
        <f>VLOOKUP(B762,IF(A762="COMPOSICAO",S!$A:$E,I!$A:$E),4,FALSE)</f>
        <v>KG</v>
      </c>
      <c r="F762" s="23">
        <v>1</v>
      </c>
      <c r="G762" s="71">
        <f>IF(A762="COMPOSICAO",VLOOKUP("TOTAL SEM BDI - "&amp;B762,CPUAUX2!$A:$J,9,FALSE),VLOOKUP(B762,I!$A:$E,5,FALSE))</f>
        <v>9.14</v>
      </c>
      <c r="H762" s="72"/>
      <c r="I762" s="71">
        <f t="shared" ref="I762:I769" si="136">TRUNC(F762*G762,2)</f>
        <v>9.14</v>
      </c>
      <c r="J762" s="72"/>
      <c r="M762" s="23" t="str">
        <f t="shared" ref="M762:M769" si="137">B762</f>
        <v>00081/ORSE</v>
      </c>
      <c r="N762" s="23">
        <f>SUMIF(CPU!M:M,B761,CPU!O:O)</f>
        <v>104</v>
      </c>
      <c r="O762" s="23">
        <f t="shared" ref="O762:O769" si="138">F762*N762</f>
        <v>104</v>
      </c>
      <c r="Q762" s="23">
        <f ca="1">SUMIF(CPU!M:M,B761,CPU!R:R)</f>
        <v>41.6</v>
      </c>
      <c r="R762" s="23">
        <f t="shared" ref="R762:R769" ca="1" si="139">F762*Q762</f>
        <v>41.6</v>
      </c>
    </row>
    <row r="763" spans="1:18" x14ac:dyDescent="0.3">
      <c r="A763" s="23" t="s">
        <v>1025</v>
      </c>
      <c r="B763" s="23">
        <v>378</v>
      </c>
      <c r="C763" s="23" t="str">
        <f>VLOOKUP(B763,IF(A763="COMPOSICAO",S!$A:$E,I!$A:$E),2,FALSE)</f>
        <v>SINAPI</v>
      </c>
      <c r="D763" s="24" t="str">
        <f>VLOOKUP(B763,IF(A763="COMPOSICAO",S!$A:$E,I!$A:$E),3,FALSE)</f>
        <v>ARMADOR (HORISTA)</v>
      </c>
      <c r="E763" s="23" t="str">
        <f>VLOOKUP(B763,IF(A763="COMPOSICAO",S!$A:$E,I!$A:$E),4,FALSE)</f>
        <v>H</v>
      </c>
      <c r="F763" s="23">
        <f>0.08/pcf</f>
        <v>0.08</v>
      </c>
      <c r="G763" s="71">
        <f>IF(A763="COMPOSICAO",VLOOKUP("TOTAL SEM BDI - "&amp;B763,CPUAUX2!$A:$J,9,FALSE),VLOOKUP(B763,I!$A:$E,5,FALSE))</f>
        <v>20.329999999999998</v>
      </c>
      <c r="H763" s="72"/>
      <c r="I763" s="71">
        <f t="shared" si="136"/>
        <v>1.62</v>
      </c>
      <c r="J763" s="72"/>
      <c r="M763" s="23">
        <f t="shared" si="137"/>
        <v>378</v>
      </c>
      <c r="N763" s="23">
        <f>SUMIF(CPU!M:M,B761,CPU!O:O)</f>
        <v>104</v>
      </c>
      <c r="O763" s="23">
        <f t="shared" si="138"/>
        <v>8.32</v>
      </c>
      <c r="Q763" s="23">
        <f ca="1">SUMIF(CPU!M:M,B761,CPU!R:R)</f>
        <v>41.6</v>
      </c>
      <c r="R763" s="23">
        <f t="shared" ca="1" si="139"/>
        <v>3.3280000000000003</v>
      </c>
    </row>
    <row r="764" spans="1:18" x14ac:dyDescent="0.3">
      <c r="A764" s="23" t="s">
        <v>1025</v>
      </c>
      <c r="B764" s="23">
        <v>6111</v>
      </c>
      <c r="C764" s="23" t="str">
        <f>VLOOKUP(B764,IF(A764="COMPOSICAO",S!$A:$E,I!$A:$E),2,FALSE)</f>
        <v>SINAPI</v>
      </c>
      <c r="D764" s="24" t="str">
        <f>VLOOKUP(B764,IF(A764="COMPOSICAO",S!$A:$E,I!$A:$E),3,FALSE)</f>
        <v>SERVENTE DE OBRAS (HORISTA)</v>
      </c>
      <c r="E764" s="23" t="str">
        <f>VLOOKUP(B764,IF(A764="COMPOSICAO",S!$A:$E,I!$A:$E),4,FALSE)</f>
        <v>H</v>
      </c>
      <c r="F764" s="23">
        <f>0.08/pcf</f>
        <v>0.08</v>
      </c>
      <c r="G764" s="71">
        <f>IF(A764="COMPOSICAO",VLOOKUP("TOTAL SEM BDI - "&amp;B764,CPUAUX2!$A:$J,9,FALSE),VLOOKUP(B764,I!$A:$E,5,FALSE))</f>
        <v>14.86</v>
      </c>
      <c r="H764" s="72"/>
      <c r="I764" s="71">
        <f t="shared" si="136"/>
        <v>1.18</v>
      </c>
      <c r="J764" s="72"/>
      <c r="M764" s="23">
        <f t="shared" si="137"/>
        <v>6111</v>
      </c>
      <c r="N764" s="23">
        <f>SUMIF(CPU!M:M,B761,CPU!O:O)</f>
        <v>104</v>
      </c>
      <c r="O764" s="23">
        <f t="shared" si="138"/>
        <v>8.32</v>
      </c>
      <c r="Q764" s="23">
        <f ca="1">SUMIF(CPU!M:M,B761,CPU!R:R)</f>
        <v>41.6</v>
      </c>
      <c r="R764" s="23">
        <f t="shared" ca="1" si="139"/>
        <v>3.3280000000000003</v>
      </c>
    </row>
    <row r="765" spans="1:18" ht="45" customHeight="1" x14ac:dyDescent="0.3">
      <c r="A765" s="23" t="s">
        <v>1025</v>
      </c>
      <c r="B765" s="23">
        <v>39017</v>
      </c>
      <c r="C765" s="23" t="str">
        <f>VLOOKUP(B765,IF(A765="COMPOSICAO",S!$A:$E,I!$A:$E),2,FALSE)</f>
        <v>SINAPI</v>
      </c>
      <c r="D765" s="24" t="str">
        <f>VLOOKUP(B765,IF(A765="COMPOSICAO",S!$A:$E,I!$A:$E),3,FALSE)</f>
        <v>ESPACADOR / DISTANCIADOR CIRCULAR COM ENTRADA LATERAL, EM PLASTICO, PARA VERGALHAO *4,2 A 12,5* MM, COBRIMENTO 20 MM</v>
      </c>
      <c r="E765" s="23" t="str">
        <f>VLOOKUP(B765,IF(A765="COMPOSICAO",S!$A:$E,I!$A:$E),4,FALSE)</f>
        <v>UN</v>
      </c>
      <c r="F765" s="23">
        <v>0.4</v>
      </c>
      <c r="G765" s="71">
        <f>IF(A765="COMPOSICAO",VLOOKUP("TOTAL SEM BDI - "&amp;B765,CPUAUX2!$A:$J,9,FALSE),VLOOKUP(B765,I!$A:$E,5,FALSE))</f>
        <v>0.22</v>
      </c>
      <c r="H765" s="72"/>
      <c r="I765" s="71">
        <f t="shared" si="136"/>
        <v>0.08</v>
      </c>
      <c r="J765" s="72"/>
      <c r="M765" s="23">
        <f t="shared" si="137"/>
        <v>39017</v>
      </c>
      <c r="N765" s="23">
        <f>SUMIF(CPU!M:M,B761,CPU!O:O)</f>
        <v>104</v>
      </c>
      <c r="O765" s="23">
        <f t="shared" si="138"/>
        <v>41.6</v>
      </c>
      <c r="Q765" s="23">
        <f ca="1">SUMIF(CPU!M:M,B761,CPU!R:R)</f>
        <v>41.6</v>
      </c>
      <c r="R765" s="23">
        <f t="shared" ca="1" si="139"/>
        <v>16.64</v>
      </c>
    </row>
    <row r="766" spans="1:18" ht="45" customHeight="1" x14ac:dyDescent="0.3">
      <c r="A766" s="23" t="s">
        <v>1025</v>
      </c>
      <c r="B766" s="23">
        <v>39315</v>
      </c>
      <c r="C766" s="23" t="str">
        <f>VLOOKUP(B766,IF(A766="COMPOSICAO",S!$A:$E,I!$A:$E),2,FALSE)</f>
        <v>SINAPI</v>
      </c>
      <c r="D766" s="24" t="str">
        <f>VLOOKUP(B766,IF(A766="COMPOSICAO",S!$A:$E,I!$A:$E),3,FALSE)</f>
        <v>ESPACADOR / DISTANCIADOR TIPO GARRA DUPLA, EM PLASTICO, COBRIMENTO *20* MM, PARA FERRAGENS DE LAJES E FUNDO DE VIGAS</v>
      </c>
      <c r="E766" s="23" t="str">
        <f>VLOOKUP(B766,IF(A766="COMPOSICAO",S!$A:$E,I!$A:$E),4,FALSE)</f>
        <v>UN</v>
      </c>
      <c r="F766" s="23">
        <v>0.4</v>
      </c>
      <c r="G766" s="71">
        <f>IF(A766="COMPOSICAO",VLOOKUP("TOTAL SEM BDI - "&amp;B766,CPUAUX2!$A:$J,9,FALSE),VLOOKUP(B766,I!$A:$E,5,FALSE))</f>
        <v>0.36</v>
      </c>
      <c r="H766" s="72"/>
      <c r="I766" s="71">
        <f t="shared" si="136"/>
        <v>0.14000000000000001</v>
      </c>
      <c r="J766" s="72"/>
      <c r="M766" s="23">
        <f t="shared" si="137"/>
        <v>39315</v>
      </c>
      <c r="N766" s="23">
        <f>SUMIF(CPU!M:M,B761,CPU!O:O)</f>
        <v>104</v>
      </c>
      <c r="O766" s="23">
        <f t="shared" si="138"/>
        <v>41.6</v>
      </c>
      <c r="Q766" s="23">
        <f ca="1">SUMIF(CPU!M:M,B761,CPU!R:R)</f>
        <v>41.6</v>
      </c>
      <c r="R766" s="23">
        <f t="shared" ca="1" si="139"/>
        <v>16.64</v>
      </c>
    </row>
    <row r="767" spans="1:18" ht="30" customHeight="1" x14ac:dyDescent="0.3">
      <c r="A767" s="23" t="s">
        <v>1025</v>
      </c>
      <c r="B767" s="23">
        <v>43132</v>
      </c>
      <c r="C767" s="23" t="str">
        <f>VLOOKUP(B767,IF(A767="COMPOSICAO",S!$A:$E,I!$A:$E),2,FALSE)</f>
        <v>SINAPI</v>
      </c>
      <c r="D767" s="24" t="str">
        <f>VLOOKUP(B767,IF(A767="COMPOSICAO",S!$A:$E,I!$A:$E),3,FALSE)</f>
        <v>ARAME RECOZIDO 16 BWG, D = 1,65 MM (0,016 KG/M) OU 18 BWG, D = 1,25 MM (0,01 KG/M)</v>
      </c>
      <c r="E767" s="23" t="str">
        <f>VLOOKUP(B767,IF(A767="COMPOSICAO",S!$A:$E,I!$A:$E),4,FALSE)</f>
        <v>KG</v>
      </c>
      <c r="F767" s="23">
        <v>0.02</v>
      </c>
      <c r="G767" s="71">
        <f>IF(A767="COMPOSICAO",VLOOKUP("TOTAL SEM BDI - "&amp;B767,CPUAUX2!$A:$J,9,FALSE),VLOOKUP(B767,I!$A:$E,5,FALSE))</f>
        <v>21.59</v>
      </c>
      <c r="H767" s="72"/>
      <c r="I767" s="71">
        <f t="shared" si="136"/>
        <v>0.43</v>
      </c>
      <c r="J767" s="72"/>
      <c r="M767" s="23">
        <f t="shared" si="137"/>
        <v>43132</v>
      </c>
      <c r="N767" s="23">
        <f>SUMIF(CPU!M:M,B761,CPU!O:O)</f>
        <v>104</v>
      </c>
      <c r="O767" s="23">
        <f t="shared" si="138"/>
        <v>2.08</v>
      </c>
      <c r="Q767" s="23">
        <f ca="1">SUMIF(CPU!M:M,B761,CPU!R:R)</f>
        <v>41.6</v>
      </c>
      <c r="R767" s="23">
        <f t="shared" ca="1" si="139"/>
        <v>0.83200000000000007</v>
      </c>
    </row>
    <row r="768" spans="1:18" x14ac:dyDescent="0.3">
      <c r="A768" s="23" t="s">
        <v>1022</v>
      </c>
      <c r="B768" s="23" t="s">
        <v>1076</v>
      </c>
      <c r="C768" s="23" t="str">
        <f>VLOOKUP(B768,IF(A768="COMPOSICAO",S!$A:$E,I!$A:$E),2,FALSE)</f>
        <v>ORSE</v>
      </c>
      <c r="D768" s="24" t="str">
        <f>VLOOKUP(B768,IF(A768="COMPOSICAO",S!$A:$E,I!$A:$E),3,FALSE)</f>
        <v>ENCARGOS COMPLEMENTARES - SERVENTE</v>
      </c>
      <c r="E768" s="23" t="str">
        <f>VLOOKUP(B768,IF(A768="COMPOSICAO",S!$A:$E,I!$A:$E),4,FALSE)</f>
        <v>H</v>
      </c>
      <c r="F768" s="23">
        <f>0.08/pcf</f>
        <v>0.08</v>
      </c>
      <c r="G768" s="71">
        <f>IF(A768="COMPOSICAO",VLOOKUP("TOTAL SEM BDI - "&amp;B768,CPUAUX2!$A:$J,9,FALSE),VLOOKUP(B768,I!$A:$E,5,FALSE))</f>
        <v>3.9599999999999991</v>
      </c>
      <c r="H768" s="72"/>
      <c r="I768" s="71">
        <f t="shared" si="136"/>
        <v>0.31</v>
      </c>
      <c r="J768" s="72"/>
      <c r="M768" s="23" t="str">
        <f t="shared" si="137"/>
        <v>10549/ORSE</v>
      </c>
      <c r="N768" s="23">
        <f>SUMIF(CPU!M:M,B761,CPU!O:O)</f>
        <v>104</v>
      </c>
      <c r="O768" s="23">
        <f t="shared" si="138"/>
        <v>8.32</v>
      </c>
      <c r="Q768" s="23">
        <f ca="1">SUMIF(CPU!M:M,B761,CPU!R:R)</f>
        <v>41.6</v>
      </c>
      <c r="R768" s="23">
        <f t="shared" ca="1" si="139"/>
        <v>3.3280000000000003</v>
      </c>
    </row>
    <row r="769" spans="1:18" x14ac:dyDescent="0.3">
      <c r="A769" s="23" t="s">
        <v>1022</v>
      </c>
      <c r="B769" s="23" t="s">
        <v>1139</v>
      </c>
      <c r="C769" s="23" t="str">
        <f>VLOOKUP(B769,IF(A769="COMPOSICAO",S!$A:$E,I!$A:$E),2,FALSE)</f>
        <v>ORSE</v>
      </c>
      <c r="D769" s="24" t="str">
        <f>VLOOKUP(B769,IF(A769="COMPOSICAO",S!$A:$E,I!$A:$E),3,FALSE)</f>
        <v>ENCARGOS COMPLEMENTARES - ARMADOR</v>
      </c>
      <c r="E769" s="23" t="str">
        <f>VLOOKUP(B769,IF(A769="COMPOSICAO",S!$A:$E,I!$A:$E),4,FALSE)</f>
        <v>H</v>
      </c>
      <c r="F769" s="23">
        <f>0.08/pcf</f>
        <v>0.08</v>
      </c>
      <c r="G769" s="71">
        <f>IF(A769="COMPOSICAO",VLOOKUP("TOTAL SEM BDI - "&amp;B769,CPUAUX2!$A:$J,9,FALSE),VLOOKUP(B769,I!$A:$E,5,FALSE))</f>
        <v>3.7599999999999993</v>
      </c>
      <c r="H769" s="72"/>
      <c r="I769" s="71">
        <f t="shared" si="136"/>
        <v>0.3</v>
      </c>
      <c r="J769" s="72"/>
      <c r="M769" s="23" t="str">
        <f t="shared" si="137"/>
        <v>10555/ORSE</v>
      </c>
      <c r="N769" s="23">
        <f>SUMIF(CPU!M:M,B761,CPU!O:O)</f>
        <v>104</v>
      </c>
      <c r="O769" s="23">
        <f t="shared" si="138"/>
        <v>8.32</v>
      </c>
      <c r="Q769" s="23">
        <f ca="1">SUMIF(CPU!M:M,B761,CPU!R:R)</f>
        <v>41.6</v>
      </c>
      <c r="R769" s="23">
        <f t="shared" ca="1" si="139"/>
        <v>3.3280000000000003</v>
      </c>
    </row>
    <row r="770" spans="1:18" x14ac:dyDescent="0.3">
      <c r="A770" s="68" t="str">
        <f>"TOTAL SEM BDI - "&amp;B761</f>
        <v>TOTAL SEM BDI - 00140/ORSE</v>
      </c>
      <c r="B770" s="69"/>
      <c r="C770" s="69"/>
      <c r="D770" s="69"/>
      <c r="E770" s="69"/>
      <c r="F770" s="69"/>
      <c r="G770" s="69"/>
      <c r="H770" s="70"/>
      <c r="I770" s="71">
        <f>SUM(I761:I769)</f>
        <v>13.200000000000003</v>
      </c>
      <c r="J770" s="72"/>
    </row>
  </sheetData>
  <mergeCells count="1379">
    <mergeCell ref="A1:J1"/>
    <mergeCell ref="A2:J2"/>
    <mergeCell ref="A3:J3"/>
    <mergeCell ref="N4:P4"/>
    <mergeCell ref="Q4:S4"/>
    <mergeCell ref="G6:H6"/>
    <mergeCell ref="I6:J6"/>
    <mergeCell ref="G13:H13"/>
    <mergeCell ref="I13:J13"/>
    <mergeCell ref="A14:H14"/>
    <mergeCell ref="I14:J14"/>
    <mergeCell ref="G16:H16"/>
    <mergeCell ref="I16:J16"/>
    <mergeCell ref="G10:H10"/>
    <mergeCell ref="I10:J10"/>
    <mergeCell ref="G11:H11"/>
    <mergeCell ref="I11:J11"/>
    <mergeCell ref="G12:H12"/>
    <mergeCell ref="I12:J12"/>
    <mergeCell ref="G7:H7"/>
    <mergeCell ref="I7:J7"/>
    <mergeCell ref="G8:H8"/>
    <mergeCell ref="I8:J8"/>
    <mergeCell ref="G9:H9"/>
    <mergeCell ref="I9:J9"/>
    <mergeCell ref="G23:H23"/>
    <mergeCell ref="I23:J23"/>
    <mergeCell ref="A24:H24"/>
    <mergeCell ref="I24:J24"/>
    <mergeCell ref="G26:H26"/>
    <mergeCell ref="I26:J26"/>
    <mergeCell ref="G20:H20"/>
    <mergeCell ref="I20:J20"/>
    <mergeCell ref="G21:H21"/>
    <mergeCell ref="I21:J21"/>
    <mergeCell ref="G22:H22"/>
    <mergeCell ref="I22:J22"/>
    <mergeCell ref="G17:H17"/>
    <mergeCell ref="I17:J17"/>
    <mergeCell ref="G18:H18"/>
    <mergeCell ref="I18:J18"/>
    <mergeCell ref="G19:H19"/>
    <mergeCell ref="I19:J19"/>
    <mergeCell ref="G33:H33"/>
    <mergeCell ref="I33:J33"/>
    <mergeCell ref="A34:H34"/>
    <mergeCell ref="I34:J34"/>
    <mergeCell ref="G36:H36"/>
    <mergeCell ref="I36:J36"/>
    <mergeCell ref="G30:H30"/>
    <mergeCell ref="I30:J30"/>
    <mergeCell ref="G31:H31"/>
    <mergeCell ref="I31:J31"/>
    <mergeCell ref="G32:H32"/>
    <mergeCell ref="I32:J32"/>
    <mergeCell ref="G27:H27"/>
    <mergeCell ref="I27:J27"/>
    <mergeCell ref="G28:H28"/>
    <mergeCell ref="I28:J28"/>
    <mergeCell ref="G29:H29"/>
    <mergeCell ref="I29:J29"/>
    <mergeCell ref="G43:H43"/>
    <mergeCell ref="I43:J43"/>
    <mergeCell ref="G44:H44"/>
    <mergeCell ref="I44:J44"/>
    <mergeCell ref="G45:H45"/>
    <mergeCell ref="I45:J45"/>
    <mergeCell ref="G40:H40"/>
    <mergeCell ref="I40:J40"/>
    <mergeCell ref="G41:H41"/>
    <mergeCell ref="I41:J41"/>
    <mergeCell ref="G42:H42"/>
    <mergeCell ref="I42:J42"/>
    <mergeCell ref="G37:H37"/>
    <mergeCell ref="I37:J37"/>
    <mergeCell ref="G38:H38"/>
    <mergeCell ref="I38:J38"/>
    <mergeCell ref="G39:H39"/>
    <mergeCell ref="I39:J39"/>
    <mergeCell ref="G53:H53"/>
    <mergeCell ref="I53:J53"/>
    <mergeCell ref="G54:H54"/>
    <mergeCell ref="I54:J54"/>
    <mergeCell ref="G55:H55"/>
    <mergeCell ref="I55:J55"/>
    <mergeCell ref="G50:H50"/>
    <mergeCell ref="I50:J50"/>
    <mergeCell ref="G51:H51"/>
    <mergeCell ref="I51:J51"/>
    <mergeCell ref="G52:H52"/>
    <mergeCell ref="I52:J52"/>
    <mergeCell ref="A46:H46"/>
    <mergeCell ref="I46:J46"/>
    <mergeCell ref="G48:H48"/>
    <mergeCell ref="I48:J48"/>
    <mergeCell ref="G49:H49"/>
    <mergeCell ref="I49:J49"/>
    <mergeCell ref="G63:H63"/>
    <mergeCell ref="I63:J63"/>
    <mergeCell ref="G64:H64"/>
    <mergeCell ref="I64:J64"/>
    <mergeCell ref="G65:H65"/>
    <mergeCell ref="I65:J65"/>
    <mergeCell ref="G60:H60"/>
    <mergeCell ref="I60:J60"/>
    <mergeCell ref="G61:H61"/>
    <mergeCell ref="I61:J61"/>
    <mergeCell ref="G62:H62"/>
    <mergeCell ref="I62:J62"/>
    <mergeCell ref="A56:H56"/>
    <mergeCell ref="I56:J56"/>
    <mergeCell ref="G58:H58"/>
    <mergeCell ref="I58:J58"/>
    <mergeCell ref="G59:H59"/>
    <mergeCell ref="I59:J59"/>
    <mergeCell ref="G73:H73"/>
    <mergeCell ref="I73:J73"/>
    <mergeCell ref="G74:H74"/>
    <mergeCell ref="I74:J74"/>
    <mergeCell ref="G75:H75"/>
    <mergeCell ref="I75:J75"/>
    <mergeCell ref="G70:H70"/>
    <mergeCell ref="I70:J70"/>
    <mergeCell ref="G71:H71"/>
    <mergeCell ref="I71:J71"/>
    <mergeCell ref="G72:H72"/>
    <mergeCell ref="I72:J72"/>
    <mergeCell ref="A66:H66"/>
    <mergeCell ref="I66:J66"/>
    <mergeCell ref="G68:H68"/>
    <mergeCell ref="I68:J68"/>
    <mergeCell ref="G69:H69"/>
    <mergeCell ref="I69:J69"/>
    <mergeCell ref="G83:H83"/>
    <mergeCell ref="I83:J83"/>
    <mergeCell ref="G84:H84"/>
    <mergeCell ref="I84:J84"/>
    <mergeCell ref="G85:H85"/>
    <mergeCell ref="I85:J85"/>
    <mergeCell ref="G80:H80"/>
    <mergeCell ref="I80:J80"/>
    <mergeCell ref="G81:H81"/>
    <mergeCell ref="I81:J81"/>
    <mergeCell ref="G82:H82"/>
    <mergeCell ref="I82:J82"/>
    <mergeCell ref="G76:H76"/>
    <mergeCell ref="I76:J76"/>
    <mergeCell ref="G77:H77"/>
    <mergeCell ref="I77:J77"/>
    <mergeCell ref="A78:H78"/>
    <mergeCell ref="I78:J78"/>
    <mergeCell ref="G93:H93"/>
    <mergeCell ref="I93:J93"/>
    <mergeCell ref="G94:H94"/>
    <mergeCell ref="I94:J94"/>
    <mergeCell ref="G95:H95"/>
    <mergeCell ref="I95:J95"/>
    <mergeCell ref="G89:H89"/>
    <mergeCell ref="I89:J89"/>
    <mergeCell ref="A90:H90"/>
    <mergeCell ref="I90:J90"/>
    <mergeCell ref="G92:H92"/>
    <mergeCell ref="I92:J92"/>
    <mergeCell ref="G86:H86"/>
    <mergeCell ref="I86:J86"/>
    <mergeCell ref="G87:H87"/>
    <mergeCell ref="I87:J87"/>
    <mergeCell ref="G88:H88"/>
    <mergeCell ref="I88:J88"/>
    <mergeCell ref="A102:H102"/>
    <mergeCell ref="I102:J102"/>
    <mergeCell ref="G104:H104"/>
    <mergeCell ref="I104:J104"/>
    <mergeCell ref="G105:H105"/>
    <mergeCell ref="I105:J105"/>
    <mergeCell ref="G99:H99"/>
    <mergeCell ref="I99:J99"/>
    <mergeCell ref="G100:H100"/>
    <mergeCell ref="I100:J100"/>
    <mergeCell ref="G101:H101"/>
    <mergeCell ref="I101:J101"/>
    <mergeCell ref="G96:H96"/>
    <mergeCell ref="I96:J96"/>
    <mergeCell ref="G97:H97"/>
    <mergeCell ref="I97:J97"/>
    <mergeCell ref="G98:H98"/>
    <mergeCell ref="I98:J98"/>
    <mergeCell ref="G112:H112"/>
    <mergeCell ref="I112:J112"/>
    <mergeCell ref="G113:H113"/>
    <mergeCell ref="I113:J113"/>
    <mergeCell ref="A114:H114"/>
    <mergeCell ref="I114:J114"/>
    <mergeCell ref="G109:H109"/>
    <mergeCell ref="I109:J109"/>
    <mergeCell ref="G110:H110"/>
    <mergeCell ref="I110:J110"/>
    <mergeCell ref="G111:H111"/>
    <mergeCell ref="I111:J111"/>
    <mergeCell ref="G106:H106"/>
    <mergeCell ref="I106:J106"/>
    <mergeCell ref="G107:H107"/>
    <mergeCell ref="I107:J107"/>
    <mergeCell ref="G108:H108"/>
    <mergeCell ref="I108:J108"/>
    <mergeCell ref="G122:H122"/>
    <mergeCell ref="I122:J122"/>
    <mergeCell ref="A123:H123"/>
    <mergeCell ref="I123:J123"/>
    <mergeCell ref="G125:H125"/>
    <mergeCell ref="I125:J125"/>
    <mergeCell ref="G119:H119"/>
    <mergeCell ref="I119:J119"/>
    <mergeCell ref="G120:H120"/>
    <mergeCell ref="I120:J120"/>
    <mergeCell ref="G121:H121"/>
    <mergeCell ref="I121:J121"/>
    <mergeCell ref="G116:H116"/>
    <mergeCell ref="I116:J116"/>
    <mergeCell ref="G117:H117"/>
    <mergeCell ref="I117:J117"/>
    <mergeCell ref="G118:H118"/>
    <mergeCell ref="I118:J118"/>
    <mergeCell ref="G132:H132"/>
    <mergeCell ref="I132:J132"/>
    <mergeCell ref="G133:H133"/>
    <mergeCell ref="I133:J133"/>
    <mergeCell ref="A134:H134"/>
    <mergeCell ref="I134:J134"/>
    <mergeCell ref="G129:H129"/>
    <mergeCell ref="I129:J129"/>
    <mergeCell ref="G130:H130"/>
    <mergeCell ref="I130:J130"/>
    <mergeCell ref="G131:H131"/>
    <mergeCell ref="I131:J131"/>
    <mergeCell ref="G126:H126"/>
    <mergeCell ref="I126:J126"/>
    <mergeCell ref="G127:H127"/>
    <mergeCell ref="I127:J127"/>
    <mergeCell ref="G128:H128"/>
    <mergeCell ref="I128:J128"/>
    <mergeCell ref="G142:H142"/>
    <mergeCell ref="I142:J142"/>
    <mergeCell ref="G143:H143"/>
    <mergeCell ref="I143:J143"/>
    <mergeCell ref="G144:H144"/>
    <mergeCell ref="I144:J144"/>
    <mergeCell ref="G139:H139"/>
    <mergeCell ref="I139:J139"/>
    <mergeCell ref="G140:H140"/>
    <mergeCell ref="I140:J140"/>
    <mergeCell ref="G141:H141"/>
    <mergeCell ref="I141:J141"/>
    <mergeCell ref="G136:H136"/>
    <mergeCell ref="I136:J136"/>
    <mergeCell ref="G137:H137"/>
    <mergeCell ref="I137:J137"/>
    <mergeCell ref="G138:H138"/>
    <mergeCell ref="I138:J138"/>
    <mergeCell ref="G152:H152"/>
    <mergeCell ref="I152:J152"/>
    <mergeCell ref="G153:H153"/>
    <mergeCell ref="I153:J153"/>
    <mergeCell ref="G154:H154"/>
    <mergeCell ref="I154:J154"/>
    <mergeCell ref="G149:H149"/>
    <mergeCell ref="I149:J149"/>
    <mergeCell ref="G150:H150"/>
    <mergeCell ref="I150:J150"/>
    <mergeCell ref="G151:H151"/>
    <mergeCell ref="I151:J151"/>
    <mergeCell ref="A145:H145"/>
    <mergeCell ref="I145:J145"/>
    <mergeCell ref="G147:H147"/>
    <mergeCell ref="I147:J147"/>
    <mergeCell ref="G148:H148"/>
    <mergeCell ref="I148:J148"/>
    <mergeCell ref="A162:H162"/>
    <mergeCell ref="I162:J162"/>
    <mergeCell ref="G164:H164"/>
    <mergeCell ref="I164:J164"/>
    <mergeCell ref="G165:H165"/>
    <mergeCell ref="I165:J165"/>
    <mergeCell ref="G159:H159"/>
    <mergeCell ref="I159:J159"/>
    <mergeCell ref="G160:H160"/>
    <mergeCell ref="I160:J160"/>
    <mergeCell ref="G161:H161"/>
    <mergeCell ref="I161:J161"/>
    <mergeCell ref="G155:H155"/>
    <mergeCell ref="I155:J155"/>
    <mergeCell ref="G156:H156"/>
    <mergeCell ref="I156:J156"/>
    <mergeCell ref="A157:H157"/>
    <mergeCell ref="I157:J157"/>
    <mergeCell ref="G172:H172"/>
    <mergeCell ref="I172:J172"/>
    <mergeCell ref="G173:H173"/>
    <mergeCell ref="I173:J173"/>
    <mergeCell ref="A174:H174"/>
    <mergeCell ref="I174:J174"/>
    <mergeCell ref="G169:H169"/>
    <mergeCell ref="I169:J169"/>
    <mergeCell ref="G170:H170"/>
    <mergeCell ref="I170:J170"/>
    <mergeCell ref="G171:H171"/>
    <mergeCell ref="I171:J171"/>
    <mergeCell ref="G166:H166"/>
    <mergeCell ref="I166:J166"/>
    <mergeCell ref="G167:H167"/>
    <mergeCell ref="I167:J167"/>
    <mergeCell ref="G168:H168"/>
    <mergeCell ref="I168:J168"/>
    <mergeCell ref="G182:H182"/>
    <mergeCell ref="I182:J182"/>
    <mergeCell ref="G183:H183"/>
    <mergeCell ref="I183:J183"/>
    <mergeCell ref="G184:H184"/>
    <mergeCell ref="I184:J184"/>
    <mergeCell ref="G179:H179"/>
    <mergeCell ref="I179:J179"/>
    <mergeCell ref="G180:H180"/>
    <mergeCell ref="I180:J180"/>
    <mergeCell ref="G181:H181"/>
    <mergeCell ref="I181:J181"/>
    <mergeCell ref="G176:H176"/>
    <mergeCell ref="I176:J176"/>
    <mergeCell ref="G177:H177"/>
    <mergeCell ref="I177:J177"/>
    <mergeCell ref="G178:H178"/>
    <mergeCell ref="I178:J178"/>
    <mergeCell ref="G192:H192"/>
    <mergeCell ref="I192:J192"/>
    <mergeCell ref="G193:H193"/>
    <mergeCell ref="I193:J193"/>
    <mergeCell ref="G194:H194"/>
    <mergeCell ref="I194:J194"/>
    <mergeCell ref="G189:H189"/>
    <mergeCell ref="I189:J189"/>
    <mergeCell ref="G190:H190"/>
    <mergeCell ref="I190:J190"/>
    <mergeCell ref="G191:H191"/>
    <mergeCell ref="I191:J191"/>
    <mergeCell ref="G185:H185"/>
    <mergeCell ref="I185:J185"/>
    <mergeCell ref="A186:H186"/>
    <mergeCell ref="I186:J186"/>
    <mergeCell ref="G188:H188"/>
    <mergeCell ref="I188:J188"/>
    <mergeCell ref="G202:H202"/>
    <mergeCell ref="I202:J202"/>
    <mergeCell ref="G203:H203"/>
    <mergeCell ref="I203:J203"/>
    <mergeCell ref="G204:H204"/>
    <mergeCell ref="I204:J204"/>
    <mergeCell ref="A198:H198"/>
    <mergeCell ref="I198:J198"/>
    <mergeCell ref="G200:H200"/>
    <mergeCell ref="I200:J200"/>
    <mergeCell ref="G201:H201"/>
    <mergeCell ref="I201:J201"/>
    <mergeCell ref="G195:H195"/>
    <mergeCell ref="I195:J195"/>
    <mergeCell ref="G196:H196"/>
    <mergeCell ref="I196:J196"/>
    <mergeCell ref="G197:H197"/>
    <mergeCell ref="I197:J197"/>
    <mergeCell ref="G212:H212"/>
    <mergeCell ref="I212:J212"/>
    <mergeCell ref="G213:H213"/>
    <mergeCell ref="I213:J213"/>
    <mergeCell ref="G214:H214"/>
    <mergeCell ref="I214:J214"/>
    <mergeCell ref="G208:H208"/>
    <mergeCell ref="I208:J208"/>
    <mergeCell ref="G209:H209"/>
    <mergeCell ref="I209:J209"/>
    <mergeCell ref="A210:H210"/>
    <mergeCell ref="I210:J210"/>
    <mergeCell ref="G205:H205"/>
    <mergeCell ref="I205:J205"/>
    <mergeCell ref="G206:H206"/>
    <mergeCell ref="I206:J206"/>
    <mergeCell ref="G207:H207"/>
    <mergeCell ref="I207:J207"/>
    <mergeCell ref="G222:H222"/>
    <mergeCell ref="I222:J222"/>
    <mergeCell ref="G223:H223"/>
    <mergeCell ref="I223:J223"/>
    <mergeCell ref="G224:H224"/>
    <mergeCell ref="I224:J224"/>
    <mergeCell ref="A218:H218"/>
    <mergeCell ref="I218:J218"/>
    <mergeCell ref="G220:H220"/>
    <mergeCell ref="I220:J220"/>
    <mergeCell ref="G221:H221"/>
    <mergeCell ref="I221:J221"/>
    <mergeCell ref="G215:H215"/>
    <mergeCell ref="I215:J215"/>
    <mergeCell ref="G216:H216"/>
    <mergeCell ref="I216:J216"/>
    <mergeCell ref="G217:H217"/>
    <mergeCell ref="I217:J217"/>
    <mergeCell ref="G232:H232"/>
    <mergeCell ref="I232:J232"/>
    <mergeCell ref="G233:H233"/>
    <mergeCell ref="I233:J233"/>
    <mergeCell ref="A234:H234"/>
    <mergeCell ref="I234:J234"/>
    <mergeCell ref="G229:H229"/>
    <mergeCell ref="I229:J229"/>
    <mergeCell ref="G230:H230"/>
    <mergeCell ref="I230:J230"/>
    <mergeCell ref="G231:H231"/>
    <mergeCell ref="I231:J231"/>
    <mergeCell ref="A225:H225"/>
    <mergeCell ref="I225:J225"/>
    <mergeCell ref="G227:H227"/>
    <mergeCell ref="I227:J227"/>
    <mergeCell ref="G228:H228"/>
    <mergeCell ref="I228:J228"/>
    <mergeCell ref="G242:H242"/>
    <mergeCell ref="I242:J242"/>
    <mergeCell ref="G243:H243"/>
    <mergeCell ref="I243:J243"/>
    <mergeCell ref="G244:H244"/>
    <mergeCell ref="I244:J244"/>
    <mergeCell ref="G239:H239"/>
    <mergeCell ref="I239:J239"/>
    <mergeCell ref="G240:H240"/>
    <mergeCell ref="I240:J240"/>
    <mergeCell ref="G241:H241"/>
    <mergeCell ref="I241:J241"/>
    <mergeCell ref="G236:H236"/>
    <mergeCell ref="I236:J236"/>
    <mergeCell ref="G237:H237"/>
    <mergeCell ref="I237:J237"/>
    <mergeCell ref="G238:H238"/>
    <mergeCell ref="I238:J238"/>
    <mergeCell ref="G252:H252"/>
    <mergeCell ref="I252:J252"/>
    <mergeCell ref="G253:H253"/>
    <mergeCell ref="I253:J253"/>
    <mergeCell ref="G254:H254"/>
    <mergeCell ref="I254:J254"/>
    <mergeCell ref="G249:H249"/>
    <mergeCell ref="I249:J249"/>
    <mergeCell ref="G250:H250"/>
    <mergeCell ref="I250:J250"/>
    <mergeCell ref="G251:H251"/>
    <mergeCell ref="I251:J251"/>
    <mergeCell ref="G245:H245"/>
    <mergeCell ref="I245:J245"/>
    <mergeCell ref="A246:H246"/>
    <mergeCell ref="I246:J246"/>
    <mergeCell ref="G248:H248"/>
    <mergeCell ref="I248:J248"/>
    <mergeCell ref="G262:H262"/>
    <mergeCell ref="I262:J262"/>
    <mergeCell ref="G263:H263"/>
    <mergeCell ref="I263:J263"/>
    <mergeCell ref="G264:H264"/>
    <mergeCell ref="I264:J264"/>
    <mergeCell ref="A258:H258"/>
    <mergeCell ref="I258:J258"/>
    <mergeCell ref="G260:H260"/>
    <mergeCell ref="I260:J260"/>
    <mergeCell ref="G261:H261"/>
    <mergeCell ref="I261:J261"/>
    <mergeCell ref="G255:H255"/>
    <mergeCell ref="I255:J255"/>
    <mergeCell ref="G256:H256"/>
    <mergeCell ref="I256:J256"/>
    <mergeCell ref="G257:H257"/>
    <mergeCell ref="I257:J257"/>
    <mergeCell ref="G272:H272"/>
    <mergeCell ref="I272:J272"/>
    <mergeCell ref="G273:H273"/>
    <mergeCell ref="I273:J273"/>
    <mergeCell ref="G274:H274"/>
    <mergeCell ref="I274:J274"/>
    <mergeCell ref="G268:H268"/>
    <mergeCell ref="I268:J268"/>
    <mergeCell ref="A269:H269"/>
    <mergeCell ref="I269:J269"/>
    <mergeCell ref="G271:H271"/>
    <mergeCell ref="I271:J271"/>
    <mergeCell ref="G265:H265"/>
    <mergeCell ref="I265:J265"/>
    <mergeCell ref="G266:H266"/>
    <mergeCell ref="I266:J266"/>
    <mergeCell ref="G267:H267"/>
    <mergeCell ref="I267:J267"/>
    <mergeCell ref="G282:H282"/>
    <mergeCell ref="I282:J282"/>
    <mergeCell ref="G283:H283"/>
    <mergeCell ref="I283:J283"/>
    <mergeCell ref="A284:H284"/>
    <mergeCell ref="I284:J284"/>
    <mergeCell ref="G279:H279"/>
    <mergeCell ref="I279:J279"/>
    <mergeCell ref="G280:H280"/>
    <mergeCell ref="I280:J280"/>
    <mergeCell ref="G281:H281"/>
    <mergeCell ref="I281:J281"/>
    <mergeCell ref="G275:H275"/>
    <mergeCell ref="I275:J275"/>
    <mergeCell ref="A276:H276"/>
    <mergeCell ref="I276:J276"/>
    <mergeCell ref="G278:H278"/>
    <mergeCell ref="I278:J278"/>
    <mergeCell ref="G292:H292"/>
    <mergeCell ref="I292:J292"/>
    <mergeCell ref="G293:H293"/>
    <mergeCell ref="I293:J293"/>
    <mergeCell ref="G294:H294"/>
    <mergeCell ref="I294:J294"/>
    <mergeCell ref="G289:H289"/>
    <mergeCell ref="I289:J289"/>
    <mergeCell ref="G290:H290"/>
    <mergeCell ref="I290:J290"/>
    <mergeCell ref="G291:H291"/>
    <mergeCell ref="I291:J291"/>
    <mergeCell ref="G286:H286"/>
    <mergeCell ref="I286:J286"/>
    <mergeCell ref="G287:H287"/>
    <mergeCell ref="I287:J287"/>
    <mergeCell ref="G288:H288"/>
    <mergeCell ref="I288:J288"/>
    <mergeCell ref="A302:H302"/>
    <mergeCell ref="I302:J302"/>
    <mergeCell ref="G304:H304"/>
    <mergeCell ref="I304:J304"/>
    <mergeCell ref="G305:H305"/>
    <mergeCell ref="I305:J305"/>
    <mergeCell ref="G299:H299"/>
    <mergeCell ref="I299:J299"/>
    <mergeCell ref="G300:H300"/>
    <mergeCell ref="I300:J300"/>
    <mergeCell ref="G301:H301"/>
    <mergeCell ref="I301:J301"/>
    <mergeCell ref="A295:H295"/>
    <mergeCell ref="I295:J295"/>
    <mergeCell ref="G297:H297"/>
    <mergeCell ref="I297:J297"/>
    <mergeCell ref="G298:H298"/>
    <mergeCell ref="I298:J298"/>
    <mergeCell ref="G312:H312"/>
    <mergeCell ref="I312:J312"/>
    <mergeCell ref="A313:H313"/>
    <mergeCell ref="I313:J313"/>
    <mergeCell ref="G315:H315"/>
    <mergeCell ref="I315:J315"/>
    <mergeCell ref="G309:H309"/>
    <mergeCell ref="I309:J309"/>
    <mergeCell ref="G310:H310"/>
    <mergeCell ref="I310:J310"/>
    <mergeCell ref="G311:H311"/>
    <mergeCell ref="I311:J311"/>
    <mergeCell ref="G306:H306"/>
    <mergeCell ref="I306:J306"/>
    <mergeCell ref="G307:H307"/>
    <mergeCell ref="I307:J307"/>
    <mergeCell ref="G308:H308"/>
    <mergeCell ref="I308:J308"/>
    <mergeCell ref="G322:H322"/>
    <mergeCell ref="I322:J322"/>
    <mergeCell ref="A323:H323"/>
    <mergeCell ref="I323:J323"/>
    <mergeCell ref="G325:H325"/>
    <mergeCell ref="I325:J325"/>
    <mergeCell ref="G319:H319"/>
    <mergeCell ref="I319:J319"/>
    <mergeCell ref="G320:H320"/>
    <mergeCell ref="I320:J320"/>
    <mergeCell ref="G321:H321"/>
    <mergeCell ref="I321:J321"/>
    <mergeCell ref="G316:H316"/>
    <mergeCell ref="I316:J316"/>
    <mergeCell ref="G317:H317"/>
    <mergeCell ref="I317:J317"/>
    <mergeCell ref="G318:H318"/>
    <mergeCell ref="I318:J318"/>
    <mergeCell ref="G332:H332"/>
    <mergeCell ref="I332:J332"/>
    <mergeCell ref="G333:H333"/>
    <mergeCell ref="I333:J333"/>
    <mergeCell ref="G334:H334"/>
    <mergeCell ref="I334:J334"/>
    <mergeCell ref="G329:H329"/>
    <mergeCell ref="I329:J329"/>
    <mergeCell ref="G330:H330"/>
    <mergeCell ref="I330:J330"/>
    <mergeCell ref="G331:H331"/>
    <mergeCell ref="I331:J331"/>
    <mergeCell ref="G326:H326"/>
    <mergeCell ref="I326:J326"/>
    <mergeCell ref="G327:H327"/>
    <mergeCell ref="I327:J327"/>
    <mergeCell ref="G328:H328"/>
    <mergeCell ref="I328:J328"/>
    <mergeCell ref="G342:H342"/>
    <mergeCell ref="I342:J342"/>
    <mergeCell ref="G343:H343"/>
    <mergeCell ref="I343:J343"/>
    <mergeCell ref="G344:H344"/>
    <mergeCell ref="I344:J344"/>
    <mergeCell ref="G339:H339"/>
    <mergeCell ref="I339:J339"/>
    <mergeCell ref="G340:H340"/>
    <mergeCell ref="I340:J340"/>
    <mergeCell ref="G341:H341"/>
    <mergeCell ref="I341:J341"/>
    <mergeCell ref="A335:H335"/>
    <mergeCell ref="I335:J335"/>
    <mergeCell ref="G337:H337"/>
    <mergeCell ref="I337:J337"/>
    <mergeCell ref="G338:H338"/>
    <mergeCell ref="I338:J338"/>
    <mergeCell ref="G352:H352"/>
    <mergeCell ref="I352:J352"/>
    <mergeCell ref="G353:H353"/>
    <mergeCell ref="I353:J353"/>
    <mergeCell ref="G354:H354"/>
    <mergeCell ref="I354:J354"/>
    <mergeCell ref="G349:H349"/>
    <mergeCell ref="I349:J349"/>
    <mergeCell ref="G350:H350"/>
    <mergeCell ref="I350:J350"/>
    <mergeCell ref="G351:H351"/>
    <mergeCell ref="I351:J351"/>
    <mergeCell ref="G345:H345"/>
    <mergeCell ref="I345:J345"/>
    <mergeCell ref="A346:H346"/>
    <mergeCell ref="I346:J346"/>
    <mergeCell ref="G348:H348"/>
    <mergeCell ref="I348:J348"/>
    <mergeCell ref="G362:H362"/>
    <mergeCell ref="I362:J362"/>
    <mergeCell ref="G363:H363"/>
    <mergeCell ref="I363:J363"/>
    <mergeCell ref="A364:H364"/>
    <mergeCell ref="I364:J364"/>
    <mergeCell ref="G359:H359"/>
    <mergeCell ref="I359:J359"/>
    <mergeCell ref="G360:H360"/>
    <mergeCell ref="I360:J360"/>
    <mergeCell ref="G361:H361"/>
    <mergeCell ref="I361:J361"/>
    <mergeCell ref="A355:H355"/>
    <mergeCell ref="I355:J355"/>
    <mergeCell ref="G357:H357"/>
    <mergeCell ref="I357:J357"/>
    <mergeCell ref="G358:H358"/>
    <mergeCell ref="I358:J358"/>
    <mergeCell ref="G372:H372"/>
    <mergeCell ref="I372:J372"/>
    <mergeCell ref="A373:H373"/>
    <mergeCell ref="I373:J373"/>
    <mergeCell ref="G375:H375"/>
    <mergeCell ref="I375:J375"/>
    <mergeCell ref="G369:H369"/>
    <mergeCell ref="I369:J369"/>
    <mergeCell ref="G370:H370"/>
    <mergeCell ref="I370:J370"/>
    <mergeCell ref="G371:H371"/>
    <mergeCell ref="I371:J371"/>
    <mergeCell ref="G366:H366"/>
    <mergeCell ref="I366:J366"/>
    <mergeCell ref="G367:H367"/>
    <mergeCell ref="I367:J367"/>
    <mergeCell ref="G368:H368"/>
    <mergeCell ref="I368:J368"/>
    <mergeCell ref="A382:H382"/>
    <mergeCell ref="I382:J382"/>
    <mergeCell ref="G384:H384"/>
    <mergeCell ref="I384:J384"/>
    <mergeCell ref="G385:H385"/>
    <mergeCell ref="I385:J385"/>
    <mergeCell ref="G379:H379"/>
    <mergeCell ref="I379:J379"/>
    <mergeCell ref="G380:H380"/>
    <mergeCell ref="I380:J380"/>
    <mergeCell ref="G381:H381"/>
    <mergeCell ref="I381:J381"/>
    <mergeCell ref="G376:H376"/>
    <mergeCell ref="I376:J376"/>
    <mergeCell ref="G377:H377"/>
    <mergeCell ref="I377:J377"/>
    <mergeCell ref="G378:H378"/>
    <mergeCell ref="I378:J378"/>
    <mergeCell ref="G393:H393"/>
    <mergeCell ref="I393:J393"/>
    <mergeCell ref="G394:H394"/>
    <mergeCell ref="I394:J394"/>
    <mergeCell ref="G395:H395"/>
    <mergeCell ref="I395:J395"/>
    <mergeCell ref="G389:H389"/>
    <mergeCell ref="I389:J389"/>
    <mergeCell ref="G390:H390"/>
    <mergeCell ref="I390:J390"/>
    <mergeCell ref="A391:H391"/>
    <mergeCell ref="I391:J391"/>
    <mergeCell ref="G386:H386"/>
    <mergeCell ref="I386:J386"/>
    <mergeCell ref="G387:H387"/>
    <mergeCell ref="I387:J387"/>
    <mergeCell ref="G388:H388"/>
    <mergeCell ref="I388:J388"/>
    <mergeCell ref="G403:H403"/>
    <mergeCell ref="I403:J403"/>
    <mergeCell ref="G404:H404"/>
    <mergeCell ref="I404:J404"/>
    <mergeCell ref="G405:H405"/>
    <mergeCell ref="I405:J405"/>
    <mergeCell ref="G399:H399"/>
    <mergeCell ref="I399:J399"/>
    <mergeCell ref="A400:H400"/>
    <mergeCell ref="I400:J400"/>
    <mergeCell ref="G402:H402"/>
    <mergeCell ref="I402:J402"/>
    <mergeCell ref="G396:H396"/>
    <mergeCell ref="I396:J396"/>
    <mergeCell ref="G397:H397"/>
    <mergeCell ref="I397:J397"/>
    <mergeCell ref="G398:H398"/>
    <mergeCell ref="I398:J398"/>
    <mergeCell ref="G413:H413"/>
    <mergeCell ref="I413:J413"/>
    <mergeCell ref="G414:H414"/>
    <mergeCell ref="I414:J414"/>
    <mergeCell ref="G415:H415"/>
    <mergeCell ref="I415:J415"/>
    <mergeCell ref="A409:H409"/>
    <mergeCell ref="I409:J409"/>
    <mergeCell ref="G411:H411"/>
    <mergeCell ref="I411:J411"/>
    <mergeCell ref="G412:H412"/>
    <mergeCell ref="I412:J412"/>
    <mergeCell ref="G406:H406"/>
    <mergeCell ref="I406:J406"/>
    <mergeCell ref="G407:H407"/>
    <mergeCell ref="I407:J407"/>
    <mergeCell ref="G408:H408"/>
    <mergeCell ref="I408:J408"/>
    <mergeCell ref="G423:H423"/>
    <mergeCell ref="I423:J423"/>
    <mergeCell ref="G424:H424"/>
    <mergeCell ref="I424:J424"/>
    <mergeCell ref="G425:H425"/>
    <mergeCell ref="I425:J425"/>
    <mergeCell ref="G420:H420"/>
    <mergeCell ref="I420:J420"/>
    <mergeCell ref="G421:H421"/>
    <mergeCell ref="I421:J421"/>
    <mergeCell ref="G422:H422"/>
    <mergeCell ref="I422:J422"/>
    <mergeCell ref="G416:H416"/>
    <mergeCell ref="I416:J416"/>
    <mergeCell ref="G417:H417"/>
    <mergeCell ref="I417:J417"/>
    <mergeCell ref="A418:H418"/>
    <mergeCell ref="I418:J418"/>
    <mergeCell ref="G433:H433"/>
    <mergeCell ref="I433:J433"/>
    <mergeCell ref="G434:H434"/>
    <mergeCell ref="I434:J434"/>
    <mergeCell ref="G435:H435"/>
    <mergeCell ref="I435:J435"/>
    <mergeCell ref="G430:H430"/>
    <mergeCell ref="I430:J430"/>
    <mergeCell ref="G431:H431"/>
    <mergeCell ref="I431:J431"/>
    <mergeCell ref="G432:H432"/>
    <mergeCell ref="I432:J432"/>
    <mergeCell ref="G426:H426"/>
    <mergeCell ref="I426:J426"/>
    <mergeCell ref="A427:H427"/>
    <mergeCell ref="I427:J427"/>
    <mergeCell ref="G429:H429"/>
    <mergeCell ref="I429:J429"/>
    <mergeCell ref="G443:H443"/>
    <mergeCell ref="I443:J443"/>
    <mergeCell ref="G444:H444"/>
    <mergeCell ref="I444:J444"/>
    <mergeCell ref="A445:H445"/>
    <mergeCell ref="I445:J445"/>
    <mergeCell ref="G440:H440"/>
    <mergeCell ref="I440:J440"/>
    <mergeCell ref="G441:H441"/>
    <mergeCell ref="I441:J441"/>
    <mergeCell ref="G442:H442"/>
    <mergeCell ref="I442:J442"/>
    <mergeCell ref="A436:H436"/>
    <mergeCell ref="I436:J436"/>
    <mergeCell ref="G438:H438"/>
    <mergeCell ref="I438:J438"/>
    <mergeCell ref="G439:H439"/>
    <mergeCell ref="I439:J439"/>
    <mergeCell ref="G453:H453"/>
    <mergeCell ref="I453:J453"/>
    <mergeCell ref="A454:H454"/>
    <mergeCell ref="I454:J454"/>
    <mergeCell ref="G456:H456"/>
    <mergeCell ref="I456:J456"/>
    <mergeCell ref="G450:H450"/>
    <mergeCell ref="I450:J450"/>
    <mergeCell ref="G451:H451"/>
    <mergeCell ref="I451:J451"/>
    <mergeCell ref="G452:H452"/>
    <mergeCell ref="I452:J452"/>
    <mergeCell ref="G447:H447"/>
    <mergeCell ref="I447:J447"/>
    <mergeCell ref="G448:H448"/>
    <mergeCell ref="I448:J448"/>
    <mergeCell ref="G449:H449"/>
    <mergeCell ref="I449:J449"/>
    <mergeCell ref="G463:H463"/>
    <mergeCell ref="I463:J463"/>
    <mergeCell ref="A464:H464"/>
    <mergeCell ref="I464:J464"/>
    <mergeCell ref="G466:H466"/>
    <mergeCell ref="I466:J466"/>
    <mergeCell ref="G460:H460"/>
    <mergeCell ref="I460:J460"/>
    <mergeCell ref="G461:H461"/>
    <mergeCell ref="I461:J461"/>
    <mergeCell ref="G462:H462"/>
    <mergeCell ref="I462:J462"/>
    <mergeCell ref="G457:H457"/>
    <mergeCell ref="I457:J457"/>
    <mergeCell ref="G458:H458"/>
    <mergeCell ref="I458:J458"/>
    <mergeCell ref="G459:H459"/>
    <mergeCell ref="I459:J459"/>
    <mergeCell ref="G473:H473"/>
    <mergeCell ref="I473:J473"/>
    <mergeCell ref="G474:H474"/>
    <mergeCell ref="I474:J474"/>
    <mergeCell ref="G475:H475"/>
    <mergeCell ref="I475:J475"/>
    <mergeCell ref="G470:H470"/>
    <mergeCell ref="I470:J470"/>
    <mergeCell ref="G471:H471"/>
    <mergeCell ref="I471:J471"/>
    <mergeCell ref="G472:H472"/>
    <mergeCell ref="I472:J472"/>
    <mergeCell ref="G467:H467"/>
    <mergeCell ref="I467:J467"/>
    <mergeCell ref="G468:H468"/>
    <mergeCell ref="I468:J468"/>
    <mergeCell ref="G469:H469"/>
    <mergeCell ref="I469:J469"/>
    <mergeCell ref="G483:H483"/>
    <mergeCell ref="I483:J483"/>
    <mergeCell ref="G484:H484"/>
    <mergeCell ref="I484:J484"/>
    <mergeCell ref="A485:H485"/>
    <mergeCell ref="I485:J485"/>
    <mergeCell ref="G480:H480"/>
    <mergeCell ref="I480:J480"/>
    <mergeCell ref="G481:H481"/>
    <mergeCell ref="I481:J481"/>
    <mergeCell ref="G482:H482"/>
    <mergeCell ref="I482:J482"/>
    <mergeCell ref="A476:H476"/>
    <mergeCell ref="I476:J476"/>
    <mergeCell ref="G478:H478"/>
    <mergeCell ref="I478:J478"/>
    <mergeCell ref="G479:H479"/>
    <mergeCell ref="I479:J479"/>
    <mergeCell ref="G494:H494"/>
    <mergeCell ref="I494:J494"/>
    <mergeCell ref="G495:H495"/>
    <mergeCell ref="I495:J495"/>
    <mergeCell ref="G496:H496"/>
    <mergeCell ref="I496:J496"/>
    <mergeCell ref="G490:H490"/>
    <mergeCell ref="I490:J490"/>
    <mergeCell ref="G491:H491"/>
    <mergeCell ref="I491:J491"/>
    <mergeCell ref="A492:H492"/>
    <mergeCell ref="I492:J492"/>
    <mergeCell ref="G487:H487"/>
    <mergeCell ref="I487:J487"/>
    <mergeCell ref="G488:H488"/>
    <mergeCell ref="I488:J488"/>
    <mergeCell ref="G489:H489"/>
    <mergeCell ref="I489:J489"/>
    <mergeCell ref="G504:H504"/>
    <mergeCell ref="I504:J504"/>
    <mergeCell ref="G505:H505"/>
    <mergeCell ref="I505:J505"/>
    <mergeCell ref="G506:H506"/>
    <mergeCell ref="I506:J506"/>
    <mergeCell ref="A500:H500"/>
    <mergeCell ref="I500:J500"/>
    <mergeCell ref="G502:H502"/>
    <mergeCell ref="I502:J502"/>
    <mergeCell ref="G503:H503"/>
    <mergeCell ref="I503:J503"/>
    <mergeCell ref="G497:H497"/>
    <mergeCell ref="I497:J497"/>
    <mergeCell ref="G498:H498"/>
    <mergeCell ref="I498:J498"/>
    <mergeCell ref="G499:H499"/>
    <mergeCell ref="I499:J499"/>
    <mergeCell ref="G514:H514"/>
    <mergeCell ref="I514:J514"/>
    <mergeCell ref="G515:H515"/>
    <mergeCell ref="I515:J515"/>
    <mergeCell ref="G516:H516"/>
    <mergeCell ref="I516:J516"/>
    <mergeCell ref="G510:H510"/>
    <mergeCell ref="I510:J510"/>
    <mergeCell ref="G511:H511"/>
    <mergeCell ref="I511:J511"/>
    <mergeCell ref="A512:H512"/>
    <mergeCell ref="I512:J512"/>
    <mergeCell ref="G507:H507"/>
    <mergeCell ref="I507:J507"/>
    <mergeCell ref="G508:H508"/>
    <mergeCell ref="I508:J508"/>
    <mergeCell ref="G509:H509"/>
    <mergeCell ref="I509:J509"/>
    <mergeCell ref="A523:H523"/>
    <mergeCell ref="I523:J523"/>
    <mergeCell ref="G525:H525"/>
    <mergeCell ref="I525:J525"/>
    <mergeCell ref="G526:H526"/>
    <mergeCell ref="I526:J526"/>
    <mergeCell ref="G520:H520"/>
    <mergeCell ref="I520:J520"/>
    <mergeCell ref="G521:H521"/>
    <mergeCell ref="I521:J521"/>
    <mergeCell ref="G522:H522"/>
    <mergeCell ref="I522:J522"/>
    <mergeCell ref="G517:H517"/>
    <mergeCell ref="I517:J517"/>
    <mergeCell ref="G518:H518"/>
    <mergeCell ref="I518:J518"/>
    <mergeCell ref="G519:H519"/>
    <mergeCell ref="I519:J519"/>
    <mergeCell ref="G534:H534"/>
    <mergeCell ref="I534:J534"/>
    <mergeCell ref="G535:H535"/>
    <mergeCell ref="I535:J535"/>
    <mergeCell ref="G536:H536"/>
    <mergeCell ref="I536:J536"/>
    <mergeCell ref="A530:H530"/>
    <mergeCell ref="I530:J530"/>
    <mergeCell ref="G532:H532"/>
    <mergeCell ref="I532:J532"/>
    <mergeCell ref="G533:H533"/>
    <mergeCell ref="I533:J533"/>
    <mergeCell ref="G527:H527"/>
    <mergeCell ref="I527:J527"/>
    <mergeCell ref="G528:H528"/>
    <mergeCell ref="I528:J528"/>
    <mergeCell ref="G529:H529"/>
    <mergeCell ref="I529:J529"/>
    <mergeCell ref="A544:H544"/>
    <mergeCell ref="I544:J544"/>
    <mergeCell ref="G546:H546"/>
    <mergeCell ref="I546:J546"/>
    <mergeCell ref="G547:H547"/>
    <mergeCell ref="I547:J547"/>
    <mergeCell ref="G541:H541"/>
    <mergeCell ref="I541:J541"/>
    <mergeCell ref="G542:H542"/>
    <mergeCell ref="I542:J542"/>
    <mergeCell ref="G543:H543"/>
    <mergeCell ref="I543:J543"/>
    <mergeCell ref="A537:H537"/>
    <mergeCell ref="I537:J537"/>
    <mergeCell ref="G539:H539"/>
    <mergeCell ref="I539:J539"/>
    <mergeCell ref="G540:H540"/>
    <mergeCell ref="I540:J540"/>
    <mergeCell ref="G555:H555"/>
    <mergeCell ref="I555:J555"/>
    <mergeCell ref="G556:H556"/>
    <mergeCell ref="I556:J556"/>
    <mergeCell ref="G557:H557"/>
    <mergeCell ref="I557:J557"/>
    <mergeCell ref="G551:H551"/>
    <mergeCell ref="I551:J551"/>
    <mergeCell ref="A552:H552"/>
    <mergeCell ref="I552:J552"/>
    <mergeCell ref="G554:H554"/>
    <mergeCell ref="I554:J554"/>
    <mergeCell ref="G548:H548"/>
    <mergeCell ref="I548:J548"/>
    <mergeCell ref="G549:H549"/>
    <mergeCell ref="I549:J549"/>
    <mergeCell ref="G550:H550"/>
    <mergeCell ref="I550:J550"/>
    <mergeCell ref="G565:H565"/>
    <mergeCell ref="I565:J565"/>
    <mergeCell ref="G566:H566"/>
    <mergeCell ref="I566:J566"/>
    <mergeCell ref="A567:H567"/>
    <mergeCell ref="I567:J567"/>
    <mergeCell ref="G562:H562"/>
    <mergeCell ref="I562:J562"/>
    <mergeCell ref="G563:H563"/>
    <mergeCell ref="I563:J563"/>
    <mergeCell ref="G564:H564"/>
    <mergeCell ref="I564:J564"/>
    <mergeCell ref="G558:H558"/>
    <mergeCell ref="I558:J558"/>
    <mergeCell ref="G559:H559"/>
    <mergeCell ref="I559:J559"/>
    <mergeCell ref="A560:H560"/>
    <mergeCell ref="I560:J560"/>
    <mergeCell ref="G576:H576"/>
    <mergeCell ref="I576:J576"/>
    <mergeCell ref="G577:H577"/>
    <mergeCell ref="I577:J577"/>
    <mergeCell ref="G578:H578"/>
    <mergeCell ref="I578:J578"/>
    <mergeCell ref="G572:H572"/>
    <mergeCell ref="I572:J572"/>
    <mergeCell ref="G573:H573"/>
    <mergeCell ref="I573:J573"/>
    <mergeCell ref="A574:H574"/>
    <mergeCell ref="I574:J574"/>
    <mergeCell ref="G569:H569"/>
    <mergeCell ref="I569:J569"/>
    <mergeCell ref="G570:H570"/>
    <mergeCell ref="I570:J570"/>
    <mergeCell ref="G571:H571"/>
    <mergeCell ref="I571:J571"/>
    <mergeCell ref="G586:H586"/>
    <mergeCell ref="I586:J586"/>
    <mergeCell ref="G587:H587"/>
    <mergeCell ref="I587:J587"/>
    <mergeCell ref="A588:H588"/>
    <mergeCell ref="I588:J588"/>
    <mergeCell ref="G583:H583"/>
    <mergeCell ref="I583:J583"/>
    <mergeCell ref="G584:H584"/>
    <mergeCell ref="I584:J584"/>
    <mergeCell ref="G585:H585"/>
    <mergeCell ref="I585:J585"/>
    <mergeCell ref="G579:H579"/>
    <mergeCell ref="I579:J579"/>
    <mergeCell ref="G580:H580"/>
    <mergeCell ref="I580:J580"/>
    <mergeCell ref="A581:H581"/>
    <mergeCell ref="I581:J581"/>
    <mergeCell ref="A596:H596"/>
    <mergeCell ref="I596:J596"/>
    <mergeCell ref="G598:H598"/>
    <mergeCell ref="I598:J598"/>
    <mergeCell ref="G599:H599"/>
    <mergeCell ref="I599:J599"/>
    <mergeCell ref="G593:H593"/>
    <mergeCell ref="I593:J593"/>
    <mergeCell ref="G594:H594"/>
    <mergeCell ref="I594:J594"/>
    <mergeCell ref="G595:H595"/>
    <mergeCell ref="I595:J595"/>
    <mergeCell ref="G590:H590"/>
    <mergeCell ref="I590:J590"/>
    <mergeCell ref="G591:H591"/>
    <mergeCell ref="I591:J591"/>
    <mergeCell ref="G592:H592"/>
    <mergeCell ref="I592:J592"/>
    <mergeCell ref="G606:H606"/>
    <mergeCell ref="I606:J606"/>
    <mergeCell ref="G607:H607"/>
    <mergeCell ref="I607:J607"/>
    <mergeCell ref="G608:H608"/>
    <mergeCell ref="I608:J608"/>
    <mergeCell ref="G603:H603"/>
    <mergeCell ref="I603:J603"/>
    <mergeCell ref="G604:H604"/>
    <mergeCell ref="I604:J604"/>
    <mergeCell ref="G605:H605"/>
    <mergeCell ref="I605:J605"/>
    <mergeCell ref="G600:H600"/>
    <mergeCell ref="I600:J600"/>
    <mergeCell ref="G601:H601"/>
    <mergeCell ref="I601:J601"/>
    <mergeCell ref="G602:H602"/>
    <mergeCell ref="I602:J602"/>
    <mergeCell ref="G615:H615"/>
    <mergeCell ref="I615:J615"/>
    <mergeCell ref="G616:H616"/>
    <mergeCell ref="I616:J616"/>
    <mergeCell ref="G617:H617"/>
    <mergeCell ref="I617:J617"/>
    <mergeCell ref="G612:H612"/>
    <mergeCell ref="I612:J612"/>
    <mergeCell ref="G613:H613"/>
    <mergeCell ref="I613:J613"/>
    <mergeCell ref="G614:H614"/>
    <mergeCell ref="I614:J614"/>
    <mergeCell ref="G609:H609"/>
    <mergeCell ref="I609:J609"/>
    <mergeCell ref="G610:H610"/>
    <mergeCell ref="I610:J610"/>
    <mergeCell ref="G611:H611"/>
    <mergeCell ref="I611:J611"/>
    <mergeCell ref="G625:H625"/>
    <mergeCell ref="I625:J625"/>
    <mergeCell ref="G626:H626"/>
    <mergeCell ref="I626:J626"/>
    <mergeCell ref="G627:H627"/>
    <mergeCell ref="I627:J627"/>
    <mergeCell ref="G622:H622"/>
    <mergeCell ref="I622:J622"/>
    <mergeCell ref="G623:H623"/>
    <mergeCell ref="I623:J623"/>
    <mergeCell ref="G624:H624"/>
    <mergeCell ref="I624:J624"/>
    <mergeCell ref="A618:H618"/>
    <mergeCell ref="I618:J618"/>
    <mergeCell ref="G620:H620"/>
    <mergeCell ref="I620:J620"/>
    <mergeCell ref="G621:H621"/>
    <mergeCell ref="I621:J621"/>
    <mergeCell ref="G634:H634"/>
    <mergeCell ref="I634:J634"/>
    <mergeCell ref="G635:H635"/>
    <mergeCell ref="I635:J635"/>
    <mergeCell ref="G636:H636"/>
    <mergeCell ref="I636:J636"/>
    <mergeCell ref="G631:H631"/>
    <mergeCell ref="I631:J631"/>
    <mergeCell ref="G632:H632"/>
    <mergeCell ref="I632:J632"/>
    <mergeCell ref="G633:H633"/>
    <mergeCell ref="I633:J633"/>
    <mergeCell ref="G628:H628"/>
    <mergeCell ref="I628:J628"/>
    <mergeCell ref="G629:H629"/>
    <mergeCell ref="I629:J629"/>
    <mergeCell ref="G630:H630"/>
    <mergeCell ref="I630:J630"/>
    <mergeCell ref="G644:H644"/>
    <mergeCell ref="I644:J644"/>
    <mergeCell ref="G645:H645"/>
    <mergeCell ref="I645:J645"/>
    <mergeCell ref="A646:H646"/>
    <mergeCell ref="I646:J646"/>
    <mergeCell ref="A640:H640"/>
    <mergeCell ref="I640:J640"/>
    <mergeCell ref="G642:H642"/>
    <mergeCell ref="I642:J642"/>
    <mergeCell ref="G643:H643"/>
    <mergeCell ref="I643:J643"/>
    <mergeCell ref="G637:H637"/>
    <mergeCell ref="I637:J637"/>
    <mergeCell ref="G638:H638"/>
    <mergeCell ref="I638:J638"/>
    <mergeCell ref="G639:H639"/>
    <mergeCell ref="I639:J639"/>
    <mergeCell ref="G655:H655"/>
    <mergeCell ref="I655:J655"/>
    <mergeCell ref="G656:H656"/>
    <mergeCell ref="I656:J656"/>
    <mergeCell ref="G657:H657"/>
    <mergeCell ref="I657:J657"/>
    <mergeCell ref="G651:H651"/>
    <mergeCell ref="I651:J651"/>
    <mergeCell ref="A652:H652"/>
    <mergeCell ref="I652:J652"/>
    <mergeCell ref="G654:H654"/>
    <mergeCell ref="I654:J654"/>
    <mergeCell ref="G648:H648"/>
    <mergeCell ref="I648:J648"/>
    <mergeCell ref="G649:H649"/>
    <mergeCell ref="I649:J649"/>
    <mergeCell ref="G650:H650"/>
    <mergeCell ref="I650:J650"/>
    <mergeCell ref="G665:H665"/>
    <mergeCell ref="I665:J665"/>
    <mergeCell ref="A666:H666"/>
    <mergeCell ref="I666:J666"/>
    <mergeCell ref="G668:H668"/>
    <mergeCell ref="I668:J668"/>
    <mergeCell ref="G662:H662"/>
    <mergeCell ref="I662:J662"/>
    <mergeCell ref="G663:H663"/>
    <mergeCell ref="I663:J663"/>
    <mergeCell ref="G664:H664"/>
    <mergeCell ref="I664:J664"/>
    <mergeCell ref="G658:H658"/>
    <mergeCell ref="I658:J658"/>
    <mergeCell ref="A659:H659"/>
    <mergeCell ref="I659:J659"/>
    <mergeCell ref="G661:H661"/>
    <mergeCell ref="I661:J661"/>
    <mergeCell ref="G676:H676"/>
    <mergeCell ref="I676:J676"/>
    <mergeCell ref="G677:H677"/>
    <mergeCell ref="I677:J677"/>
    <mergeCell ref="G678:H678"/>
    <mergeCell ref="I678:J678"/>
    <mergeCell ref="G672:H672"/>
    <mergeCell ref="I672:J672"/>
    <mergeCell ref="G673:H673"/>
    <mergeCell ref="I673:J673"/>
    <mergeCell ref="A674:H674"/>
    <mergeCell ref="I674:J674"/>
    <mergeCell ref="G669:H669"/>
    <mergeCell ref="I669:J669"/>
    <mergeCell ref="G670:H670"/>
    <mergeCell ref="I670:J670"/>
    <mergeCell ref="G671:H671"/>
    <mergeCell ref="I671:J671"/>
    <mergeCell ref="G686:H686"/>
    <mergeCell ref="I686:J686"/>
    <mergeCell ref="G687:H687"/>
    <mergeCell ref="I687:J687"/>
    <mergeCell ref="A688:H688"/>
    <mergeCell ref="I688:J688"/>
    <mergeCell ref="A682:H682"/>
    <mergeCell ref="I682:J682"/>
    <mergeCell ref="G684:H684"/>
    <mergeCell ref="I684:J684"/>
    <mergeCell ref="G685:H685"/>
    <mergeCell ref="I685:J685"/>
    <mergeCell ref="G679:H679"/>
    <mergeCell ref="I679:J679"/>
    <mergeCell ref="G680:H680"/>
    <mergeCell ref="I680:J680"/>
    <mergeCell ref="G681:H681"/>
    <mergeCell ref="I681:J681"/>
    <mergeCell ref="G696:H696"/>
    <mergeCell ref="I696:J696"/>
    <mergeCell ref="A697:H697"/>
    <mergeCell ref="I697:J697"/>
    <mergeCell ref="G699:H699"/>
    <mergeCell ref="I699:J699"/>
    <mergeCell ref="G693:H693"/>
    <mergeCell ref="I693:J693"/>
    <mergeCell ref="G694:H694"/>
    <mergeCell ref="I694:J694"/>
    <mergeCell ref="G695:H695"/>
    <mergeCell ref="I695:J695"/>
    <mergeCell ref="G690:H690"/>
    <mergeCell ref="I690:J690"/>
    <mergeCell ref="G691:H691"/>
    <mergeCell ref="I691:J691"/>
    <mergeCell ref="G692:H692"/>
    <mergeCell ref="I692:J692"/>
    <mergeCell ref="G706:H706"/>
    <mergeCell ref="I706:J706"/>
    <mergeCell ref="A707:H707"/>
    <mergeCell ref="I707:J707"/>
    <mergeCell ref="G709:H709"/>
    <mergeCell ref="I709:J709"/>
    <mergeCell ref="G703:H703"/>
    <mergeCell ref="I703:J703"/>
    <mergeCell ref="G704:H704"/>
    <mergeCell ref="I704:J704"/>
    <mergeCell ref="G705:H705"/>
    <mergeCell ref="I705:J705"/>
    <mergeCell ref="G700:H700"/>
    <mergeCell ref="I700:J700"/>
    <mergeCell ref="G701:H701"/>
    <mergeCell ref="I701:J701"/>
    <mergeCell ref="G702:H702"/>
    <mergeCell ref="I702:J702"/>
    <mergeCell ref="G716:H716"/>
    <mergeCell ref="I716:J716"/>
    <mergeCell ref="G717:H717"/>
    <mergeCell ref="I717:J717"/>
    <mergeCell ref="G718:H718"/>
    <mergeCell ref="I718:J718"/>
    <mergeCell ref="G713:H713"/>
    <mergeCell ref="I713:J713"/>
    <mergeCell ref="G714:H714"/>
    <mergeCell ref="I714:J714"/>
    <mergeCell ref="G715:H715"/>
    <mergeCell ref="I715:J715"/>
    <mergeCell ref="G710:H710"/>
    <mergeCell ref="I710:J710"/>
    <mergeCell ref="G711:H711"/>
    <mergeCell ref="I711:J711"/>
    <mergeCell ref="G712:H712"/>
    <mergeCell ref="I712:J712"/>
    <mergeCell ref="G726:H726"/>
    <mergeCell ref="I726:J726"/>
    <mergeCell ref="G727:H727"/>
    <mergeCell ref="I727:J727"/>
    <mergeCell ref="A728:H728"/>
    <mergeCell ref="I728:J728"/>
    <mergeCell ref="G723:H723"/>
    <mergeCell ref="I723:J723"/>
    <mergeCell ref="G724:H724"/>
    <mergeCell ref="I724:J724"/>
    <mergeCell ref="G725:H725"/>
    <mergeCell ref="I725:J725"/>
    <mergeCell ref="A719:H719"/>
    <mergeCell ref="I719:J719"/>
    <mergeCell ref="G721:H721"/>
    <mergeCell ref="I721:J721"/>
    <mergeCell ref="G722:H722"/>
    <mergeCell ref="I722:J722"/>
    <mergeCell ref="A736:H736"/>
    <mergeCell ref="I736:J736"/>
    <mergeCell ref="G738:H738"/>
    <mergeCell ref="I738:J738"/>
    <mergeCell ref="G739:H739"/>
    <mergeCell ref="I739:J739"/>
    <mergeCell ref="G733:H733"/>
    <mergeCell ref="I733:J733"/>
    <mergeCell ref="G734:H734"/>
    <mergeCell ref="I734:J734"/>
    <mergeCell ref="G735:H735"/>
    <mergeCell ref="I735:J735"/>
    <mergeCell ref="G730:H730"/>
    <mergeCell ref="I730:J730"/>
    <mergeCell ref="G731:H731"/>
    <mergeCell ref="I731:J731"/>
    <mergeCell ref="G732:H732"/>
    <mergeCell ref="I732:J732"/>
    <mergeCell ref="G746:H746"/>
    <mergeCell ref="I746:J746"/>
    <mergeCell ref="G747:H747"/>
    <mergeCell ref="I747:J747"/>
    <mergeCell ref="G748:H748"/>
    <mergeCell ref="I748:J748"/>
    <mergeCell ref="G743:H743"/>
    <mergeCell ref="I743:J743"/>
    <mergeCell ref="G744:H744"/>
    <mergeCell ref="I744:J744"/>
    <mergeCell ref="G745:H745"/>
    <mergeCell ref="I745:J745"/>
    <mergeCell ref="G740:H740"/>
    <mergeCell ref="I740:J740"/>
    <mergeCell ref="G741:H741"/>
    <mergeCell ref="I741:J741"/>
    <mergeCell ref="G742:H742"/>
    <mergeCell ref="I742:J742"/>
    <mergeCell ref="G756:H756"/>
    <mergeCell ref="I756:J756"/>
    <mergeCell ref="G757:H757"/>
    <mergeCell ref="I757:J757"/>
    <mergeCell ref="A758:H758"/>
    <mergeCell ref="I758:J758"/>
    <mergeCell ref="A752:H752"/>
    <mergeCell ref="I752:J752"/>
    <mergeCell ref="G754:H754"/>
    <mergeCell ref="I754:J754"/>
    <mergeCell ref="G755:H755"/>
    <mergeCell ref="I755:J755"/>
    <mergeCell ref="G749:H749"/>
    <mergeCell ref="I749:J749"/>
    <mergeCell ref="G750:H750"/>
    <mergeCell ref="I750:J750"/>
    <mergeCell ref="G751:H751"/>
    <mergeCell ref="I751:J751"/>
    <mergeCell ref="G769:H769"/>
    <mergeCell ref="I769:J769"/>
    <mergeCell ref="A770:H770"/>
    <mergeCell ref="I770:J770"/>
    <mergeCell ref="G766:H766"/>
    <mergeCell ref="I766:J766"/>
    <mergeCell ref="G767:H767"/>
    <mergeCell ref="I767:J767"/>
    <mergeCell ref="G768:H768"/>
    <mergeCell ref="I768:J768"/>
    <mergeCell ref="G763:H763"/>
    <mergeCell ref="I763:J763"/>
    <mergeCell ref="G764:H764"/>
    <mergeCell ref="I764:J764"/>
    <mergeCell ref="G765:H765"/>
    <mergeCell ref="I765:J765"/>
    <mergeCell ref="G760:H760"/>
    <mergeCell ref="I760:J760"/>
    <mergeCell ref="G761:H761"/>
    <mergeCell ref="I761:J761"/>
    <mergeCell ref="G762:H762"/>
    <mergeCell ref="I762:J762"/>
  </mergeCells>
  <pageMargins left="0.78740157480314965" right="0.39370078740157483" top="1.1811023622047245" bottom="0.78740157480314965" header="0.31496062992125984" footer="0.31496062992125984"/>
  <pageSetup paperSize="9" scale="44" fitToHeight="0" orientation="portrait" r:id="rId1"/>
  <headerFooter>
    <oddHeader>&amp;C&amp;G</oddHead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55C9DA-FD59-4956-AE86-3627EE328599}">
  <sheetPr>
    <pageSetUpPr fitToPage="1"/>
  </sheetPr>
  <dimension ref="A1:S549"/>
  <sheetViews>
    <sheetView showGridLines="0" workbookViewId="0">
      <selection sqref="A1:J1"/>
    </sheetView>
  </sheetViews>
  <sheetFormatPr defaultRowHeight="14.4" x14ac:dyDescent="0.3"/>
  <cols>
    <col min="1" max="3" width="13.88671875" bestFit="1" customWidth="1"/>
    <col min="4" max="4" width="55.5546875" bestFit="1" customWidth="1"/>
    <col min="5" max="10" width="17.5546875" bestFit="1" customWidth="1"/>
    <col min="11" max="11" width="12" bestFit="1" customWidth="1"/>
    <col min="12" max="12" width="33.33203125" bestFit="1" customWidth="1"/>
    <col min="13" max="19" width="14.77734375" bestFit="1" customWidth="1"/>
  </cols>
  <sheetData>
    <row r="1" spans="1:19" x14ac:dyDescent="0.3">
      <c r="A1" s="33" t="str">
        <f>CIDADE</f>
        <v>MUNICÍPIO DE LAGOA DO PIAUI - PI</v>
      </c>
      <c r="B1" s="33"/>
      <c r="C1" s="33"/>
      <c r="D1" s="33"/>
      <c r="E1" s="33"/>
      <c r="F1" s="33"/>
      <c r="G1" s="33"/>
      <c r="H1" s="33"/>
      <c r="I1" s="33"/>
      <c r="J1" s="33"/>
    </row>
    <row r="2" spans="1:19" x14ac:dyDescent="0.3">
      <c r="A2" s="33" t="str">
        <f>OBRA</f>
        <v>IMPLANTAÇÃO DE 5 (CINCO) SISTEMAS SIMPLIFICADOS DE ABASTECIMENTO DE ÁGUA ZONA RURAL DO MUNICÍPIO DE LAGOA DO PIAUÍ-PI</v>
      </c>
      <c r="B2" s="33"/>
      <c r="C2" s="33"/>
      <c r="D2" s="33"/>
      <c r="E2" s="33"/>
      <c r="F2" s="33"/>
      <c r="G2" s="33"/>
      <c r="H2" s="33"/>
      <c r="I2" s="33"/>
      <c r="J2" s="33"/>
    </row>
    <row r="3" spans="1:19" x14ac:dyDescent="0.3">
      <c r="A3" s="33" t="s">
        <v>1140</v>
      </c>
      <c r="B3" s="33"/>
      <c r="C3" s="33"/>
      <c r="D3" s="33"/>
      <c r="E3" s="33"/>
      <c r="F3" s="33"/>
      <c r="G3" s="33"/>
      <c r="H3" s="33"/>
      <c r="I3" s="33"/>
      <c r="J3" s="33"/>
    </row>
    <row r="4" spans="1:19" x14ac:dyDescent="0.3">
      <c r="N4" s="34" t="s">
        <v>1014</v>
      </c>
      <c r="O4" s="36"/>
      <c r="P4" s="35"/>
      <c r="Q4" s="34" t="s">
        <v>1015</v>
      </c>
      <c r="R4" s="36"/>
      <c r="S4" s="35"/>
    </row>
    <row r="5" spans="1:19" x14ac:dyDescent="0.3">
      <c r="A5" s="1" t="s">
        <v>3</v>
      </c>
      <c r="B5" s="7" t="str">
        <f>FONTE&amp;FOLHA</f>
        <v>SINAPI PI 06/2025, SEINFRA CE 28, ORSE SE 05/2025, SEM DESONERAÇÃO</v>
      </c>
      <c r="C5" s="3"/>
      <c r="D5" s="3"/>
      <c r="E5" s="3"/>
      <c r="F5" s="3"/>
      <c r="G5" s="27" t="s">
        <v>10</v>
      </c>
      <c r="H5" s="8">
        <f>LEI</f>
        <v>113.33</v>
      </c>
      <c r="I5" s="1" t="s">
        <v>19</v>
      </c>
      <c r="J5" s="8">
        <f>BDI</f>
        <v>24.84</v>
      </c>
      <c r="M5" s="4" t="s">
        <v>138</v>
      </c>
      <c r="N5" s="4" t="s">
        <v>1016</v>
      </c>
      <c r="O5" s="4" t="s">
        <v>128</v>
      </c>
      <c r="P5" s="4" t="s">
        <v>1017</v>
      </c>
      <c r="Q5" s="4" t="s">
        <v>1016</v>
      </c>
      <c r="R5" s="4" t="s">
        <v>128</v>
      </c>
      <c r="S5" s="4" t="s">
        <v>1017</v>
      </c>
    </row>
    <row r="6" spans="1:19" x14ac:dyDescent="0.3">
      <c r="A6" s="4" t="s">
        <v>1018</v>
      </c>
      <c r="B6" s="4" t="s">
        <v>138</v>
      </c>
      <c r="C6" s="4" t="s">
        <v>139</v>
      </c>
      <c r="D6" s="4" t="s">
        <v>21</v>
      </c>
      <c r="E6" s="4" t="s">
        <v>140</v>
      </c>
      <c r="F6" s="4" t="s">
        <v>506</v>
      </c>
      <c r="G6" s="34" t="s">
        <v>1019</v>
      </c>
      <c r="H6" s="35"/>
      <c r="I6" s="34" t="s">
        <v>15</v>
      </c>
      <c r="J6" s="35"/>
    </row>
    <row r="7" spans="1:19" ht="45" customHeight="1" x14ac:dyDescent="0.3">
      <c r="A7" s="15" t="s">
        <v>1093</v>
      </c>
      <c r="B7" s="15">
        <v>95402</v>
      </c>
      <c r="C7" s="15" t="str">
        <f>VLOOKUP(B7,S!$A:$G,2,FALSE)</f>
        <v>SINAPI</v>
      </c>
      <c r="D7" s="22" t="str">
        <f>VLOOKUP(B7,S!$A:$G,3,FALSE)</f>
        <v>CURSO DE CAPACITAÇÃO PARA ENGENHEIRO CIVIL DE OBRA JÚNIOR (ENCARGOS COMPLEMENTARES) - HORISTA</v>
      </c>
      <c r="E7" s="15" t="str">
        <f>VLOOKUP(B7,S!$A:$G,4,FALSE)</f>
        <v>H</v>
      </c>
      <c r="F7" s="15"/>
      <c r="G7" s="73">
        <f>I9</f>
        <v>1.84</v>
      </c>
      <c r="H7" s="74"/>
      <c r="I7" s="73"/>
      <c r="J7" s="74"/>
      <c r="K7" s="16">
        <f>VLOOKUP(B7,S!A:G,5,FALSE)</f>
        <v>1.84</v>
      </c>
      <c r="L7" s="15" t="str">
        <f>IF(K7=G7,"OK, CONFORME TABELA",IF(G7&gt;K7,"ACIMA DA TABELA: ","ABAIXO DA TABELA: ")&amp;TRUNC((G7*100)/K7,2)&amp;" %")</f>
        <v>OK, CONFORME TABELA</v>
      </c>
    </row>
    <row r="8" spans="1:19" x14ac:dyDescent="0.3">
      <c r="A8" s="23" t="s">
        <v>1025</v>
      </c>
      <c r="B8" s="23">
        <v>2706</v>
      </c>
      <c r="C8" s="23" t="str">
        <f>VLOOKUP(B8,IF(A8="COMPOSICAO",S!$A:$E,I!$A:$E),2,FALSE)</f>
        <v>SINAPI</v>
      </c>
      <c r="D8" s="24" t="str">
        <f>VLOOKUP(B8,IF(A8="COMPOSICAO",S!$A:$E,I!$A:$E),3,FALSE)</f>
        <v>ENGENHEIRO CIVIL DE OBRA JUNIOR (HORISTA)</v>
      </c>
      <c r="E8" s="23" t="str">
        <f>VLOOKUP(B8,IF(A8="COMPOSICAO",S!$A:$E,I!$A:$E),4,FALSE)</f>
        <v>H</v>
      </c>
      <c r="F8" s="23">
        <v>1.4760000000000001E-2</v>
      </c>
      <c r="G8" s="71">
        <f>IF(A8="COMPOSICAO",VLOOKUP("TOTAL SEM BDI - "&amp;B8,CPUAUX3!$A:$J,9,FALSE),VLOOKUP(B8,I!$A:$E,5,FALSE))</f>
        <v>125.11</v>
      </c>
      <c r="H8" s="72"/>
      <c r="I8" s="71">
        <f>TRUNC(F8*G8,2)</f>
        <v>1.84</v>
      </c>
      <c r="J8" s="72"/>
      <c r="M8" s="23">
        <f>B8</f>
        <v>2706</v>
      </c>
      <c r="N8" s="23">
        <f>SUMIF(CPUAUX1!M:M,B7,CPUAUX1!O:O)</f>
        <v>72</v>
      </c>
      <c r="O8" s="23">
        <f>F8*N8</f>
        <v>1.0627200000000001</v>
      </c>
      <c r="Q8" s="23">
        <f ca="1">SUMIF(CPUAUX1!M:M,B7,CPUAUX1!R:R)</f>
        <v>28.799999999999997</v>
      </c>
      <c r="R8" s="23">
        <f ca="1">F8*Q8</f>
        <v>0.42508799999999997</v>
      </c>
    </row>
    <row r="9" spans="1:19" x14ac:dyDescent="0.3">
      <c r="A9" s="68" t="str">
        <f>"TOTAL SEM BDI - "&amp;B7</f>
        <v>TOTAL SEM BDI - 95402</v>
      </c>
      <c r="B9" s="69"/>
      <c r="C9" s="69"/>
      <c r="D9" s="69"/>
      <c r="E9" s="69"/>
      <c r="F9" s="69"/>
      <c r="G9" s="69"/>
      <c r="H9" s="70"/>
      <c r="I9" s="71">
        <f>SUM(I7:I8)</f>
        <v>1.84</v>
      </c>
      <c r="J9" s="72"/>
    </row>
    <row r="11" spans="1:19" x14ac:dyDescent="0.3">
      <c r="A11" s="4" t="s">
        <v>1018</v>
      </c>
      <c r="B11" s="4" t="s">
        <v>138</v>
      </c>
      <c r="C11" s="4" t="s">
        <v>139</v>
      </c>
      <c r="D11" s="4" t="s">
        <v>21</v>
      </c>
      <c r="E11" s="4" t="s">
        <v>140</v>
      </c>
      <c r="F11" s="4" t="s">
        <v>506</v>
      </c>
      <c r="G11" s="34" t="s">
        <v>1019</v>
      </c>
      <c r="H11" s="35"/>
      <c r="I11" s="34" t="s">
        <v>15</v>
      </c>
      <c r="J11" s="35"/>
    </row>
    <row r="12" spans="1:19" ht="30" customHeight="1" x14ac:dyDescent="0.3">
      <c r="A12" s="15" t="s">
        <v>1093</v>
      </c>
      <c r="B12" s="15">
        <v>95401</v>
      </c>
      <c r="C12" s="15" t="str">
        <f>VLOOKUP(B12,S!$A:$G,2,FALSE)</f>
        <v>SINAPI</v>
      </c>
      <c r="D12" s="22" t="str">
        <f>VLOOKUP(B12,S!$A:$G,3,FALSE)</f>
        <v>CURSO DE CAPACITAÇÃO PARA ENCARREGADO GERAL (ENCARGOS COMPLEMENTARES) - HORISTA</v>
      </c>
      <c r="E12" s="15" t="str">
        <f>VLOOKUP(B12,S!$A:$G,4,FALSE)</f>
        <v>H</v>
      </c>
      <c r="F12" s="15"/>
      <c r="G12" s="73">
        <f>I14</f>
        <v>0.67</v>
      </c>
      <c r="H12" s="74"/>
      <c r="I12" s="73"/>
      <c r="J12" s="74"/>
      <c r="K12" s="16">
        <f>VLOOKUP(B12,S!A:G,5,FALSE)</f>
        <v>0.67</v>
      </c>
      <c r="L12" s="15" t="str">
        <f>IF(K12=G12,"OK, CONFORME TABELA",IF(G12&gt;K12,"ACIMA DA TABELA: ","ABAIXO DA TABELA: ")&amp;TRUNC((G12*100)/K12,2)&amp;" %")</f>
        <v>OK, CONFORME TABELA</v>
      </c>
    </row>
    <row r="13" spans="1:19" x14ac:dyDescent="0.3">
      <c r="A13" s="23" t="s">
        <v>1025</v>
      </c>
      <c r="B13" s="23">
        <v>4083</v>
      </c>
      <c r="C13" s="23" t="str">
        <f>VLOOKUP(B13,IF(A13="COMPOSICAO",S!$A:$E,I!$A:$E),2,FALSE)</f>
        <v>SINAPI</v>
      </c>
      <c r="D13" s="24" t="str">
        <f>VLOOKUP(B13,IF(A13="COMPOSICAO",S!$A:$E,I!$A:$E),3,FALSE)</f>
        <v>ENCARREGADO GERAL DE OBRAS (HORISTA)</v>
      </c>
      <c r="E13" s="23" t="str">
        <f>VLOOKUP(B13,IF(A13="COMPOSICAO",S!$A:$E,I!$A:$E),4,FALSE)</f>
        <v>H</v>
      </c>
      <c r="F13" s="23">
        <v>2.12E-2</v>
      </c>
      <c r="G13" s="71">
        <f>IF(A13="COMPOSICAO",VLOOKUP("TOTAL SEM BDI - "&amp;B13,CPUAUX3!$A:$J,9,FALSE),VLOOKUP(B13,I!$A:$E,5,FALSE))</f>
        <v>31.85</v>
      </c>
      <c r="H13" s="72"/>
      <c r="I13" s="71">
        <f>TRUNC(F13*G13,2)</f>
        <v>0.67</v>
      </c>
      <c r="J13" s="72"/>
      <c r="M13" s="23">
        <f>B13</f>
        <v>4083</v>
      </c>
      <c r="N13" s="23">
        <f>SUMIF(CPUAUX1!M:M,B12,CPUAUX1!O:O)</f>
        <v>300</v>
      </c>
      <c r="O13" s="23">
        <f>F13*N13</f>
        <v>6.36</v>
      </c>
      <c r="Q13" s="23">
        <f ca="1">SUMIF(CPUAUX1!M:M,B12,CPUAUX1!R:R)</f>
        <v>120</v>
      </c>
      <c r="R13" s="23">
        <f ca="1">F13*Q13</f>
        <v>2.544</v>
      </c>
    </row>
    <row r="14" spans="1:19" x14ac:dyDescent="0.3">
      <c r="A14" s="68" t="str">
        <f>"TOTAL SEM BDI - "&amp;B12</f>
        <v>TOTAL SEM BDI - 95401</v>
      </c>
      <c r="B14" s="69"/>
      <c r="C14" s="69"/>
      <c r="D14" s="69"/>
      <c r="E14" s="69"/>
      <c r="F14" s="69"/>
      <c r="G14" s="69"/>
      <c r="H14" s="70"/>
      <c r="I14" s="71">
        <f>SUM(I12:I13)</f>
        <v>0.67</v>
      </c>
      <c r="J14" s="72"/>
    </row>
    <row r="16" spans="1:19" x14ac:dyDescent="0.3">
      <c r="A16" s="4" t="s">
        <v>1018</v>
      </c>
      <c r="B16" s="4" t="s">
        <v>138</v>
      </c>
      <c r="C16" s="4" t="s">
        <v>139</v>
      </c>
      <c r="D16" s="4" t="s">
        <v>21</v>
      </c>
      <c r="E16" s="4" t="s">
        <v>140</v>
      </c>
      <c r="F16" s="4" t="s">
        <v>506</v>
      </c>
      <c r="G16" s="34" t="s">
        <v>1019</v>
      </c>
      <c r="H16" s="35"/>
      <c r="I16" s="34" t="s">
        <v>15</v>
      </c>
      <c r="J16" s="35"/>
    </row>
    <row r="17" spans="1:18" ht="30" customHeight="1" x14ac:dyDescent="0.3">
      <c r="A17" s="15" t="s">
        <v>1093</v>
      </c>
      <c r="B17" s="15">
        <v>95392</v>
      </c>
      <c r="C17" s="15" t="str">
        <f>VLOOKUP(B17,S!$A:$G,2,FALSE)</f>
        <v>SINAPI</v>
      </c>
      <c r="D17" s="22" t="str">
        <f>VLOOKUP(B17,S!$A:$G,3,FALSE)</f>
        <v>CURSO DE CAPACITAÇÃO PARA ALMOXARIFE (ENCARGOS COMPLEMENTARES) - HORISTA</v>
      </c>
      <c r="E17" s="15" t="str">
        <f>VLOOKUP(B17,S!$A:$G,4,FALSE)</f>
        <v>H</v>
      </c>
      <c r="F17" s="15"/>
      <c r="G17" s="73">
        <f>I19</f>
        <v>0.1</v>
      </c>
      <c r="H17" s="74"/>
      <c r="I17" s="73"/>
      <c r="J17" s="74"/>
      <c r="K17" s="16">
        <f>VLOOKUP(B17,S!A:G,5,FALSE)</f>
        <v>0.1</v>
      </c>
      <c r="L17" s="15" t="str">
        <f>IF(K17=G17,"OK, CONFORME TABELA",IF(G17&gt;K17,"ACIMA DA TABELA: ","ABAIXO DA TABELA: ")&amp;TRUNC((G17*100)/K17,2)&amp;" %")</f>
        <v>OK, CONFORME TABELA</v>
      </c>
    </row>
    <row r="18" spans="1:18" x14ac:dyDescent="0.3">
      <c r="A18" s="23" t="s">
        <v>1025</v>
      </c>
      <c r="B18" s="23">
        <v>253</v>
      </c>
      <c r="C18" s="23" t="str">
        <f>VLOOKUP(B18,IF(A18="COMPOSICAO",S!$A:$E,I!$A:$E),2,FALSE)</f>
        <v>SINAPI</v>
      </c>
      <c r="D18" s="24" t="str">
        <f>VLOOKUP(B18,IF(A18="COMPOSICAO",S!$A:$E,I!$A:$E),3,FALSE)</f>
        <v>ALMOXARIFE (HORISTA)</v>
      </c>
      <c r="E18" s="23" t="str">
        <f>VLOOKUP(B18,IF(A18="COMPOSICAO",S!$A:$E,I!$A:$E),4,FALSE)</f>
        <v>H</v>
      </c>
      <c r="F18" s="23">
        <v>5.0899999999999999E-3</v>
      </c>
      <c r="G18" s="71">
        <f>IF(A18="COMPOSICAO",VLOOKUP("TOTAL SEM BDI - "&amp;B18,CPUAUX3!$A:$J,9,FALSE),VLOOKUP(B18,I!$A:$E,5,FALSE))</f>
        <v>20.329999999999998</v>
      </c>
      <c r="H18" s="72"/>
      <c r="I18" s="71">
        <f>TRUNC(F18*G18,2)</f>
        <v>0.1</v>
      </c>
      <c r="J18" s="72"/>
      <c r="M18" s="23">
        <f>B18</f>
        <v>253</v>
      </c>
      <c r="N18" s="23">
        <f>SUMIF(CPUAUX1!M:M,B17,CPUAUX1!O:O)</f>
        <v>300</v>
      </c>
      <c r="O18" s="23">
        <f>F18*N18</f>
        <v>1.5269999999999999</v>
      </c>
      <c r="Q18" s="23">
        <f ca="1">SUMIF(CPUAUX1!M:M,B17,CPUAUX1!R:R)</f>
        <v>120</v>
      </c>
      <c r="R18" s="23">
        <f ca="1">F18*Q18</f>
        <v>0.61080000000000001</v>
      </c>
    </row>
    <row r="19" spans="1:18" x14ac:dyDescent="0.3">
      <c r="A19" s="68" t="str">
        <f>"TOTAL SEM BDI - "&amp;B17</f>
        <v>TOTAL SEM BDI - 95392</v>
      </c>
      <c r="B19" s="69"/>
      <c r="C19" s="69"/>
      <c r="D19" s="69"/>
      <c r="E19" s="69"/>
      <c r="F19" s="69"/>
      <c r="G19" s="69"/>
      <c r="H19" s="70"/>
      <c r="I19" s="71">
        <f>SUM(I17:I18)</f>
        <v>0.1</v>
      </c>
      <c r="J19" s="72"/>
    </row>
    <row r="21" spans="1:18" x14ac:dyDescent="0.3">
      <c r="A21" s="4" t="s">
        <v>1018</v>
      </c>
      <c r="B21" s="4" t="s">
        <v>138</v>
      </c>
      <c r="C21" s="4" t="s">
        <v>139</v>
      </c>
      <c r="D21" s="4" t="s">
        <v>21</v>
      </c>
      <c r="E21" s="4" t="s">
        <v>140</v>
      </c>
      <c r="F21" s="4" t="s">
        <v>506</v>
      </c>
      <c r="G21" s="34" t="s">
        <v>1019</v>
      </c>
      <c r="H21" s="35"/>
      <c r="I21" s="34" t="s">
        <v>15</v>
      </c>
      <c r="J21" s="35"/>
    </row>
    <row r="22" spans="1:18" ht="30" customHeight="1" x14ac:dyDescent="0.3">
      <c r="A22" s="15" t="s">
        <v>1093</v>
      </c>
      <c r="B22" s="15">
        <v>95378</v>
      </c>
      <c r="C22" s="15" t="str">
        <f>VLOOKUP(B22,S!$A:$G,2,FALSE)</f>
        <v>SINAPI</v>
      </c>
      <c r="D22" s="22" t="str">
        <f>VLOOKUP(B22,S!$A:$G,3,FALSE)</f>
        <v>CURSO DE CAPACITAÇÃO PARA SERVENTE (ENCARGOS COMPLEMENTARES) - HORISTA</v>
      </c>
      <c r="E22" s="15" t="str">
        <f>VLOOKUP(B22,S!$A:$G,4,FALSE)</f>
        <v>H</v>
      </c>
      <c r="F22" s="15"/>
      <c r="G22" s="73">
        <f>I24</f>
        <v>0.31</v>
      </c>
      <c r="H22" s="74"/>
      <c r="I22" s="73"/>
      <c r="J22" s="74"/>
      <c r="K22" s="16">
        <f>VLOOKUP(B22,S!A:G,5,FALSE)</f>
        <v>0.31</v>
      </c>
      <c r="L22" s="15" t="str">
        <f>IF(K22=G22,"OK, CONFORME TABELA",IF(G22&gt;K22,"ACIMA DA TABELA: ","ABAIXO DA TABELA: ")&amp;TRUNC((G22*100)/K22,2)&amp;" %")</f>
        <v>OK, CONFORME TABELA</v>
      </c>
    </row>
    <row r="23" spans="1:18" x14ac:dyDescent="0.3">
      <c r="A23" s="23" t="s">
        <v>1025</v>
      </c>
      <c r="B23" s="23">
        <v>6111</v>
      </c>
      <c r="C23" s="23" t="str">
        <f>VLOOKUP(B23,IF(A23="COMPOSICAO",S!$A:$E,I!$A:$E),2,FALSE)</f>
        <v>SINAPI</v>
      </c>
      <c r="D23" s="24" t="str">
        <f>VLOOKUP(B23,IF(A23="COMPOSICAO",S!$A:$E,I!$A:$E),3,FALSE)</f>
        <v>SERVENTE DE OBRAS (HORISTA)</v>
      </c>
      <c r="E23" s="23" t="str">
        <f>VLOOKUP(B23,IF(A23="COMPOSICAO",S!$A:$E,I!$A:$E),4,FALSE)</f>
        <v>H</v>
      </c>
      <c r="F23" s="23">
        <v>2.12E-2</v>
      </c>
      <c r="G23" s="71">
        <f>IF(A23="COMPOSICAO",VLOOKUP("TOTAL SEM BDI - "&amp;B23,CPUAUX3!$A:$J,9,FALSE),VLOOKUP(B23,I!$A:$E,5,FALSE))</f>
        <v>14.86</v>
      </c>
      <c r="H23" s="72"/>
      <c r="I23" s="71">
        <f>TRUNC(F23*G23,2)</f>
        <v>0.31</v>
      </c>
      <c r="J23" s="72"/>
      <c r="M23" s="23">
        <f>B23</f>
        <v>6111</v>
      </c>
      <c r="N23" s="23">
        <f>SUMIF(CPUAUX1!M:M,B22,CPUAUX1!O:O)</f>
        <v>3361.5627940500003</v>
      </c>
      <c r="O23" s="23">
        <f>F23*N23</f>
        <v>71.265131233860004</v>
      </c>
      <c r="Q23" s="23">
        <f ca="1">SUMIF(CPUAUX1!M:M,B22,CPUAUX1!R:R)</f>
        <v>1352.4011176199999</v>
      </c>
      <c r="R23" s="23">
        <f ca="1">F23*Q23</f>
        <v>28.670903693543998</v>
      </c>
    </row>
    <row r="24" spans="1:18" x14ac:dyDescent="0.3">
      <c r="A24" s="68" t="str">
        <f>"TOTAL SEM BDI - "&amp;B22</f>
        <v>TOTAL SEM BDI - 95378</v>
      </c>
      <c r="B24" s="69"/>
      <c r="C24" s="69"/>
      <c r="D24" s="69"/>
      <c r="E24" s="69"/>
      <c r="F24" s="69"/>
      <c r="G24" s="69"/>
      <c r="H24" s="70"/>
      <c r="I24" s="71">
        <f>SUM(I22:I23)</f>
        <v>0.31</v>
      </c>
      <c r="J24" s="72"/>
    </row>
    <row r="26" spans="1:18" x14ac:dyDescent="0.3">
      <c r="A26" s="4" t="s">
        <v>1018</v>
      </c>
      <c r="B26" s="4" t="s">
        <v>138</v>
      </c>
      <c r="C26" s="4" t="s">
        <v>139</v>
      </c>
      <c r="D26" s="4" t="s">
        <v>21</v>
      </c>
      <c r="E26" s="4" t="s">
        <v>140</v>
      </c>
      <c r="F26" s="4" t="s">
        <v>506</v>
      </c>
      <c r="G26" s="34" t="s">
        <v>1019</v>
      </c>
      <c r="H26" s="35"/>
      <c r="I26" s="34" t="s">
        <v>15</v>
      </c>
      <c r="J26" s="35"/>
    </row>
    <row r="27" spans="1:18" ht="45" customHeight="1" x14ac:dyDescent="0.3">
      <c r="A27" s="15" t="s">
        <v>1093</v>
      </c>
      <c r="B27" s="15">
        <v>95323</v>
      </c>
      <c r="C27" s="15" t="str">
        <f>VLOOKUP(B27,S!$A:$G,2,FALSE)</f>
        <v>SINAPI</v>
      </c>
      <c r="D27" s="22" t="str">
        <f>VLOOKUP(B27,S!$A:$G,3,FALSE)</f>
        <v>CURSO DE CAPACITAÇÃO PARA AUXILIAR TÉCNICO DE ENGENHARIA (ENCARGOS COMPLEMENTARES) - HORISTA</v>
      </c>
      <c r="E27" s="15" t="str">
        <f>VLOOKUP(B27,S!$A:$G,4,FALSE)</f>
        <v>H</v>
      </c>
      <c r="F27" s="15"/>
      <c r="G27" s="73">
        <f>I29</f>
        <v>0.19</v>
      </c>
      <c r="H27" s="74"/>
      <c r="I27" s="73"/>
      <c r="J27" s="74"/>
      <c r="K27" s="16">
        <f>VLOOKUP(B27,S!A:G,5,FALSE)</f>
        <v>0.19</v>
      </c>
      <c r="L27" s="15" t="str">
        <f>IF(K27=G27,"OK, CONFORME TABELA",IF(G27&gt;K27,"ACIMA DA TABELA: ","ABAIXO DA TABELA: ")&amp;TRUNC((G27*100)/K27,2)&amp;" %")</f>
        <v>OK, CONFORME TABELA</v>
      </c>
    </row>
    <row r="28" spans="1:18" ht="30" customHeight="1" x14ac:dyDescent="0.3">
      <c r="A28" s="23" t="s">
        <v>1025</v>
      </c>
      <c r="B28" s="23">
        <v>532</v>
      </c>
      <c r="C28" s="23" t="str">
        <f>VLOOKUP(B28,IF(A28="COMPOSICAO",S!$A:$E,I!$A:$E),2,FALSE)</f>
        <v>SINAPI</v>
      </c>
      <c r="D28" s="24" t="str">
        <f>VLOOKUP(B28,IF(A28="COMPOSICAO",S!$A:$E,I!$A:$E),3,FALSE)</f>
        <v>AUXILIAR TECNICO / ASSISTENTE DE ENGENHARIA (HORISTA)</v>
      </c>
      <c r="E28" s="23" t="str">
        <f>VLOOKUP(B28,IF(A28="COMPOSICAO",S!$A:$E,I!$A:$E),4,FALSE)</f>
        <v>H</v>
      </c>
      <c r="F28" s="23">
        <v>8.3099999999999997E-3</v>
      </c>
      <c r="G28" s="71">
        <f>IF(A28="COMPOSICAO",VLOOKUP("TOTAL SEM BDI - "&amp;B28,CPUAUX3!$A:$J,9,FALSE),VLOOKUP(B28,I!$A:$E,5,FALSE))</f>
        <v>24.06</v>
      </c>
      <c r="H28" s="72"/>
      <c r="I28" s="71">
        <f>TRUNC(F28*G28,2)</f>
        <v>0.19</v>
      </c>
      <c r="J28" s="72"/>
      <c r="M28" s="23">
        <f>B28</f>
        <v>532</v>
      </c>
      <c r="N28" s="23">
        <f>SUMIF(CPUAUX1!M:M,B27,CPUAUX1!O:O)</f>
        <v>100</v>
      </c>
      <c r="O28" s="23">
        <f>F28*N28</f>
        <v>0.83099999999999996</v>
      </c>
      <c r="Q28" s="23">
        <f ca="1">SUMIF(CPUAUX1!M:M,B27,CPUAUX1!R:R)</f>
        <v>40</v>
      </c>
      <c r="R28" s="23">
        <f ca="1">F28*Q28</f>
        <v>0.33239999999999997</v>
      </c>
    </row>
    <row r="29" spans="1:18" x14ac:dyDescent="0.3">
      <c r="A29" s="68" t="str">
        <f>"TOTAL SEM BDI - "&amp;B27</f>
        <v>TOTAL SEM BDI - 95323</v>
      </c>
      <c r="B29" s="69"/>
      <c r="C29" s="69"/>
      <c r="D29" s="69"/>
      <c r="E29" s="69"/>
      <c r="F29" s="69"/>
      <c r="G29" s="69"/>
      <c r="H29" s="70"/>
      <c r="I29" s="71">
        <f>SUM(I27:I28)</f>
        <v>0.19</v>
      </c>
      <c r="J29" s="72"/>
    </row>
    <row r="31" spans="1:18" x14ac:dyDescent="0.3">
      <c r="A31" s="4" t="s">
        <v>1018</v>
      </c>
      <c r="B31" s="4" t="s">
        <v>138</v>
      </c>
      <c r="C31" s="4" t="s">
        <v>139</v>
      </c>
      <c r="D31" s="4" t="s">
        <v>21</v>
      </c>
      <c r="E31" s="4" t="s">
        <v>140</v>
      </c>
      <c r="F31" s="4" t="s">
        <v>506</v>
      </c>
      <c r="G31" s="34" t="s">
        <v>1019</v>
      </c>
      <c r="H31" s="35"/>
      <c r="I31" s="34" t="s">
        <v>15</v>
      </c>
      <c r="J31" s="35"/>
    </row>
    <row r="32" spans="1:18" ht="45" customHeight="1" x14ac:dyDescent="0.3">
      <c r="A32" s="15" t="s">
        <v>1093</v>
      </c>
      <c r="B32" s="15">
        <v>95404</v>
      </c>
      <c r="C32" s="15" t="str">
        <f>VLOOKUP(B32,S!$A:$G,2,FALSE)</f>
        <v>SINAPI</v>
      </c>
      <c r="D32" s="22" t="str">
        <f>VLOOKUP(B32,S!$A:$G,3,FALSE)</f>
        <v>CURSO DE CAPACITAÇÃO PARA ENGENHEIRO CIVIL DE OBRA SÊNIOR (ENCARGOS COMPLEMENTARES) - HORISTA</v>
      </c>
      <c r="E32" s="15" t="str">
        <f>VLOOKUP(B32,S!$A:$G,4,FALSE)</f>
        <v>H</v>
      </c>
      <c r="F32" s="15"/>
      <c r="G32" s="73">
        <f>I34</f>
        <v>2.17</v>
      </c>
      <c r="H32" s="74"/>
      <c r="I32" s="73"/>
      <c r="J32" s="74"/>
      <c r="K32" s="16">
        <f>VLOOKUP(B32,S!A:G,5,FALSE)</f>
        <v>2.17</v>
      </c>
      <c r="L32" s="15" t="str">
        <f>IF(K32=G32,"OK, CONFORME TABELA",IF(G32&gt;K32,"ACIMA DA TABELA: ","ABAIXO DA TABELA: ")&amp;TRUNC((G32*100)/K32,2)&amp;" %")</f>
        <v>OK, CONFORME TABELA</v>
      </c>
    </row>
    <row r="33" spans="1:18" x14ac:dyDescent="0.3">
      <c r="A33" s="23" t="s">
        <v>1025</v>
      </c>
      <c r="B33" s="23">
        <v>2708</v>
      </c>
      <c r="C33" s="23" t="str">
        <f>VLOOKUP(B33,IF(A33="COMPOSICAO",S!$A:$E,I!$A:$E),2,FALSE)</f>
        <v>SINAPI</v>
      </c>
      <c r="D33" s="24" t="str">
        <f>VLOOKUP(B33,IF(A33="COMPOSICAO",S!$A:$E,I!$A:$E),3,FALSE)</f>
        <v>ENGENHEIRO CIVIL DE OBRA SENIOR (HORISTA)</v>
      </c>
      <c r="E33" s="23" t="str">
        <f>VLOOKUP(B33,IF(A33="COMPOSICAO",S!$A:$E,I!$A:$E),4,FALSE)</f>
        <v>H</v>
      </c>
      <c r="F33" s="23">
        <v>1.4760000000000001E-2</v>
      </c>
      <c r="G33" s="71">
        <f>IF(A33="COMPOSICAO",VLOOKUP("TOTAL SEM BDI - "&amp;B33,CPUAUX3!$A:$J,9,FALSE),VLOOKUP(B33,I!$A:$E,5,FALSE))</f>
        <v>147.6</v>
      </c>
      <c r="H33" s="72"/>
      <c r="I33" s="71">
        <f>TRUNC(F33*G33,2)</f>
        <v>2.17</v>
      </c>
      <c r="J33" s="72"/>
      <c r="M33" s="23">
        <f>B33</f>
        <v>2708</v>
      </c>
      <c r="N33" s="23">
        <f>SUMIF(CPUAUX1!M:M,B32,CPUAUX1!O:O)</f>
        <v>40</v>
      </c>
      <c r="O33" s="23">
        <f>F33*N33</f>
        <v>0.59040000000000004</v>
      </c>
      <c r="Q33" s="23">
        <f ca="1">SUMIF(CPUAUX1!M:M,B32,CPUAUX1!R:R)</f>
        <v>16</v>
      </c>
      <c r="R33" s="23">
        <f ca="1">F33*Q33</f>
        <v>0.23616000000000001</v>
      </c>
    </row>
    <row r="34" spans="1:18" x14ac:dyDescent="0.3">
      <c r="A34" s="68" t="str">
        <f>"TOTAL SEM BDI - "&amp;B32</f>
        <v>TOTAL SEM BDI - 95404</v>
      </c>
      <c r="B34" s="69"/>
      <c r="C34" s="69"/>
      <c r="D34" s="69"/>
      <c r="E34" s="69"/>
      <c r="F34" s="69"/>
      <c r="G34" s="69"/>
      <c r="H34" s="70"/>
      <c r="I34" s="71">
        <f>SUM(I32:I33)</f>
        <v>2.17</v>
      </c>
      <c r="J34" s="72"/>
    </row>
    <row r="36" spans="1:18" x14ac:dyDescent="0.3">
      <c r="A36" s="4" t="s">
        <v>1018</v>
      </c>
      <c r="B36" s="4" t="s">
        <v>138</v>
      </c>
      <c r="C36" s="4" t="s">
        <v>139</v>
      </c>
      <c r="D36" s="4" t="s">
        <v>21</v>
      </c>
      <c r="E36" s="4" t="s">
        <v>140</v>
      </c>
      <c r="F36" s="4" t="s">
        <v>506</v>
      </c>
      <c r="G36" s="34" t="s">
        <v>1019</v>
      </c>
      <c r="H36" s="35"/>
      <c r="I36" s="34" t="s">
        <v>15</v>
      </c>
      <c r="J36" s="35"/>
    </row>
    <row r="37" spans="1:18" ht="45" customHeight="1" x14ac:dyDescent="0.3">
      <c r="A37" s="15" t="s">
        <v>1093</v>
      </c>
      <c r="B37" s="15">
        <v>95360</v>
      </c>
      <c r="C37" s="15" t="str">
        <f>VLOOKUP(B37,S!$A:$G,2,FALSE)</f>
        <v>SINAPI</v>
      </c>
      <c r="D37" s="22" t="str">
        <f>VLOOKUP(B37,S!$A:$G,3,FALSE)</f>
        <v>CURSO DE CAPACITAÇÃO PARA OPERADOR DE MÁQUINAS E EQUIPAMENTOS (ENCARGOS COMPLEMENTARES) - HORISTA</v>
      </c>
      <c r="E37" s="15" t="str">
        <f>VLOOKUP(B37,S!$A:$G,4,FALSE)</f>
        <v>H</v>
      </c>
      <c r="F37" s="15"/>
      <c r="G37" s="73">
        <f>I39</f>
        <v>0.24</v>
      </c>
      <c r="H37" s="74"/>
      <c r="I37" s="73"/>
      <c r="J37" s="74"/>
      <c r="K37" s="16">
        <f>VLOOKUP(B37,S!A:G,5,FALSE)</f>
        <v>0.24</v>
      </c>
      <c r="L37" s="15" t="str">
        <f>IF(K37=G37,"OK, CONFORME TABELA",IF(G37&gt;K37,"ACIMA DA TABELA: ","ABAIXO DA TABELA: ")&amp;TRUNC((G37*100)/K37,2)&amp;" %")</f>
        <v>OK, CONFORME TABELA</v>
      </c>
    </row>
    <row r="38" spans="1:18" ht="30" customHeight="1" x14ac:dyDescent="0.3">
      <c r="A38" s="23" t="s">
        <v>1025</v>
      </c>
      <c r="B38" s="23">
        <v>4230</v>
      </c>
      <c r="C38" s="23" t="str">
        <f>VLOOKUP(B38,IF(A38="COMPOSICAO",S!$A:$E,I!$A:$E),2,FALSE)</f>
        <v>SINAPI</v>
      </c>
      <c r="D38" s="24" t="str">
        <f>VLOOKUP(B38,IF(A38="COMPOSICAO",S!$A:$E,I!$A:$E),3,FALSE)</f>
        <v>OPERADOR DE MAQUINAS E TRATORES DIVERSOS - TERRAPLANAGEM (HORISTA)</v>
      </c>
      <c r="E38" s="23" t="str">
        <f>VLOOKUP(B38,IF(A38="COMPOSICAO",S!$A:$E,I!$A:$E),4,FALSE)</f>
        <v>H</v>
      </c>
      <c r="F38" s="23">
        <v>1.154E-2</v>
      </c>
      <c r="G38" s="71">
        <f>IF(A38="COMPOSICAO",VLOOKUP("TOTAL SEM BDI - "&amp;B38,CPUAUX3!$A:$J,9,FALSE),VLOOKUP(B38,I!$A:$E,5,FALSE))</f>
        <v>21.48</v>
      </c>
      <c r="H38" s="72"/>
      <c r="I38" s="71">
        <f>TRUNC(F38*G38,2)</f>
        <v>0.24</v>
      </c>
      <c r="J38" s="72"/>
      <c r="M38" s="23">
        <f>B38</f>
        <v>4230</v>
      </c>
      <c r="N38" s="23">
        <f>SUMIF(CPUAUX1!M:M,B37,CPUAUX1!O:O)</f>
        <v>421.13400000000001</v>
      </c>
      <c r="O38" s="23">
        <f>F38*N38</f>
        <v>4.85988636</v>
      </c>
      <c r="Q38" s="23">
        <f ca="1">SUMIF(CPUAUX1!M:M,B37,CPUAUX1!R:R)</f>
        <v>168.45360000000002</v>
      </c>
      <c r="R38" s="23">
        <f ca="1">F38*Q38</f>
        <v>1.9439545440000003</v>
      </c>
    </row>
    <row r="39" spans="1:18" x14ac:dyDescent="0.3">
      <c r="A39" s="68" t="str">
        <f>"TOTAL SEM BDI - "&amp;B37</f>
        <v>TOTAL SEM BDI - 95360</v>
      </c>
      <c r="B39" s="69"/>
      <c r="C39" s="69"/>
      <c r="D39" s="69"/>
      <c r="E39" s="69"/>
      <c r="F39" s="69"/>
      <c r="G39" s="69"/>
      <c r="H39" s="70"/>
      <c r="I39" s="71">
        <f>SUM(I37:I38)</f>
        <v>0.24</v>
      </c>
      <c r="J39" s="72"/>
    </row>
    <row r="41" spans="1:18" x14ac:dyDescent="0.3">
      <c r="A41" s="4" t="s">
        <v>1018</v>
      </c>
      <c r="B41" s="4" t="s">
        <v>138</v>
      </c>
      <c r="C41" s="4" t="s">
        <v>139</v>
      </c>
      <c r="D41" s="4" t="s">
        <v>21</v>
      </c>
      <c r="E41" s="4" t="s">
        <v>140</v>
      </c>
      <c r="F41" s="4" t="s">
        <v>506</v>
      </c>
      <c r="G41" s="34" t="s">
        <v>1019</v>
      </c>
      <c r="H41" s="35"/>
      <c r="I41" s="34" t="s">
        <v>15</v>
      </c>
      <c r="J41" s="35"/>
    </row>
    <row r="42" spans="1:18" ht="45" customHeight="1" x14ac:dyDescent="0.3">
      <c r="A42" s="15" t="s">
        <v>1093</v>
      </c>
      <c r="B42" s="15">
        <v>95343</v>
      </c>
      <c r="C42" s="15" t="str">
        <f>VLOOKUP(B42,S!$A:$G,2,FALSE)</f>
        <v>SINAPI</v>
      </c>
      <c r="D42" s="22" t="str">
        <f>VLOOKUP(B42,S!$A:$G,3,FALSE)</f>
        <v>CURSO DE CAPACITAÇÃO PARA MONTADOR DE TUBO AÇO/EQUIPAMENTOS (ENCARGOS COMPLEMENTARES) - HORISTA</v>
      </c>
      <c r="E42" s="15" t="str">
        <f>VLOOKUP(B42,S!$A:$G,4,FALSE)</f>
        <v>H</v>
      </c>
      <c r="F42" s="15"/>
      <c r="G42" s="73">
        <f>I44</f>
        <v>0.33</v>
      </c>
      <c r="H42" s="74"/>
      <c r="I42" s="73"/>
      <c r="J42" s="74"/>
      <c r="K42" s="16">
        <f>VLOOKUP(B42,S!A:G,5,FALSE)</f>
        <v>0.33</v>
      </c>
      <c r="L42" s="15" t="str">
        <f>IF(K42=G42,"OK, CONFORME TABELA",IF(G42&gt;K42,"ACIMA DA TABELA: ","ABAIXO DA TABELA: ")&amp;TRUNC((G42*100)/K42,2)&amp;" %")</f>
        <v>OK, CONFORME TABELA</v>
      </c>
    </row>
    <row r="43" spans="1:18" ht="30" customHeight="1" x14ac:dyDescent="0.3">
      <c r="A43" s="23" t="s">
        <v>1025</v>
      </c>
      <c r="B43" s="23">
        <v>2701</v>
      </c>
      <c r="C43" s="23" t="str">
        <f>VLOOKUP(B43,IF(A43="COMPOSICAO",S!$A:$E,I!$A:$E),2,FALSE)</f>
        <v>SINAPI</v>
      </c>
      <c r="D43" s="24" t="str">
        <f>VLOOKUP(B43,IF(A43="COMPOSICAO",S!$A:$E,I!$A:$E),3,FALSE)</f>
        <v>INSTALADOR DE TUBULACOES - TUBOS/EQUIPAMENTOS (HORISTA)</v>
      </c>
      <c r="E43" s="23" t="str">
        <f>VLOOKUP(B43,IF(A43="COMPOSICAO",S!$A:$E,I!$A:$E),4,FALSE)</f>
        <v>H</v>
      </c>
      <c r="F43" s="23">
        <v>1.4760000000000001E-2</v>
      </c>
      <c r="G43" s="71">
        <f>IF(A43="COMPOSICAO",VLOOKUP("TOTAL SEM BDI - "&amp;B43,CPUAUX3!$A:$J,9,FALSE),VLOOKUP(B43,I!$A:$E,5,FALSE))</f>
        <v>22.67</v>
      </c>
      <c r="H43" s="72"/>
      <c r="I43" s="71">
        <f>TRUNC(F43*G43,2)</f>
        <v>0.33</v>
      </c>
      <c r="J43" s="72"/>
      <c r="M43" s="23">
        <f>B43</f>
        <v>2701</v>
      </c>
      <c r="N43" s="23">
        <f>SUMIF(CPUAUX1!M:M,B42,CPUAUX1!O:O)</f>
        <v>111</v>
      </c>
      <c r="O43" s="23">
        <f>F43*N43</f>
        <v>1.63836</v>
      </c>
      <c r="Q43" s="23">
        <f ca="1">SUMIF(CPUAUX1!M:M,B42,CPUAUX1!R:R)</f>
        <v>44.400000000000006</v>
      </c>
      <c r="R43" s="23">
        <f ca="1">F43*Q43</f>
        <v>0.65534400000000015</v>
      </c>
    </row>
    <row r="44" spans="1:18" x14ac:dyDescent="0.3">
      <c r="A44" s="68" t="str">
        <f>"TOTAL SEM BDI - "&amp;B42</f>
        <v>TOTAL SEM BDI - 95343</v>
      </c>
      <c r="B44" s="69"/>
      <c r="C44" s="69"/>
      <c r="D44" s="69"/>
      <c r="E44" s="69"/>
      <c r="F44" s="69"/>
      <c r="G44" s="69"/>
      <c r="H44" s="70"/>
      <c r="I44" s="71">
        <f>SUM(I42:I43)</f>
        <v>0.33</v>
      </c>
      <c r="J44" s="72"/>
    </row>
    <row r="46" spans="1:18" x14ac:dyDescent="0.3">
      <c r="A46" s="4" t="s">
        <v>1018</v>
      </c>
      <c r="B46" s="4" t="s">
        <v>138</v>
      </c>
      <c r="C46" s="4" t="s">
        <v>139</v>
      </c>
      <c r="D46" s="4" t="s">
        <v>21</v>
      </c>
      <c r="E46" s="4" t="s">
        <v>140</v>
      </c>
      <c r="F46" s="4" t="s">
        <v>506</v>
      </c>
      <c r="G46" s="34" t="s">
        <v>1019</v>
      </c>
      <c r="H46" s="35"/>
      <c r="I46" s="34" t="s">
        <v>15</v>
      </c>
      <c r="J46" s="35"/>
    </row>
    <row r="47" spans="1:18" ht="30" customHeight="1" x14ac:dyDescent="0.3">
      <c r="A47" s="15" t="s">
        <v>1093</v>
      </c>
      <c r="B47" s="15">
        <v>95371</v>
      </c>
      <c r="C47" s="15" t="str">
        <f>VLOOKUP(B47,S!$A:$G,2,FALSE)</f>
        <v>SINAPI</v>
      </c>
      <c r="D47" s="22" t="str">
        <f>VLOOKUP(B47,S!$A:$G,3,FALSE)</f>
        <v>CURSO DE CAPACITAÇÃO PARA PEDREIRO (ENCARGOS COMPLEMENTARES) - HORISTA</v>
      </c>
      <c r="E47" s="15" t="str">
        <f>VLOOKUP(B47,S!$A:$G,4,FALSE)</f>
        <v>H</v>
      </c>
      <c r="F47" s="15"/>
      <c r="G47" s="73">
        <f>I49</f>
        <v>0.43</v>
      </c>
      <c r="H47" s="74"/>
      <c r="I47" s="73"/>
      <c r="J47" s="74"/>
      <c r="K47" s="16">
        <f>VLOOKUP(B47,S!A:G,5,FALSE)</f>
        <v>0.43</v>
      </c>
      <c r="L47" s="15" t="str">
        <f>IF(K47=G47,"OK, CONFORME TABELA",IF(G47&gt;K47,"ACIMA DA TABELA: ","ABAIXO DA TABELA: ")&amp;TRUNC((G47*100)/K47,2)&amp;" %")</f>
        <v>OK, CONFORME TABELA</v>
      </c>
    </row>
    <row r="48" spans="1:18" x14ac:dyDescent="0.3">
      <c r="A48" s="23" t="s">
        <v>1025</v>
      </c>
      <c r="B48" s="23">
        <v>4750</v>
      </c>
      <c r="C48" s="23" t="str">
        <f>VLOOKUP(B48,IF(A48="COMPOSICAO",S!$A:$E,I!$A:$E),2,FALSE)</f>
        <v>SINAPI</v>
      </c>
      <c r="D48" s="24" t="str">
        <f>VLOOKUP(B48,IF(A48="COMPOSICAO",S!$A:$E,I!$A:$E),3,FALSE)</f>
        <v>PEDREIRO (HORISTA)</v>
      </c>
      <c r="E48" s="23" t="str">
        <f>VLOOKUP(B48,IF(A48="COMPOSICAO",S!$A:$E,I!$A:$E),4,FALSE)</f>
        <v>H</v>
      </c>
      <c r="F48" s="23">
        <v>2.12E-2</v>
      </c>
      <c r="G48" s="71">
        <f>IF(A48="COMPOSICAO",VLOOKUP("TOTAL SEM BDI - "&amp;B48,CPUAUX3!$A:$J,9,FALSE),VLOOKUP(B48,I!$A:$E,5,FALSE))</f>
        <v>20.329999999999998</v>
      </c>
      <c r="H48" s="72"/>
      <c r="I48" s="71">
        <f>TRUNC(F48*G48,2)</f>
        <v>0.43</v>
      </c>
      <c r="J48" s="72"/>
      <c r="M48" s="23">
        <f>B48</f>
        <v>4750</v>
      </c>
      <c r="N48" s="23">
        <f>SUMIF(CPUAUX1!M:M,B47,CPUAUX1!O:O)</f>
        <v>550.23470999999995</v>
      </c>
      <c r="O48" s="23">
        <f>F48*N48</f>
        <v>11.664975852</v>
      </c>
      <c r="Q48" s="23">
        <f ca="1">SUMIF(CPUAUX1!M:M,B47,CPUAUX1!R:R)</f>
        <v>220.093884</v>
      </c>
      <c r="R48" s="23">
        <f ca="1">F48*Q48</f>
        <v>4.6659903407999996</v>
      </c>
    </row>
    <row r="49" spans="1:18" x14ac:dyDescent="0.3">
      <c r="A49" s="68" t="str">
        <f>"TOTAL SEM BDI - "&amp;B47</f>
        <v>TOTAL SEM BDI - 95371</v>
      </c>
      <c r="B49" s="69"/>
      <c r="C49" s="69"/>
      <c r="D49" s="69"/>
      <c r="E49" s="69"/>
      <c r="F49" s="69"/>
      <c r="G49" s="69"/>
      <c r="H49" s="70"/>
      <c r="I49" s="71">
        <f>SUM(I47:I48)</f>
        <v>0.43</v>
      </c>
      <c r="J49" s="72"/>
    </row>
    <row r="51" spans="1:18" x14ac:dyDescent="0.3">
      <c r="A51" s="4" t="s">
        <v>1018</v>
      </c>
      <c r="B51" s="4" t="s">
        <v>138</v>
      </c>
      <c r="C51" s="4" t="s">
        <v>139</v>
      </c>
      <c r="D51" s="4" t="s">
        <v>21</v>
      </c>
      <c r="E51" s="4" t="s">
        <v>140</v>
      </c>
      <c r="F51" s="4" t="s">
        <v>506</v>
      </c>
      <c r="G51" s="34" t="s">
        <v>1019</v>
      </c>
      <c r="H51" s="35"/>
      <c r="I51" s="34" t="s">
        <v>15</v>
      </c>
      <c r="J51" s="35"/>
    </row>
    <row r="52" spans="1:18" ht="30" customHeight="1" x14ac:dyDescent="0.3">
      <c r="A52" s="15" t="s">
        <v>1093</v>
      </c>
      <c r="B52" s="15">
        <v>95312</v>
      </c>
      <c r="C52" s="15" t="str">
        <f>VLOOKUP(B52,S!$A:$G,2,FALSE)</f>
        <v>SINAPI</v>
      </c>
      <c r="D52" s="22" t="str">
        <f>VLOOKUP(B52,S!$A:$G,3,FALSE)</f>
        <v>CURSO DE CAPACITAÇÃO PARA AJUDANTE DE PEDREIRO (ENCARGOS COMPLEMENTARES) - HORISTA</v>
      </c>
      <c r="E52" s="15" t="str">
        <f>VLOOKUP(B52,S!$A:$G,4,FALSE)</f>
        <v>H</v>
      </c>
      <c r="F52" s="15"/>
      <c r="G52" s="73">
        <f>I54</f>
        <v>0.22</v>
      </c>
      <c r="H52" s="74"/>
      <c r="I52" s="73"/>
      <c r="J52" s="74"/>
      <c r="K52" s="16">
        <f>VLOOKUP(B52,S!A:G,5,FALSE)</f>
        <v>0.22</v>
      </c>
      <c r="L52" s="15" t="str">
        <f>IF(K52=G52,"OK, CONFORME TABELA",IF(G52&gt;K52,"ACIMA DA TABELA: ","ABAIXO DA TABELA: ")&amp;TRUNC((G52*100)/K52,2)&amp;" %")</f>
        <v>OK, CONFORME TABELA</v>
      </c>
    </row>
    <row r="53" spans="1:18" x14ac:dyDescent="0.3">
      <c r="A53" s="23" t="s">
        <v>1025</v>
      </c>
      <c r="B53" s="23">
        <v>6127</v>
      </c>
      <c r="C53" s="23" t="str">
        <f>VLOOKUP(B53,IF(A53="COMPOSICAO",S!$A:$E,I!$A:$E),2,FALSE)</f>
        <v>SINAPI</v>
      </c>
      <c r="D53" s="24" t="str">
        <f>VLOOKUP(B53,IF(A53="COMPOSICAO",S!$A:$E,I!$A:$E),3,FALSE)</f>
        <v>AUXILIAR DE PEDREIRO (HORISTA)</v>
      </c>
      <c r="E53" s="23" t="str">
        <f>VLOOKUP(B53,IF(A53="COMPOSICAO",S!$A:$E,I!$A:$E),4,FALSE)</f>
        <v>H</v>
      </c>
      <c r="F53" s="23">
        <v>1.4760000000000001E-2</v>
      </c>
      <c r="G53" s="71">
        <f>IF(A53="COMPOSICAO",VLOOKUP("TOTAL SEM BDI - "&amp;B53,CPUAUX3!$A:$J,9,FALSE),VLOOKUP(B53,I!$A:$E,5,FALSE))</f>
        <v>15.57</v>
      </c>
      <c r="H53" s="72"/>
      <c r="I53" s="71">
        <f>TRUNC(F53*G53,2)</f>
        <v>0.22</v>
      </c>
      <c r="J53" s="72"/>
      <c r="M53" s="23">
        <f>B53</f>
        <v>6127</v>
      </c>
      <c r="N53" s="23">
        <f>SUMIF(CPUAUX1!M:M,B52,CPUAUX1!O:O)</f>
        <v>50.060200000000002</v>
      </c>
      <c r="O53" s="23">
        <f>F53*N53</f>
        <v>0.73888855200000003</v>
      </c>
      <c r="Q53" s="23">
        <f ca="1">SUMIF(CPUAUX1!M:M,B52,CPUAUX1!R:R)</f>
        <v>20.024080000000001</v>
      </c>
      <c r="R53" s="23">
        <f ca="1">F53*Q53</f>
        <v>0.29555542080000002</v>
      </c>
    </row>
    <row r="54" spans="1:18" x14ac:dyDescent="0.3">
      <c r="A54" s="68" t="str">
        <f>"TOTAL SEM BDI - "&amp;B52</f>
        <v>TOTAL SEM BDI - 95312</v>
      </c>
      <c r="B54" s="69"/>
      <c r="C54" s="69"/>
      <c r="D54" s="69"/>
      <c r="E54" s="69"/>
      <c r="F54" s="69"/>
      <c r="G54" s="69"/>
      <c r="H54" s="70"/>
      <c r="I54" s="71">
        <f>SUM(I52:I53)</f>
        <v>0.22</v>
      </c>
      <c r="J54" s="72"/>
    </row>
    <row r="56" spans="1:18" x14ac:dyDescent="0.3">
      <c r="A56" s="4" t="s">
        <v>1018</v>
      </c>
      <c r="B56" s="4" t="s">
        <v>138</v>
      </c>
      <c r="C56" s="4" t="s">
        <v>139</v>
      </c>
      <c r="D56" s="4" t="s">
        <v>21</v>
      </c>
      <c r="E56" s="4" t="s">
        <v>140</v>
      </c>
      <c r="F56" s="4" t="s">
        <v>506</v>
      </c>
      <c r="G56" s="34" t="s">
        <v>1019</v>
      </c>
      <c r="H56" s="35"/>
      <c r="I56" s="34" t="s">
        <v>15</v>
      </c>
      <c r="J56" s="35"/>
    </row>
    <row r="57" spans="1:18" ht="60" customHeight="1" x14ac:dyDescent="0.3">
      <c r="A57" s="15" t="s">
        <v>1098</v>
      </c>
      <c r="B57" s="15">
        <v>88831</v>
      </c>
      <c r="C57" s="15" t="str">
        <f>VLOOKUP(B57,S!$A:$G,2,FALSE)</f>
        <v>SINAPI</v>
      </c>
      <c r="D57" s="22" t="str">
        <f>VLOOKUP(B57,S!$A:$G,3,FALSE)</f>
        <v>BETONEIRA CAPACIDADE NOMINAL DE 400 L, CAPACIDADE DE MISTURA 280 L, MOTOR ELÉTRICO TRIFÁSICO POTÊNCIA DE 2 CV, SEM CARREGADOR - CHI DIURNO. AF_05/2023</v>
      </c>
      <c r="E57" s="15" t="str">
        <f>VLOOKUP(B57,S!$A:$G,4,FALSE)</f>
        <v>CHI</v>
      </c>
      <c r="F57" s="15"/>
      <c r="G57" s="73">
        <f>I60</f>
        <v>0.5</v>
      </c>
      <c r="H57" s="74"/>
      <c r="I57" s="73"/>
      <c r="J57" s="74"/>
      <c r="K57" s="16">
        <f>VLOOKUP(B57,S!A:G,5,FALSE)</f>
        <v>0.5</v>
      </c>
      <c r="L57" s="15" t="str">
        <f>IF(K57=G57,"OK, CONFORME TABELA",IF(G57&gt;K57,"ACIMA DA TABELA: ","ABAIXO DA TABELA: ")&amp;TRUNC((G57*100)/K57,2)&amp;" %")</f>
        <v>OK, CONFORME TABELA</v>
      </c>
    </row>
    <row r="58" spans="1:18" ht="60" customHeight="1" x14ac:dyDescent="0.3">
      <c r="A58" s="23" t="s">
        <v>1022</v>
      </c>
      <c r="B58" s="23">
        <v>88827</v>
      </c>
      <c r="C58" s="23" t="str">
        <f>VLOOKUP(B58,IF(A58="COMPOSICAO",S!$A:$E,I!$A:$E),2,FALSE)</f>
        <v>SINAPI</v>
      </c>
      <c r="D58" s="24" t="str">
        <f>VLOOKUP(B58,IF(A58="COMPOSICAO",S!$A:$E,I!$A:$E),3,FALSE)</f>
        <v>BETONEIRA CAPACIDADE NOMINAL DE 400 L, CAPACIDADE DE MISTURA 280 L, MOTOR ELÉTRICO TRIFÁSICO POTÊNCIA DE 2 CV, SEM CARREGADOR - JUROS. AF_05/2023</v>
      </c>
      <c r="E58" s="23" t="str">
        <f>VLOOKUP(B58,IF(A58="COMPOSICAO",S!$A:$E,I!$A:$E),4,FALSE)</f>
        <v>H</v>
      </c>
      <c r="F58" s="23">
        <v>1</v>
      </c>
      <c r="G58" s="71">
        <f>IF(A58="COMPOSICAO",VLOOKUP("TOTAL SEM BDI - "&amp;B58,CPUAUX3!$A:$J,9,FALSE),VLOOKUP(B58,I!$A:$E,5,FALSE))</f>
        <v>0.09</v>
      </c>
      <c r="H58" s="72"/>
      <c r="I58" s="71">
        <f>TRUNC(F58*G58,2)</f>
        <v>0.09</v>
      </c>
      <c r="J58" s="72"/>
      <c r="M58" s="23">
        <f>B58</f>
        <v>88827</v>
      </c>
      <c r="N58" s="23">
        <f>SUMIF(CPUAUX1!M:M,B57,CPUAUX1!O:O)</f>
        <v>25.934460600000001</v>
      </c>
      <c r="O58" s="23">
        <f>F58*N58</f>
        <v>25.934460600000001</v>
      </c>
      <c r="Q58" s="23">
        <f ca="1">SUMIF(CPUAUX1!M:M,B57,CPUAUX1!R:R)</f>
        <v>10.373784239999999</v>
      </c>
      <c r="R58" s="23">
        <f ca="1">F58*Q58</f>
        <v>10.373784239999999</v>
      </c>
    </row>
    <row r="59" spans="1:18" ht="60" customHeight="1" x14ac:dyDescent="0.3">
      <c r="A59" s="23" t="s">
        <v>1022</v>
      </c>
      <c r="B59" s="23">
        <v>88826</v>
      </c>
      <c r="C59" s="23" t="str">
        <f>VLOOKUP(B59,IF(A59="COMPOSICAO",S!$A:$E,I!$A:$E),2,FALSE)</f>
        <v>SINAPI</v>
      </c>
      <c r="D59" s="24" t="str">
        <f>VLOOKUP(B59,IF(A59="COMPOSICAO",S!$A:$E,I!$A:$E),3,FALSE)</f>
        <v>BETONEIRA CAPACIDADE NOMINAL DE 400 L, CAPACIDADE DE MISTURA 280 L, MOTOR ELÉTRICO TRIFÁSICO POTÊNCIA DE 2 CV, SEM CARREGADOR - DEPRECIAÇÃO. AF_05/2023</v>
      </c>
      <c r="E59" s="23" t="str">
        <f>VLOOKUP(B59,IF(A59="COMPOSICAO",S!$A:$E,I!$A:$E),4,FALSE)</f>
        <v>H</v>
      </c>
      <c r="F59" s="23">
        <v>1</v>
      </c>
      <c r="G59" s="71">
        <f>IF(A59="COMPOSICAO",VLOOKUP("TOTAL SEM BDI - "&amp;B59,CPUAUX3!$A:$J,9,FALSE),VLOOKUP(B59,I!$A:$E,5,FALSE))</f>
        <v>0.41</v>
      </c>
      <c r="H59" s="72"/>
      <c r="I59" s="71">
        <f>TRUNC(F59*G59,2)</f>
        <v>0.41</v>
      </c>
      <c r="J59" s="72"/>
      <c r="M59" s="23">
        <f>B59</f>
        <v>88826</v>
      </c>
      <c r="N59" s="23">
        <f>SUMIF(CPUAUX1!M:M,B57,CPUAUX1!O:O)</f>
        <v>25.934460600000001</v>
      </c>
      <c r="O59" s="23">
        <f>F59*N59</f>
        <v>25.934460600000001</v>
      </c>
      <c r="Q59" s="23">
        <f ca="1">SUMIF(CPUAUX1!M:M,B57,CPUAUX1!R:R)</f>
        <v>10.373784239999999</v>
      </c>
      <c r="R59" s="23">
        <f ca="1">F59*Q59</f>
        <v>10.373784239999999</v>
      </c>
    </row>
    <row r="60" spans="1:18" x14ac:dyDescent="0.3">
      <c r="A60" s="68" t="str">
        <f>"TOTAL SEM BDI - "&amp;B57</f>
        <v>TOTAL SEM BDI - 88831</v>
      </c>
      <c r="B60" s="69"/>
      <c r="C60" s="69"/>
      <c r="D60" s="69"/>
      <c r="E60" s="69"/>
      <c r="F60" s="69"/>
      <c r="G60" s="69"/>
      <c r="H60" s="70"/>
      <c r="I60" s="71">
        <f>SUM(I57:I59)</f>
        <v>0.5</v>
      </c>
      <c r="J60" s="72"/>
    </row>
    <row r="62" spans="1:18" x14ac:dyDescent="0.3">
      <c r="A62" s="4" t="s">
        <v>1018</v>
      </c>
      <c r="B62" s="4" t="s">
        <v>138</v>
      </c>
      <c r="C62" s="4" t="s">
        <v>139</v>
      </c>
      <c r="D62" s="4" t="s">
        <v>21</v>
      </c>
      <c r="E62" s="4" t="s">
        <v>140</v>
      </c>
      <c r="F62" s="4" t="s">
        <v>506</v>
      </c>
      <c r="G62" s="34" t="s">
        <v>1019</v>
      </c>
      <c r="H62" s="35"/>
      <c r="I62" s="34" t="s">
        <v>15</v>
      </c>
      <c r="J62" s="35"/>
    </row>
    <row r="63" spans="1:18" ht="60" customHeight="1" x14ac:dyDescent="0.3">
      <c r="A63" s="15" t="s">
        <v>1098</v>
      </c>
      <c r="B63" s="15">
        <v>88830</v>
      </c>
      <c r="C63" s="15" t="str">
        <f>VLOOKUP(B63,S!$A:$G,2,FALSE)</f>
        <v>SINAPI</v>
      </c>
      <c r="D63" s="22" t="str">
        <f>VLOOKUP(B63,S!$A:$G,3,FALSE)</f>
        <v>BETONEIRA CAPACIDADE NOMINAL DE 400 L, CAPACIDADE DE MISTURA 280 L, MOTOR ELÉTRICO TRIFÁSICO POTÊNCIA DE 2 CV, SEM CARREGADOR - CHP DIURNO. AF_05/2023</v>
      </c>
      <c r="E63" s="15" t="str">
        <f>VLOOKUP(B63,S!$A:$G,4,FALSE)</f>
        <v>CHP</v>
      </c>
      <c r="F63" s="15"/>
      <c r="G63" s="73">
        <f>I68</f>
        <v>2.3200000000000003</v>
      </c>
      <c r="H63" s="74"/>
      <c r="I63" s="73"/>
      <c r="J63" s="74"/>
      <c r="K63" s="16">
        <f>VLOOKUP(B63,S!A:G,5,FALSE)</f>
        <v>2.3199999999999998</v>
      </c>
      <c r="L63" s="15" t="str">
        <f>IF(K63=G63,"OK, CONFORME TABELA",IF(G63&gt;K63,"ACIMA DA TABELA: ","ABAIXO DA TABELA: ")&amp;TRUNC((G63*100)/K63,2)&amp;" %")</f>
        <v>OK, CONFORME TABELA</v>
      </c>
    </row>
    <row r="64" spans="1:18" ht="60" customHeight="1" x14ac:dyDescent="0.3">
      <c r="A64" s="23" t="s">
        <v>1022</v>
      </c>
      <c r="B64" s="23">
        <v>88829</v>
      </c>
      <c r="C64" s="23" t="str">
        <f>VLOOKUP(B64,IF(A64="COMPOSICAO",S!$A:$E,I!$A:$E),2,FALSE)</f>
        <v>SINAPI</v>
      </c>
      <c r="D64" s="24" t="str">
        <f>VLOOKUP(B64,IF(A64="COMPOSICAO",S!$A:$E,I!$A:$E),3,FALSE)</f>
        <v>BETONEIRA CAPACIDADE NOMINAL DE 400 L, CAPACIDADE DE MISTURA 280 L, MOTOR ELÉTRICO TRIFÁSICO POTÊNCIA DE 2 CV, SEM CARREGADOR - MATERIAIS NA OPERAÇÃO. AF_05/2023</v>
      </c>
      <c r="E64" s="23" t="str">
        <f>VLOOKUP(B64,IF(A64="COMPOSICAO",S!$A:$E,I!$A:$E),4,FALSE)</f>
        <v>H</v>
      </c>
      <c r="F64" s="23">
        <v>1</v>
      </c>
      <c r="G64" s="71">
        <f>IF(A64="COMPOSICAO",VLOOKUP("TOTAL SEM BDI - "&amp;B64,CPUAUX3!$A:$J,9,FALSE),VLOOKUP(B64,I!$A:$E,5,FALSE))</f>
        <v>1.37</v>
      </c>
      <c r="H64" s="72"/>
      <c r="I64" s="71">
        <f>TRUNC(F64*G64,2)</f>
        <v>1.37</v>
      </c>
      <c r="J64" s="72"/>
      <c r="M64" s="23">
        <f>B64</f>
        <v>88829</v>
      </c>
      <c r="N64" s="23">
        <f>SUMIF(CPUAUX1!M:M,B63,CPUAUX1!O:O)</f>
        <v>19.014592199999999</v>
      </c>
      <c r="O64" s="23">
        <f>F64*N64</f>
        <v>19.014592199999999</v>
      </c>
      <c r="Q64" s="23">
        <f ca="1">SUMIF(CPUAUX1!M:M,B63,CPUAUX1!R:R)</f>
        <v>7.60583688</v>
      </c>
      <c r="R64" s="23">
        <f ca="1">F64*Q64</f>
        <v>7.60583688</v>
      </c>
    </row>
    <row r="65" spans="1:18" ht="60" customHeight="1" x14ac:dyDescent="0.3">
      <c r="A65" s="23" t="s">
        <v>1022</v>
      </c>
      <c r="B65" s="23">
        <v>88828</v>
      </c>
      <c r="C65" s="23" t="str">
        <f>VLOOKUP(B65,IF(A65="COMPOSICAO",S!$A:$E,I!$A:$E),2,FALSE)</f>
        <v>SINAPI</v>
      </c>
      <c r="D65" s="24" t="str">
        <f>VLOOKUP(B65,IF(A65="COMPOSICAO",S!$A:$E,I!$A:$E),3,FALSE)</f>
        <v>BETONEIRA CAPACIDADE NOMINAL DE 400 L, CAPACIDADE DE MISTURA 280 L, MOTOR ELÉTRICO TRIFÁSICO POTÊNCIA DE 2 CV, SEM CARREGADOR - MANUTENÇÃO. AF_05/2023</v>
      </c>
      <c r="E65" s="23" t="str">
        <f>VLOOKUP(B65,IF(A65="COMPOSICAO",S!$A:$E,I!$A:$E),4,FALSE)</f>
        <v>H</v>
      </c>
      <c r="F65" s="23">
        <v>1</v>
      </c>
      <c r="G65" s="71">
        <f>IF(A65="COMPOSICAO",VLOOKUP("TOTAL SEM BDI - "&amp;B65,CPUAUX3!$A:$J,9,FALSE),VLOOKUP(B65,I!$A:$E,5,FALSE))</f>
        <v>0.45</v>
      </c>
      <c r="H65" s="72"/>
      <c r="I65" s="71">
        <f>TRUNC(F65*G65,2)</f>
        <v>0.45</v>
      </c>
      <c r="J65" s="72"/>
      <c r="M65" s="23">
        <f>B65</f>
        <v>88828</v>
      </c>
      <c r="N65" s="23">
        <f>SUMIF(CPUAUX1!M:M,B63,CPUAUX1!O:O)</f>
        <v>19.014592199999999</v>
      </c>
      <c r="O65" s="23">
        <f>F65*N65</f>
        <v>19.014592199999999</v>
      </c>
      <c r="Q65" s="23">
        <f ca="1">SUMIF(CPUAUX1!M:M,B63,CPUAUX1!R:R)</f>
        <v>7.60583688</v>
      </c>
      <c r="R65" s="23">
        <f ca="1">F65*Q65</f>
        <v>7.60583688</v>
      </c>
    </row>
    <row r="66" spans="1:18" ht="60" customHeight="1" x14ac:dyDescent="0.3">
      <c r="A66" s="23" t="s">
        <v>1022</v>
      </c>
      <c r="B66" s="23">
        <v>88827</v>
      </c>
      <c r="C66" s="23" t="str">
        <f>VLOOKUP(B66,IF(A66="COMPOSICAO",S!$A:$E,I!$A:$E),2,FALSE)</f>
        <v>SINAPI</v>
      </c>
      <c r="D66" s="24" t="str">
        <f>VLOOKUP(B66,IF(A66="COMPOSICAO",S!$A:$E,I!$A:$E),3,FALSE)</f>
        <v>BETONEIRA CAPACIDADE NOMINAL DE 400 L, CAPACIDADE DE MISTURA 280 L, MOTOR ELÉTRICO TRIFÁSICO POTÊNCIA DE 2 CV, SEM CARREGADOR - JUROS. AF_05/2023</v>
      </c>
      <c r="E66" s="23" t="str">
        <f>VLOOKUP(B66,IF(A66="COMPOSICAO",S!$A:$E,I!$A:$E),4,FALSE)</f>
        <v>H</v>
      </c>
      <c r="F66" s="23">
        <v>1</v>
      </c>
      <c r="G66" s="71">
        <f>IF(A66="COMPOSICAO",VLOOKUP("TOTAL SEM BDI - "&amp;B66,CPUAUX3!$A:$J,9,FALSE),VLOOKUP(B66,I!$A:$E,5,FALSE))</f>
        <v>0.09</v>
      </c>
      <c r="H66" s="72"/>
      <c r="I66" s="71">
        <f>TRUNC(F66*G66,2)</f>
        <v>0.09</v>
      </c>
      <c r="J66" s="72"/>
      <c r="M66" s="23">
        <f>B66</f>
        <v>88827</v>
      </c>
      <c r="N66" s="23">
        <f>SUMIF(CPUAUX1!M:M,B63,CPUAUX1!O:O)</f>
        <v>19.014592199999999</v>
      </c>
      <c r="O66" s="23">
        <f>F66*N66</f>
        <v>19.014592199999999</v>
      </c>
      <c r="Q66" s="23">
        <f ca="1">SUMIF(CPUAUX1!M:M,B63,CPUAUX1!R:R)</f>
        <v>7.60583688</v>
      </c>
      <c r="R66" s="23">
        <f ca="1">F66*Q66</f>
        <v>7.60583688</v>
      </c>
    </row>
    <row r="67" spans="1:18" ht="60" customHeight="1" x14ac:dyDescent="0.3">
      <c r="A67" s="23" t="s">
        <v>1022</v>
      </c>
      <c r="B67" s="23">
        <v>88826</v>
      </c>
      <c r="C67" s="23" t="str">
        <f>VLOOKUP(B67,IF(A67="COMPOSICAO",S!$A:$E,I!$A:$E),2,FALSE)</f>
        <v>SINAPI</v>
      </c>
      <c r="D67" s="24" t="str">
        <f>VLOOKUP(B67,IF(A67="COMPOSICAO",S!$A:$E,I!$A:$E),3,FALSE)</f>
        <v>BETONEIRA CAPACIDADE NOMINAL DE 400 L, CAPACIDADE DE MISTURA 280 L, MOTOR ELÉTRICO TRIFÁSICO POTÊNCIA DE 2 CV, SEM CARREGADOR - DEPRECIAÇÃO. AF_05/2023</v>
      </c>
      <c r="E67" s="23" t="str">
        <f>VLOOKUP(B67,IF(A67="COMPOSICAO",S!$A:$E,I!$A:$E),4,FALSE)</f>
        <v>H</v>
      </c>
      <c r="F67" s="23">
        <v>1</v>
      </c>
      <c r="G67" s="71">
        <f>IF(A67="COMPOSICAO",VLOOKUP("TOTAL SEM BDI - "&amp;B67,CPUAUX3!$A:$J,9,FALSE),VLOOKUP(B67,I!$A:$E,5,FALSE))</f>
        <v>0.41</v>
      </c>
      <c r="H67" s="72"/>
      <c r="I67" s="71">
        <f>TRUNC(F67*G67,2)</f>
        <v>0.41</v>
      </c>
      <c r="J67" s="72"/>
      <c r="M67" s="23">
        <f>B67</f>
        <v>88826</v>
      </c>
      <c r="N67" s="23">
        <f>SUMIF(CPUAUX1!M:M,B63,CPUAUX1!O:O)</f>
        <v>19.014592199999999</v>
      </c>
      <c r="O67" s="23">
        <f>F67*N67</f>
        <v>19.014592199999999</v>
      </c>
      <c r="Q67" s="23">
        <f ca="1">SUMIF(CPUAUX1!M:M,B63,CPUAUX1!R:R)</f>
        <v>7.60583688</v>
      </c>
      <c r="R67" s="23">
        <f ca="1">F67*Q67</f>
        <v>7.60583688</v>
      </c>
    </row>
    <row r="68" spans="1:18" x14ac:dyDescent="0.3">
      <c r="A68" s="68" t="str">
        <f>"TOTAL SEM BDI - "&amp;B63</f>
        <v>TOTAL SEM BDI - 88830</v>
      </c>
      <c r="B68" s="69"/>
      <c r="C68" s="69"/>
      <c r="D68" s="69"/>
      <c r="E68" s="69"/>
      <c r="F68" s="69"/>
      <c r="G68" s="69"/>
      <c r="H68" s="70"/>
      <c r="I68" s="71">
        <f>SUM(I63:I67)</f>
        <v>2.3200000000000003</v>
      </c>
      <c r="J68" s="72"/>
    </row>
    <row r="70" spans="1:18" x14ac:dyDescent="0.3">
      <c r="A70" s="4" t="s">
        <v>1018</v>
      </c>
      <c r="B70" s="4" t="s">
        <v>138</v>
      </c>
      <c r="C70" s="4" t="s">
        <v>139</v>
      </c>
      <c r="D70" s="4" t="s">
        <v>21</v>
      </c>
      <c r="E70" s="4" t="s">
        <v>140</v>
      </c>
      <c r="F70" s="4" t="s">
        <v>506</v>
      </c>
      <c r="G70" s="34" t="s">
        <v>1019</v>
      </c>
      <c r="H70" s="35"/>
      <c r="I70" s="34" t="s">
        <v>15</v>
      </c>
      <c r="J70" s="35"/>
    </row>
    <row r="71" spans="1:18" ht="30" customHeight="1" x14ac:dyDescent="0.3">
      <c r="A71" s="15" t="s">
        <v>1093</v>
      </c>
      <c r="B71" s="15">
        <v>88377</v>
      </c>
      <c r="C71" s="15" t="str">
        <f>VLOOKUP(B71,S!$A:$G,2,FALSE)</f>
        <v>SINAPI</v>
      </c>
      <c r="D71" s="22" t="str">
        <f>VLOOKUP(B71,S!$A:$G,3,FALSE)</f>
        <v>OPERADOR DE BETONEIRA ESTACIONÁRIA/MISTURADOR COM ENCARGOS COMPLEMENTARES</v>
      </c>
      <c r="E71" s="15" t="str">
        <f>VLOOKUP(B71,S!$A:$G,4,FALSE)</f>
        <v>H</v>
      </c>
      <c r="F71" s="15"/>
      <c r="G71" s="73">
        <f>I80</f>
        <v>27.09</v>
      </c>
      <c r="H71" s="74"/>
      <c r="I71" s="73"/>
      <c r="J71" s="74"/>
      <c r="K71" s="16">
        <f>VLOOKUP(B71,S!A:G,5,FALSE)</f>
        <v>27.09</v>
      </c>
      <c r="L71" s="15" t="str">
        <f>IF(K71=G71,"OK, CONFORME TABELA",IF(G71&gt;K71,"ACIMA DA TABELA: ","ABAIXO DA TABELA: ")&amp;TRUNC((G71*100)/K71,2)&amp;" %")</f>
        <v>OK, CONFORME TABELA</v>
      </c>
    </row>
    <row r="72" spans="1:18" ht="45" customHeight="1" x14ac:dyDescent="0.3">
      <c r="A72" s="23" t="s">
        <v>1022</v>
      </c>
      <c r="B72" s="23">
        <v>95389</v>
      </c>
      <c r="C72" s="23" t="str">
        <f>VLOOKUP(B72,IF(A72="COMPOSICAO",S!$A:$E,I!$A:$E),2,FALSE)</f>
        <v>SINAPI</v>
      </c>
      <c r="D72" s="24" t="str">
        <f>VLOOKUP(B72,IF(A72="COMPOSICAO",S!$A:$E,I!$A:$E),3,FALSE)</f>
        <v>CURSO DE CAPACITAÇÃO PARA OPERADOR DE BETONEIRA ESTACIONÁRIA/MISTURADOR (ENCARGOS COMPLEMENTARES) - HORISTA</v>
      </c>
      <c r="E72" s="23" t="str">
        <f>VLOOKUP(B72,IF(A72="COMPOSICAO",S!$A:$E,I!$A:$E),4,FALSE)</f>
        <v>H</v>
      </c>
      <c r="F72" s="23">
        <v>1</v>
      </c>
      <c r="G72" s="71">
        <f>IF(A72="COMPOSICAO",VLOOKUP("TOTAL SEM BDI - "&amp;B72,CPUAUX3!$A:$J,9,FALSE),VLOOKUP(B72,I!$A:$E,5,FALSE))</f>
        <v>0.17</v>
      </c>
      <c r="H72" s="72"/>
      <c r="I72" s="71">
        <f t="shared" ref="I72:I79" si="0">TRUNC(F72*G72,2)</f>
        <v>0.17</v>
      </c>
      <c r="J72" s="72"/>
      <c r="M72" s="23">
        <f t="shared" ref="M72:M79" si="1">B72</f>
        <v>95389</v>
      </c>
      <c r="N72" s="23">
        <f>SUMIF(CPUAUX1!M:M,B71,CPUAUX1!O:O)</f>
        <v>47.259446144999998</v>
      </c>
      <c r="O72" s="23">
        <f t="shared" ref="O72:O79" si="2">F72*N72</f>
        <v>47.259446144999998</v>
      </c>
      <c r="Q72" s="23">
        <f ca="1">SUMIF(CPUAUX1!M:M,B71,CPUAUX1!R:R)</f>
        <v>18.903778458000001</v>
      </c>
      <c r="R72" s="23">
        <f t="shared" ref="R72:R79" ca="1" si="3">F72*Q72</f>
        <v>18.903778458000001</v>
      </c>
    </row>
    <row r="73" spans="1:18" ht="30" customHeight="1" x14ac:dyDescent="0.3">
      <c r="A73" s="23" t="s">
        <v>1025</v>
      </c>
      <c r="B73" s="23">
        <v>43488</v>
      </c>
      <c r="C73" s="23" t="str">
        <f>VLOOKUP(B73,IF(A73="COMPOSICAO",S!$A:$E,I!$A:$E),2,FALSE)</f>
        <v>SINAPI</v>
      </c>
      <c r="D73" s="24" t="str">
        <f>VLOOKUP(B73,IF(A73="COMPOSICAO",S!$A:$E,I!$A:$E),3,FALSE)</f>
        <v>EPI - FAMILIA OPERADOR ESCAVADEIRA - HORISTA (ENCARGOS COMPLEMENTARES - COLETADO CAIXA)</v>
      </c>
      <c r="E73" s="23" t="str">
        <f>VLOOKUP(B73,IF(A73="COMPOSICAO",S!$A:$E,I!$A:$E),4,FALSE)</f>
        <v>H</v>
      </c>
      <c r="F73" s="23">
        <v>1</v>
      </c>
      <c r="G73" s="71">
        <f>IF(A73="COMPOSICAO",VLOOKUP("TOTAL SEM BDI - "&amp;B73,CPUAUX3!$A:$J,9,FALSE),VLOOKUP(B73,I!$A:$E,5,FALSE))</f>
        <v>0.89</v>
      </c>
      <c r="H73" s="72"/>
      <c r="I73" s="71">
        <f t="shared" si="0"/>
        <v>0.89</v>
      </c>
      <c r="J73" s="72"/>
      <c r="M73" s="23">
        <f t="shared" si="1"/>
        <v>43488</v>
      </c>
      <c r="N73" s="23">
        <f>SUMIF(CPUAUX1!M:M,B71,CPUAUX1!O:O)</f>
        <v>47.259446144999998</v>
      </c>
      <c r="O73" s="23">
        <f t="shared" si="2"/>
        <v>47.259446144999998</v>
      </c>
      <c r="Q73" s="23">
        <f ca="1">SUMIF(CPUAUX1!M:M,B71,CPUAUX1!R:R)</f>
        <v>18.903778458000001</v>
      </c>
      <c r="R73" s="23">
        <f t="shared" ca="1" si="3"/>
        <v>18.903778458000001</v>
      </c>
    </row>
    <row r="74" spans="1:18" ht="45" customHeight="1" x14ac:dyDescent="0.3">
      <c r="A74" s="23" t="s">
        <v>1025</v>
      </c>
      <c r="B74" s="23">
        <v>43464</v>
      </c>
      <c r="C74" s="23" t="str">
        <f>VLOOKUP(B74,IF(A74="COMPOSICAO",S!$A:$E,I!$A:$E),2,FALSE)</f>
        <v>SINAPI</v>
      </c>
      <c r="D74" s="24" t="str">
        <f>VLOOKUP(B74,IF(A74="COMPOSICAO",S!$A:$E,I!$A:$E),3,FALSE)</f>
        <v>FERRAMENTAS - FAMILIA OPERADOR ESCAVADEIRA - HORISTA (ENCARGOS COMPLEMENTARES - COLETADO CAIXA)</v>
      </c>
      <c r="E74" s="23" t="str">
        <f>VLOOKUP(B74,IF(A74="COMPOSICAO",S!$A:$E,I!$A:$E),4,FALSE)</f>
        <v>H</v>
      </c>
      <c r="F74" s="23">
        <v>1</v>
      </c>
      <c r="G74" s="71">
        <f>IF(A74="COMPOSICAO",VLOOKUP("TOTAL SEM BDI - "&amp;B74,CPUAUX3!$A:$J,9,FALSE),VLOOKUP(B74,I!$A:$E,5,FALSE))</f>
        <v>0.01</v>
      </c>
      <c r="H74" s="72"/>
      <c r="I74" s="71">
        <f t="shared" si="0"/>
        <v>0.01</v>
      </c>
      <c r="J74" s="72"/>
      <c r="M74" s="23">
        <f t="shared" si="1"/>
        <v>43464</v>
      </c>
      <c r="N74" s="23">
        <f>SUMIF(CPUAUX1!M:M,B71,CPUAUX1!O:O)</f>
        <v>47.259446144999998</v>
      </c>
      <c r="O74" s="23">
        <f t="shared" si="2"/>
        <v>47.259446144999998</v>
      </c>
      <c r="Q74" s="23">
        <f ca="1">SUMIF(CPUAUX1!M:M,B71,CPUAUX1!R:R)</f>
        <v>18.903778458000001</v>
      </c>
      <c r="R74" s="23">
        <f t="shared" ca="1" si="3"/>
        <v>18.903778458000001</v>
      </c>
    </row>
    <row r="75" spans="1:18" ht="30" customHeight="1" x14ac:dyDescent="0.3">
      <c r="A75" s="23" t="s">
        <v>1025</v>
      </c>
      <c r="B75" s="23">
        <v>37666</v>
      </c>
      <c r="C75" s="23" t="str">
        <f>VLOOKUP(B75,IF(A75="COMPOSICAO",S!$A:$E,I!$A:$E),2,FALSE)</f>
        <v>SINAPI</v>
      </c>
      <c r="D75" s="24" t="str">
        <f>VLOOKUP(B75,IF(A75="COMPOSICAO",S!$A:$E,I!$A:$E),3,FALSE)</f>
        <v>OPERADOR DE BETONEIRA ESTACIONARIA / MISTURADOR (HORISTA)</v>
      </c>
      <c r="E75" s="23" t="str">
        <f>VLOOKUP(B75,IF(A75="COMPOSICAO",S!$A:$E,I!$A:$E),4,FALSE)</f>
        <v>H</v>
      </c>
      <c r="F75" s="23">
        <v>1</v>
      </c>
      <c r="G75" s="71">
        <f>IF(A75="COMPOSICAO",VLOOKUP("TOTAL SEM BDI - "&amp;B75,CPUAUX3!$A:$J,9,FALSE),VLOOKUP(B75,I!$A:$E,5,FALSE))</f>
        <v>21.48</v>
      </c>
      <c r="H75" s="72"/>
      <c r="I75" s="71">
        <f t="shared" si="0"/>
        <v>21.48</v>
      </c>
      <c r="J75" s="72"/>
      <c r="M75" s="23">
        <f t="shared" si="1"/>
        <v>37666</v>
      </c>
      <c r="N75" s="23">
        <f>SUMIF(CPUAUX1!M:M,B71,CPUAUX1!O:O)</f>
        <v>47.259446144999998</v>
      </c>
      <c r="O75" s="23">
        <f t="shared" si="2"/>
        <v>47.259446144999998</v>
      </c>
      <c r="Q75" s="23">
        <f ca="1">SUMIF(CPUAUX1!M:M,B71,CPUAUX1!R:R)</f>
        <v>18.903778458000001</v>
      </c>
      <c r="R75" s="23">
        <f t="shared" ca="1" si="3"/>
        <v>18.903778458000001</v>
      </c>
    </row>
    <row r="76" spans="1:18" ht="30" customHeight="1" x14ac:dyDescent="0.3">
      <c r="A76" s="23" t="s">
        <v>1025</v>
      </c>
      <c r="B76" s="23">
        <v>37373</v>
      </c>
      <c r="C76" s="23" t="str">
        <f>VLOOKUP(B76,IF(A76="COMPOSICAO",S!$A:$E,I!$A:$E),2,FALSE)</f>
        <v>SINAPI</v>
      </c>
      <c r="D76" s="24" t="str">
        <f>VLOOKUP(B76,IF(A76="COMPOSICAO",S!$A:$E,I!$A:$E),3,FALSE)</f>
        <v>SEGURO - HORISTA (COLETADO CAIXA - ENCARGOS COMPLEMENTARES)</v>
      </c>
      <c r="E76" s="23" t="str">
        <f>VLOOKUP(B76,IF(A76="COMPOSICAO",S!$A:$E,I!$A:$E),4,FALSE)</f>
        <v>H</v>
      </c>
      <c r="F76" s="23">
        <v>1</v>
      </c>
      <c r="G76" s="71">
        <f>IF(A76="COMPOSICAO",VLOOKUP("TOTAL SEM BDI - "&amp;B76,CPUAUX3!$A:$J,9,FALSE),VLOOKUP(B76,I!$A:$E,5,FALSE))</f>
        <v>0.08</v>
      </c>
      <c r="H76" s="72"/>
      <c r="I76" s="71">
        <f t="shared" si="0"/>
        <v>0.08</v>
      </c>
      <c r="J76" s="72"/>
      <c r="M76" s="23">
        <f t="shared" si="1"/>
        <v>37373</v>
      </c>
      <c r="N76" s="23">
        <f>SUMIF(CPUAUX1!M:M,B71,CPUAUX1!O:O)</f>
        <v>47.259446144999998</v>
      </c>
      <c r="O76" s="23">
        <f t="shared" si="2"/>
        <v>47.259446144999998</v>
      </c>
      <c r="Q76" s="23">
        <f ca="1">SUMIF(CPUAUX1!M:M,B71,CPUAUX1!R:R)</f>
        <v>18.903778458000001</v>
      </c>
      <c r="R76" s="23">
        <f t="shared" ca="1" si="3"/>
        <v>18.903778458000001</v>
      </c>
    </row>
    <row r="77" spans="1:18" ht="30" customHeight="1" x14ac:dyDescent="0.3">
      <c r="A77" s="23" t="s">
        <v>1025</v>
      </c>
      <c r="B77" s="23">
        <v>37372</v>
      </c>
      <c r="C77" s="23" t="str">
        <f>VLOOKUP(B77,IF(A77="COMPOSICAO",S!$A:$E,I!$A:$E),2,FALSE)</f>
        <v>SINAPI</v>
      </c>
      <c r="D77" s="24" t="str">
        <f>VLOOKUP(B77,IF(A77="COMPOSICAO",S!$A:$E,I!$A:$E),3,FALSE)</f>
        <v>EXAMES - HORISTA (COLETADO CAIXA - ENCARGOS COMPLEMENTARES)</v>
      </c>
      <c r="E77" s="23" t="str">
        <f>VLOOKUP(B77,IF(A77="COMPOSICAO",S!$A:$E,I!$A:$E),4,FALSE)</f>
        <v>H</v>
      </c>
      <c r="F77" s="23">
        <v>1</v>
      </c>
      <c r="G77" s="71">
        <f>IF(A77="COMPOSICAO",VLOOKUP("TOTAL SEM BDI - "&amp;B77,CPUAUX3!$A:$J,9,FALSE),VLOOKUP(B77,I!$A:$E,5,FALSE))</f>
        <v>1.43</v>
      </c>
      <c r="H77" s="72"/>
      <c r="I77" s="71">
        <f t="shared" si="0"/>
        <v>1.43</v>
      </c>
      <c r="J77" s="72"/>
      <c r="M77" s="23">
        <f t="shared" si="1"/>
        <v>37372</v>
      </c>
      <c r="N77" s="23">
        <f>SUMIF(CPUAUX1!M:M,B71,CPUAUX1!O:O)</f>
        <v>47.259446144999998</v>
      </c>
      <c r="O77" s="23">
        <f t="shared" si="2"/>
        <v>47.259446144999998</v>
      </c>
      <c r="Q77" s="23">
        <f ca="1">SUMIF(CPUAUX1!M:M,B71,CPUAUX1!R:R)</f>
        <v>18.903778458000001</v>
      </c>
      <c r="R77" s="23">
        <f t="shared" ca="1" si="3"/>
        <v>18.903778458000001</v>
      </c>
    </row>
    <row r="78" spans="1:18" ht="30" customHeight="1" x14ac:dyDescent="0.3">
      <c r="A78" s="23" t="s">
        <v>1025</v>
      </c>
      <c r="B78" s="23">
        <v>37371</v>
      </c>
      <c r="C78" s="23" t="str">
        <f>VLOOKUP(B78,IF(A78="COMPOSICAO",S!$A:$E,I!$A:$E),2,FALSE)</f>
        <v>SINAPI</v>
      </c>
      <c r="D78" s="24" t="str">
        <f>VLOOKUP(B78,IF(A78="COMPOSICAO",S!$A:$E,I!$A:$E),3,FALSE)</f>
        <v>TRANSPORTE - HORISTA (COLETADO CAIXA - ENCARGOS COMPLEMENTARES)</v>
      </c>
      <c r="E78" s="23" t="str">
        <f>VLOOKUP(B78,IF(A78="COMPOSICAO",S!$A:$E,I!$A:$E),4,FALSE)</f>
        <v>H</v>
      </c>
      <c r="F78" s="23">
        <v>1</v>
      </c>
      <c r="G78" s="71">
        <f>IF(A78="COMPOSICAO",VLOOKUP("TOTAL SEM BDI - "&amp;B78,CPUAUX3!$A:$J,9,FALSE),VLOOKUP(B78,I!$A:$E,5,FALSE))</f>
        <v>0.56999999999999995</v>
      </c>
      <c r="H78" s="72"/>
      <c r="I78" s="71">
        <f t="shared" si="0"/>
        <v>0.56999999999999995</v>
      </c>
      <c r="J78" s="72"/>
      <c r="M78" s="23">
        <f t="shared" si="1"/>
        <v>37371</v>
      </c>
      <c r="N78" s="23">
        <f>SUMIF(CPUAUX1!M:M,B71,CPUAUX1!O:O)</f>
        <v>47.259446144999998</v>
      </c>
      <c r="O78" s="23">
        <f t="shared" si="2"/>
        <v>47.259446144999998</v>
      </c>
      <c r="Q78" s="23">
        <f ca="1">SUMIF(CPUAUX1!M:M,B71,CPUAUX1!R:R)</f>
        <v>18.903778458000001</v>
      </c>
      <c r="R78" s="23">
        <f t="shared" ca="1" si="3"/>
        <v>18.903778458000001</v>
      </c>
    </row>
    <row r="79" spans="1:18" ht="30" customHeight="1" x14ac:dyDescent="0.3">
      <c r="A79" s="23" t="s">
        <v>1025</v>
      </c>
      <c r="B79" s="23">
        <v>37370</v>
      </c>
      <c r="C79" s="23" t="str">
        <f>VLOOKUP(B79,IF(A79="COMPOSICAO",S!$A:$E,I!$A:$E),2,FALSE)</f>
        <v>SINAPI</v>
      </c>
      <c r="D79" s="24" t="str">
        <f>VLOOKUP(B79,IF(A79="COMPOSICAO",S!$A:$E,I!$A:$E),3,FALSE)</f>
        <v>ALIMENTACAO - HORISTA (COLETADO CAIXA - ENCARGOS COMPLEMENTARES)</v>
      </c>
      <c r="E79" s="23" t="str">
        <f>VLOOKUP(B79,IF(A79="COMPOSICAO",S!$A:$E,I!$A:$E),4,FALSE)</f>
        <v>H</v>
      </c>
      <c r="F79" s="23">
        <v>1</v>
      </c>
      <c r="G79" s="71">
        <f>IF(A79="COMPOSICAO",VLOOKUP("TOTAL SEM BDI - "&amp;B79,CPUAUX3!$A:$J,9,FALSE),VLOOKUP(B79,I!$A:$E,5,FALSE))</f>
        <v>2.46</v>
      </c>
      <c r="H79" s="72"/>
      <c r="I79" s="71">
        <f t="shared" si="0"/>
        <v>2.46</v>
      </c>
      <c r="J79" s="72"/>
      <c r="M79" s="23">
        <f t="shared" si="1"/>
        <v>37370</v>
      </c>
      <c r="N79" s="23">
        <f>SUMIF(CPUAUX1!M:M,B71,CPUAUX1!O:O)</f>
        <v>47.259446144999998</v>
      </c>
      <c r="O79" s="23">
        <f t="shared" si="2"/>
        <v>47.259446144999998</v>
      </c>
      <c r="Q79" s="23">
        <f ca="1">SUMIF(CPUAUX1!M:M,B71,CPUAUX1!R:R)</f>
        <v>18.903778458000001</v>
      </c>
      <c r="R79" s="23">
        <f t="shared" ca="1" si="3"/>
        <v>18.903778458000001</v>
      </c>
    </row>
    <row r="80" spans="1:18" x14ac:dyDescent="0.3">
      <c r="A80" s="68" t="str">
        <f>"TOTAL SEM BDI - "&amp;B71</f>
        <v>TOTAL SEM BDI - 88377</v>
      </c>
      <c r="B80" s="69"/>
      <c r="C80" s="69"/>
      <c r="D80" s="69"/>
      <c r="E80" s="69"/>
      <c r="F80" s="69"/>
      <c r="G80" s="69"/>
      <c r="H80" s="70"/>
      <c r="I80" s="71">
        <f>SUM(I71:I79)</f>
        <v>27.09</v>
      </c>
      <c r="J80" s="72"/>
    </row>
    <row r="82" spans="1:18" x14ac:dyDescent="0.3">
      <c r="A82" s="4" t="s">
        <v>1018</v>
      </c>
      <c r="B82" s="4" t="s">
        <v>138</v>
      </c>
      <c r="C82" s="4" t="s">
        <v>139</v>
      </c>
      <c r="D82" s="4" t="s">
        <v>21</v>
      </c>
      <c r="E82" s="4" t="s">
        <v>140</v>
      </c>
      <c r="F82" s="4" t="s">
        <v>506</v>
      </c>
      <c r="G82" s="34" t="s">
        <v>1019</v>
      </c>
      <c r="H82" s="35"/>
      <c r="I82" s="34" t="s">
        <v>15</v>
      </c>
      <c r="J82" s="35"/>
    </row>
    <row r="83" spans="1:18" x14ac:dyDescent="0.3">
      <c r="A83" s="15" t="s">
        <v>1093</v>
      </c>
      <c r="B83" s="15">
        <v>88316</v>
      </c>
      <c r="C83" s="15" t="str">
        <f>VLOOKUP(B83,S!$A:$G,2,FALSE)</f>
        <v>SINAPI</v>
      </c>
      <c r="D83" s="22" t="str">
        <f>VLOOKUP(B83,S!$A:$G,3,FALSE)</f>
        <v>SERVENTE COM ENCARGOS COMPLEMENTARES</v>
      </c>
      <c r="E83" s="15" t="str">
        <f>VLOOKUP(B83,S!$A:$G,4,FALSE)</f>
        <v>H</v>
      </c>
      <c r="F83" s="15"/>
      <c r="G83" s="73">
        <f>I92</f>
        <v>21.71</v>
      </c>
      <c r="H83" s="74"/>
      <c r="I83" s="73"/>
      <c r="J83" s="74"/>
      <c r="K83" s="16">
        <f>VLOOKUP(B83,S!A:G,5,FALSE)</f>
        <v>21.71</v>
      </c>
      <c r="L83" s="15" t="str">
        <f>IF(K83=G83,"OK, CONFORME TABELA",IF(G83&gt;K83,"ACIMA DA TABELA: ","ABAIXO DA TABELA: ")&amp;TRUNC((G83*100)/K83,2)&amp;" %")</f>
        <v>OK, CONFORME TABELA</v>
      </c>
    </row>
    <row r="84" spans="1:18" ht="30" customHeight="1" x14ac:dyDescent="0.3">
      <c r="A84" s="23" t="s">
        <v>1022</v>
      </c>
      <c r="B84" s="23">
        <v>95378</v>
      </c>
      <c r="C84" s="23" t="str">
        <f>VLOOKUP(B84,IF(A84="COMPOSICAO",S!$A:$E,I!$A:$E),2,FALSE)</f>
        <v>SINAPI</v>
      </c>
      <c r="D84" s="24" t="str">
        <f>VLOOKUP(B84,IF(A84="COMPOSICAO",S!$A:$E,I!$A:$E),3,FALSE)</f>
        <v>CURSO DE CAPACITAÇÃO PARA SERVENTE (ENCARGOS COMPLEMENTARES) - HORISTA</v>
      </c>
      <c r="E84" s="23" t="str">
        <f>VLOOKUP(B84,IF(A84="COMPOSICAO",S!$A:$E,I!$A:$E),4,FALSE)</f>
        <v>H</v>
      </c>
      <c r="F84" s="23">
        <v>1</v>
      </c>
      <c r="G84" s="71">
        <f>IF(A84="COMPOSICAO",VLOOKUP("TOTAL SEM BDI - "&amp;B84,CPUAUX3!$A:$J,9,FALSE),VLOOKUP(B84,I!$A:$E,5,FALSE))</f>
        <v>0.31</v>
      </c>
      <c r="H84" s="72"/>
      <c r="I84" s="71">
        <f t="shared" ref="I84:I91" si="4">TRUNC(F84*G84,2)</f>
        <v>0.31</v>
      </c>
      <c r="J84" s="72"/>
      <c r="M84" s="23">
        <f t="shared" ref="M84:M91" si="5">B84</f>
        <v>95378</v>
      </c>
      <c r="N84" s="23">
        <f>SUMIF(CPUAUX1!M:M,B83,CPUAUX1!O:O)</f>
        <v>167.82725691799999</v>
      </c>
      <c r="O84" s="23">
        <f t="shared" ref="O84:O91" si="6">F84*N84</f>
        <v>167.82725691799999</v>
      </c>
      <c r="Q84" s="23">
        <f ca="1">SUMIF(CPUAUX1!M:M,B83,CPUAUX1!R:R)</f>
        <v>67.130902767199998</v>
      </c>
      <c r="R84" s="23">
        <f t="shared" ref="R84:R91" ca="1" si="7">F84*Q84</f>
        <v>67.130902767199998</v>
      </c>
    </row>
    <row r="85" spans="1:18" ht="30" customHeight="1" x14ac:dyDescent="0.3">
      <c r="A85" s="23" t="s">
        <v>1025</v>
      </c>
      <c r="B85" s="23">
        <v>43491</v>
      </c>
      <c r="C85" s="23" t="str">
        <f>VLOOKUP(B85,IF(A85="COMPOSICAO",S!$A:$E,I!$A:$E),2,FALSE)</f>
        <v>SINAPI</v>
      </c>
      <c r="D85" s="24" t="str">
        <f>VLOOKUP(B85,IF(A85="COMPOSICAO",S!$A:$E,I!$A:$E),3,FALSE)</f>
        <v>EPI - FAMILIA SERVENTE - HORISTA (ENCARGOS COMPLEMENTARES - COLETADO CAIXA)</v>
      </c>
      <c r="E85" s="23" t="str">
        <f>VLOOKUP(B85,IF(A85="COMPOSICAO",S!$A:$E,I!$A:$E),4,FALSE)</f>
        <v>H</v>
      </c>
      <c r="F85" s="23">
        <v>1</v>
      </c>
      <c r="G85" s="71">
        <f>IF(A85="COMPOSICAO",VLOOKUP("TOTAL SEM BDI - "&amp;B85,CPUAUX3!$A:$J,9,FALSE),VLOOKUP(B85,I!$A:$E,5,FALSE))</f>
        <v>1.39</v>
      </c>
      <c r="H85" s="72"/>
      <c r="I85" s="71">
        <f t="shared" si="4"/>
        <v>1.39</v>
      </c>
      <c r="J85" s="72"/>
      <c r="M85" s="23">
        <f t="shared" si="5"/>
        <v>43491</v>
      </c>
      <c r="N85" s="23">
        <f>SUMIF(CPUAUX1!M:M,B83,CPUAUX1!O:O)</f>
        <v>167.82725691799999</v>
      </c>
      <c r="O85" s="23">
        <f t="shared" si="6"/>
        <v>167.82725691799999</v>
      </c>
      <c r="Q85" s="23">
        <f ca="1">SUMIF(CPUAUX1!M:M,B83,CPUAUX1!R:R)</f>
        <v>67.130902767199998</v>
      </c>
      <c r="R85" s="23">
        <f t="shared" ca="1" si="7"/>
        <v>67.130902767199998</v>
      </c>
    </row>
    <row r="86" spans="1:18" ht="30" customHeight="1" x14ac:dyDescent="0.3">
      <c r="A86" s="23" t="s">
        <v>1025</v>
      </c>
      <c r="B86" s="23">
        <v>43467</v>
      </c>
      <c r="C86" s="23" t="str">
        <f>VLOOKUP(B86,IF(A86="COMPOSICAO",S!$A:$E,I!$A:$E),2,FALSE)</f>
        <v>SINAPI</v>
      </c>
      <c r="D86" s="24" t="str">
        <f>VLOOKUP(B86,IF(A86="COMPOSICAO",S!$A:$E,I!$A:$E),3,FALSE)</f>
        <v>FERRAMENTAS - FAMILIA SERVENTE - HORISTA (ENCARGOS COMPLEMENTARES - COLETADO CAIXA)</v>
      </c>
      <c r="E86" s="23" t="str">
        <f>VLOOKUP(B86,IF(A86="COMPOSICAO",S!$A:$E,I!$A:$E),4,FALSE)</f>
        <v>H</v>
      </c>
      <c r="F86" s="23">
        <v>1</v>
      </c>
      <c r="G86" s="71">
        <f>IF(A86="COMPOSICAO",VLOOKUP("TOTAL SEM BDI - "&amp;B86,CPUAUX3!$A:$J,9,FALSE),VLOOKUP(B86,I!$A:$E,5,FALSE))</f>
        <v>0.61</v>
      </c>
      <c r="H86" s="72"/>
      <c r="I86" s="71">
        <f t="shared" si="4"/>
        <v>0.61</v>
      </c>
      <c r="J86" s="72"/>
      <c r="M86" s="23">
        <f t="shared" si="5"/>
        <v>43467</v>
      </c>
      <c r="N86" s="23">
        <f>SUMIF(CPUAUX1!M:M,B83,CPUAUX1!O:O)</f>
        <v>167.82725691799999</v>
      </c>
      <c r="O86" s="23">
        <f t="shared" si="6"/>
        <v>167.82725691799999</v>
      </c>
      <c r="Q86" s="23">
        <f ca="1">SUMIF(CPUAUX1!M:M,B83,CPUAUX1!R:R)</f>
        <v>67.130902767199998</v>
      </c>
      <c r="R86" s="23">
        <f t="shared" ca="1" si="7"/>
        <v>67.130902767199998</v>
      </c>
    </row>
    <row r="87" spans="1:18" ht="30" customHeight="1" x14ac:dyDescent="0.3">
      <c r="A87" s="23" t="s">
        <v>1025</v>
      </c>
      <c r="B87" s="23">
        <v>37373</v>
      </c>
      <c r="C87" s="23" t="str">
        <f>VLOOKUP(B87,IF(A87="COMPOSICAO",S!$A:$E,I!$A:$E),2,FALSE)</f>
        <v>SINAPI</v>
      </c>
      <c r="D87" s="24" t="str">
        <f>VLOOKUP(B87,IF(A87="COMPOSICAO",S!$A:$E,I!$A:$E),3,FALSE)</f>
        <v>SEGURO - HORISTA (COLETADO CAIXA - ENCARGOS COMPLEMENTARES)</v>
      </c>
      <c r="E87" s="23" t="str">
        <f>VLOOKUP(B87,IF(A87="COMPOSICAO",S!$A:$E,I!$A:$E),4,FALSE)</f>
        <v>H</v>
      </c>
      <c r="F87" s="23">
        <v>1</v>
      </c>
      <c r="G87" s="71">
        <f>IF(A87="COMPOSICAO",VLOOKUP("TOTAL SEM BDI - "&amp;B87,CPUAUX3!$A:$J,9,FALSE),VLOOKUP(B87,I!$A:$E,5,FALSE))</f>
        <v>0.08</v>
      </c>
      <c r="H87" s="72"/>
      <c r="I87" s="71">
        <f t="shared" si="4"/>
        <v>0.08</v>
      </c>
      <c r="J87" s="72"/>
      <c r="M87" s="23">
        <f t="shared" si="5"/>
        <v>37373</v>
      </c>
      <c r="N87" s="23">
        <f>SUMIF(CPUAUX1!M:M,B83,CPUAUX1!O:O)</f>
        <v>167.82725691799999</v>
      </c>
      <c r="O87" s="23">
        <f t="shared" si="6"/>
        <v>167.82725691799999</v>
      </c>
      <c r="Q87" s="23">
        <f ca="1">SUMIF(CPUAUX1!M:M,B83,CPUAUX1!R:R)</f>
        <v>67.130902767199998</v>
      </c>
      <c r="R87" s="23">
        <f t="shared" ca="1" si="7"/>
        <v>67.130902767199998</v>
      </c>
    </row>
    <row r="88" spans="1:18" ht="30" customHeight="1" x14ac:dyDescent="0.3">
      <c r="A88" s="23" t="s">
        <v>1025</v>
      </c>
      <c r="B88" s="23">
        <v>37372</v>
      </c>
      <c r="C88" s="23" t="str">
        <f>VLOOKUP(B88,IF(A88="COMPOSICAO",S!$A:$E,I!$A:$E),2,FALSE)</f>
        <v>SINAPI</v>
      </c>
      <c r="D88" s="24" t="str">
        <f>VLOOKUP(B88,IF(A88="COMPOSICAO",S!$A:$E,I!$A:$E),3,FALSE)</f>
        <v>EXAMES - HORISTA (COLETADO CAIXA - ENCARGOS COMPLEMENTARES)</v>
      </c>
      <c r="E88" s="23" t="str">
        <f>VLOOKUP(B88,IF(A88="COMPOSICAO",S!$A:$E,I!$A:$E),4,FALSE)</f>
        <v>H</v>
      </c>
      <c r="F88" s="23">
        <v>1</v>
      </c>
      <c r="G88" s="71">
        <f>IF(A88="COMPOSICAO",VLOOKUP("TOTAL SEM BDI - "&amp;B88,CPUAUX3!$A:$J,9,FALSE),VLOOKUP(B88,I!$A:$E,5,FALSE))</f>
        <v>1.43</v>
      </c>
      <c r="H88" s="72"/>
      <c r="I88" s="71">
        <f t="shared" si="4"/>
        <v>1.43</v>
      </c>
      <c r="J88" s="72"/>
      <c r="M88" s="23">
        <f t="shared" si="5"/>
        <v>37372</v>
      </c>
      <c r="N88" s="23">
        <f>SUMIF(CPUAUX1!M:M,B83,CPUAUX1!O:O)</f>
        <v>167.82725691799999</v>
      </c>
      <c r="O88" s="23">
        <f t="shared" si="6"/>
        <v>167.82725691799999</v>
      </c>
      <c r="Q88" s="23">
        <f ca="1">SUMIF(CPUAUX1!M:M,B83,CPUAUX1!R:R)</f>
        <v>67.130902767199998</v>
      </c>
      <c r="R88" s="23">
        <f t="shared" ca="1" si="7"/>
        <v>67.130902767199998</v>
      </c>
    </row>
    <row r="89" spans="1:18" ht="30" customHeight="1" x14ac:dyDescent="0.3">
      <c r="A89" s="23" t="s">
        <v>1025</v>
      </c>
      <c r="B89" s="23">
        <v>37371</v>
      </c>
      <c r="C89" s="23" t="str">
        <f>VLOOKUP(B89,IF(A89="COMPOSICAO",S!$A:$E,I!$A:$E),2,FALSE)</f>
        <v>SINAPI</v>
      </c>
      <c r="D89" s="24" t="str">
        <f>VLOOKUP(B89,IF(A89="COMPOSICAO",S!$A:$E,I!$A:$E),3,FALSE)</f>
        <v>TRANSPORTE - HORISTA (COLETADO CAIXA - ENCARGOS COMPLEMENTARES)</v>
      </c>
      <c r="E89" s="23" t="str">
        <f>VLOOKUP(B89,IF(A89="COMPOSICAO",S!$A:$E,I!$A:$E),4,FALSE)</f>
        <v>H</v>
      </c>
      <c r="F89" s="23">
        <v>1</v>
      </c>
      <c r="G89" s="71">
        <f>IF(A89="COMPOSICAO",VLOOKUP("TOTAL SEM BDI - "&amp;B89,CPUAUX3!$A:$J,9,FALSE),VLOOKUP(B89,I!$A:$E,5,FALSE))</f>
        <v>0.56999999999999995</v>
      </c>
      <c r="H89" s="72"/>
      <c r="I89" s="71">
        <f t="shared" si="4"/>
        <v>0.56999999999999995</v>
      </c>
      <c r="J89" s="72"/>
      <c r="M89" s="23">
        <f t="shared" si="5"/>
        <v>37371</v>
      </c>
      <c r="N89" s="23">
        <f>SUMIF(CPUAUX1!M:M,B83,CPUAUX1!O:O)</f>
        <v>167.82725691799999</v>
      </c>
      <c r="O89" s="23">
        <f t="shared" si="6"/>
        <v>167.82725691799999</v>
      </c>
      <c r="Q89" s="23">
        <f ca="1">SUMIF(CPUAUX1!M:M,B83,CPUAUX1!R:R)</f>
        <v>67.130902767199998</v>
      </c>
      <c r="R89" s="23">
        <f t="shared" ca="1" si="7"/>
        <v>67.130902767199998</v>
      </c>
    </row>
    <row r="90" spans="1:18" ht="30" customHeight="1" x14ac:dyDescent="0.3">
      <c r="A90" s="23" t="s">
        <v>1025</v>
      </c>
      <c r="B90" s="23">
        <v>37370</v>
      </c>
      <c r="C90" s="23" t="str">
        <f>VLOOKUP(B90,IF(A90="COMPOSICAO",S!$A:$E,I!$A:$E),2,FALSE)</f>
        <v>SINAPI</v>
      </c>
      <c r="D90" s="24" t="str">
        <f>VLOOKUP(B90,IF(A90="COMPOSICAO",S!$A:$E,I!$A:$E),3,FALSE)</f>
        <v>ALIMENTACAO - HORISTA (COLETADO CAIXA - ENCARGOS COMPLEMENTARES)</v>
      </c>
      <c r="E90" s="23" t="str">
        <f>VLOOKUP(B90,IF(A90="COMPOSICAO",S!$A:$E,I!$A:$E),4,FALSE)</f>
        <v>H</v>
      </c>
      <c r="F90" s="23">
        <v>1</v>
      </c>
      <c r="G90" s="71">
        <f>IF(A90="COMPOSICAO",VLOOKUP("TOTAL SEM BDI - "&amp;B90,CPUAUX3!$A:$J,9,FALSE),VLOOKUP(B90,I!$A:$E,5,FALSE))</f>
        <v>2.46</v>
      </c>
      <c r="H90" s="72"/>
      <c r="I90" s="71">
        <f t="shared" si="4"/>
        <v>2.46</v>
      </c>
      <c r="J90" s="72"/>
      <c r="M90" s="23">
        <f t="shared" si="5"/>
        <v>37370</v>
      </c>
      <c r="N90" s="23">
        <f>SUMIF(CPUAUX1!M:M,B83,CPUAUX1!O:O)</f>
        <v>167.82725691799999</v>
      </c>
      <c r="O90" s="23">
        <f t="shared" si="6"/>
        <v>167.82725691799999</v>
      </c>
      <c r="Q90" s="23">
        <f ca="1">SUMIF(CPUAUX1!M:M,B83,CPUAUX1!R:R)</f>
        <v>67.130902767199998</v>
      </c>
      <c r="R90" s="23">
        <f t="shared" ca="1" si="7"/>
        <v>67.130902767199998</v>
      </c>
    </row>
    <row r="91" spans="1:18" x14ac:dyDescent="0.3">
      <c r="A91" s="23" t="s">
        <v>1025</v>
      </c>
      <c r="B91" s="23">
        <v>6111</v>
      </c>
      <c r="C91" s="23" t="str">
        <f>VLOOKUP(B91,IF(A91="COMPOSICAO",S!$A:$E,I!$A:$E),2,FALSE)</f>
        <v>SINAPI</v>
      </c>
      <c r="D91" s="24" t="str">
        <f>VLOOKUP(B91,IF(A91="COMPOSICAO",S!$A:$E,I!$A:$E),3,FALSE)</f>
        <v>SERVENTE DE OBRAS (HORISTA)</v>
      </c>
      <c r="E91" s="23" t="str">
        <f>VLOOKUP(B91,IF(A91="COMPOSICAO",S!$A:$E,I!$A:$E),4,FALSE)</f>
        <v>H</v>
      </c>
      <c r="F91" s="23">
        <v>1</v>
      </c>
      <c r="G91" s="71">
        <f>IF(A91="COMPOSICAO",VLOOKUP("TOTAL SEM BDI - "&amp;B91,CPUAUX3!$A:$J,9,FALSE),VLOOKUP(B91,I!$A:$E,5,FALSE))</f>
        <v>14.86</v>
      </c>
      <c r="H91" s="72"/>
      <c r="I91" s="71">
        <f t="shared" si="4"/>
        <v>14.86</v>
      </c>
      <c r="J91" s="72"/>
      <c r="M91" s="23">
        <f t="shared" si="5"/>
        <v>6111</v>
      </c>
      <c r="N91" s="23">
        <f>SUMIF(CPUAUX1!M:M,B83,CPUAUX1!O:O)</f>
        <v>167.82725691799999</v>
      </c>
      <c r="O91" s="23">
        <f t="shared" si="6"/>
        <v>167.82725691799999</v>
      </c>
      <c r="Q91" s="23">
        <f ca="1">SUMIF(CPUAUX1!M:M,B83,CPUAUX1!R:R)</f>
        <v>67.130902767199998</v>
      </c>
      <c r="R91" s="23">
        <f t="shared" ca="1" si="7"/>
        <v>67.130902767199998</v>
      </c>
    </row>
    <row r="92" spans="1:18" x14ac:dyDescent="0.3">
      <c r="A92" s="68" t="str">
        <f>"TOTAL SEM BDI - "&amp;B83</f>
        <v>TOTAL SEM BDI - 88316</v>
      </c>
      <c r="B92" s="69"/>
      <c r="C92" s="69"/>
      <c r="D92" s="69"/>
      <c r="E92" s="69"/>
      <c r="F92" s="69"/>
      <c r="G92" s="69"/>
      <c r="H92" s="70"/>
      <c r="I92" s="71">
        <f>SUM(I83:I91)</f>
        <v>21.71</v>
      </c>
      <c r="J92" s="72"/>
    </row>
    <row r="94" spans="1:18" x14ac:dyDescent="0.3">
      <c r="A94" s="4" t="s">
        <v>1018</v>
      </c>
      <c r="B94" s="4" t="s">
        <v>138</v>
      </c>
      <c r="C94" s="4" t="s">
        <v>139</v>
      </c>
      <c r="D94" s="4" t="s">
        <v>21</v>
      </c>
      <c r="E94" s="4" t="s">
        <v>140</v>
      </c>
      <c r="F94" s="4" t="s">
        <v>506</v>
      </c>
      <c r="G94" s="34" t="s">
        <v>1019</v>
      </c>
      <c r="H94" s="35"/>
      <c r="I94" s="34" t="s">
        <v>15</v>
      </c>
      <c r="J94" s="35"/>
    </row>
    <row r="95" spans="1:18" ht="30" customHeight="1" x14ac:dyDescent="0.3">
      <c r="A95" s="15" t="s">
        <v>1093</v>
      </c>
      <c r="B95" s="15">
        <v>88262</v>
      </c>
      <c r="C95" s="15" t="str">
        <f>VLOOKUP(B95,S!$A:$G,2,FALSE)</f>
        <v>SINAPI</v>
      </c>
      <c r="D95" s="22" t="str">
        <f>VLOOKUP(B95,S!$A:$G,3,FALSE)</f>
        <v>CARPINTEIRO DE FORMAS COM ENCARGOS COMPLEMENTARES</v>
      </c>
      <c r="E95" s="15" t="str">
        <f>VLOOKUP(B95,S!$A:$G,4,FALSE)</f>
        <v>H</v>
      </c>
      <c r="F95" s="15"/>
      <c r="G95" s="73">
        <f>I104</f>
        <v>26.97</v>
      </c>
      <c r="H95" s="74"/>
      <c r="I95" s="73"/>
      <c r="J95" s="74"/>
      <c r="K95" s="16">
        <f>VLOOKUP(B95,S!A:G,5,FALSE)</f>
        <v>26.97</v>
      </c>
      <c r="L95" s="15" t="str">
        <f>IF(K95=G95,"OK, CONFORME TABELA",IF(G95&gt;K95,"ACIMA DA TABELA: ","ABAIXO DA TABELA: ")&amp;TRUNC((G95*100)/K95,2)&amp;" %")</f>
        <v>OK, CONFORME TABELA</v>
      </c>
    </row>
    <row r="96" spans="1:18" ht="30" customHeight="1" x14ac:dyDescent="0.3">
      <c r="A96" s="23" t="s">
        <v>1022</v>
      </c>
      <c r="B96" s="23">
        <v>95330</v>
      </c>
      <c r="C96" s="23" t="str">
        <f>VLOOKUP(B96,IF(A96="COMPOSICAO",S!$A:$E,I!$A:$E),2,FALSE)</f>
        <v>SINAPI</v>
      </c>
      <c r="D96" s="24" t="str">
        <f>VLOOKUP(B96,IF(A96="COMPOSICAO",S!$A:$E,I!$A:$E),3,FALSE)</f>
        <v>CURSO DE CAPACITAÇÃO PARA CARPINTEIRO DE FÔRMAS (ENCARGOS COMPLEMENTARES) - HORISTA</v>
      </c>
      <c r="E96" s="23" t="str">
        <f>VLOOKUP(B96,IF(A96="COMPOSICAO",S!$A:$E,I!$A:$E),4,FALSE)</f>
        <v>H</v>
      </c>
      <c r="F96" s="23">
        <v>1</v>
      </c>
      <c r="G96" s="71">
        <f>IF(A96="COMPOSICAO",VLOOKUP("TOTAL SEM BDI - "&amp;B96,CPUAUX3!$A:$J,9,FALSE),VLOOKUP(B96,I!$A:$E,5,FALSE))</f>
        <v>0.23</v>
      </c>
      <c r="H96" s="72"/>
      <c r="I96" s="71">
        <f t="shared" ref="I96:I103" si="8">TRUNC(F96*G96,2)</f>
        <v>0.23</v>
      </c>
      <c r="J96" s="72"/>
      <c r="M96" s="23">
        <f t="shared" ref="M96:M103" si="9">B96</f>
        <v>95330</v>
      </c>
      <c r="N96" s="23">
        <f>SUMIF(CPUAUX1!M:M,B95,CPUAUX1!O:O)</f>
        <v>25.01671125</v>
      </c>
      <c r="O96" s="23">
        <f t="shared" ref="O96:O103" si="10">F96*N96</f>
        <v>25.01671125</v>
      </c>
      <c r="Q96" s="23">
        <f ca="1">SUMIF(CPUAUX1!M:M,B95,CPUAUX1!R:R)</f>
        <v>10.006684500000002</v>
      </c>
      <c r="R96" s="23">
        <f t="shared" ref="R96:R103" ca="1" si="11">F96*Q96</f>
        <v>10.006684500000002</v>
      </c>
    </row>
    <row r="97" spans="1:18" ht="30" customHeight="1" x14ac:dyDescent="0.3">
      <c r="A97" s="23" t="s">
        <v>1025</v>
      </c>
      <c r="B97" s="23">
        <v>43483</v>
      </c>
      <c r="C97" s="23" t="str">
        <f>VLOOKUP(B97,IF(A97="COMPOSICAO",S!$A:$E,I!$A:$E),2,FALSE)</f>
        <v>SINAPI</v>
      </c>
      <c r="D97" s="24" t="str">
        <f>VLOOKUP(B97,IF(A97="COMPOSICAO",S!$A:$E,I!$A:$E),3,FALSE)</f>
        <v>EPI - FAMILIA CARPINTEIRO DE FORMAS - HORISTA (ENCARGOS COMPLEMENTARES - COLETADO CAIXA)</v>
      </c>
      <c r="E97" s="23" t="str">
        <f>VLOOKUP(B97,IF(A97="COMPOSICAO",S!$A:$E,I!$A:$E),4,FALSE)</f>
        <v>H</v>
      </c>
      <c r="F97" s="23">
        <v>1</v>
      </c>
      <c r="G97" s="71">
        <f>IF(A97="COMPOSICAO",VLOOKUP("TOTAL SEM BDI - "&amp;B97,CPUAUX3!$A:$J,9,FALSE),VLOOKUP(B97,I!$A:$E,5,FALSE))</f>
        <v>1.43</v>
      </c>
      <c r="H97" s="72"/>
      <c r="I97" s="71">
        <f t="shared" si="8"/>
        <v>1.43</v>
      </c>
      <c r="J97" s="72"/>
      <c r="M97" s="23">
        <f t="shared" si="9"/>
        <v>43483</v>
      </c>
      <c r="N97" s="23">
        <f>SUMIF(CPUAUX1!M:M,B95,CPUAUX1!O:O)</f>
        <v>25.01671125</v>
      </c>
      <c r="O97" s="23">
        <f t="shared" si="10"/>
        <v>25.01671125</v>
      </c>
      <c r="Q97" s="23">
        <f ca="1">SUMIF(CPUAUX1!M:M,B95,CPUAUX1!R:R)</f>
        <v>10.006684500000002</v>
      </c>
      <c r="R97" s="23">
        <f t="shared" ca="1" si="11"/>
        <v>10.006684500000002</v>
      </c>
    </row>
    <row r="98" spans="1:18" ht="45" customHeight="1" x14ac:dyDescent="0.3">
      <c r="A98" s="23" t="s">
        <v>1025</v>
      </c>
      <c r="B98" s="23">
        <v>43459</v>
      </c>
      <c r="C98" s="23" t="str">
        <f>VLOOKUP(B98,IF(A98="COMPOSICAO",S!$A:$E,I!$A:$E),2,FALSE)</f>
        <v>SINAPI</v>
      </c>
      <c r="D98" s="24" t="str">
        <f>VLOOKUP(B98,IF(A98="COMPOSICAO",S!$A:$E,I!$A:$E),3,FALSE)</f>
        <v>FERRAMENTAS - FAMILIA CARPINTEIRO DE FORMAS - HORISTA (ENCARGOS COMPLEMENTARES - COLETADO CAIXA)</v>
      </c>
      <c r="E98" s="23" t="str">
        <f>VLOOKUP(B98,IF(A98="COMPOSICAO",S!$A:$E,I!$A:$E),4,FALSE)</f>
        <v>H</v>
      </c>
      <c r="F98" s="23">
        <v>1</v>
      </c>
      <c r="G98" s="71">
        <f>IF(A98="COMPOSICAO",VLOOKUP("TOTAL SEM BDI - "&amp;B98,CPUAUX3!$A:$J,9,FALSE),VLOOKUP(B98,I!$A:$E,5,FALSE))</f>
        <v>0.44</v>
      </c>
      <c r="H98" s="72"/>
      <c r="I98" s="71">
        <f t="shared" si="8"/>
        <v>0.44</v>
      </c>
      <c r="J98" s="72"/>
      <c r="M98" s="23">
        <f t="shared" si="9"/>
        <v>43459</v>
      </c>
      <c r="N98" s="23">
        <f>SUMIF(CPUAUX1!M:M,B95,CPUAUX1!O:O)</f>
        <v>25.01671125</v>
      </c>
      <c r="O98" s="23">
        <f t="shared" si="10"/>
        <v>25.01671125</v>
      </c>
      <c r="Q98" s="23">
        <f ca="1">SUMIF(CPUAUX1!M:M,B95,CPUAUX1!R:R)</f>
        <v>10.006684500000002</v>
      </c>
      <c r="R98" s="23">
        <f t="shared" ca="1" si="11"/>
        <v>10.006684500000002</v>
      </c>
    </row>
    <row r="99" spans="1:18" ht="30" customHeight="1" x14ac:dyDescent="0.3">
      <c r="A99" s="23" t="s">
        <v>1025</v>
      </c>
      <c r="B99" s="23">
        <v>37373</v>
      </c>
      <c r="C99" s="23" t="str">
        <f>VLOOKUP(B99,IF(A99="COMPOSICAO",S!$A:$E,I!$A:$E),2,FALSE)</f>
        <v>SINAPI</v>
      </c>
      <c r="D99" s="24" t="str">
        <f>VLOOKUP(B99,IF(A99="COMPOSICAO",S!$A:$E,I!$A:$E),3,FALSE)</f>
        <v>SEGURO - HORISTA (COLETADO CAIXA - ENCARGOS COMPLEMENTARES)</v>
      </c>
      <c r="E99" s="23" t="str">
        <f>VLOOKUP(B99,IF(A99="COMPOSICAO",S!$A:$E,I!$A:$E),4,FALSE)</f>
        <v>H</v>
      </c>
      <c r="F99" s="23">
        <v>1</v>
      </c>
      <c r="G99" s="71">
        <f>IF(A99="COMPOSICAO",VLOOKUP("TOTAL SEM BDI - "&amp;B99,CPUAUX3!$A:$J,9,FALSE),VLOOKUP(B99,I!$A:$E,5,FALSE))</f>
        <v>0.08</v>
      </c>
      <c r="H99" s="72"/>
      <c r="I99" s="71">
        <f t="shared" si="8"/>
        <v>0.08</v>
      </c>
      <c r="J99" s="72"/>
      <c r="M99" s="23">
        <f t="shared" si="9"/>
        <v>37373</v>
      </c>
      <c r="N99" s="23">
        <f>SUMIF(CPUAUX1!M:M,B95,CPUAUX1!O:O)</f>
        <v>25.01671125</v>
      </c>
      <c r="O99" s="23">
        <f t="shared" si="10"/>
        <v>25.01671125</v>
      </c>
      <c r="Q99" s="23">
        <f ca="1">SUMIF(CPUAUX1!M:M,B95,CPUAUX1!R:R)</f>
        <v>10.006684500000002</v>
      </c>
      <c r="R99" s="23">
        <f t="shared" ca="1" si="11"/>
        <v>10.006684500000002</v>
      </c>
    </row>
    <row r="100" spans="1:18" ht="30" customHeight="1" x14ac:dyDescent="0.3">
      <c r="A100" s="23" t="s">
        <v>1025</v>
      </c>
      <c r="B100" s="23">
        <v>37372</v>
      </c>
      <c r="C100" s="23" t="str">
        <f>VLOOKUP(B100,IF(A100="COMPOSICAO",S!$A:$E,I!$A:$E),2,FALSE)</f>
        <v>SINAPI</v>
      </c>
      <c r="D100" s="24" t="str">
        <f>VLOOKUP(B100,IF(A100="COMPOSICAO",S!$A:$E,I!$A:$E),3,FALSE)</f>
        <v>EXAMES - HORISTA (COLETADO CAIXA - ENCARGOS COMPLEMENTARES)</v>
      </c>
      <c r="E100" s="23" t="str">
        <f>VLOOKUP(B100,IF(A100="COMPOSICAO",S!$A:$E,I!$A:$E),4,FALSE)</f>
        <v>H</v>
      </c>
      <c r="F100" s="23">
        <v>1</v>
      </c>
      <c r="G100" s="71">
        <f>IF(A100="COMPOSICAO",VLOOKUP("TOTAL SEM BDI - "&amp;B100,CPUAUX3!$A:$J,9,FALSE),VLOOKUP(B100,I!$A:$E,5,FALSE))</f>
        <v>1.43</v>
      </c>
      <c r="H100" s="72"/>
      <c r="I100" s="71">
        <f t="shared" si="8"/>
        <v>1.43</v>
      </c>
      <c r="J100" s="72"/>
      <c r="M100" s="23">
        <f t="shared" si="9"/>
        <v>37372</v>
      </c>
      <c r="N100" s="23">
        <f>SUMIF(CPUAUX1!M:M,B95,CPUAUX1!O:O)</f>
        <v>25.01671125</v>
      </c>
      <c r="O100" s="23">
        <f t="shared" si="10"/>
        <v>25.01671125</v>
      </c>
      <c r="Q100" s="23">
        <f ca="1">SUMIF(CPUAUX1!M:M,B95,CPUAUX1!R:R)</f>
        <v>10.006684500000002</v>
      </c>
      <c r="R100" s="23">
        <f t="shared" ca="1" si="11"/>
        <v>10.006684500000002</v>
      </c>
    </row>
    <row r="101" spans="1:18" ht="30" customHeight="1" x14ac:dyDescent="0.3">
      <c r="A101" s="23" t="s">
        <v>1025</v>
      </c>
      <c r="B101" s="23">
        <v>37371</v>
      </c>
      <c r="C101" s="23" t="str">
        <f>VLOOKUP(B101,IF(A101="COMPOSICAO",S!$A:$E,I!$A:$E),2,FALSE)</f>
        <v>SINAPI</v>
      </c>
      <c r="D101" s="24" t="str">
        <f>VLOOKUP(B101,IF(A101="COMPOSICAO",S!$A:$E,I!$A:$E),3,FALSE)</f>
        <v>TRANSPORTE - HORISTA (COLETADO CAIXA - ENCARGOS COMPLEMENTARES)</v>
      </c>
      <c r="E101" s="23" t="str">
        <f>VLOOKUP(B101,IF(A101="COMPOSICAO",S!$A:$E,I!$A:$E),4,FALSE)</f>
        <v>H</v>
      </c>
      <c r="F101" s="23">
        <v>1</v>
      </c>
      <c r="G101" s="71">
        <f>IF(A101="COMPOSICAO",VLOOKUP("TOTAL SEM BDI - "&amp;B101,CPUAUX3!$A:$J,9,FALSE),VLOOKUP(B101,I!$A:$E,5,FALSE))</f>
        <v>0.56999999999999995</v>
      </c>
      <c r="H101" s="72"/>
      <c r="I101" s="71">
        <f t="shared" si="8"/>
        <v>0.56999999999999995</v>
      </c>
      <c r="J101" s="72"/>
      <c r="M101" s="23">
        <f t="shared" si="9"/>
        <v>37371</v>
      </c>
      <c r="N101" s="23">
        <f>SUMIF(CPUAUX1!M:M,B95,CPUAUX1!O:O)</f>
        <v>25.01671125</v>
      </c>
      <c r="O101" s="23">
        <f t="shared" si="10"/>
        <v>25.01671125</v>
      </c>
      <c r="Q101" s="23">
        <f ca="1">SUMIF(CPUAUX1!M:M,B95,CPUAUX1!R:R)</f>
        <v>10.006684500000002</v>
      </c>
      <c r="R101" s="23">
        <f t="shared" ca="1" si="11"/>
        <v>10.006684500000002</v>
      </c>
    </row>
    <row r="102" spans="1:18" ht="30" customHeight="1" x14ac:dyDescent="0.3">
      <c r="A102" s="23" t="s">
        <v>1025</v>
      </c>
      <c r="B102" s="23">
        <v>37370</v>
      </c>
      <c r="C102" s="23" t="str">
        <f>VLOOKUP(B102,IF(A102="COMPOSICAO",S!$A:$E,I!$A:$E),2,FALSE)</f>
        <v>SINAPI</v>
      </c>
      <c r="D102" s="24" t="str">
        <f>VLOOKUP(B102,IF(A102="COMPOSICAO",S!$A:$E,I!$A:$E),3,FALSE)</f>
        <v>ALIMENTACAO - HORISTA (COLETADO CAIXA - ENCARGOS COMPLEMENTARES)</v>
      </c>
      <c r="E102" s="23" t="str">
        <f>VLOOKUP(B102,IF(A102="COMPOSICAO",S!$A:$E,I!$A:$E),4,FALSE)</f>
        <v>H</v>
      </c>
      <c r="F102" s="23">
        <v>1</v>
      </c>
      <c r="G102" s="71">
        <f>IF(A102="COMPOSICAO",VLOOKUP("TOTAL SEM BDI - "&amp;B102,CPUAUX3!$A:$J,9,FALSE),VLOOKUP(B102,I!$A:$E,5,FALSE))</f>
        <v>2.46</v>
      </c>
      <c r="H102" s="72"/>
      <c r="I102" s="71">
        <f t="shared" si="8"/>
        <v>2.46</v>
      </c>
      <c r="J102" s="72"/>
      <c r="M102" s="23">
        <f t="shared" si="9"/>
        <v>37370</v>
      </c>
      <c r="N102" s="23">
        <f>SUMIF(CPUAUX1!M:M,B95,CPUAUX1!O:O)</f>
        <v>25.01671125</v>
      </c>
      <c r="O102" s="23">
        <f t="shared" si="10"/>
        <v>25.01671125</v>
      </c>
      <c r="Q102" s="23">
        <f ca="1">SUMIF(CPUAUX1!M:M,B95,CPUAUX1!R:R)</f>
        <v>10.006684500000002</v>
      </c>
      <c r="R102" s="23">
        <f t="shared" ca="1" si="11"/>
        <v>10.006684500000002</v>
      </c>
    </row>
    <row r="103" spans="1:18" ht="15" customHeight="1" x14ac:dyDescent="0.3">
      <c r="A103" s="23" t="s">
        <v>1025</v>
      </c>
      <c r="B103" s="23">
        <v>1213</v>
      </c>
      <c r="C103" s="23" t="str">
        <f>VLOOKUP(B103,IF(A103="COMPOSICAO",S!$A:$E,I!$A:$E),2,FALSE)</f>
        <v>SINAPI</v>
      </c>
      <c r="D103" s="24" t="str">
        <f>VLOOKUP(B103,IF(A103="COMPOSICAO",S!$A:$E,I!$A:$E),3,FALSE)</f>
        <v>CARPINTEIRO DE FORMAS PARA CONCRETO (HORISTA)</v>
      </c>
      <c r="E103" s="23" t="str">
        <f>VLOOKUP(B103,IF(A103="COMPOSICAO",S!$A:$E,I!$A:$E),4,FALSE)</f>
        <v>H</v>
      </c>
      <c r="F103" s="23">
        <v>1</v>
      </c>
      <c r="G103" s="71">
        <f>IF(A103="COMPOSICAO",VLOOKUP("TOTAL SEM BDI - "&amp;B103,CPUAUX3!$A:$J,9,FALSE),VLOOKUP(B103,I!$A:$E,5,FALSE))</f>
        <v>20.329999999999998</v>
      </c>
      <c r="H103" s="72"/>
      <c r="I103" s="71">
        <f t="shared" si="8"/>
        <v>20.329999999999998</v>
      </c>
      <c r="J103" s="72"/>
      <c r="M103" s="23">
        <f t="shared" si="9"/>
        <v>1213</v>
      </c>
      <c r="N103" s="23">
        <f>SUMIF(CPUAUX1!M:M,B95,CPUAUX1!O:O)</f>
        <v>25.01671125</v>
      </c>
      <c r="O103" s="23">
        <f t="shared" si="10"/>
        <v>25.01671125</v>
      </c>
      <c r="Q103" s="23">
        <f ca="1">SUMIF(CPUAUX1!M:M,B95,CPUAUX1!R:R)</f>
        <v>10.006684500000002</v>
      </c>
      <c r="R103" s="23">
        <f t="shared" ca="1" si="11"/>
        <v>10.006684500000002</v>
      </c>
    </row>
    <row r="104" spans="1:18" x14ac:dyDescent="0.3">
      <c r="A104" s="68" t="str">
        <f>"TOTAL SEM BDI - "&amp;B95</f>
        <v>TOTAL SEM BDI - 88262</v>
      </c>
      <c r="B104" s="69"/>
      <c r="C104" s="69"/>
      <c r="D104" s="69"/>
      <c r="E104" s="69"/>
      <c r="F104" s="69"/>
      <c r="G104" s="69"/>
      <c r="H104" s="70"/>
      <c r="I104" s="71">
        <f>SUM(I95:I103)</f>
        <v>26.97</v>
      </c>
      <c r="J104" s="72"/>
    </row>
    <row r="106" spans="1:18" x14ac:dyDescent="0.3">
      <c r="A106" s="4" t="s">
        <v>1018</v>
      </c>
      <c r="B106" s="4" t="s">
        <v>138</v>
      </c>
      <c r="C106" s="4" t="s">
        <v>139</v>
      </c>
      <c r="D106" s="4" t="s">
        <v>21</v>
      </c>
      <c r="E106" s="4" t="s">
        <v>140</v>
      </c>
      <c r="F106" s="4" t="s">
        <v>506</v>
      </c>
      <c r="G106" s="34" t="s">
        <v>1019</v>
      </c>
      <c r="H106" s="35"/>
      <c r="I106" s="34" t="s">
        <v>15</v>
      </c>
      <c r="J106" s="35"/>
    </row>
    <row r="107" spans="1:18" ht="30" customHeight="1" x14ac:dyDescent="0.3">
      <c r="A107" s="15" t="s">
        <v>1093</v>
      </c>
      <c r="B107" s="15">
        <v>88239</v>
      </c>
      <c r="C107" s="15" t="str">
        <f>VLOOKUP(B107,S!$A:$G,2,FALSE)</f>
        <v>SINAPI</v>
      </c>
      <c r="D107" s="22" t="str">
        <f>VLOOKUP(B107,S!$A:$G,3,FALSE)</f>
        <v>AJUDANTE DE CARPINTEIRO COM ENCARGOS COMPLEMENTARES</v>
      </c>
      <c r="E107" s="15" t="str">
        <f>VLOOKUP(B107,S!$A:$G,4,FALSE)</f>
        <v>H</v>
      </c>
      <c r="F107" s="15"/>
      <c r="G107" s="73">
        <f>I116</f>
        <v>22.2</v>
      </c>
      <c r="H107" s="74"/>
      <c r="I107" s="73"/>
      <c r="J107" s="74"/>
      <c r="K107" s="16">
        <f>VLOOKUP(B107,S!A:G,5,FALSE)</f>
        <v>22.2</v>
      </c>
      <c r="L107" s="15" t="str">
        <f>IF(K107=G107,"OK, CONFORME TABELA",IF(G107&gt;K107,"ACIMA DA TABELA: ","ABAIXO DA TABELA: ")&amp;TRUNC((G107*100)/K107,2)&amp;" %")</f>
        <v>OK, CONFORME TABELA</v>
      </c>
    </row>
    <row r="108" spans="1:18" ht="30" customHeight="1" x14ac:dyDescent="0.3">
      <c r="A108" s="23" t="s">
        <v>1022</v>
      </c>
      <c r="B108" s="23">
        <v>95309</v>
      </c>
      <c r="C108" s="23" t="str">
        <f>VLOOKUP(B108,IF(A108="COMPOSICAO",S!$A:$E,I!$A:$E),2,FALSE)</f>
        <v>SINAPI</v>
      </c>
      <c r="D108" s="24" t="str">
        <f>VLOOKUP(B108,IF(A108="COMPOSICAO",S!$A:$E,I!$A:$E),3,FALSE)</f>
        <v>CURSO DE CAPACITAÇÃO PARA AJUDANTE DE CARPINTEIRO (ENCARGOS COMPLEMENTARES) - HORISTA</v>
      </c>
      <c r="E108" s="23" t="str">
        <f>VLOOKUP(B108,IF(A108="COMPOSICAO",S!$A:$E,I!$A:$E),4,FALSE)</f>
        <v>H</v>
      </c>
      <c r="F108" s="23">
        <v>1</v>
      </c>
      <c r="G108" s="71">
        <f>IF(A108="COMPOSICAO",VLOOKUP("TOTAL SEM BDI - "&amp;B108,CPUAUX3!$A:$J,9,FALSE),VLOOKUP(B108,I!$A:$E,5,FALSE))</f>
        <v>0.22</v>
      </c>
      <c r="H108" s="72"/>
      <c r="I108" s="71">
        <f t="shared" ref="I108:I115" si="12">TRUNC(F108*G108,2)</f>
        <v>0.22</v>
      </c>
      <c r="J108" s="72"/>
      <c r="M108" s="23">
        <f t="shared" ref="M108:M115" si="13">B108</f>
        <v>95309</v>
      </c>
      <c r="N108" s="23">
        <f>SUMIF(CPUAUX1!M:M,B107,CPUAUX1!O:O)</f>
        <v>8.1360821999999988</v>
      </c>
      <c r="O108" s="23">
        <f t="shared" ref="O108:O115" si="14">F108*N108</f>
        <v>8.1360821999999988</v>
      </c>
      <c r="Q108" s="23">
        <f ca="1">SUMIF(CPUAUX1!M:M,B107,CPUAUX1!R:R)</f>
        <v>3.25443288</v>
      </c>
      <c r="R108" s="23">
        <f t="shared" ref="R108:R115" ca="1" si="15">F108*Q108</f>
        <v>3.25443288</v>
      </c>
    </row>
    <row r="109" spans="1:18" ht="30" customHeight="1" x14ac:dyDescent="0.3">
      <c r="A109" s="23" t="s">
        <v>1025</v>
      </c>
      <c r="B109" s="23">
        <v>43483</v>
      </c>
      <c r="C109" s="23" t="str">
        <f>VLOOKUP(B109,IF(A109="COMPOSICAO",S!$A:$E,I!$A:$E),2,FALSE)</f>
        <v>SINAPI</v>
      </c>
      <c r="D109" s="24" t="str">
        <f>VLOOKUP(B109,IF(A109="COMPOSICAO",S!$A:$E,I!$A:$E),3,FALSE)</f>
        <v>EPI - FAMILIA CARPINTEIRO DE FORMAS - HORISTA (ENCARGOS COMPLEMENTARES - COLETADO CAIXA)</v>
      </c>
      <c r="E109" s="23" t="str">
        <f>VLOOKUP(B109,IF(A109="COMPOSICAO",S!$A:$E,I!$A:$E),4,FALSE)</f>
        <v>H</v>
      </c>
      <c r="F109" s="23">
        <v>1</v>
      </c>
      <c r="G109" s="71">
        <f>IF(A109="COMPOSICAO",VLOOKUP("TOTAL SEM BDI - "&amp;B109,CPUAUX3!$A:$J,9,FALSE),VLOOKUP(B109,I!$A:$E,5,FALSE))</f>
        <v>1.43</v>
      </c>
      <c r="H109" s="72"/>
      <c r="I109" s="71">
        <f t="shared" si="12"/>
        <v>1.43</v>
      </c>
      <c r="J109" s="72"/>
      <c r="M109" s="23">
        <f t="shared" si="13"/>
        <v>43483</v>
      </c>
      <c r="N109" s="23">
        <f>SUMIF(CPUAUX1!M:M,B107,CPUAUX1!O:O)</f>
        <v>8.1360821999999988</v>
      </c>
      <c r="O109" s="23">
        <f t="shared" si="14"/>
        <v>8.1360821999999988</v>
      </c>
      <c r="Q109" s="23">
        <f ca="1">SUMIF(CPUAUX1!M:M,B107,CPUAUX1!R:R)</f>
        <v>3.25443288</v>
      </c>
      <c r="R109" s="23">
        <f t="shared" ca="1" si="15"/>
        <v>3.25443288</v>
      </c>
    </row>
    <row r="110" spans="1:18" ht="45" customHeight="1" x14ac:dyDescent="0.3">
      <c r="A110" s="23" t="s">
        <v>1025</v>
      </c>
      <c r="B110" s="23">
        <v>43459</v>
      </c>
      <c r="C110" s="23" t="str">
        <f>VLOOKUP(B110,IF(A110="COMPOSICAO",S!$A:$E,I!$A:$E),2,FALSE)</f>
        <v>SINAPI</v>
      </c>
      <c r="D110" s="24" t="str">
        <f>VLOOKUP(B110,IF(A110="COMPOSICAO",S!$A:$E,I!$A:$E),3,FALSE)</f>
        <v>FERRAMENTAS - FAMILIA CARPINTEIRO DE FORMAS - HORISTA (ENCARGOS COMPLEMENTARES - COLETADO CAIXA)</v>
      </c>
      <c r="E110" s="23" t="str">
        <f>VLOOKUP(B110,IF(A110="COMPOSICAO",S!$A:$E,I!$A:$E),4,FALSE)</f>
        <v>H</v>
      </c>
      <c r="F110" s="23">
        <v>1</v>
      </c>
      <c r="G110" s="71">
        <f>IF(A110="COMPOSICAO",VLOOKUP("TOTAL SEM BDI - "&amp;B110,CPUAUX3!$A:$J,9,FALSE),VLOOKUP(B110,I!$A:$E,5,FALSE))</f>
        <v>0.44</v>
      </c>
      <c r="H110" s="72"/>
      <c r="I110" s="71">
        <f t="shared" si="12"/>
        <v>0.44</v>
      </c>
      <c r="J110" s="72"/>
      <c r="M110" s="23">
        <f t="shared" si="13"/>
        <v>43459</v>
      </c>
      <c r="N110" s="23">
        <f>SUMIF(CPUAUX1!M:M,B107,CPUAUX1!O:O)</f>
        <v>8.1360821999999988</v>
      </c>
      <c r="O110" s="23">
        <f t="shared" si="14"/>
        <v>8.1360821999999988</v>
      </c>
      <c r="Q110" s="23">
        <f ca="1">SUMIF(CPUAUX1!M:M,B107,CPUAUX1!R:R)</f>
        <v>3.25443288</v>
      </c>
      <c r="R110" s="23">
        <f t="shared" ca="1" si="15"/>
        <v>3.25443288</v>
      </c>
    </row>
    <row r="111" spans="1:18" ht="30" customHeight="1" x14ac:dyDescent="0.3">
      <c r="A111" s="23" t="s">
        <v>1025</v>
      </c>
      <c r="B111" s="23">
        <v>37373</v>
      </c>
      <c r="C111" s="23" t="str">
        <f>VLOOKUP(B111,IF(A111="COMPOSICAO",S!$A:$E,I!$A:$E),2,FALSE)</f>
        <v>SINAPI</v>
      </c>
      <c r="D111" s="24" t="str">
        <f>VLOOKUP(B111,IF(A111="COMPOSICAO",S!$A:$E,I!$A:$E),3,FALSE)</f>
        <v>SEGURO - HORISTA (COLETADO CAIXA - ENCARGOS COMPLEMENTARES)</v>
      </c>
      <c r="E111" s="23" t="str">
        <f>VLOOKUP(B111,IF(A111="COMPOSICAO",S!$A:$E,I!$A:$E),4,FALSE)</f>
        <v>H</v>
      </c>
      <c r="F111" s="23">
        <v>1</v>
      </c>
      <c r="G111" s="71">
        <f>IF(A111="COMPOSICAO",VLOOKUP("TOTAL SEM BDI - "&amp;B111,CPUAUX3!$A:$J,9,FALSE),VLOOKUP(B111,I!$A:$E,5,FALSE))</f>
        <v>0.08</v>
      </c>
      <c r="H111" s="72"/>
      <c r="I111" s="71">
        <f t="shared" si="12"/>
        <v>0.08</v>
      </c>
      <c r="J111" s="72"/>
      <c r="M111" s="23">
        <f t="shared" si="13"/>
        <v>37373</v>
      </c>
      <c r="N111" s="23">
        <f>SUMIF(CPUAUX1!M:M,B107,CPUAUX1!O:O)</f>
        <v>8.1360821999999988</v>
      </c>
      <c r="O111" s="23">
        <f t="shared" si="14"/>
        <v>8.1360821999999988</v>
      </c>
      <c r="Q111" s="23">
        <f ca="1">SUMIF(CPUAUX1!M:M,B107,CPUAUX1!R:R)</f>
        <v>3.25443288</v>
      </c>
      <c r="R111" s="23">
        <f t="shared" ca="1" si="15"/>
        <v>3.25443288</v>
      </c>
    </row>
    <row r="112" spans="1:18" ht="30" customHeight="1" x14ac:dyDescent="0.3">
      <c r="A112" s="23" t="s">
        <v>1025</v>
      </c>
      <c r="B112" s="23">
        <v>37372</v>
      </c>
      <c r="C112" s="23" t="str">
        <f>VLOOKUP(B112,IF(A112="COMPOSICAO",S!$A:$E,I!$A:$E),2,FALSE)</f>
        <v>SINAPI</v>
      </c>
      <c r="D112" s="24" t="str">
        <f>VLOOKUP(B112,IF(A112="COMPOSICAO",S!$A:$E,I!$A:$E),3,FALSE)</f>
        <v>EXAMES - HORISTA (COLETADO CAIXA - ENCARGOS COMPLEMENTARES)</v>
      </c>
      <c r="E112" s="23" t="str">
        <f>VLOOKUP(B112,IF(A112="COMPOSICAO",S!$A:$E,I!$A:$E),4,FALSE)</f>
        <v>H</v>
      </c>
      <c r="F112" s="23">
        <v>1</v>
      </c>
      <c r="G112" s="71">
        <f>IF(A112="COMPOSICAO",VLOOKUP("TOTAL SEM BDI - "&amp;B112,CPUAUX3!$A:$J,9,FALSE),VLOOKUP(B112,I!$A:$E,5,FALSE))</f>
        <v>1.43</v>
      </c>
      <c r="H112" s="72"/>
      <c r="I112" s="71">
        <f t="shared" si="12"/>
        <v>1.43</v>
      </c>
      <c r="J112" s="72"/>
      <c r="M112" s="23">
        <f t="shared" si="13"/>
        <v>37372</v>
      </c>
      <c r="N112" s="23">
        <f>SUMIF(CPUAUX1!M:M,B107,CPUAUX1!O:O)</f>
        <v>8.1360821999999988</v>
      </c>
      <c r="O112" s="23">
        <f t="shared" si="14"/>
        <v>8.1360821999999988</v>
      </c>
      <c r="Q112" s="23">
        <f ca="1">SUMIF(CPUAUX1!M:M,B107,CPUAUX1!R:R)</f>
        <v>3.25443288</v>
      </c>
      <c r="R112" s="23">
        <f t="shared" ca="1" si="15"/>
        <v>3.25443288</v>
      </c>
    </row>
    <row r="113" spans="1:18" ht="30" customHeight="1" x14ac:dyDescent="0.3">
      <c r="A113" s="23" t="s">
        <v>1025</v>
      </c>
      <c r="B113" s="23">
        <v>37371</v>
      </c>
      <c r="C113" s="23" t="str">
        <f>VLOOKUP(B113,IF(A113="COMPOSICAO",S!$A:$E,I!$A:$E),2,FALSE)</f>
        <v>SINAPI</v>
      </c>
      <c r="D113" s="24" t="str">
        <f>VLOOKUP(B113,IF(A113="COMPOSICAO",S!$A:$E,I!$A:$E),3,FALSE)</f>
        <v>TRANSPORTE - HORISTA (COLETADO CAIXA - ENCARGOS COMPLEMENTARES)</v>
      </c>
      <c r="E113" s="23" t="str">
        <f>VLOOKUP(B113,IF(A113="COMPOSICAO",S!$A:$E,I!$A:$E),4,FALSE)</f>
        <v>H</v>
      </c>
      <c r="F113" s="23">
        <v>1</v>
      </c>
      <c r="G113" s="71">
        <f>IF(A113="COMPOSICAO",VLOOKUP("TOTAL SEM BDI - "&amp;B113,CPUAUX3!$A:$J,9,FALSE),VLOOKUP(B113,I!$A:$E,5,FALSE))</f>
        <v>0.56999999999999995</v>
      </c>
      <c r="H113" s="72"/>
      <c r="I113" s="71">
        <f t="shared" si="12"/>
        <v>0.56999999999999995</v>
      </c>
      <c r="J113" s="72"/>
      <c r="M113" s="23">
        <f t="shared" si="13"/>
        <v>37371</v>
      </c>
      <c r="N113" s="23">
        <f>SUMIF(CPUAUX1!M:M,B107,CPUAUX1!O:O)</f>
        <v>8.1360821999999988</v>
      </c>
      <c r="O113" s="23">
        <f t="shared" si="14"/>
        <v>8.1360821999999988</v>
      </c>
      <c r="Q113" s="23">
        <f ca="1">SUMIF(CPUAUX1!M:M,B107,CPUAUX1!R:R)</f>
        <v>3.25443288</v>
      </c>
      <c r="R113" s="23">
        <f t="shared" ca="1" si="15"/>
        <v>3.25443288</v>
      </c>
    </row>
    <row r="114" spans="1:18" ht="30" customHeight="1" x14ac:dyDescent="0.3">
      <c r="A114" s="23" t="s">
        <v>1025</v>
      </c>
      <c r="B114" s="23">
        <v>37370</v>
      </c>
      <c r="C114" s="23" t="str">
        <f>VLOOKUP(B114,IF(A114="COMPOSICAO",S!$A:$E,I!$A:$E),2,FALSE)</f>
        <v>SINAPI</v>
      </c>
      <c r="D114" s="24" t="str">
        <f>VLOOKUP(B114,IF(A114="COMPOSICAO",S!$A:$E,I!$A:$E),3,FALSE)</f>
        <v>ALIMENTACAO - HORISTA (COLETADO CAIXA - ENCARGOS COMPLEMENTARES)</v>
      </c>
      <c r="E114" s="23" t="str">
        <f>VLOOKUP(B114,IF(A114="COMPOSICAO",S!$A:$E,I!$A:$E),4,FALSE)</f>
        <v>H</v>
      </c>
      <c r="F114" s="23">
        <v>1</v>
      </c>
      <c r="G114" s="71">
        <f>IF(A114="COMPOSICAO",VLOOKUP("TOTAL SEM BDI - "&amp;B114,CPUAUX3!$A:$J,9,FALSE),VLOOKUP(B114,I!$A:$E,5,FALSE))</f>
        <v>2.46</v>
      </c>
      <c r="H114" s="72"/>
      <c r="I114" s="71">
        <f t="shared" si="12"/>
        <v>2.46</v>
      </c>
      <c r="J114" s="72"/>
      <c r="M114" s="23">
        <f t="shared" si="13"/>
        <v>37370</v>
      </c>
      <c r="N114" s="23">
        <f>SUMIF(CPUAUX1!M:M,B107,CPUAUX1!O:O)</f>
        <v>8.1360821999999988</v>
      </c>
      <c r="O114" s="23">
        <f t="shared" si="14"/>
        <v>8.1360821999999988</v>
      </c>
      <c r="Q114" s="23">
        <f ca="1">SUMIF(CPUAUX1!M:M,B107,CPUAUX1!R:R)</f>
        <v>3.25443288</v>
      </c>
      <c r="R114" s="23">
        <f t="shared" ca="1" si="15"/>
        <v>3.25443288</v>
      </c>
    </row>
    <row r="115" spans="1:18" x14ac:dyDescent="0.3">
      <c r="A115" s="23" t="s">
        <v>1025</v>
      </c>
      <c r="B115" s="23">
        <v>6117</v>
      </c>
      <c r="C115" s="23" t="str">
        <f>VLOOKUP(B115,IF(A115="COMPOSICAO",S!$A:$E,I!$A:$E),2,FALSE)</f>
        <v>SINAPI</v>
      </c>
      <c r="D115" s="24" t="str">
        <f>VLOOKUP(B115,IF(A115="COMPOSICAO",S!$A:$E,I!$A:$E),3,FALSE)</f>
        <v>CARPINTEIRO AUXILIAR (HORISTA)</v>
      </c>
      <c r="E115" s="23" t="str">
        <f>VLOOKUP(B115,IF(A115="COMPOSICAO",S!$A:$E,I!$A:$E),4,FALSE)</f>
        <v>H</v>
      </c>
      <c r="F115" s="23">
        <v>1</v>
      </c>
      <c r="G115" s="71">
        <f>IF(A115="COMPOSICAO",VLOOKUP("TOTAL SEM BDI - "&amp;B115,CPUAUX3!$A:$J,9,FALSE),VLOOKUP(B115,I!$A:$E,5,FALSE))</f>
        <v>15.57</v>
      </c>
      <c r="H115" s="72"/>
      <c r="I115" s="71">
        <f t="shared" si="12"/>
        <v>15.57</v>
      </c>
      <c r="J115" s="72"/>
      <c r="M115" s="23">
        <f t="shared" si="13"/>
        <v>6117</v>
      </c>
      <c r="N115" s="23">
        <f>SUMIF(CPUAUX1!M:M,B107,CPUAUX1!O:O)</f>
        <v>8.1360821999999988</v>
      </c>
      <c r="O115" s="23">
        <f t="shared" si="14"/>
        <v>8.1360821999999988</v>
      </c>
      <c r="Q115" s="23">
        <f ca="1">SUMIF(CPUAUX1!M:M,B107,CPUAUX1!R:R)</f>
        <v>3.25443288</v>
      </c>
      <c r="R115" s="23">
        <f t="shared" ca="1" si="15"/>
        <v>3.25443288</v>
      </c>
    </row>
    <row r="116" spans="1:18" x14ac:dyDescent="0.3">
      <c r="A116" s="68" t="str">
        <f>"TOTAL SEM BDI - "&amp;B107</f>
        <v>TOTAL SEM BDI - 88239</v>
      </c>
      <c r="B116" s="69"/>
      <c r="C116" s="69"/>
      <c r="D116" s="69"/>
      <c r="E116" s="69"/>
      <c r="F116" s="69"/>
      <c r="G116" s="69"/>
      <c r="H116" s="70"/>
      <c r="I116" s="71">
        <f>SUM(I107:I115)</f>
        <v>22.2</v>
      </c>
      <c r="J116" s="72"/>
    </row>
    <row r="118" spans="1:18" x14ac:dyDescent="0.3">
      <c r="A118" s="4" t="s">
        <v>1018</v>
      </c>
      <c r="B118" s="4" t="s">
        <v>138</v>
      </c>
      <c r="C118" s="4" t="s">
        <v>139</v>
      </c>
      <c r="D118" s="4" t="s">
        <v>21</v>
      </c>
      <c r="E118" s="4" t="s">
        <v>140</v>
      </c>
      <c r="F118" s="4" t="s">
        <v>506</v>
      </c>
      <c r="G118" s="34" t="s">
        <v>1019</v>
      </c>
      <c r="H118" s="35"/>
      <c r="I118" s="34" t="s">
        <v>15</v>
      </c>
      <c r="J118" s="35"/>
    </row>
    <row r="119" spans="1:18" ht="30" customHeight="1" x14ac:dyDescent="0.3">
      <c r="A119" s="15" t="s">
        <v>1093</v>
      </c>
      <c r="B119" s="15">
        <v>95319</v>
      </c>
      <c r="C119" s="15" t="str">
        <f>VLOOKUP(B119,S!$A:$G,2,FALSE)</f>
        <v>SINAPI</v>
      </c>
      <c r="D119" s="22" t="str">
        <f>VLOOKUP(B119,S!$A:$G,3,FALSE)</f>
        <v>CURSO DE CAPACITAÇÃO PARA AUXILIAR DE MECÂNICO (ENCARGOS COMPLEMENTARES) - HORISTA</v>
      </c>
      <c r="E119" s="15" t="str">
        <f>VLOOKUP(B119,S!$A:$G,4,FALSE)</f>
        <v>H</v>
      </c>
      <c r="F119" s="15"/>
      <c r="G119" s="73">
        <f>I121</f>
        <v>0.17</v>
      </c>
      <c r="H119" s="74"/>
      <c r="I119" s="73"/>
      <c r="J119" s="74"/>
      <c r="K119" s="16">
        <f>VLOOKUP(B119,S!A:G,5,FALSE)</f>
        <v>0.17</v>
      </c>
      <c r="L119" s="15" t="str">
        <f>IF(K119=G119,"OK, CONFORME TABELA",IF(G119&gt;K119,"ACIMA DA TABELA: ","ABAIXO DA TABELA: ")&amp;TRUNC((G119*100)/K119,2)&amp;" %")</f>
        <v>OK, CONFORME TABELA</v>
      </c>
    </row>
    <row r="120" spans="1:18" x14ac:dyDescent="0.3">
      <c r="A120" s="23" t="s">
        <v>1025</v>
      </c>
      <c r="B120" s="23">
        <v>251</v>
      </c>
      <c r="C120" s="23" t="str">
        <f>VLOOKUP(B120,IF(A120="COMPOSICAO",S!$A:$E,I!$A:$E),2,FALSE)</f>
        <v>SINAPI</v>
      </c>
      <c r="D120" s="24" t="str">
        <f>VLOOKUP(B120,IF(A120="COMPOSICAO",S!$A:$E,I!$A:$E),3,FALSE)</f>
        <v>AUXILIAR DE MECANICO (HORISTA)</v>
      </c>
      <c r="E120" s="23" t="str">
        <f>VLOOKUP(B120,IF(A120="COMPOSICAO",S!$A:$E,I!$A:$E),4,FALSE)</f>
        <v>H</v>
      </c>
      <c r="F120" s="23">
        <v>1.154E-2</v>
      </c>
      <c r="G120" s="71">
        <f>IF(A120="COMPOSICAO",VLOOKUP("TOTAL SEM BDI - "&amp;B120,CPUAUX3!$A:$J,9,FALSE),VLOOKUP(B120,I!$A:$E,5,FALSE))</f>
        <v>15.57</v>
      </c>
      <c r="H120" s="72"/>
      <c r="I120" s="71">
        <f>TRUNC(F120*G120,2)</f>
        <v>0.17</v>
      </c>
      <c r="J120" s="72"/>
      <c r="M120" s="23">
        <f>B120</f>
        <v>251</v>
      </c>
      <c r="N120" s="23">
        <f>SUMIF(CPUAUX1!M:M,B119,CPUAUX1!O:O)</f>
        <v>330</v>
      </c>
      <c r="O120" s="23">
        <f>F120*N120</f>
        <v>3.8081999999999998</v>
      </c>
      <c r="Q120" s="23">
        <f ca="1">SUMIF(CPUAUX1!M:M,B119,CPUAUX1!R:R)</f>
        <v>132</v>
      </c>
      <c r="R120" s="23">
        <f ca="1">F120*Q120</f>
        <v>1.52328</v>
      </c>
    </row>
    <row r="121" spans="1:18" x14ac:dyDescent="0.3">
      <c r="A121" s="68" t="str">
        <f>"TOTAL SEM BDI - "&amp;B119</f>
        <v>TOTAL SEM BDI - 95319</v>
      </c>
      <c r="B121" s="69"/>
      <c r="C121" s="69"/>
      <c r="D121" s="69"/>
      <c r="E121" s="69"/>
      <c r="F121" s="69"/>
      <c r="G121" s="69"/>
      <c r="H121" s="70"/>
      <c r="I121" s="71">
        <f>SUM(I119:I120)</f>
        <v>0.17</v>
      </c>
      <c r="J121" s="72"/>
    </row>
    <row r="123" spans="1:18" x14ac:dyDescent="0.3">
      <c r="A123" s="4" t="s">
        <v>1018</v>
      </c>
      <c r="B123" s="4" t="s">
        <v>138</v>
      </c>
      <c r="C123" s="4" t="s">
        <v>139</v>
      </c>
      <c r="D123" s="4" t="s">
        <v>21</v>
      </c>
      <c r="E123" s="4" t="s">
        <v>140</v>
      </c>
      <c r="F123" s="4" t="s">
        <v>506</v>
      </c>
      <c r="G123" s="34" t="s">
        <v>1019</v>
      </c>
      <c r="H123" s="35"/>
      <c r="I123" s="34" t="s">
        <v>15</v>
      </c>
      <c r="J123" s="35"/>
    </row>
    <row r="124" spans="1:18" ht="45" customHeight="1" x14ac:dyDescent="0.3">
      <c r="A124" s="15" t="s">
        <v>1093</v>
      </c>
      <c r="B124" s="15">
        <v>95335</v>
      </c>
      <c r="C124" s="15" t="str">
        <f>VLOOKUP(B124,S!$A:$G,2,FALSE)</f>
        <v>SINAPI</v>
      </c>
      <c r="D124" s="22" t="str">
        <f>VLOOKUP(B124,S!$A:$G,3,FALSE)</f>
        <v>CURSO DE CAPACITAÇÃO PARA ENCANADOR OU BOMBEIRO HIDRÁULICO (ENCARGOS COMPLEMENTARES) - HORISTA</v>
      </c>
      <c r="E124" s="15" t="str">
        <f>VLOOKUP(B124,S!$A:$G,4,FALSE)</f>
        <v>H</v>
      </c>
      <c r="F124" s="15"/>
      <c r="G124" s="73">
        <f>I126</f>
        <v>0.36</v>
      </c>
      <c r="H124" s="74"/>
      <c r="I124" s="73"/>
      <c r="J124" s="74"/>
      <c r="K124" s="16">
        <f>VLOOKUP(B124,S!A:G,5,FALSE)</f>
        <v>0.36</v>
      </c>
      <c r="L124" s="15" t="str">
        <f>IF(K124=G124,"OK, CONFORME TABELA",IF(G124&gt;K124,"ACIMA DA TABELA: ","ABAIXO DA TABELA: ")&amp;TRUNC((G124*100)/K124,2)&amp;" %")</f>
        <v>OK, CONFORME TABELA</v>
      </c>
    </row>
    <row r="125" spans="1:18" x14ac:dyDescent="0.3">
      <c r="A125" s="23" t="s">
        <v>1025</v>
      </c>
      <c r="B125" s="23">
        <v>2696</v>
      </c>
      <c r="C125" s="23" t="str">
        <f>VLOOKUP(B125,IF(A125="COMPOSICAO",S!$A:$E,I!$A:$E),2,FALSE)</f>
        <v>SINAPI</v>
      </c>
      <c r="D125" s="24" t="str">
        <f>VLOOKUP(B125,IF(A125="COMPOSICAO",S!$A:$E,I!$A:$E),3,FALSE)</f>
        <v>ENCANADOR OU BOMBEIRO HIDRAULICO (HORISTA)</v>
      </c>
      <c r="E125" s="23" t="str">
        <f>VLOOKUP(B125,IF(A125="COMPOSICAO",S!$A:$E,I!$A:$E),4,FALSE)</f>
        <v>H</v>
      </c>
      <c r="F125" s="23">
        <v>1.7979999999999999E-2</v>
      </c>
      <c r="G125" s="71">
        <f>IF(A125="COMPOSICAO",VLOOKUP("TOTAL SEM BDI - "&amp;B125,CPUAUX3!$A:$J,9,FALSE),VLOOKUP(B125,I!$A:$E,5,FALSE))</f>
        <v>20.329999999999998</v>
      </c>
      <c r="H125" s="72"/>
      <c r="I125" s="71">
        <f>TRUNC(F125*G125,2)</f>
        <v>0.36</v>
      </c>
      <c r="J125" s="72"/>
      <c r="M125" s="23">
        <f>B125</f>
        <v>2696</v>
      </c>
      <c r="N125" s="23">
        <f>SUMIF(CPUAUX1!M:M,B124,CPUAUX1!O:O)</f>
        <v>106.298</v>
      </c>
      <c r="O125" s="23">
        <f>F125*N125</f>
        <v>1.91123804</v>
      </c>
      <c r="Q125" s="23">
        <f ca="1">SUMIF(CPUAUX1!M:M,B124,CPUAUX1!R:R)</f>
        <v>42.519199999999991</v>
      </c>
      <c r="R125" s="23">
        <f ca="1">F125*Q125</f>
        <v>0.76449521599999981</v>
      </c>
    </row>
    <row r="126" spans="1:18" x14ac:dyDescent="0.3">
      <c r="A126" s="68" t="str">
        <f>"TOTAL SEM BDI - "&amp;B124</f>
        <v>TOTAL SEM BDI - 95335</v>
      </c>
      <c r="B126" s="69"/>
      <c r="C126" s="69"/>
      <c r="D126" s="69"/>
      <c r="E126" s="69"/>
      <c r="F126" s="69"/>
      <c r="G126" s="69"/>
      <c r="H126" s="70"/>
      <c r="I126" s="71">
        <f>SUM(I124:I125)</f>
        <v>0.36</v>
      </c>
      <c r="J126" s="72"/>
    </row>
    <row r="128" spans="1:18" x14ac:dyDescent="0.3">
      <c r="A128" s="4" t="s">
        <v>1018</v>
      </c>
      <c r="B128" s="4" t="s">
        <v>138</v>
      </c>
      <c r="C128" s="4" t="s">
        <v>139</v>
      </c>
      <c r="D128" s="4" t="s">
        <v>21</v>
      </c>
      <c r="E128" s="4" t="s">
        <v>140</v>
      </c>
      <c r="F128" s="4" t="s">
        <v>506</v>
      </c>
      <c r="G128" s="34" t="s">
        <v>1019</v>
      </c>
      <c r="H128" s="35"/>
      <c r="I128" s="34" t="s">
        <v>15</v>
      </c>
      <c r="J128" s="35"/>
    </row>
    <row r="129" spans="1:18" ht="45" customHeight="1" x14ac:dyDescent="0.3">
      <c r="A129" s="15" t="s">
        <v>1093</v>
      </c>
      <c r="B129" s="15">
        <v>95317</v>
      </c>
      <c r="C129" s="15" t="str">
        <f>VLOOKUP(B129,S!$A:$G,2,FALSE)</f>
        <v>SINAPI</v>
      </c>
      <c r="D129" s="22" t="str">
        <f>VLOOKUP(B129,S!$A:$G,3,FALSE)</f>
        <v>CURSO DE CAPACITAÇÃO PARA AUXILIAR DE ENCANADOR OU BOMBEIRO HIDRÁULICO (ENCARGOS COMPLEMENTARES) - HORISTA</v>
      </c>
      <c r="E129" s="15" t="str">
        <f>VLOOKUP(B129,S!$A:$G,4,FALSE)</f>
        <v>H</v>
      </c>
      <c r="F129" s="15"/>
      <c r="G129" s="73">
        <f>I131</f>
        <v>0.27</v>
      </c>
      <c r="H129" s="74"/>
      <c r="I129" s="73"/>
      <c r="J129" s="74"/>
      <c r="K129" s="16">
        <f>VLOOKUP(B129,S!A:G,5,FALSE)</f>
        <v>0.27</v>
      </c>
      <c r="L129" s="15" t="str">
        <f>IF(K129=G129,"OK, CONFORME TABELA",IF(G129&gt;K129,"ACIMA DA TABELA: ","ABAIXO DA TABELA: ")&amp;TRUNC((G129*100)/K129,2)&amp;" %")</f>
        <v>OK, CONFORME TABELA</v>
      </c>
    </row>
    <row r="130" spans="1:18" ht="30" customHeight="1" x14ac:dyDescent="0.3">
      <c r="A130" s="23" t="s">
        <v>1025</v>
      </c>
      <c r="B130" s="23">
        <v>246</v>
      </c>
      <c r="C130" s="23" t="str">
        <f>VLOOKUP(B130,IF(A130="COMPOSICAO",S!$A:$E,I!$A:$E),2,FALSE)</f>
        <v>SINAPI</v>
      </c>
      <c r="D130" s="24" t="str">
        <f>VLOOKUP(B130,IF(A130="COMPOSICAO",S!$A:$E,I!$A:$E),3,FALSE)</f>
        <v>AUXILIAR DE ENCANADOR OU BOMBEIRO HIDRAULICO (HORISTA)</v>
      </c>
      <c r="E130" s="23" t="str">
        <f>VLOOKUP(B130,IF(A130="COMPOSICAO",S!$A:$E,I!$A:$E),4,FALSE)</f>
        <v>H</v>
      </c>
      <c r="F130" s="23">
        <v>1.7979999999999999E-2</v>
      </c>
      <c r="G130" s="71">
        <f>IF(A130="COMPOSICAO",VLOOKUP("TOTAL SEM BDI - "&amp;B130,CPUAUX3!$A:$J,9,FALSE),VLOOKUP(B130,I!$A:$E,5,FALSE))</f>
        <v>15.57</v>
      </c>
      <c r="H130" s="72"/>
      <c r="I130" s="71">
        <f>TRUNC(F130*G130,2)</f>
        <v>0.27</v>
      </c>
      <c r="J130" s="72"/>
      <c r="M130" s="23">
        <f>B130</f>
        <v>246</v>
      </c>
      <c r="N130" s="23">
        <f>SUMIF(CPUAUX1!M:M,B129,CPUAUX1!O:O)</f>
        <v>227.12799999999999</v>
      </c>
      <c r="O130" s="23">
        <f>F130*N130</f>
        <v>4.08376144</v>
      </c>
      <c r="Q130" s="23">
        <f ca="1">SUMIF(CPUAUX1!M:M,B129,CPUAUX1!R:R)</f>
        <v>90.851199999999992</v>
      </c>
      <c r="R130" s="23">
        <f ca="1">F130*Q130</f>
        <v>1.6335045759999998</v>
      </c>
    </row>
    <row r="131" spans="1:18" x14ac:dyDescent="0.3">
      <c r="A131" s="68" t="str">
        <f>"TOTAL SEM BDI - "&amp;B129</f>
        <v>TOTAL SEM BDI - 95317</v>
      </c>
      <c r="B131" s="69"/>
      <c r="C131" s="69"/>
      <c r="D131" s="69"/>
      <c r="E131" s="69"/>
      <c r="F131" s="69"/>
      <c r="G131" s="69"/>
      <c r="H131" s="70"/>
      <c r="I131" s="71">
        <f>SUM(I129:I130)</f>
        <v>0.27</v>
      </c>
      <c r="J131" s="72"/>
    </row>
    <row r="133" spans="1:18" x14ac:dyDescent="0.3">
      <c r="A133" s="4" t="s">
        <v>1018</v>
      </c>
      <c r="B133" s="4" t="s">
        <v>138</v>
      </c>
      <c r="C133" s="4" t="s">
        <v>139</v>
      </c>
      <c r="D133" s="4" t="s">
        <v>21</v>
      </c>
      <c r="E133" s="4" t="s">
        <v>140</v>
      </c>
      <c r="F133" s="4" t="s">
        <v>506</v>
      </c>
      <c r="G133" s="34" t="s">
        <v>1019</v>
      </c>
      <c r="H133" s="35"/>
      <c r="I133" s="34" t="s">
        <v>15</v>
      </c>
      <c r="J133" s="35"/>
    </row>
    <row r="134" spans="1:18" ht="30" customHeight="1" x14ac:dyDescent="0.3">
      <c r="A134" s="15" t="s">
        <v>1093</v>
      </c>
      <c r="B134" s="15">
        <v>95332</v>
      </c>
      <c r="C134" s="15" t="str">
        <f>VLOOKUP(B134,S!$A:$G,2,FALSE)</f>
        <v>SINAPI</v>
      </c>
      <c r="D134" s="22" t="str">
        <f>VLOOKUP(B134,S!$A:$G,3,FALSE)</f>
        <v>CURSO DE CAPACITAÇÃO PARA ELETRICISTA (ENCARGOS COMPLEMENTARES) - HORISTA</v>
      </c>
      <c r="E134" s="15" t="str">
        <f>VLOOKUP(B134,S!$A:$G,4,FALSE)</f>
        <v>H</v>
      </c>
      <c r="F134" s="15"/>
      <c r="G134" s="73">
        <f>I136</f>
        <v>0.75</v>
      </c>
      <c r="H134" s="74"/>
      <c r="I134" s="73"/>
      <c r="J134" s="74"/>
      <c r="K134" s="16">
        <f>VLOOKUP(B134,S!A:G,5,FALSE)</f>
        <v>0.75</v>
      </c>
      <c r="L134" s="15" t="str">
        <f>IF(K134=G134,"OK, CONFORME TABELA",IF(G134&gt;K134,"ACIMA DA TABELA: ","ABAIXO DA TABELA: ")&amp;TRUNC((G134*100)/K134,2)&amp;" %")</f>
        <v>OK, CONFORME TABELA</v>
      </c>
    </row>
    <row r="135" spans="1:18" x14ac:dyDescent="0.3">
      <c r="A135" s="23" t="s">
        <v>1025</v>
      </c>
      <c r="B135" s="23">
        <v>2436</v>
      </c>
      <c r="C135" s="23" t="str">
        <f>VLOOKUP(B135,IF(A135="COMPOSICAO",S!$A:$E,I!$A:$E),2,FALSE)</f>
        <v>SINAPI</v>
      </c>
      <c r="D135" s="24" t="str">
        <f>VLOOKUP(B135,IF(A135="COMPOSICAO",S!$A:$E,I!$A:$E),3,FALSE)</f>
        <v>ELETRICISTA (HORISTA)</v>
      </c>
      <c r="E135" s="23" t="str">
        <f>VLOOKUP(B135,IF(A135="COMPOSICAO",S!$A:$E,I!$A:$E),4,FALSE)</f>
        <v>H</v>
      </c>
      <c r="F135" s="23">
        <v>3.7319999999999999E-2</v>
      </c>
      <c r="G135" s="71">
        <f>IF(A135="COMPOSICAO",VLOOKUP("TOTAL SEM BDI - "&amp;B135,CPUAUX3!$A:$J,9,FALSE),VLOOKUP(B135,I!$A:$E,5,FALSE))</f>
        <v>20.329999999999998</v>
      </c>
      <c r="H135" s="72"/>
      <c r="I135" s="71">
        <f>TRUNC(F135*G135,2)</f>
        <v>0.75</v>
      </c>
      <c r="J135" s="72"/>
      <c r="M135" s="23">
        <f>B135</f>
        <v>2436</v>
      </c>
      <c r="N135" s="23">
        <f>SUMIF(CPUAUX1!M:M,B134,CPUAUX1!O:O)</f>
        <v>146.22699999999998</v>
      </c>
      <c r="O135" s="23">
        <f>F135*N135</f>
        <v>5.4571916399999987</v>
      </c>
      <c r="Q135" s="23">
        <f ca="1">SUMIF(CPUAUX1!M:M,B134,CPUAUX1!R:R)</f>
        <v>58.490799999999993</v>
      </c>
      <c r="R135" s="23">
        <f ca="1">F135*Q135</f>
        <v>2.1828766559999995</v>
      </c>
    </row>
    <row r="136" spans="1:18" x14ac:dyDescent="0.3">
      <c r="A136" s="68" t="str">
        <f>"TOTAL SEM BDI - "&amp;B134</f>
        <v>TOTAL SEM BDI - 95332</v>
      </c>
      <c r="B136" s="69"/>
      <c r="C136" s="69"/>
      <c r="D136" s="69"/>
      <c r="E136" s="69"/>
      <c r="F136" s="69"/>
      <c r="G136" s="69"/>
      <c r="H136" s="70"/>
      <c r="I136" s="71">
        <f>SUM(I134:I135)</f>
        <v>0.75</v>
      </c>
      <c r="J136" s="72"/>
    </row>
    <row r="138" spans="1:18" x14ac:dyDescent="0.3">
      <c r="A138" s="4" t="s">
        <v>1018</v>
      </c>
      <c r="B138" s="4" t="s">
        <v>138</v>
      </c>
      <c r="C138" s="4" t="s">
        <v>139</v>
      </c>
      <c r="D138" s="4" t="s">
        <v>21</v>
      </c>
      <c r="E138" s="4" t="s">
        <v>140</v>
      </c>
      <c r="F138" s="4" t="s">
        <v>506</v>
      </c>
      <c r="G138" s="34" t="s">
        <v>1019</v>
      </c>
      <c r="H138" s="35"/>
      <c r="I138" s="34" t="s">
        <v>15</v>
      </c>
      <c r="J138" s="35"/>
    </row>
    <row r="139" spans="1:18" ht="30" customHeight="1" x14ac:dyDescent="0.3">
      <c r="A139" s="15" t="s">
        <v>1093</v>
      </c>
      <c r="B139" s="15">
        <v>95316</v>
      </c>
      <c r="C139" s="15" t="str">
        <f>VLOOKUP(B139,S!$A:$G,2,FALSE)</f>
        <v>SINAPI</v>
      </c>
      <c r="D139" s="22" t="str">
        <f>VLOOKUP(B139,S!$A:$G,3,FALSE)</f>
        <v>CURSO DE CAPACITAÇÃO PARA AUXILIAR DE ELETRICISTA (ENCARGOS COMPLEMENTARES) - HORISTA</v>
      </c>
      <c r="E139" s="15" t="str">
        <f>VLOOKUP(B139,S!$A:$G,4,FALSE)</f>
        <v>H</v>
      </c>
      <c r="F139" s="15"/>
      <c r="G139" s="73">
        <f>I141</f>
        <v>0.57999999999999996</v>
      </c>
      <c r="H139" s="74"/>
      <c r="I139" s="73"/>
      <c r="J139" s="74"/>
      <c r="K139" s="16">
        <f>VLOOKUP(B139,S!A:G,5,FALSE)</f>
        <v>0.57999999999999996</v>
      </c>
      <c r="L139" s="15" t="str">
        <f>IF(K139=G139,"OK, CONFORME TABELA",IF(G139&gt;K139,"ACIMA DA TABELA: ","ABAIXO DA TABELA: ")&amp;TRUNC((G139*100)/K139,2)&amp;" %")</f>
        <v>OK, CONFORME TABELA</v>
      </c>
    </row>
    <row r="140" spans="1:18" x14ac:dyDescent="0.3">
      <c r="A140" s="23" t="s">
        <v>1025</v>
      </c>
      <c r="B140" s="23">
        <v>247</v>
      </c>
      <c r="C140" s="23" t="str">
        <f>VLOOKUP(B140,IF(A140="COMPOSICAO",S!$A:$E,I!$A:$E),2,FALSE)</f>
        <v>SINAPI</v>
      </c>
      <c r="D140" s="24" t="str">
        <f>VLOOKUP(B140,IF(A140="COMPOSICAO",S!$A:$E,I!$A:$E),3,FALSE)</f>
        <v>AJUDANTE DE ELETRICISTA (HORISTA)</v>
      </c>
      <c r="E140" s="23" t="str">
        <f>VLOOKUP(B140,IF(A140="COMPOSICAO",S!$A:$E,I!$A:$E),4,FALSE)</f>
        <v>H</v>
      </c>
      <c r="F140" s="23">
        <v>3.7319999999999999E-2</v>
      </c>
      <c r="G140" s="71">
        <f>IF(A140="COMPOSICAO",VLOOKUP("TOTAL SEM BDI - "&amp;B140,CPUAUX3!$A:$J,9,FALSE),VLOOKUP(B140,I!$A:$E,5,FALSE))</f>
        <v>15.57</v>
      </c>
      <c r="H140" s="72"/>
      <c r="I140" s="71">
        <f>TRUNC(F140*G140,2)</f>
        <v>0.57999999999999996</v>
      </c>
      <c r="J140" s="72"/>
      <c r="M140" s="23">
        <f>B140</f>
        <v>247</v>
      </c>
      <c r="N140" s="23">
        <f>SUMIF(CPUAUX1!M:M,B139,CPUAUX1!O:O)</f>
        <v>130.1989375</v>
      </c>
      <c r="O140" s="23">
        <f>F140*N140</f>
        <v>4.8590243475000001</v>
      </c>
      <c r="Q140" s="23">
        <f ca="1">SUMIF(CPUAUX1!M:M,B139,CPUAUX1!R:R)</f>
        <v>52.079574999999984</v>
      </c>
      <c r="R140" s="23">
        <f ca="1">F140*Q140</f>
        <v>1.9436097389999993</v>
      </c>
    </row>
    <row r="141" spans="1:18" x14ac:dyDescent="0.3">
      <c r="A141" s="68" t="str">
        <f>"TOTAL SEM BDI - "&amp;B139</f>
        <v>TOTAL SEM BDI - 95316</v>
      </c>
      <c r="B141" s="69"/>
      <c r="C141" s="69"/>
      <c r="D141" s="69"/>
      <c r="E141" s="69"/>
      <c r="F141" s="69"/>
      <c r="G141" s="69"/>
      <c r="H141" s="70"/>
      <c r="I141" s="71">
        <f>SUM(I139:I140)</f>
        <v>0.57999999999999996</v>
      </c>
      <c r="J141" s="72"/>
    </row>
    <row r="143" spans="1:18" x14ac:dyDescent="0.3">
      <c r="A143" s="4" t="s">
        <v>1018</v>
      </c>
      <c r="B143" s="4" t="s">
        <v>138</v>
      </c>
      <c r="C143" s="4" t="s">
        <v>139</v>
      </c>
      <c r="D143" s="4" t="s">
        <v>21</v>
      </c>
      <c r="E143" s="4" t="s">
        <v>140</v>
      </c>
      <c r="F143" s="4" t="s">
        <v>506</v>
      </c>
      <c r="G143" s="34" t="s">
        <v>1019</v>
      </c>
      <c r="H143" s="35"/>
      <c r="I143" s="34" t="s">
        <v>15</v>
      </c>
      <c r="J143" s="35"/>
    </row>
    <row r="144" spans="1:18" ht="45" customHeight="1" x14ac:dyDescent="0.3">
      <c r="A144" s="15" t="s">
        <v>1141</v>
      </c>
      <c r="B144" s="15">
        <v>91689</v>
      </c>
      <c r="C144" s="15" t="str">
        <f>VLOOKUP(B144,S!$A:$G,2,FALSE)</f>
        <v>SINAPI</v>
      </c>
      <c r="D144" s="22" t="str">
        <f>VLOOKUP(B144,S!$A:$G,3,FALSE)</f>
        <v>SERRA CIRCULAR DE BANCADA COM MOTOR ELÉTRICO POTÊNCIA DE 5HP, COM COIFA PARA DISCO 10" - JUROS. AF_08/2015</v>
      </c>
      <c r="E144" s="15" t="str">
        <f>VLOOKUP(B144,S!$A:$G,4,FALSE)</f>
        <v>H</v>
      </c>
      <c r="F144" s="15"/>
      <c r="G144" s="73">
        <f>I146</f>
        <v>0.02</v>
      </c>
      <c r="H144" s="74"/>
      <c r="I144" s="73"/>
      <c r="J144" s="74"/>
      <c r="K144" s="16">
        <f>VLOOKUP(B144,S!A:G,5,FALSE)</f>
        <v>0.02</v>
      </c>
      <c r="L144" s="15" t="str">
        <f>IF(K144=G144,"OK, CONFORME TABELA",IF(G144&gt;K144,"ACIMA DA TABELA: ","ABAIXO DA TABELA: ")&amp;TRUNC((G144*100)/K144,2)&amp;" %")</f>
        <v>OK, CONFORME TABELA</v>
      </c>
    </row>
    <row r="145" spans="1:18" ht="45" customHeight="1" x14ac:dyDescent="0.3">
      <c r="A145" s="23" t="s">
        <v>1025</v>
      </c>
      <c r="B145" s="23">
        <v>14618</v>
      </c>
      <c r="C145" s="23" t="str">
        <f>VLOOKUP(B145,IF(A145="COMPOSICAO",S!$A:$E,I!$A:$E),2,FALSE)</f>
        <v>SINAPI</v>
      </c>
      <c r="D145" s="24" t="str">
        <f>VLOOKUP(B145,IF(A145="COMPOSICAO",S!$A:$E,I!$A:$E),3,FALSE)</f>
        <v>SERRA CIRCULAR DE BANCADA COM MOTOR ELETRICO, POTENCIA DE *1600* W, PARA DISCO DE DIAMETRO DE 10" (250 MM)</v>
      </c>
      <c r="E145" s="23" t="str">
        <f>VLOOKUP(B145,IF(A145="COMPOSICAO",S!$A:$E,I!$A:$E),4,FALSE)</f>
        <v>UN</v>
      </c>
      <c r="F145" s="23">
        <v>1.4800000000000001E-5</v>
      </c>
      <c r="G145" s="71">
        <f>IF(A145="COMPOSICAO",VLOOKUP("TOTAL SEM BDI - "&amp;B145,CPUAUX3!$A:$J,9,FALSE),VLOOKUP(B145,I!$A:$E,5,FALSE))</f>
        <v>1705.61</v>
      </c>
      <c r="H145" s="72"/>
      <c r="I145" s="71">
        <f>TRUNC(F145*G145,2)</f>
        <v>0.02</v>
      </c>
      <c r="J145" s="72"/>
      <c r="M145" s="23">
        <f>B145</f>
        <v>14618</v>
      </c>
      <c r="N145" s="23">
        <f>SUMIF(CPUAUX1!M:M,B144,CPUAUX1!O:O)</f>
        <v>7.7</v>
      </c>
      <c r="O145" s="23">
        <f>F145*N145</f>
        <v>1.1396000000000001E-4</v>
      </c>
      <c r="Q145" s="23">
        <f ca="1">SUMIF(CPUAUX1!M:M,B144,CPUAUX1!R:R)</f>
        <v>3.08</v>
      </c>
      <c r="R145" s="23">
        <f ca="1">F145*Q145</f>
        <v>4.5584000000000003E-5</v>
      </c>
    </row>
    <row r="146" spans="1:18" x14ac:dyDescent="0.3">
      <c r="A146" s="68" t="str">
        <f>"TOTAL SEM BDI - "&amp;B144</f>
        <v>TOTAL SEM BDI - 91689</v>
      </c>
      <c r="B146" s="69"/>
      <c r="C146" s="69"/>
      <c r="D146" s="69"/>
      <c r="E146" s="69"/>
      <c r="F146" s="69"/>
      <c r="G146" s="69"/>
      <c r="H146" s="70"/>
      <c r="I146" s="71">
        <f>SUM(I144:I145)</f>
        <v>0.02</v>
      </c>
      <c r="J146" s="72"/>
    </row>
    <row r="148" spans="1:18" x14ac:dyDescent="0.3">
      <c r="A148" s="4" t="s">
        <v>1018</v>
      </c>
      <c r="B148" s="4" t="s">
        <v>138</v>
      </c>
      <c r="C148" s="4" t="s">
        <v>139</v>
      </c>
      <c r="D148" s="4" t="s">
        <v>21</v>
      </c>
      <c r="E148" s="4" t="s">
        <v>140</v>
      </c>
      <c r="F148" s="4" t="s">
        <v>506</v>
      </c>
      <c r="G148" s="34" t="s">
        <v>1019</v>
      </c>
      <c r="H148" s="35"/>
      <c r="I148" s="34" t="s">
        <v>15</v>
      </c>
      <c r="J148" s="35"/>
    </row>
    <row r="149" spans="1:18" ht="45" customHeight="1" x14ac:dyDescent="0.3">
      <c r="A149" s="15" t="s">
        <v>1141</v>
      </c>
      <c r="B149" s="15">
        <v>91688</v>
      </c>
      <c r="C149" s="15" t="str">
        <f>VLOOKUP(B149,S!$A:$G,2,FALSE)</f>
        <v>SINAPI</v>
      </c>
      <c r="D149" s="22" t="str">
        <f>VLOOKUP(B149,S!$A:$G,3,FALSE)</f>
        <v>SERRA CIRCULAR DE BANCADA COM MOTOR ELÉTRICO POTÊNCIA DE 5HP, COM COIFA PARA DISCO 10" - DEPRECIAÇÃO. AF_08/2015</v>
      </c>
      <c r="E149" s="15" t="str">
        <f>VLOOKUP(B149,S!$A:$G,4,FALSE)</f>
        <v>H</v>
      </c>
      <c r="F149" s="15"/>
      <c r="G149" s="73">
        <f>I151</f>
        <v>0.12</v>
      </c>
      <c r="H149" s="74"/>
      <c r="I149" s="73"/>
      <c r="J149" s="74"/>
      <c r="K149" s="16">
        <f>VLOOKUP(B149,S!A:G,5,FALSE)</f>
        <v>0.12</v>
      </c>
      <c r="L149" s="15" t="str">
        <f>IF(K149=G149,"OK, CONFORME TABELA",IF(G149&gt;K149,"ACIMA DA TABELA: ","ABAIXO DA TABELA: ")&amp;TRUNC((G149*100)/K149,2)&amp;" %")</f>
        <v>OK, CONFORME TABELA</v>
      </c>
    </row>
    <row r="150" spans="1:18" ht="45" customHeight="1" x14ac:dyDescent="0.3">
      <c r="A150" s="23" t="s">
        <v>1025</v>
      </c>
      <c r="B150" s="23">
        <v>14618</v>
      </c>
      <c r="C150" s="23" t="str">
        <f>VLOOKUP(B150,IF(A150="COMPOSICAO",S!$A:$E,I!$A:$E),2,FALSE)</f>
        <v>SINAPI</v>
      </c>
      <c r="D150" s="24" t="str">
        <f>VLOOKUP(B150,IF(A150="COMPOSICAO",S!$A:$E,I!$A:$E),3,FALSE)</f>
        <v>SERRA CIRCULAR DE BANCADA COM MOTOR ELETRICO, POTENCIA DE *1600* W, PARA DISCO DE DIAMETRO DE 10" (250 MM)</v>
      </c>
      <c r="E150" s="23" t="str">
        <f>VLOOKUP(B150,IF(A150="COMPOSICAO",S!$A:$E,I!$A:$E),4,FALSE)</f>
        <v>UN</v>
      </c>
      <c r="F150" s="23">
        <v>7.2000000000000002E-5</v>
      </c>
      <c r="G150" s="71">
        <f>IF(A150="COMPOSICAO",VLOOKUP("TOTAL SEM BDI - "&amp;B150,CPUAUX3!$A:$J,9,FALSE),VLOOKUP(B150,I!$A:$E,5,FALSE))</f>
        <v>1705.61</v>
      </c>
      <c r="H150" s="72"/>
      <c r="I150" s="71">
        <f>TRUNC(F150*G150,2)</f>
        <v>0.12</v>
      </c>
      <c r="J150" s="72"/>
      <c r="M150" s="23">
        <f>B150</f>
        <v>14618</v>
      </c>
      <c r="N150" s="23">
        <f>SUMIF(CPUAUX1!M:M,B149,CPUAUX1!O:O)</f>
        <v>7.7</v>
      </c>
      <c r="O150" s="23">
        <f>F150*N150</f>
        <v>5.5440000000000003E-4</v>
      </c>
      <c r="Q150" s="23">
        <f ca="1">SUMIF(CPUAUX1!M:M,B149,CPUAUX1!R:R)</f>
        <v>3.08</v>
      </c>
      <c r="R150" s="23">
        <f ca="1">F150*Q150</f>
        <v>2.2176000000000002E-4</v>
      </c>
    </row>
    <row r="151" spans="1:18" x14ac:dyDescent="0.3">
      <c r="A151" s="68" t="str">
        <f>"TOTAL SEM BDI - "&amp;B149</f>
        <v>TOTAL SEM BDI - 91688</v>
      </c>
      <c r="B151" s="69"/>
      <c r="C151" s="69"/>
      <c r="D151" s="69"/>
      <c r="E151" s="69"/>
      <c r="F151" s="69"/>
      <c r="G151" s="69"/>
      <c r="H151" s="70"/>
      <c r="I151" s="71">
        <f>SUM(I149:I150)</f>
        <v>0.12</v>
      </c>
      <c r="J151" s="72"/>
    </row>
    <row r="153" spans="1:18" x14ac:dyDescent="0.3">
      <c r="A153" s="4" t="s">
        <v>1018</v>
      </c>
      <c r="B153" s="4" t="s">
        <v>138</v>
      </c>
      <c r="C153" s="4" t="s">
        <v>139</v>
      </c>
      <c r="D153" s="4" t="s">
        <v>21</v>
      </c>
      <c r="E153" s="4" t="s">
        <v>140</v>
      </c>
      <c r="F153" s="4" t="s">
        <v>506</v>
      </c>
      <c r="G153" s="34" t="s">
        <v>1019</v>
      </c>
      <c r="H153" s="35"/>
      <c r="I153" s="34" t="s">
        <v>15</v>
      </c>
      <c r="J153" s="35"/>
    </row>
    <row r="154" spans="1:18" ht="30" customHeight="1" x14ac:dyDescent="0.3">
      <c r="A154" s="15" t="s">
        <v>1093</v>
      </c>
      <c r="B154" s="15">
        <v>88297</v>
      </c>
      <c r="C154" s="15" t="str">
        <f>VLOOKUP(B154,S!$A:$G,2,FALSE)</f>
        <v>SINAPI</v>
      </c>
      <c r="D154" s="22" t="str">
        <f>VLOOKUP(B154,S!$A:$G,3,FALSE)</f>
        <v>OPERADOR DE MÁQUINAS E EQUIPAMENTOS COM ENCARGOS COMPLEMENTARES</v>
      </c>
      <c r="E154" s="15" t="str">
        <f>VLOOKUP(B154,S!$A:$G,4,FALSE)</f>
        <v>H</v>
      </c>
      <c r="F154" s="15"/>
      <c r="G154" s="73">
        <f>I163</f>
        <v>27.16</v>
      </c>
      <c r="H154" s="74"/>
      <c r="I154" s="73"/>
      <c r="J154" s="74"/>
      <c r="K154" s="16">
        <f>VLOOKUP(B154,S!A:G,5,FALSE)</f>
        <v>27.16</v>
      </c>
      <c r="L154" s="15" t="str">
        <f>IF(K154=G154,"OK, CONFORME TABELA",IF(G154&gt;K154,"ACIMA DA TABELA: ","ABAIXO DA TABELA: ")&amp;TRUNC((G154*100)/K154,2)&amp;" %")</f>
        <v>OK, CONFORME TABELA</v>
      </c>
    </row>
    <row r="155" spans="1:18" ht="45" customHeight="1" x14ac:dyDescent="0.3">
      <c r="A155" s="23" t="s">
        <v>1022</v>
      </c>
      <c r="B155" s="23">
        <v>95360</v>
      </c>
      <c r="C155" s="23" t="str">
        <f>VLOOKUP(B155,IF(A155="COMPOSICAO",S!$A:$E,I!$A:$E),2,FALSE)</f>
        <v>SINAPI</v>
      </c>
      <c r="D155" s="24" t="str">
        <f>VLOOKUP(B155,IF(A155="COMPOSICAO",S!$A:$E,I!$A:$E),3,FALSE)</f>
        <v>CURSO DE CAPACITAÇÃO PARA OPERADOR DE MÁQUINAS E EQUIPAMENTOS (ENCARGOS COMPLEMENTARES) - HORISTA</v>
      </c>
      <c r="E155" s="23" t="str">
        <f>VLOOKUP(B155,IF(A155="COMPOSICAO",S!$A:$E,I!$A:$E),4,FALSE)</f>
        <v>H</v>
      </c>
      <c r="F155" s="23">
        <v>1</v>
      </c>
      <c r="G155" s="71">
        <f>IF(A155="COMPOSICAO",VLOOKUP("TOTAL SEM BDI - "&amp;B155,CPUAUX3!$A:$J,9,FALSE),VLOOKUP(B155,I!$A:$E,5,FALSE))</f>
        <v>0.24</v>
      </c>
      <c r="H155" s="72"/>
      <c r="I155" s="71">
        <f t="shared" ref="I155:I162" si="16">TRUNC(F155*G155,2)</f>
        <v>0.24</v>
      </c>
      <c r="J155" s="72"/>
      <c r="M155" s="23">
        <f t="shared" ref="M155:M162" si="17">B155</f>
        <v>95360</v>
      </c>
      <c r="N155" s="23">
        <f>SUMIF(CPUAUX1!M:M,B154,CPUAUX1!O:O)</f>
        <v>7.7</v>
      </c>
      <c r="O155" s="23">
        <f t="shared" ref="O155:O162" si="18">F155*N155</f>
        <v>7.7</v>
      </c>
      <c r="Q155" s="23">
        <f ca="1">SUMIF(CPUAUX1!M:M,B154,CPUAUX1!R:R)</f>
        <v>3.08</v>
      </c>
      <c r="R155" s="23">
        <f t="shared" ref="R155:R162" ca="1" si="19">F155*Q155</f>
        <v>3.08</v>
      </c>
    </row>
    <row r="156" spans="1:18" ht="30" customHeight="1" x14ac:dyDescent="0.3">
      <c r="A156" s="23" t="s">
        <v>1025</v>
      </c>
      <c r="B156" s="23">
        <v>43488</v>
      </c>
      <c r="C156" s="23" t="str">
        <f>VLOOKUP(B156,IF(A156="COMPOSICAO",S!$A:$E,I!$A:$E),2,FALSE)</f>
        <v>SINAPI</v>
      </c>
      <c r="D156" s="24" t="str">
        <f>VLOOKUP(B156,IF(A156="COMPOSICAO",S!$A:$E,I!$A:$E),3,FALSE)</f>
        <v>EPI - FAMILIA OPERADOR ESCAVADEIRA - HORISTA (ENCARGOS COMPLEMENTARES - COLETADO CAIXA)</v>
      </c>
      <c r="E156" s="23" t="str">
        <f>VLOOKUP(B156,IF(A156="COMPOSICAO",S!$A:$E,I!$A:$E),4,FALSE)</f>
        <v>H</v>
      </c>
      <c r="F156" s="23">
        <v>1</v>
      </c>
      <c r="G156" s="71">
        <f>IF(A156="COMPOSICAO",VLOOKUP("TOTAL SEM BDI - "&amp;B156,CPUAUX3!$A:$J,9,FALSE),VLOOKUP(B156,I!$A:$E,5,FALSE))</f>
        <v>0.89</v>
      </c>
      <c r="H156" s="72"/>
      <c r="I156" s="71">
        <f t="shared" si="16"/>
        <v>0.89</v>
      </c>
      <c r="J156" s="72"/>
      <c r="M156" s="23">
        <f t="shared" si="17"/>
        <v>43488</v>
      </c>
      <c r="N156" s="23">
        <f>SUMIF(CPUAUX1!M:M,B154,CPUAUX1!O:O)</f>
        <v>7.7</v>
      </c>
      <c r="O156" s="23">
        <f t="shared" si="18"/>
        <v>7.7</v>
      </c>
      <c r="Q156" s="23">
        <f ca="1">SUMIF(CPUAUX1!M:M,B154,CPUAUX1!R:R)</f>
        <v>3.08</v>
      </c>
      <c r="R156" s="23">
        <f t="shared" ca="1" si="19"/>
        <v>3.08</v>
      </c>
    </row>
    <row r="157" spans="1:18" ht="45" customHeight="1" x14ac:dyDescent="0.3">
      <c r="A157" s="23" t="s">
        <v>1025</v>
      </c>
      <c r="B157" s="23">
        <v>43464</v>
      </c>
      <c r="C157" s="23" t="str">
        <f>VLOOKUP(B157,IF(A157="COMPOSICAO",S!$A:$E,I!$A:$E),2,FALSE)</f>
        <v>SINAPI</v>
      </c>
      <c r="D157" s="24" t="str">
        <f>VLOOKUP(B157,IF(A157="COMPOSICAO",S!$A:$E,I!$A:$E),3,FALSE)</f>
        <v>FERRAMENTAS - FAMILIA OPERADOR ESCAVADEIRA - HORISTA (ENCARGOS COMPLEMENTARES - COLETADO CAIXA)</v>
      </c>
      <c r="E157" s="23" t="str">
        <f>VLOOKUP(B157,IF(A157="COMPOSICAO",S!$A:$E,I!$A:$E),4,FALSE)</f>
        <v>H</v>
      </c>
      <c r="F157" s="23">
        <v>1</v>
      </c>
      <c r="G157" s="71">
        <f>IF(A157="COMPOSICAO",VLOOKUP("TOTAL SEM BDI - "&amp;B157,CPUAUX3!$A:$J,9,FALSE),VLOOKUP(B157,I!$A:$E,5,FALSE))</f>
        <v>0.01</v>
      </c>
      <c r="H157" s="72"/>
      <c r="I157" s="71">
        <f t="shared" si="16"/>
        <v>0.01</v>
      </c>
      <c r="J157" s="72"/>
      <c r="M157" s="23">
        <f t="shared" si="17"/>
        <v>43464</v>
      </c>
      <c r="N157" s="23">
        <f>SUMIF(CPUAUX1!M:M,B154,CPUAUX1!O:O)</f>
        <v>7.7</v>
      </c>
      <c r="O157" s="23">
        <f t="shared" si="18"/>
        <v>7.7</v>
      </c>
      <c r="Q157" s="23">
        <f ca="1">SUMIF(CPUAUX1!M:M,B154,CPUAUX1!R:R)</f>
        <v>3.08</v>
      </c>
      <c r="R157" s="23">
        <f t="shared" ca="1" si="19"/>
        <v>3.08</v>
      </c>
    </row>
    <row r="158" spans="1:18" ht="30" customHeight="1" x14ac:dyDescent="0.3">
      <c r="A158" s="23" t="s">
        <v>1025</v>
      </c>
      <c r="B158" s="23">
        <v>37373</v>
      </c>
      <c r="C158" s="23" t="str">
        <f>VLOOKUP(B158,IF(A158="COMPOSICAO",S!$A:$E,I!$A:$E),2,FALSE)</f>
        <v>SINAPI</v>
      </c>
      <c r="D158" s="24" t="str">
        <f>VLOOKUP(B158,IF(A158="COMPOSICAO",S!$A:$E,I!$A:$E),3,FALSE)</f>
        <v>SEGURO - HORISTA (COLETADO CAIXA - ENCARGOS COMPLEMENTARES)</v>
      </c>
      <c r="E158" s="23" t="str">
        <f>VLOOKUP(B158,IF(A158="COMPOSICAO",S!$A:$E,I!$A:$E),4,FALSE)</f>
        <v>H</v>
      </c>
      <c r="F158" s="23">
        <v>1</v>
      </c>
      <c r="G158" s="71">
        <f>IF(A158="COMPOSICAO",VLOOKUP("TOTAL SEM BDI - "&amp;B158,CPUAUX3!$A:$J,9,FALSE),VLOOKUP(B158,I!$A:$E,5,FALSE))</f>
        <v>0.08</v>
      </c>
      <c r="H158" s="72"/>
      <c r="I158" s="71">
        <f t="shared" si="16"/>
        <v>0.08</v>
      </c>
      <c r="J158" s="72"/>
      <c r="M158" s="23">
        <f t="shared" si="17"/>
        <v>37373</v>
      </c>
      <c r="N158" s="23">
        <f>SUMIF(CPUAUX1!M:M,B154,CPUAUX1!O:O)</f>
        <v>7.7</v>
      </c>
      <c r="O158" s="23">
        <f t="shared" si="18"/>
        <v>7.7</v>
      </c>
      <c r="Q158" s="23">
        <f ca="1">SUMIF(CPUAUX1!M:M,B154,CPUAUX1!R:R)</f>
        <v>3.08</v>
      </c>
      <c r="R158" s="23">
        <f t="shared" ca="1" si="19"/>
        <v>3.08</v>
      </c>
    </row>
    <row r="159" spans="1:18" ht="30" customHeight="1" x14ac:dyDescent="0.3">
      <c r="A159" s="23" t="s">
        <v>1025</v>
      </c>
      <c r="B159" s="23">
        <v>37372</v>
      </c>
      <c r="C159" s="23" t="str">
        <f>VLOOKUP(B159,IF(A159="COMPOSICAO",S!$A:$E,I!$A:$E),2,FALSE)</f>
        <v>SINAPI</v>
      </c>
      <c r="D159" s="24" t="str">
        <f>VLOOKUP(B159,IF(A159="COMPOSICAO",S!$A:$E,I!$A:$E),3,FALSE)</f>
        <v>EXAMES - HORISTA (COLETADO CAIXA - ENCARGOS COMPLEMENTARES)</v>
      </c>
      <c r="E159" s="23" t="str">
        <f>VLOOKUP(B159,IF(A159="COMPOSICAO",S!$A:$E,I!$A:$E),4,FALSE)</f>
        <v>H</v>
      </c>
      <c r="F159" s="23">
        <v>1</v>
      </c>
      <c r="G159" s="71">
        <f>IF(A159="COMPOSICAO",VLOOKUP("TOTAL SEM BDI - "&amp;B159,CPUAUX3!$A:$J,9,FALSE),VLOOKUP(B159,I!$A:$E,5,FALSE))</f>
        <v>1.43</v>
      </c>
      <c r="H159" s="72"/>
      <c r="I159" s="71">
        <f t="shared" si="16"/>
        <v>1.43</v>
      </c>
      <c r="J159" s="72"/>
      <c r="M159" s="23">
        <f t="shared" si="17"/>
        <v>37372</v>
      </c>
      <c r="N159" s="23">
        <f>SUMIF(CPUAUX1!M:M,B154,CPUAUX1!O:O)</f>
        <v>7.7</v>
      </c>
      <c r="O159" s="23">
        <f t="shared" si="18"/>
        <v>7.7</v>
      </c>
      <c r="Q159" s="23">
        <f ca="1">SUMIF(CPUAUX1!M:M,B154,CPUAUX1!R:R)</f>
        <v>3.08</v>
      </c>
      <c r="R159" s="23">
        <f t="shared" ca="1" si="19"/>
        <v>3.08</v>
      </c>
    </row>
    <row r="160" spans="1:18" ht="30" customHeight="1" x14ac:dyDescent="0.3">
      <c r="A160" s="23" t="s">
        <v>1025</v>
      </c>
      <c r="B160" s="23">
        <v>37371</v>
      </c>
      <c r="C160" s="23" t="str">
        <f>VLOOKUP(B160,IF(A160="COMPOSICAO",S!$A:$E,I!$A:$E),2,FALSE)</f>
        <v>SINAPI</v>
      </c>
      <c r="D160" s="24" t="str">
        <f>VLOOKUP(B160,IF(A160="COMPOSICAO",S!$A:$E,I!$A:$E),3,FALSE)</f>
        <v>TRANSPORTE - HORISTA (COLETADO CAIXA - ENCARGOS COMPLEMENTARES)</v>
      </c>
      <c r="E160" s="23" t="str">
        <f>VLOOKUP(B160,IF(A160="COMPOSICAO",S!$A:$E,I!$A:$E),4,FALSE)</f>
        <v>H</v>
      </c>
      <c r="F160" s="23">
        <v>1</v>
      </c>
      <c r="G160" s="71">
        <f>IF(A160="COMPOSICAO",VLOOKUP("TOTAL SEM BDI - "&amp;B160,CPUAUX3!$A:$J,9,FALSE),VLOOKUP(B160,I!$A:$E,5,FALSE))</f>
        <v>0.56999999999999995</v>
      </c>
      <c r="H160" s="72"/>
      <c r="I160" s="71">
        <f t="shared" si="16"/>
        <v>0.56999999999999995</v>
      </c>
      <c r="J160" s="72"/>
      <c r="M160" s="23">
        <f t="shared" si="17"/>
        <v>37371</v>
      </c>
      <c r="N160" s="23">
        <f>SUMIF(CPUAUX1!M:M,B154,CPUAUX1!O:O)</f>
        <v>7.7</v>
      </c>
      <c r="O160" s="23">
        <f t="shared" si="18"/>
        <v>7.7</v>
      </c>
      <c r="Q160" s="23">
        <f ca="1">SUMIF(CPUAUX1!M:M,B154,CPUAUX1!R:R)</f>
        <v>3.08</v>
      </c>
      <c r="R160" s="23">
        <f t="shared" ca="1" si="19"/>
        <v>3.08</v>
      </c>
    </row>
    <row r="161" spans="1:18" ht="30" customHeight="1" x14ac:dyDescent="0.3">
      <c r="A161" s="23" t="s">
        <v>1025</v>
      </c>
      <c r="B161" s="23">
        <v>37370</v>
      </c>
      <c r="C161" s="23" t="str">
        <f>VLOOKUP(B161,IF(A161="COMPOSICAO",S!$A:$E,I!$A:$E),2,FALSE)</f>
        <v>SINAPI</v>
      </c>
      <c r="D161" s="24" t="str">
        <f>VLOOKUP(B161,IF(A161="COMPOSICAO",S!$A:$E,I!$A:$E),3,FALSE)</f>
        <v>ALIMENTACAO - HORISTA (COLETADO CAIXA - ENCARGOS COMPLEMENTARES)</v>
      </c>
      <c r="E161" s="23" t="str">
        <f>VLOOKUP(B161,IF(A161="COMPOSICAO",S!$A:$E,I!$A:$E),4,FALSE)</f>
        <v>H</v>
      </c>
      <c r="F161" s="23">
        <v>1</v>
      </c>
      <c r="G161" s="71">
        <f>IF(A161="COMPOSICAO",VLOOKUP("TOTAL SEM BDI - "&amp;B161,CPUAUX3!$A:$J,9,FALSE),VLOOKUP(B161,I!$A:$E,5,FALSE))</f>
        <v>2.46</v>
      </c>
      <c r="H161" s="72"/>
      <c r="I161" s="71">
        <f t="shared" si="16"/>
        <v>2.46</v>
      </c>
      <c r="J161" s="72"/>
      <c r="M161" s="23">
        <f t="shared" si="17"/>
        <v>37370</v>
      </c>
      <c r="N161" s="23">
        <f>SUMIF(CPUAUX1!M:M,B154,CPUAUX1!O:O)</f>
        <v>7.7</v>
      </c>
      <c r="O161" s="23">
        <f t="shared" si="18"/>
        <v>7.7</v>
      </c>
      <c r="Q161" s="23">
        <f ca="1">SUMIF(CPUAUX1!M:M,B154,CPUAUX1!R:R)</f>
        <v>3.08</v>
      </c>
      <c r="R161" s="23">
        <f t="shared" ca="1" si="19"/>
        <v>3.08</v>
      </c>
    </row>
    <row r="162" spans="1:18" ht="30" customHeight="1" x14ac:dyDescent="0.3">
      <c r="A162" s="23" t="s">
        <v>1025</v>
      </c>
      <c r="B162" s="23">
        <v>4230</v>
      </c>
      <c r="C162" s="23" t="str">
        <f>VLOOKUP(B162,IF(A162="COMPOSICAO",S!$A:$E,I!$A:$E),2,FALSE)</f>
        <v>SINAPI</v>
      </c>
      <c r="D162" s="24" t="str">
        <f>VLOOKUP(B162,IF(A162="COMPOSICAO",S!$A:$E,I!$A:$E),3,FALSE)</f>
        <v>OPERADOR DE MAQUINAS E TRATORES DIVERSOS - TERRAPLANAGEM (HORISTA)</v>
      </c>
      <c r="E162" s="23" t="str">
        <f>VLOOKUP(B162,IF(A162="COMPOSICAO",S!$A:$E,I!$A:$E),4,FALSE)</f>
        <v>H</v>
      </c>
      <c r="F162" s="23">
        <v>1</v>
      </c>
      <c r="G162" s="71">
        <f>IF(A162="COMPOSICAO",VLOOKUP("TOTAL SEM BDI - "&amp;B162,CPUAUX3!$A:$J,9,FALSE),VLOOKUP(B162,I!$A:$E,5,FALSE))</f>
        <v>21.48</v>
      </c>
      <c r="H162" s="72"/>
      <c r="I162" s="71">
        <f t="shared" si="16"/>
        <v>21.48</v>
      </c>
      <c r="J162" s="72"/>
      <c r="M162" s="23">
        <f t="shared" si="17"/>
        <v>4230</v>
      </c>
      <c r="N162" s="23">
        <f>SUMIF(CPUAUX1!M:M,B154,CPUAUX1!O:O)</f>
        <v>7.7</v>
      </c>
      <c r="O162" s="23">
        <f t="shared" si="18"/>
        <v>7.7</v>
      </c>
      <c r="Q162" s="23">
        <f ca="1">SUMIF(CPUAUX1!M:M,B154,CPUAUX1!R:R)</f>
        <v>3.08</v>
      </c>
      <c r="R162" s="23">
        <f t="shared" ca="1" si="19"/>
        <v>3.08</v>
      </c>
    </row>
    <row r="163" spans="1:18" x14ac:dyDescent="0.3">
      <c r="A163" s="68" t="str">
        <f>"TOTAL SEM BDI - "&amp;B154</f>
        <v>TOTAL SEM BDI - 88297</v>
      </c>
      <c r="B163" s="69"/>
      <c r="C163" s="69"/>
      <c r="D163" s="69"/>
      <c r="E163" s="69"/>
      <c r="F163" s="69"/>
      <c r="G163" s="69"/>
      <c r="H163" s="70"/>
      <c r="I163" s="71">
        <f>SUM(I154:I162)</f>
        <v>27.16</v>
      </c>
      <c r="J163" s="72"/>
    </row>
    <row r="165" spans="1:18" x14ac:dyDescent="0.3">
      <c r="A165" s="4" t="s">
        <v>1018</v>
      </c>
      <c r="B165" s="4" t="s">
        <v>138</v>
      </c>
      <c r="C165" s="4" t="s">
        <v>139</v>
      </c>
      <c r="D165" s="4" t="s">
        <v>21</v>
      </c>
      <c r="E165" s="4" t="s">
        <v>140</v>
      </c>
      <c r="F165" s="4" t="s">
        <v>506</v>
      </c>
      <c r="G165" s="34" t="s">
        <v>1019</v>
      </c>
      <c r="H165" s="35"/>
      <c r="I165" s="34" t="s">
        <v>15</v>
      </c>
      <c r="J165" s="35"/>
    </row>
    <row r="166" spans="1:18" ht="45" customHeight="1" x14ac:dyDescent="0.3">
      <c r="A166" s="15" t="s">
        <v>1141</v>
      </c>
      <c r="B166" s="15">
        <v>91691</v>
      </c>
      <c r="C166" s="15" t="str">
        <f>VLOOKUP(B166,S!$A:$G,2,FALSE)</f>
        <v>SINAPI</v>
      </c>
      <c r="D166" s="22" t="str">
        <f>VLOOKUP(B166,S!$A:$G,3,FALSE)</f>
        <v>SERRA CIRCULAR DE BANCADA COM MOTOR ELÉTRICO POTÊNCIA DE 5HP, COM COIFA PARA DISCO 10" - MATERIAIS NA OPERAÇÃO. AF_08/2015</v>
      </c>
      <c r="E166" s="15" t="str">
        <f>VLOOKUP(B166,S!$A:$G,4,FALSE)</f>
        <v>H</v>
      </c>
      <c r="F166" s="15"/>
      <c r="G166" s="73">
        <f>I168</f>
        <v>1.49</v>
      </c>
      <c r="H166" s="74"/>
      <c r="I166" s="73"/>
      <c r="J166" s="74"/>
      <c r="K166" s="16">
        <f>VLOOKUP(B166,S!A:G,5,FALSE)</f>
        <v>1.49</v>
      </c>
      <c r="L166" s="15" t="str">
        <f>IF(K166=G166,"OK, CONFORME TABELA",IF(G166&gt;K166,"ACIMA DA TABELA: ","ABAIXO DA TABELA: ")&amp;TRUNC((G166*100)/K166,2)&amp;" %")</f>
        <v>OK, CONFORME TABELA</v>
      </c>
    </row>
    <row r="167" spans="1:18" ht="30" customHeight="1" x14ac:dyDescent="0.3">
      <c r="A167" s="23" t="s">
        <v>1025</v>
      </c>
      <c r="B167" s="23">
        <v>2705</v>
      </c>
      <c r="C167" s="23" t="str">
        <f>VLOOKUP(B167,IF(A167="COMPOSICAO",S!$A:$E,I!$A:$E),2,FALSE)</f>
        <v>SINAPI</v>
      </c>
      <c r="D167" s="24" t="str">
        <f>VLOOKUP(B167,IF(A167="COMPOSICAO",S!$A:$E,I!$A:$E),3,FALSE)</f>
        <v>ENERGIA ELETRICA ATE 2000 KWH INDUSTRIAL, SEM DEMANDA</v>
      </c>
      <c r="E167" s="23" t="str">
        <f>VLOOKUP(B167,IF(A167="COMPOSICAO",S!$A:$E,I!$A:$E),4,FALSE)</f>
        <v>KWH</v>
      </c>
      <c r="F167" s="23">
        <v>1.36</v>
      </c>
      <c r="G167" s="71">
        <f>IF(A167="COMPOSICAO",VLOOKUP("TOTAL SEM BDI - "&amp;B167,CPUAUX3!$A:$J,9,FALSE),VLOOKUP(B167,I!$A:$E,5,FALSE))</f>
        <v>1.1000000000000001</v>
      </c>
      <c r="H167" s="72"/>
      <c r="I167" s="71">
        <f>TRUNC(F167*G167,2)</f>
        <v>1.49</v>
      </c>
      <c r="J167" s="72"/>
      <c r="M167" s="23">
        <f>B167</f>
        <v>2705</v>
      </c>
      <c r="N167" s="23">
        <f>SUMIF(CPUAUX1!M:M,B166,CPUAUX1!O:O)</f>
        <v>1.54</v>
      </c>
      <c r="O167" s="23">
        <f>F167*N167</f>
        <v>2.0944000000000003</v>
      </c>
      <c r="Q167" s="23">
        <f ca="1">SUMIF(CPUAUX1!M:M,B166,CPUAUX1!R:R)</f>
        <v>0.61599999999999999</v>
      </c>
      <c r="R167" s="23">
        <f ca="1">F167*Q167</f>
        <v>0.83776000000000006</v>
      </c>
    </row>
    <row r="168" spans="1:18" x14ac:dyDescent="0.3">
      <c r="A168" s="68" t="str">
        <f>"TOTAL SEM BDI - "&amp;B166</f>
        <v>TOTAL SEM BDI - 91691</v>
      </c>
      <c r="B168" s="69"/>
      <c r="C168" s="69"/>
      <c r="D168" s="69"/>
      <c r="E168" s="69"/>
      <c r="F168" s="69"/>
      <c r="G168" s="69"/>
      <c r="H168" s="70"/>
      <c r="I168" s="71">
        <f>SUM(I166:I167)</f>
        <v>1.49</v>
      </c>
      <c r="J168" s="72"/>
    </row>
    <row r="170" spans="1:18" x14ac:dyDescent="0.3">
      <c r="A170" s="4" t="s">
        <v>1018</v>
      </c>
      <c r="B170" s="4" t="s">
        <v>138</v>
      </c>
      <c r="C170" s="4" t="s">
        <v>139</v>
      </c>
      <c r="D170" s="4" t="s">
        <v>21</v>
      </c>
      <c r="E170" s="4" t="s">
        <v>140</v>
      </c>
      <c r="F170" s="4" t="s">
        <v>506</v>
      </c>
      <c r="G170" s="34" t="s">
        <v>1019</v>
      </c>
      <c r="H170" s="35"/>
      <c r="I170" s="34" t="s">
        <v>15</v>
      </c>
      <c r="J170" s="35"/>
    </row>
    <row r="171" spans="1:18" ht="45" customHeight="1" x14ac:dyDescent="0.3">
      <c r="A171" s="15" t="s">
        <v>1141</v>
      </c>
      <c r="B171" s="15">
        <v>91690</v>
      </c>
      <c r="C171" s="15" t="str">
        <f>VLOOKUP(B171,S!$A:$G,2,FALSE)</f>
        <v>SINAPI</v>
      </c>
      <c r="D171" s="22" t="str">
        <f>VLOOKUP(B171,S!$A:$G,3,FALSE)</f>
        <v>SERRA CIRCULAR DE BANCADA COM MOTOR ELÉTRICO POTÊNCIA DE 5HP, COM COIFA PARA DISCO 10" - MANUTENÇÃO. AF_08/2015</v>
      </c>
      <c r="E171" s="15" t="str">
        <f>VLOOKUP(B171,S!$A:$G,4,FALSE)</f>
        <v>H</v>
      </c>
      <c r="F171" s="15"/>
      <c r="G171" s="73">
        <f>I173</f>
        <v>0.08</v>
      </c>
      <c r="H171" s="74"/>
      <c r="I171" s="73"/>
      <c r="J171" s="74"/>
      <c r="K171" s="16">
        <f>VLOOKUP(B171,S!A:G,5,FALSE)</f>
        <v>0.08</v>
      </c>
      <c r="L171" s="15" t="str">
        <f>IF(K171=G171,"OK, CONFORME TABELA",IF(G171&gt;K171,"ACIMA DA TABELA: ","ABAIXO DA TABELA: ")&amp;TRUNC((G171*100)/K171,2)&amp;" %")</f>
        <v>OK, CONFORME TABELA</v>
      </c>
    </row>
    <row r="172" spans="1:18" ht="45" customHeight="1" x14ac:dyDescent="0.3">
      <c r="A172" s="23" t="s">
        <v>1025</v>
      </c>
      <c r="B172" s="23">
        <v>14618</v>
      </c>
      <c r="C172" s="23" t="str">
        <f>VLOOKUP(B172,IF(A172="COMPOSICAO",S!$A:$E,I!$A:$E),2,FALSE)</f>
        <v>SINAPI</v>
      </c>
      <c r="D172" s="24" t="str">
        <f>VLOOKUP(B172,IF(A172="COMPOSICAO",S!$A:$E,I!$A:$E),3,FALSE)</f>
        <v>SERRA CIRCULAR DE BANCADA COM MOTOR ELETRICO, POTENCIA DE *1600* W, PARA DISCO DE DIAMETRO DE 10" (250 MM)</v>
      </c>
      <c r="E172" s="23" t="str">
        <f>VLOOKUP(B172,IF(A172="COMPOSICAO",S!$A:$E,I!$A:$E),4,FALSE)</f>
        <v>UN</v>
      </c>
      <c r="F172" s="23">
        <v>5.0000000000000002E-5</v>
      </c>
      <c r="G172" s="71">
        <f>IF(A172="COMPOSICAO",VLOOKUP("TOTAL SEM BDI - "&amp;B172,CPUAUX3!$A:$J,9,FALSE),VLOOKUP(B172,I!$A:$E,5,FALSE))</f>
        <v>1705.61</v>
      </c>
      <c r="H172" s="72"/>
      <c r="I172" s="71">
        <f>TRUNC(F172*G172,2)</f>
        <v>0.08</v>
      </c>
      <c r="J172" s="72"/>
      <c r="M172" s="23">
        <f>B172</f>
        <v>14618</v>
      </c>
      <c r="N172" s="23">
        <f>SUMIF(CPUAUX1!M:M,B171,CPUAUX1!O:O)</f>
        <v>1.54</v>
      </c>
      <c r="O172" s="23">
        <f>F172*N172</f>
        <v>7.7000000000000001E-5</v>
      </c>
      <c r="Q172" s="23">
        <f ca="1">SUMIF(CPUAUX1!M:M,B171,CPUAUX1!R:R)</f>
        <v>0.61599999999999999</v>
      </c>
      <c r="R172" s="23">
        <f ca="1">F172*Q172</f>
        <v>3.0800000000000003E-5</v>
      </c>
    </row>
    <row r="173" spans="1:18" x14ac:dyDescent="0.3">
      <c r="A173" s="68" t="str">
        <f>"TOTAL SEM BDI - "&amp;B171</f>
        <v>TOTAL SEM BDI - 91690</v>
      </c>
      <c r="B173" s="69"/>
      <c r="C173" s="69"/>
      <c r="D173" s="69"/>
      <c r="E173" s="69"/>
      <c r="F173" s="69"/>
      <c r="G173" s="69"/>
      <c r="H173" s="70"/>
      <c r="I173" s="71">
        <f>SUM(I171:I172)</f>
        <v>0.08</v>
      </c>
      <c r="J173" s="72"/>
    </row>
    <row r="175" spans="1:18" x14ac:dyDescent="0.3">
      <c r="A175" s="4" t="s">
        <v>1018</v>
      </c>
      <c r="B175" s="4" t="s">
        <v>138</v>
      </c>
      <c r="C175" s="4" t="s">
        <v>139</v>
      </c>
      <c r="D175" s="4" t="s">
        <v>21</v>
      </c>
      <c r="E175" s="4" t="s">
        <v>140</v>
      </c>
      <c r="F175" s="4" t="s">
        <v>506</v>
      </c>
      <c r="G175" s="34" t="s">
        <v>1019</v>
      </c>
      <c r="H175" s="35"/>
      <c r="I175" s="34" t="s">
        <v>15</v>
      </c>
      <c r="J175" s="35"/>
    </row>
    <row r="176" spans="1:18" ht="30" customHeight="1" x14ac:dyDescent="0.3">
      <c r="A176" s="15" t="s">
        <v>1093</v>
      </c>
      <c r="B176" s="15">
        <v>95330</v>
      </c>
      <c r="C176" s="15" t="str">
        <f>VLOOKUP(B176,S!$A:$G,2,FALSE)</f>
        <v>SINAPI</v>
      </c>
      <c r="D176" s="22" t="str">
        <f>VLOOKUP(B176,S!$A:$G,3,FALSE)</f>
        <v>CURSO DE CAPACITAÇÃO PARA CARPINTEIRO DE FÔRMAS (ENCARGOS COMPLEMENTARES) - HORISTA</v>
      </c>
      <c r="E176" s="15" t="str">
        <f>VLOOKUP(B176,S!$A:$G,4,FALSE)</f>
        <v>H</v>
      </c>
      <c r="F176" s="15"/>
      <c r="G176" s="73">
        <f>I178</f>
        <v>0.23</v>
      </c>
      <c r="H176" s="74"/>
      <c r="I176" s="73"/>
      <c r="J176" s="74"/>
      <c r="K176" s="16">
        <f>VLOOKUP(B176,S!A:G,5,FALSE)</f>
        <v>0.23</v>
      </c>
      <c r="L176" s="15" t="str">
        <f>IF(K176=G176,"OK, CONFORME TABELA",IF(G176&gt;K176,"ACIMA DA TABELA: ","ABAIXO DA TABELA: ")&amp;TRUNC((G176*100)/K176,2)&amp;" %")</f>
        <v>OK, CONFORME TABELA</v>
      </c>
    </row>
    <row r="177" spans="1:18" ht="15" customHeight="1" x14ac:dyDescent="0.3">
      <c r="A177" s="23" t="s">
        <v>1025</v>
      </c>
      <c r="B177" s="23">
        <v>1213</v>
      </c>
      <c r="C177" s="23" t="str">
        <f>VLOOKUP(B177,IF(A177="COMPOSICAO",S!$A:$E,I!$A:$E),2,FALSE)</f>
        <v>SINAPI</v>
      </c>
      <c r="D177" s="24" t="str">
        <f>VLOOKUP(B177,IF(A177="COMPOSICAO",S!$A:$E,I!$A:$E),3,FALSE)</f>
        <v>CARPINTEIRO DE FORMAS PARA CONCRETO (HORISTA)</v>
      </c>
      <c r="E177" s="23" t="str">
        <f>VLOOKUP(B177,IF(A177="COMPOSICAO",S!$A:$E,I!$A:$E),4,FALSE)</f>
        <v>H</v>
      </c>
      <c r="F177" s="23">
        <v>1.154E-2</v>
      </c>
      <c r="G177" s="71">
        <f>IF(A177="COMPOSICAO",VLOOKUP("TOTAL SEM BDI - "&amp;B177,CPUAUX3!$A:$J,9,FALSE),VLOOKUP(B177,I!$A:$E,5,FALSE))</f>
        <v>20.329999999999998</v>
      </c>
      <c r="H177" s="72"/>
      <c r="I177" s="71">
        <f>TRUNC(F177*G177,2)</f>
        <v>0.23</v>
      </c>
      <c r="J177" s="72"/>
      <c r="M177" s="23">
        <f>B177</f>
        <v>1213</v>
      </c>
      <c r="N177" s="23">
        <f>SUMIF(CPUAUX1!M:M,B176,CPUAUX1!O:O)</f>
        <v>183.5368</v>
      </c>
      <c r="O177" s="23">
        <f>F177*N177</f>
        <v>2.1180146720000002</v>
      </c>
      <c r="Q177" s="23">
        <f ca="1">SUMIF(CPUAUX1!M:M,B176,CPUAUX1!R:R)</f>
        <v>73.414720000000003</v>
      </c>
      <c r="R177" s="23">
        <f ca="1">F177*Q177</f>
        <v>0.84720586880000004</v>
      </c>
    </row>
    <row r="178" spans="1:18" x14ac:dyDescent="0.3">
      <c r="A178" s="68" t="str">
        <f>"TOTAL SEM BDI - "&amp;B176</f>
        <v>TOTAL SEM BDI - 95330</v>
      </c>
      <c r="B178" s="69"/>
      <c r="C178" s="69"/>
      <c r="D178" s="69"/>
      <c r="E178" s="69"/>
      <c r="F178" s="69"/>
      <c r="G178" s="69"/>
      <c r="H178" s="70"/>
      <c r="I178" s="71">
        <f>SUM(I176:I177)</f>
        <v>0.23</v>
      </c>
      <c r="J178" s="72"/>
    </row>
    <row r="180" spans="1:18" x14ac:dyDescent="0.3">
      <c r="A180" s="4" t="s">
        <v>1018</v>
      </c>
      <c r="B180" s="4" t="s">
        <v>138</v>
      </c>
      <c r="C180" s="4" t="s">
        <v>139</v>
      </c>
      <c r="D180" s="4" t="s">
        <v>21</v>
      </c>
      <c r="E180" s="4" t="s">
        <v>140</v>
      </c>
      <c r="F180" s="4" t="s">
        <v>506</v>
      </c>
      <c r="G180" s="34" t="s">
        <v>1019</v>
      </c>
      <c r="H180" s="35"/>
      <c r="I180" s="34" t="s">
        <v>15</v>
      </c>
      <c r="J180" s="35"/>
    </row>
    <row r="181" spans="1:18" ht="30" customHeight="1" x14ac:dyDescent="0.3">
      <c r="A181" s="15" t="s">
        <v>1093</v>
      </c>
      <c r="B181" s="15">
        <v>95309</v>
      </c>
      <c r="C181" s="15" t="str">
        <f>VLOOKUP(B181,S!$A:$G,2,FALSE)</f>
        <v>SINAPI</v>
      </c>
      <c r="D181" s="22" t="str">
        <f>VLOOKUP(B181,S!$A:$G,3,FALSE)</f>
        <v>CURSO DE CAPACITAÇÃO PARA AJUDANTE DE CARPINTEIRO (ENCARGOS COMPLEMENTARES) - HORISTA</v>
      </c>
      <c r="E181" s="15" t="str">
        <f>VLOOKUP(B181,S!$A:$G,4,FALSE)</f>
        <v>H</v>
      </c>
      <c r="F181" s="15"/>
      <c r="G181" s="73">
        <f>I183</f>
        <v>0.22</v>
      </c>
      <c r="H181" s="74"/>
      <c r="I181" s="73"/>
      <c r="J181" s="74"/>
      <c r="K181" s="16">
        <f>VLOOKUP(B181,S!A:G,5,FALSE)</f>
        <v>0.22</v>
      </c>
      <c r="L181" s="15" t="str">
        <f>IF(K181=G181,"OK, CONFORME TABELA",IF(G181&gt;K181,"ACIMA DA TABELA: ","ABAIXO DA TABELA: ")&amp;TRUNC((G181*100)/K181,2)&amp;" %")</f>
        <v>OK, CONFORME TABELA</v>
      </c>
    </row>
    <row r="182" spans="1:18" x14ac:dyDescent="0.3">
      <c r="A182" s="23" t="s">
        <v>1025</v>
      </c>
      <c r="B182" s="23">
        <v>6117</v>
      </c>
      <c r="C182" s="23" t="str">
        <f>VLOOKUP(B182,IF(A182="COMPOSICAO",S!$A:$E,I!$A:$E),2,FALSE)</f>
        <v>SINAPI</v>
      </c>
      <c r="D182" s="24" t="str">
        <f>VLOOKUP(B182,IF(A182="COMPOSICAO",S!$A:$E,I!$A:$E),3,FALSE)</f>
        <v>CARPINTEIRO AUXILIAR (HORISTA)</v>
      </c>
      <c r="E182" s="23" t="str">
        <f>VLOOKUP(B182,IF(A182="COMPOSICAO",S!$A:$E,I!$A:$E),4,FALSE)</f>
        <v>H</v>
      </c>
      <c r="F182" s="23">
        <v>1.4760000000000001E-2</v>
      </c>
      <c r="G182" s="71">
        <f>IF(A182="COMPOSICAO",VLOOKUP("TOTAL SEM BDI - "&amp;B182,CPUAUX3!$A:$J,9,FALSE),VLOOKUP(B182,I!$A:$E,5,FALSE))</f>
        <v>15.57</v>
      </c>
      <c r="H182" s="72"/>
      <c r="I182" s="71">
        <f>TRUNC(F182*G182,2)</f>
        <v>0.22</v>
      </c>
      <c r="J182" s="72"/>
      <c r="M182" s="23">
        <f>B182</f>
        <v>6117</v>
      </c>
      <c r="N182" s="23">
        <f>SUMIF(CPUAUX1!M:M,B181,CPUAUX1!O:O)</f>
        <v>179.99629999999999</v>
      </c>
      <c r="O182" s="23">
        <f>F182*N182</f>
        <v>2.656745388</v>
      </c>
      <c r="Q182" s="23">
        <f ca="1">SUMIF(CPUAUX1!M:M,B181,CPUAUX1!R:R)</f>
        <v>71.998519999999999</v>
      </c>
      <c r="R182" s="23">
        <f ca="1">F182*Q182</f>
        <v>1.0626981552000001</v>
      </c>
    </row>
    <row r="183" spans="1:18" x14ac:dyDescent="0.3">
      <c r="A183" s="68" t="str">
        <f>"TOTAL SEM BDI - "&amp;B181</f>
        <v>TOTAL SEM BDI - 95309</v>
      </c>
      <c r="B183" s="69"/>
      <c r="C183" s="69"/>
      <c r="D183" s="69"/>
      <c r="E183" s="69"/>
      <c r="F183" s="69"/>
      <c r="G183" s="69"/>
      <c r="H183" s="70"/>
      <c r="I183" s="71">
        <f>SUM(I181:I182)</f>
        <v>0.22</v>
      </c>
      <c r="J183" s="72"/>
    </row>
    <row r="185" spans="1:18" x14ac:dyDescent="0.3">
      <c r="A185" s="4" t="s">
        <v>1018</v>
      </c>
      <c r="B185" s="4" t="s">
        <v>138</v>
      </c>
      <c r="C185" s="4" t="s">
        <v>139</v>
      </c>
      <c r="D185" s="4" t="s">
        <v>21</v>
      </c>
      <c r="E185" s="4" t="s">
        <v>140</v>
      </c>
      <c r="F185" s="4" t="s">
        <v>506</v>
      </c>
      <c r="G185" s="34" t="s">
        <v>1019</v>
      </c>
      <c r="H185" s="35"/>
      <c r="I185" s="34" t="s">
        <v>15</v>
      </c>
      <c r="J185" s="35"/>
    </row>
    <row r="186" spans="1:18" ht="60" customHeight="1" x14ac:dyDescent="0.3">
      <c r="A186" s="15" t="s">
        <v>1098</v>
      </c>
      <c r="B186" s="15">
        <v>89226</v>
      </c>
      <c r="C186" s="15" t="str">
        <f>VLOOKUP(B186,S!$A:$G,2,FALSE)</f>
        <v>SINAPI</v>
      </c>
      <c r="D186" s="22" t="str">
        <f>VLOOKUP(B186,S!$A:$G,3,FALSE)</f>
        <v>BETONEIRA CAPACIDADE NOMINAL DE 600 L, CAPACIDADE DE MISTURA 360 L, MOTOR ELÉTRICO TRIFÁSICO POTÊNCIA DE 4 CV, SEM CARREGADOR - CHI DIURNO. AF_05/2023</v>
      </c>
      <c r="E186" s="15" t="str">
        <f>VLOOKUP(B186,S!$A:$G,4,FALSE)</f>
        <v>CHI</v>
      </c>
      <c r="F186" s="15"/>
      <c r="G186" s="73">
        <f>I189</f>
        <v>2.0499999999999998</v>
      </c>
      <c r="H186" s="74"/>
      <c r="I186" s="73"/>
      <c r="J186" s="74"/>
      <c r="K186" s="16">
        <f>VLOOKUP(B186,S!A:G,5,FALSE)</f>
        <v>2.0499999999999998</v>
      </c>
      <c r="L186" s="15" t="str">
        <f>IF(K186=G186,"OK, CONFORME TABELA",IF(G186&gt;K186,"ACIMA DA TABELA: ","ABAIXO DA TABELA: ")&amp;TRUNC((G186*100)/K186,2)&amp;" %")</f>
        <v>OK, CONFORME TABELA</v>
      </c>
    </row>
    <row r="187" spans="1:18" ht="60" customHeight="1" x14ac:dyDescent="0.3">
      <c r="A187" s="23" t="s">
        <v>1022</v>
      </c>
      <c r="B187" s="23">
        <v>89222</v>
      </c>
      <c r="C187" s="23" t="str">
        <f>VLOOKUP(B187,IF(A187="COMPOSICAO",S!$A:$E,I!$A:$E),2,FALSE)</f>
        <v>SINAPI</v>
      </c>
      <c r="D187" s="24" t="str">
        <f>VLOOKUP(B187,IF(A187="COMPOSICAO",S!$A:$E,I!$A:$E),3,FALSE)</f>
        <v>BETONEIRA CAPACIDADE NOMINAL DE 600 L, CAPACIDADE DE MISTURA 360 L, MOTOR ELÉTRICO TRIFÁSICO POTÊNCIA DE 4 CV, SEM CARREGADOR - JUROS. AF_05/2023</v>
      </c>
      <c r="E187" s="23" t="str">
        <f>VLOOKUP(B187,IF(A187="COMPOSICAO",S!$A:$E,I!$A:$E),4,FALSE)</f>
        <v>H</v>
      </c>
      <c r="F187" s="23">
        <v>1</v>
      </c>
      <c r="G187" s="71">
        <f>IF(A187="COMPOSICAO",VLOOKUP("TOTAL SEM BDI - "&amp;B187,CPUAUX3!$A:$J,9,FALSE),VLOOKUP(B187,I!$A:$E,5,FALSE))</f>
        <v>0.38</v>
      </c>
      <c r="H187" s="72"/>
      <c r="I187" s="71">
        <f>TRUNC(F187*G187,2)</f>
        <v>0.38</v>
      </c>
      <c r="J187" s="72"/>
      <c r="M187" s="23">
        <f>B187</f>
        <v>89222</v>
      </c>
      <c r="N187" s="23">
        <f>SUMIF(CPUAUX1!M:M,B186,CPUAUX1!O:O)</f>
        <v>1.172734392</v>
      </c>
      <c r="O187" s="23">
        <f>F187*N187</f>
        <v>1.172734392</v>
      </c>
      <c r="Q187" s="23">
        <f ca="1">SUMIF(CPUAUX1!M:M,B186,CPUAUX1!R:R)</f>
        <v>0.46909375680000004</v>
      </c>
      <c r="R187" s="23">
        <f ca="1">F187*Q187</f>
        <v>0.46909375680000004</v>
      </c>
    </row>
    <row r="188" spans="1:18" ht="60" customHeight="1" x14ac:dyDescent="0.3">
      <c r="A188" s="23" t="s">
        <v>1022</v>
      </c>
      <c r="B188" s="23">
        <v>89221</v>
      </c>
      <c r="C188" s="23" t="str">
        <f>VLOOKUP(B188,IF(A188="COMPOSICAO",S!$A:$E,I!$A:$E),2,FALSE)</f>
        <v>SINAPI</v>
      </c>
      <c r="D188" s="24" t="str">
        <f>VLOOKUP(B188,IF(A188="COMPOSICAO",S!$A:$E,I!$A:$E),3,FALSE)</f>
        <v>BETONEIRA CAPACIDADE NOMINAL DE 600 L, CAPACIDADE DE MISTURA 360 L, MOTOR ELÉTRICO TRIFÁSICO POTÊNCIA DE 4 CV, SEM CARREGADOR - DEPRECIAÇÃO. AF_05/2023</v>
      </c>
      <c r="E188" s="23" t="str">
        <f>VLOOKUP(B188,IF(A188="COMPOSICAO",S!$A:$E,I!$A:$E),4,FALSE)</f>
        <v>H</v>
      </c>
      <c r="F188" s="23">
        <v>1</v>
      </c>
      <c r="G188" s="71">
        <f>IF(A188="COMPOSICAO",VLOOKUP("TOTAL SEM BDI - "&amp;B188,CPUAUX3!$A:$J,9,FALSE),VLOOKUP(B188,I!$A:$E,5,FALSE))</f>
        <v>1.67</v>
      </c>
      <c r="H188" s="72"/>
      <c r="I188" s="71">
        <f>TRUNC(F188*G188,2)</f>
        <v>1.67</v>
      </c>
      <c r="J188" s="72"/>
      <c r="M188" s="23">
        <f>B188</f>
        <v>89221</v>
      </c>
      <c r="N188" s="23">
        <f>SUMIF(CPUAUX1!M:M,B186,CPUAUX1!O:O)</f>
        <v>1.172734392</v>
      </c>
      <c r="O188" s="23">
        <f>F188*N188</f>
        <v>1.172734392</v>
      </c>
      <c r="Q188" s="23">
        <f ca="1">SUMIF(CPUAUX1!M:M,B186,CPUAUX1!R:R)</f>
        <v>0.46909375680000004</v>
      </c>
      <c r="R188" s="23">
        <f ca="1">F188*Q188</f>
        <v>0.46909375680000004</v>
      </c>
    </row>
    <row r="189" spans="1:18" x14ac:dyDescent="0.3">
      <c r="A189" s="68" t="str">
        <f>"TOTAL SEM BDI - "&amp;B186</f>
        <v>TOTAL SEM BDI - 89226</v>
      </c>
      <c r="B189" s="69"/>
      <c r="C189" s="69"/>
      <c r="D189" s="69"/>
      <c r="E189" s="69"/>
      <c r="F189" s="69"/>
      <c r="G189" s="69"/>
      <c r="H189" s="70"/>
      <c r="I189" s="71">
        <f>SUM(I186:I188)</f>
        <v>2.0499999999999998</v>
      </c>
      <c r="J189" s="72"/>
    </row>
    <row r="191" spans="1:18" x14ac:dyDescent="0.3">
      <c r="A191" s="4" t="s">
        <v>1018</v>
      </c>
      <c r="B191" s="4" t="s">
        <v>138</v>
      </c>
      <c r="C191" s="4" t="s">
        <v>139</v>
      </c>
      <c r="D191" s="4" t="s">
        <v>21</v>
      </c>
      <c r="E191" s="4" t="s">
        <v>140</v>
      </c>
      <c r="F191" s="4" t="s">
        <v>506</v>
      </c>
      <c r="G191" s="34" t="s">
        <v>1019</v>
      </c>
      <c r="H191" s="35"/>
      <c r="I191" s="34" t="s">
        <v>15</v>
      </c>
      <c r="J191" s="35"/>
    </row>
    <row r="192" spans="1:18" ht="60" customHeight="1" x14ac:dyDescent="0.3">
      <c r="A192" s="15" t="s">
        <v>1098</v>
      </c>
      <c r="B192" s="15">
        <v>89225</v>
      </c>
      <c r="C192" s="15" t="str">
        <f>VLOOKUP(B192,S!$A:$G,2,FALSE)</f>
        <v>SINAPI</v>
      </c>
      <c r="D192" s="22" t="str">
        <f>VLOOKUP(B192,S!$A:$G,3,FALSE)</f>
        <v>BETONEIRA CAPACIDADE NOMINAL DE 600 L, CAPACIDADE DE MISTURA 360 L, MOTOR ELÉTRICO TRIFÁSICO POTÊNCIA DE 4 CV, SEM CARREGADOR - CHP DIURNO. AF_05/2023</v>
      </c>
      <c r="E192" s="15" t="str">
        <f>VLOOKUP(B192,S!$A:$G,4,FALSE)</f>
        <v>CHP</v>
      </c>
      <c r="F192" s="15"/>
      <c r="G192" s="73">
        <f>I197</f>
        <v>6.63</v>
      </c>
      <c r="H192" s="74"/>
      <c r="I192" s="73"/>
      <c r="J192" s="74"/>
      <c r="K192" s="16">
        <f>VLOOKUP(B192,S!A:G,5,FALSE)</f>
        <v>6.63</v>
      </c>
      <c r="L192" s="15" t="str">
        <f>IF(K192=G192,"OK, CONFORME TABELA",IF(G192&gt;K192,"ACIMA DA TABELA: ","ABAIXO DA TABELA: ")&amp;TRUNC((G192*100)/K192,2)&amp;" %")</f>
        <v>OK, CONFORME TABELA</v>
      </c>
    </row>
    <row r="193" spans="1:18" ht="60" customHeight="1" x14ac:dyDescent="0.3">
      <c r="A193" s="23" t="s">
        <v>1022</v>
      </c>
      <c r="B193" s="23">
        <v>89224</v>
      </c>
      <c r="C193" s="23" t="str">
        <f>VLOOKUP(B193,IF(A193="COMPOSICAO",S!$A:$E,I!$A:$E),2,FALSE)</f>
        <v>SINAPI</v>
      </c>
      <c r="D193" s="24" t="str">
        <f>VLOOKUP(B193,IF(A193="COMPOSICAO",S!$A:$E,I!$A:$E),3,FALSE)</f>
        <v>BETONEIRA CAPACIDADE NOMINAL DE 600 L, CAPACIDADE DE MISTURA 360 L, MOTOR ELÉTRICO TRIFÁSICO POTÊNCIA DE 4 CV, SEM CARREGADOR - MATERIAIS NA OPERAÇÃO. AF_05/2023</v>
      </c>
      <c r="E193" s="23" t="str">
        <f>VLOOKUP(B193,IF(A193="COMPOSICAO",S!$A:$E,I!$A:$E),4,FALSE)</f>
        <v>H</v>
      </c>
      <c r="F193" s="23">
        <v>1</v>
      </c>
      <c r="G193" s="71">
        <f>IF(A193="COMPOSICAO",VLOOKUP("TOTAL SEM BDI - "&amp;B193,CPUAUX3!$A:$J,9,FALSE),VLOOKUP(B193,I!$A:$E,5,FALSE))</f>
        <v>2.75</v>
      </c>
      <c r="H193" s="72"/>
      <c r="I193" s="71">
        <f>TRUNC(F193*G193,2)</f>
        <v>2.75</v>
      </c>
      <c r="J193" s="72"/>
      <c r="M193" s="23">
        <f>B193</f>
        <v>89224</v>
      </c>
      <c r="N193" s="23">
        <f>SUMIF(CPUAUX1!M:M,B192,CPUAUX1!O:O)</f>
        <v>1.1377092630000001</v>
      </c>
      <c r="O193" s="23">
        <f>F193*N193</f>
        <v>1.1377092630000001</v>
      </c>
      <c r="Q193" s="23">
        <f ca="1">SUMIF(CPUAUX1!M:M,B192,CPUAUX1!R:R)</f>
        <v>0.45508370520000002</v>
      </c>
      <c r="R193" s="23">
        <f ca="1">F193*Q193</f>
        <v>0.45508370520000002</v>
      </c>
    </row>
    <row r="194" spans="1:18" ht="60" customHeight="1" x14ac:dyDescent="0.3">
      <c r="A194" s="23" t="s">
        <v>1022</v>
      </c>
      <c r="B194" s="23">
        <v>89223</v>
      </c>
      <c r="C194" s="23" t="str">
        <f>VLOOKUP(B194,IF(A194="COMPOSICAO",S!$A:$E,I!$A:$E),2,FALSE)</f>
        <v>SINAPI</v>
      </c>
      <c r="D194" s="24" t="str">
        <f>VLOOKUP(B194,IF(A194="COMPOSICAO",S!$A:$E,I!$A:$E),3,FALSE)</f>
        <v>BETONEIRA CAPACIDADE NOMINAL DE 600 L, CAPACIDADE DE MISTURA 360 L, MOTOR ELÉTRICO TRIFÁSICO POTÊNCIA DE 4 CV, SEM CARREGADOR - MANUTENÇÃO. AF_05/2023</v>
      </c>
      <c r="E194" s="23" t="str">
        <f>VLOOKUP(B194,IF(A194="COMPOSICAO",S!$A:$E,I!$A:$E),4,FALSE)</f>
        <v>H</v>
      </c>
      <c r="F194" s="23">
        <v>1</v>
      </c>
      <c r="G194" s="71">
        <f>IF(A194="COMPOSICAO",VLOOKUP("TOTAL SEM BDI - "&amp;B194,CPUAUX3!$A:$J,9,FALSE),VLOOKUP(B194,I!$A:$E,5,FALSE))</f>
        <v>1.83</v>
      </c>
      <c r="H194" s="72"/>
      <c r="I194" s="71">
        <f>TRUNC(F194*G194,2)</f>
        <v>1.83</v>
      </c>
      <c r="J194" s="72"/>
      <c r="M194" s="23">
        <f>B194</f>
        <v>89223</v>
      </c>
      <c r="N194" s="23">
        <f>SUMIF(CPUAUX1!M:M,B192,CPUAUX1!O:O)</f>
        <v>1.1377092630000001</v>
      </c>
      <c r="O194" s="23">
        <f>F194*N194</f>
        <v>1.1377092630000001</v>
      </c>
      <c r="Q194" s="23">
        <f ca="1">SUMIF(CPUAUX1!M:M,B192,CPUAUX1!R:R)</f>
        <v>0.45508370520000002</v>
      </c>
      <c r="R194" s="23">
        <f ca="1">F194*Q194</f>
        <v>0.45508370520000002</v>
      </c>
    </row>
    <row r="195" spans="1:18" ht="60" customHeight="1" x14ac:dyDescent="0.3">
      <c r="A195" s="23" t="s">
        <v>1022</v>
      </c>
      <c r="B195" s="23">
        <v>89222</v>
      </c>
      <c r="C195" s="23" t="str">
        <f>VLOOKUP(B195,IF(A195="COMPOSICAO",S!$A:$E,I!$A:$E),2,FALSE)</f>
        <v>SINAPI</v>
      </c>
      <c r="D195" s="24" t="str">
        <f>VLOOKUP(B195,IF(A195="COMPOSICAO",S!$A:$E,I!$A:$E),3,FALSE)</f>
        <v>BETONEIRA CAPACIDADE NOMINAL DE 600 L, CAPACIDADE DE MISTURA 360 L, MOTOR ELÉTRICO TRIFÁSICO POTÊNCIA DE 4 CV, SEM CARREGADOR - JUROS. AF_05/2023</v>
      </c>
      <c r="E195" s="23" t="str">
        <f>VLOOKUP(B195,IF(A195="COMPOSICAO",S!$A:$E,I!$A:$E),4,FALSE)</f>
        <v>H</v>
      </c>
      <c r="F195" s="23">
        <v>1</v>
      </c>
      <c r="G195" s="71">
        <f>IF(A195="COMPOSICAO",VLOOKUP("TOTAL SEM BDI - "&amp;B195,CPUAUX3!$A:$J,9,FALSE),VLOOKUP(B195,I!$A:$E,5,FALSE))</f>
        <v>0.38</v>
      </c>
      <c r="H195" s="72"/>
      <c r="I195" s="71">
        <f>TRUNC(F195*G195,2)</f>
        <v>0.38</v>
      </c>
      <c r="J195" s="72"/>
      <c r="M195" s="23">
        <f>B195</f>
        <v>89222</v>
      </c>
      <c r="N195" s="23">
        <f>SUMIF(CPUAUX1!M:M,B192,CPUAUX1!O:O)</f>
        <v>1.1377092630000001</v>
      </c>
      <c r="O195" s="23">
        <f>F195*N195</f>
        <v>1.1377092630000001</v>
      </c>
      <c r="Q195" s="23">
        <f ca="1">SUMIF(CPUAUX1!M:M,B192,CPUAUX1!R:R)</f>
        <v>0.45508370520000002</v>
      </c>
      <c r="R195" s="23">
        <f ca="1">F195*Q195</f>
        <v>0.45508370520000002</v>
      </c>
    </row>
    <row r="196" spans="1:18" ht="60" customHeight="1" x14ac:dyDescent="0.3">
      <c r="A196" s="23" t="s">
        <v>1022</v>
      </c>
      <c r="B196" s="23">
        <v>89221</v>
      </c>
      <c r="C196" s="23" t="str">
        <f>VLOOKUP(B196,IF(A196="COMPOSICAO",S!$A:$E,I!$A:$E),2,FALSE)</f>
        <v>SINAPI</v>
      </c>
      <c r="D196" s="24" t="str">
        <f>VLOOKUP(B196,IF(A196="COMPOSICAO",S!$A:$E,I!$A:$E),3,FALSE)</f>
        <v>BETONEIRA CAPACIDADE NOMINAL DE 600 L, CAPACIDADE DE MISTURA 360 L, MOTOR ELÉTRICO TRIFÁSICO POTÊNCIA DE 4 CV, SEM CARREGADOR - DEPRECIAÇÃO. AF_05/2023</v>
      </c>
      <c r="E196" s="23" t="str">
        <f>VLOOKUP(B196,IF(A196="COMPOSICAO",S!$A:$E,I!$A:$E),4,FALSE)</f>
        <v>H</v>
      </c>
      <c r="F196" s="23">
        <v>1</v>
      </c>
      <c r="G196" s="71">
        <f>IF(A196="COMPOSICAO",VLOOKUP("TOTAL SEM BDI - "&amp;B196,CPUAUX3!$A:$J,9,FALSE),VLOOKUP(B196,I!$A:$E,5,FALSE))</f>
        <v>1.67</v>
      </c>
      <c r="H196" s="72"/>
      <c r="I196" s="71">
        <f>TRUNC(F196*G196,2)</f>
        <v>1.67</v>
      </c>
      <c r="J196" s="72"/>
      <c r="M196" s="23">
        <f>B196</f>
        <v>89221</v>
      </c>
      <c r="N196" s="23">
        <f>SUMIF(CPUAUX1!M:M,B192,CPUAUX1!O:O)</f>
        <v>1.1377092630000001</v>
      </c>
      <c r="O196" s="23">
        <f>F196*N196</f>
        <v>1.1377092630000001</v>
      </c>
      <c r="Q196" s="23">
        <f ca="1">SUMIF(CPUAUX1!M:M,B192,CPUAUX1!R:R)</f>
        <v>0.45508370520000002</v>
      </c>
      <c r="R196" s="23">
        <f ca="1">F196*Q196</f>
        <v>0.45508370520000002</v>
      </c>
    </row>
    <row r="197" spans="1:18" x14ac:dyDescent="0.3">
      <c r="A197" s="68" t="str">
        <f>"TOTAL SEM BDI - "&amp;B192</f>
        <v>TOTAL SEM BDI - 89225</v>
      </c>
      <c r="B197" s="69"/>
      <c r="C197" s="69"/>
      <c r="D197" s="69"/>
      <c r="E197" s="69"/>
      <c r="F197" s="69"/>
      <c r="G197" s="69"/>
      <c r="H197" s="70"/>
      <c r="I197" s="71">
        <f>SUM(I192:I196)</f>
        <v>6.63</v>
      </c>
      <c r="J197" s="72"/>
    </row>
    <row r="199" spans="1:18" x14ac:dyDescent="0.3">
      <c r="A199" s="4" t="s">
        <v>1018</v>
      </c>
      <c r="B199" s="4" t="s">
        <v>138</v>
      </c>
      <c r="C199" s="4" t="s">
        <v>139</v>
      </c>
      <c r="D199" s="4" t="s">
        <v>21</v>
      </c>
      <c r="E199" s="4" t="s">
        <v>140</v>
      </c>
      <c r="F199" s="4" t="s">
        <v>506</v>
      </c>
      <c r="G199" s="34" t="s">
        <v>1019</v>
      </c>
      <c r="H199" s="35"/>
      <c r="I199" s="34" t="s">
        <v>15</v>
      </c>
      <c r="J199" s="35"/>
    </row>
    <row r="200" spans="1:18" ht="45" customHeight="1" x14ac:dyDescent="0.3">
      <c r="A200" s="15" t="s">
        <v>1098</v>
      </c>
      <c r="B200" s="15">
        <v>91693</v>
      </c>
      <c r="C200" s="15" t="str">
        <f>VLOOKUP(B200,S!$A:$G,2,FALSE)</f>
        <v>SINAPI</v>
      </c>
      <c r="D200" s="22" t="str">
        <f>VLOOKUP(B200,S!$A:$G,3,FALSE)</f>
        <v>SERRA CIRCULAR DE BANCADA COM MOTOR ELÉTRICO POTÊNCIA DE 5HP, COM COIFA PARA DISCO 10" - CHI DIURNO. AF_08/2015</v>
      </c>
      <c r="E200" s="15" t="str">
        <f>VLOOKUP(B200,S!$A:$G,4,FALSE)</f>
        <v>CHI</v>
      </c>
      <c r="F200" s="15"/>
      <c r="G200" s="73">
        <f>I204</f>
        <v>27.3</v>
      </c>
      <c r="H200" s="74"/>
      <c r="I200" s="73"/>
      <c r="J200" s="74"/>
      <c r="K200" s="16">
        <f>VLOOKUP(B200,S!A:G,5,FALSE)</f>
        <v>27.3</v>
      </c>
      <c r="L200" s="15" t="str">
        <f>IF(K200=G200,"OK, CONFORME TABELA",IF(G200&gt;K200,"ACIMA DA TABELA: ","ABAIXO DA TABELA: ")&amp;TRUNC((G200*100)/K200,2)&amp;" %")</f>
        <v>OK, CONFORME TABELA</v>
      </c>
    </row>
    <row r="201" spans="1:18" ht="45" customHeight="1" x14ac:dyDescent="0.3">
      <c r="A201" s="23" t="s">
        <v>1022</v>
      </c>
      <c r="B201" s="23">
        <v>91689</v>
      </c>
      <c r="C201" s="23" t="str">
        <f>VLOOKUP(B201,IF(A201="COMPOSICAO",S!$A:$E,I!$A:$E),2,FALSE)</f>
        <v>SINAPI</v>
      </c>
      <c r="D201" s="24" t="str">
        <f>VLOOKUP(B201,IF(A201="COMPOSICAO",S!$A:$E,I!$A:$E),3,FALSE)</f>
        <v>SERRA CIRCULAR DE BANCADA COM MOTOR ELÉTRICO POTÊNCIA DE 5HP, COM COIFA PARA DISCO 10" - JUROS. AF_08/2015</v>
      </c>
      <c r="E201" s="23" t="str">
        <f>VLOOKUP(B201,IF(A201="COMPOSICAO",S!$A:$E,I!$A:$E),4,FALSE)</f>
        <v>H</v>
      </c>
      <c r="F201" s="23">
        <v>1</v>
      </c>
      <c r="G201" s="71">
        <f>IF(A201="COMPOSICAO",VLOOKUP("TOTAL SEM BDI - "&amp;B201,CPUAUX3!$A:$J,9,FALSE),VLOOKUP(B201,I!$A:$E,5,FALSE))</f>
        <v>0.02</v>
      </c>
      <c r="H201" s="72"/>
      <c r="I201" s="71">
        <f>TRUNC(F201*G201,2)</f>
        <v>0.02</v>
      </c>
      <c r="J201" s="72"/>
      <c r="M201" s="23">
        <f>B201</f>
        <v>91689</v>
      </c>
      <c r="N201" s="23">
        <f>SUMIF(CPUAUX1!M:M,B200,CPUAUX1!O:O)</f>
        <v>3.4675199999999999</v>
      </c>
      <c r="O201" s="23">
        <f>F201*N201</f>
        <v>3.4675199999999999</v>
      </c>
      <c r="Q201" s="23">
        <f ca="1">SUMIF(CPUAUX1!M:M,B200,CPUAUX1!R:R)</f>
        <v>1.3870079999999998</v>
      </c>
      <c r="R201" s="23">
        <f ca="1">F201*Q201</f>
        <v>1.3870079999999998</v>
      </c>
    </row>
    <row r="202" spans="1:18" ht="45" customHeight="1" x14ac:dyDescent="0.3">
      <c r="A202" s="23" t="s">
        <v>1022</v>
      </c>
      <c r="B202" s="23">
        <v>91688</v>
      </c>
      <c r="C202" s="23" t="str">
        <f>VLOOKUP(B202,IF(A202="COMPOSICAO",S!$A:$E,I!$A:$E),2,FALSE)</f>
        <v>SINAPI</v>
      </c>
      <c r="D202" s="24" t="str">
        <f>VLOOKUP(B202,IF(A202="COMPOSICAO",S!$A:$E,I!$A:$E),3,FALSE)</f>
        <v>SERRA CIRCULAR DE BANCADA COM MOTOR ELÉTRICO POTÊNCIA DE 5HP, COM COIFA PARA DISCO 10" - DEPRECIAÇÃO. AF_08/2015</v>
      </c>
      <c r="E202" s="23" t="str">
        <f>VLOOKUP(B202,IF(A202="COMPOSICAO",S!$A:$E,I!$A:$E),4,FALSE)</f>
        <v>H</v>
      </c>
      <c r="F202" s="23">
        <v>1</v>
      </c>
      <c r="G202" s="71">
        <f>IF(A202="COMPOSICAO",VLOOKUP("TOTAL SEM BDI - "&amp;B202,CPUAUX3!$A:$J,9,FALSE),VLOOKUP(B202,I!$A:$E,5,FALSE))</f>
        <v>0.12</v>
      </c>
      <c r="H202" s="72"/>
      <c r="I202" s="71">
        <f>TRUNC(F202*G202,2)</f>
        <v>0.12</v>
      </c>
      <c r="J202" s="72"/>
      <c r="M202" s="23">
        <f>B202</f>
        <v>91688</v>
      </c>
      <c r="N202" s="23">
        <f>SUMIF(CPUAUX1!M:M,B200,CPUAUX1!O:O)</f>
        <v>3.4675199999999999</v>
      </c>
      <c r="O202" s="23">
        <f>F202*N202</f>
        <v>3.4675199999999999</v>
      </c>
      <c r="Q202" s="23">
        <f ca="1">SUMIF(CPUAUX1!M:M,B200,CPUAUX1!R:R)</f>
        <v>1.3870079999999998</v>
      </c>
      <c r="R202" s="23">
        <f ca="1">F202*Q202</f>
        <v>1.3870079999999998</v>
      </c>
    </row>
    <row r="203" spans="1:18" ht="30" customHeight="1" x14ac:dyDescent="0.3">
      <c r="A203" s="23" t="s">
        <v>1022</v>
      </c>
      <c r="B203" s="23">
        <v>88297</v>
      </c>
      <c r="C203" s="23" t="str">
        <f>VLOOKUP(B203,IF(A203="COMPOSICAO",S!$A:$E,I!$A:$E),2,FALSE)</f>
        <v>SINAPI</v>
      </c>
      <c r="D203" s="24" t="str">
        <f>VLOOKUP(B203,IF(A203="COMPOSICAO",S!$A:$E,I!$A:$E),3,FALSE)</f>
        <v>OPERADOR DE MÁQUINAS E EQUIPAMENTOS COM ENCARGOS COMPLEMENTARES</v>
      </c>
      <c r="E203" s="23" t="str">
        <f>VLOOKUP(B203,IF(A203="COMPOSICAO",S!$A:$E,I!$A:$E),4,FALSE)</f>
        <v>H</v>
      </c>
      <c r="F203" s="23">
        <v>1</v>
      </c>
      <c r="G203" s="71">
        <f>IF(A203="COMPOSICAO",VLOOKUP("TOTAL SEM BDI - "&amp;B203,CPUAUX3!$A:$J,9,FALSE),VLOOKUP(B203,I!$A:$E,5,FALSE))</f>
        <v>27.16</v>
      </c>
      <c r="H203" s="72"/>
      <c r="I203" s="71">
        <f>TRUNC(F203*G203,2)</f>
        <v>27.16</v>
      </c>
      <c r="J203" s="72"/>
      <c r="M203" s="23">
        <f>B203</f>
        <v>88297</v>
      </c>
      <c r="N203" s="23">
        <f>SUMIF(CPUAUX1!M:M,B200,CPUAUX1!O:O)</f>
        <v>3.4675199999999999</v>
      </c>
      <c r="O203" s="23">
        <f>F203*N203</f>
        <v>3.4675199999999999</v>
      </c>
      <c r="Q203" s="23">
        <f ca="1">SUMIF(CPUAUX1!M:M,B200,CPUAUX1!R:R)</f>
        <v>1.3870079999999998</v>
      </c>
      <c r="R203" s="23">
        <f ca="1">F203*Q203</f>
        <v>1.3870079999999998</v>
      </c>
    </row>
    <row r="204" spans="1:18" x14ac:dyDescent="0.3">
      <c r="A204" s="68" t="str">
        <f>"TOTAL SEM BDI - "&amp;B200</f>
        <v>TOTAL SEM BDI - 91693</v>
      </c>
      <c r="B204" s="69"/>
      <c r="C204" s="69"/>
      <c r="D204" s="69"/>
      <c r="E204" s="69"/>
      <c r="F204" s="69"/>
      <c r="G204" s="69"/>
      <c r="H204" s="70"/>
      <c r="I204" s="71">
        <f>SUM(I200:I203)</f>
        <v>27.3</v>
      </c>
      <c r="J204" s="72"/>
    </row>
    <row r="206" spans="1:18" x14ac:dyDescent="0.3">
      <c r="A206" s="4" t="s">
        <v>1018</v>
      </c>
      <c r="B206" s="4" t="s">
        <v>138</v>
      </c>
      <c r="C206" s="4" t="s">
        <v>139</v>
      </c>
      <c r="D206" s="4" t="s">
        <v>21</v>
      </c>
      <c r="E206" s="4" t="s">
        <v>140</v>
      </c>
      <c r="F206" s="4" t="s">
        <v>506</v>
      </c>
      <c r="G206" s="34" t="s">
        <v>1019</v>
      </c>
      <c r="H206" s="35"/>
      <c r="I206" s="34" t="s">
        <v>15</v>
      </c>
      <c r="J206" s="35"/>
    </row>
    <row r="207" spans="1:18" ht="45" customHeight="1" x14ac:dyDescent="0.3">
      <c r="A207" s="15" t="s">
        <v>1098</v>
      </c>
      <c r="B207" s="15">
        <v>91692</v>
      </c>
      <c r="C207" s="15" t="str">
        <f>VLOOKUP(B207,S!$A:$G,2,FALSE)</f>
        <v>SINAPI</v>
      </c>
      <c r="D207" s="22" t="str">
        <f>VLOOKUP(B207,S!$A:$G,3,FALSE)</f>
        <v>SERRA CIRCULAR DE BANCADA COM MOTOR ELÉTRICO POTÊNCIA DE 5HP, COM COIFA PARA DISCO 10" - CHP DIURNO. AF_08/2015</v>
      </c>
      <c r="E207" s="15" t="str">
        <f>VLOOKUP(B207,S!$A:$G,4,FALSE)</f>
        <v>CHP</v>
      </c>
      <c r="F207" s="15"/>
      <c r="G207" s="73">
        <f>I213</f>
        <v>28.87</v>
      </c>
      <c r="H207" s="74"/>
      <c r="I207" s="73"/>
      <c r="J207" s="74"/>
      <c r="K207" s="16">
        <f>VLOOKUP(B207,S!A:G,5,FALSE)</f>
        <v>28.87</v>
      </c>
      <c r="L207" s="15" t="str">
        <f>IF(K207=G207,"OK, CONFORME TABELA",IF(G207&gt;K207,"ACIMA DA TABELA: ","ABAIXO DA TABELA: ")&amp;TRUNC((G207*100)/K207,2)&amp;" %")</f>
        <v>OK, CONFORME TABELA</v>
      </c>
    </row>
    <row r="208" spans="1:18" ht="45" customHeight="1" x14ac:dyDescent="0.3">
      <c r="A208" s="23" t="s">
        <v>1022</v>
      </c>
      <c r="B208" s="23">
        <v>91691</v>
      </c>
      <c r="C208" s="23" t="str">
        <f>VLOOKUP(B208,IF(A208="COMPOSICAO",S!$A:$E,I!$A:$E),2,FALSE)</f>
        <v>SINAPI</v>
      </c>
      <c r="D208" s="24" t="str">
        <f>VLOOKUP(B208,IF(A208="COMPOSICAO",S!$A:$E,I!$A:$E),3,FALSE)</f>
        <v>SERRA CIRCULAR DE BANCADA COM MOTOR ELÉTRICO POTÊNCIA DE 5HP, COM COIFA PARA DISCO 10" - MATERIAIS NA OPERAÇÃO. AF_08/2015</v>
      </c>
      <c r="E208" s="23" t="str">
        <f>VLOOKUP(B208,IF(A208="COMPOSICAO",S!$A:$E,I!$A:$E),4,FALSE)</f>
        <v>H</v>
      </c>
      <c r="F208" s="23">
        <v>1</v>
      </c>
      <c r="G208" s="71">
        <f>IF(A208="COMPOSICAO",VLOOKUP("TOTAL SEM BDI - "&amp;B208,CPUAUX3!$A:$J,9,FALSE),VLOOKUP(B208,I!$A:$E,5,FALSE))</f>
        <v>1.49</v>
      </c>
      <c r="H208" s="72"/>
      <c r="I208" s="71">
        <f>TRUNC(F208*G208,2)</f>
        <v>1.49</v>
      </c>
      <c r="J208" s="72"/>
      <c r="M208" s="23">
        <f>B208</f>
        <v>91691</v>
      </c>
      <c r="N208" s="23">
        <f>SUMIF(CPUAUX1!M:M,B207,CPUAUX1!O:O)</f>
        <v>0.86687999999999998</v>
      </c>
      <c r="O208" s="23">
        <f>F208*N208</f>
        <v>0.86687999999999998</v>
      </c>
      <c r="Q208" s="23">
        <f ca="1">SUMIF(CPUAUX1!M:M,B207,CPUAUX1!R:R)</f>
        <v>0.34675199999999995</v>
      </c>
      <c r="R208" s="23">
        <f ca="1">F208*Q208</f>
        <v>0.34675199999999995</v>
      </c>
    </row>
    <row r="209" spans="1:18" ht="45" customHeight="1" x14ac:dyDescent="0.3">
      <c r="A209" s="23" t="s">
        <v>1022</v>
      </c>
      <c r="B209" s="23">
        <v>91690</v>
      </c>
      <c r="C209" s="23" t="str">
        <f>VLOOKUP(B209,IF(A209="COMPOSICAO",S!$A:$E,I!$A:$E),2,FALSE)</f>
        <v>SINAPI</v>
      </c>
      <c r="D209" s="24" t="str">
        <f>VLOOKUP(B209,IF(A209="COMPOSICAO",S!$A:$E,I!$A:$E),3,FALSE)</f>
        <v>SERRA CIRCULAR DE BANCADA COM MOTOR ELÉTRICO POTÊNCIA DE 5HP, COM COIFA PARA DISCO 10" - MANUTENÇÃO. AF_08/2015</v>
      </c>
      <c r="E209" s="23" t="str">
        <f>VLOOKUP(B209,IF(A209="COMPOSICAO",S!$A:$E,I!$A:$E),4,FALSE)</f>
        <v>H</v>
      </c>
      <c r="F209" s="23">
        <v>1</v>
      </c>
      <c r="G209" s="71">
        <f>IF(A209="COMPOSICAO",VLOOKUP("TOTAL SEM BDI - "&amp;B209,CPUAUX3!$A:$J,9,FALSE),VLOOKUP(B209,I!$A:$E,5,FALSE))</f>
        <v>0.08</v>
      </c>
      <c r="H209" s="72"/>
      <c r="I209" s="71">
        <f>TRUNC(F209*G209,2)</f>
        <v>0.08</v>
      </c>
      <c r="J209" s="72"/>
      <c r="M209" s="23">
        <f>B209</f>
        <v>91690</v>
      </c>
      <c r="N209" s="23">
        <f>SUMIF(CPUAUX1!M:M,B207,CPUAUX1!O:O)</f>
        <v>0.86687999999999998</v>
      </c>
      <c r="O209" s="23">
        <f>F209*N209</f>
        <v>0.86687999999999998</v>
      </c>
      <c r="Q209" s="23">
        <f ca="1">SUMIF(CPUAUX1!M:M,B207,CPUAUX1!R:R)</f>
        <v>0.34675199999999995</v>
      </c>
      <c r="R209" s="23">
        <f ca="1">F209*Q209</f>
        <v>0.34675199999999995</v>
      </c>
    </row>
    <row r="210" spans="1:18" ht="45" customHeight="1" x14ac:dyDescent="0.3">
      <c r="A210" s="23" t="s">
        <v>1022</v>
      </c>
      <c r="B210" s="23">
        <v>91689</v>
      </c>
      <c r="C210" s="23" t="str">
        <f>VLOOKUP(B210,IF(A210="COMPOSICAO",S!$A:$E,I!$A:$E),2,FALSE)</f>
        <v>SINAPI</v>
      </c>
      <c r="D210" s="24" t="str">
        <f>VLOOKUP(B210,IF(A210="COMPOSICAO",S!$A:$E,I!$A:$E),3,FALSE)</f>
        <v>SERRA CIRCULAR DE BANCADA COM MOTOR ELÉTRICO POTÊNCIA DE 5HP, COM COIFA PARA DISCO 10" - JUROS. AF_08/2015</v>
      </c>
      <c r="E210" s="23" t="str">
        <f>VLOOKUP(B210,IF(A210="COMPOSICAO",S!$A:$E,I!$A:$E),4,FALSE)</f>
        <v>H</v>
      </c>
      <c r="F210" s="23">
        <v>1</v>
      </c>
      <c r="G210" s="71">
        <f>IF(A210="COMPOSICAO",VLOOKUP("TOTAL SEM BDI - "&amp;B210,CPUAUX3!$A:$J,9,FALSE),VLOOKUP(B210,I!$A:$E,5,FALSE))</f>
        <v>0.02</v>
      </c>
      <c r="H210" s="72"/>
      <c r="I210" s="71">
        <f>TRUNC(F210*G210,2)</f>
        <v>0.02</v>
      </c>
      <c r="J210" s="72"/>
      <c r="M210" s="23">
        <f>B210</f>
        <v>91689</v>
      </c>
      <c r="N210" s="23">
        <f>SUMIF(CPUAUX1!M:M,B207,CPUAUX1!O:O)</f>
        <v>0.86687999999999998</v>
      </c>
      <c r="O210" s="23">
        <f>F210*N210</f>
        <v>0.86687999999999998</v>
      </c>
      <c r="Q210" s="23">
        <f ca="1">SUMIF(CPUAUX1!M:M,B207,CPUAUX1!R:R)</f>
        <v>0.34675199999999995</v>
      </c>
      <c r="R210" s="23">
        <f ca="1">F210*Q210</f>
        <v>0.34675199999999995</v>
      </c>
    </row>
    <row r="211" spans="1:18" ht="45" customHeight="1" x14ac:dyDescent="0.3">
      <c r="A211" s="23" t="s">
        <v>1022</v>
      </c>
      <c r="B211" s="23">
        <v>91688</v>
      </c>
      <c r="C211" s="23" t="str">
        <f>VLOOKUP(B211,IF(A211="COMPOSICAO",S!$A:$E,I!$A:$E),2,FALSE)</f>
        <v>SINAPI</v>
      </c>
      <c r="D211" s="24" t="str">
        <f>VLOOKUP(B211,IF(A211="COMPOSICAO",S!$A:$E,I!$A:$E),3,FALSE)</f>
        <v>SERRA CIRCULAR DE BANCADA COM MOTOR ELÉTRICO POTÊNCIA DE 5HP, COM COIFA PARA DISCO 10" - DEPRECIAÇÃO. AF_08/2015</v>
      </c>
      <c r="E211" s="23" t="str">
        <f>VLOOKUP(B211,IF(A211="COMPOSICAO",S!$A:$E,I!$A:$E),4,FALSE)</f>
        <v>H</v>
      </c>
      <c r="F211" s="23">
        <v>1</v>
      </c>
      <c r="G211" s="71">
        <f>IF(A211="COMPOSICAO",VLOOKUP("TOTAL SEM BDI - "&amp;B211,CPUAUX3!$A:$J,9,FALSE),VLOOKUP(B211,I!$A:$E,5,FALSE))</f>
        <v>0.12</v>
      </c>
      <c r="H211" s="72"/>
      <c r="I211" s="71">
        <f>TRUNC(F211*G211,2)</f>
        <v>0.12</v>
      </c>
      <c r="J211" s="72"/>
      <c r="M211" s="23">
        <f>B211</f>
        <v>91688</v>
      </c>
      <c r="N211" s="23">
        <f>SUMIF(CPUAUX1!M:M,B207,CPUAUX1!O:O)</f>
        <v>0.86687999999999998</v>
      </c>
      <c r="O211" s="23">
        <f>F211*N211</f>
        <v>0.86687999999999998</v>
      </c>
      <c r="Q211" s="23">
        <f ca="1">SUMIF(CPUAUX1!M:M,B207,CPUAUX1!R:R)</f>
        <v>0.34675199999999995</v>
      </c>
      <c r="R211" s="23">
        <f ca="1">F211*Q211</f>
        <v>0.34675199999999995</v>
      </c>
    </row>
    <row r="212" spans="1:18" ht="30" customHeight="1" x14ac:dyDescent="0.3">
      <c r="A212" s="23" t="s">
        <v>1022</v>
      </c>
      <c r="B212" s="23">
        <v>88297</v>
      </c>
      <c r="C212" s="23" t="str">
        <f>VLOOKUP(B212,IF(A212="COMPOSICAO",S!$A:$E,I!$A:$E),2,FALSE)</f>
        <v>SINAPI</v>
      </c>
      <c r="D212" s="24" t="str">
        <f>VLOOKUP(B212,IF(A212="COMPOSICAO",S!$A:$E,I!$A:$E),3,FALSE)</f>
        <v>OPERADOR DE MÁQUINAS E EQUIPAMENTOS COM ENCARGOS COMPLEMENTARES</v>
      </c>
      <c r="E212" s="23" t="str">
        <f>VLOOKUP(B212,IF(A212="COMPOSICAO",S!$A:$E,I!$A:$E),4,FALSE)</f>
        <v>H</v>
      </c>
      <c r="F212" s="23">
        <v>1</v>
      </c>
      <c r="G212" s="71">
        <f>IF(A212="COMPOSICAO",VLOOKUP("TOTAL SEM BDI - "&amp;B212,CPUAUX3!$A:$J,9,FALSE),VLOOKUP(B212,I!$A:$E,5,FALSE))</f>
        <v>27.16</v>
      </c>
      <c r="H212" s="72"/>
      <c r="I212" s="71">
        <f>TRUNC(F212*G212,2)</f>
        <v>27.16</v>
      </c>
      <c r="J212" s="72"/>
      <c r="M212" s="23">
        <f>B212</f>
        <v>88297</v>
      </c>
      <c r="N212" s="23">
        <f>SUMIF(CPUAUX1!M:M,B207,CPUAUX1!O:O)</f>
        <v>0.86687999999999998</v>
      </c>
      <c r="O212" s="23">
        <f>F212*N212</f>
        <v>0.86687999999999998</v>
      </c>
      <c r="Q212" s="23">
        <f ca="1">SUMIF(CPUAUX1!M:M,B207,CPUAUX1!R:R)</f>
        <v>0.34675199999999995</v>
      </c>
      <c r="R212" s="23">
        <f ca="1">F212*Q212</f>
        <v>0.34675199999999995</v>
      </c>
    </row>
    <row r="213" spans="1:18" x14ac:dyDescent="0.3">
      <c r="A213" s="68" t="str">
        <f>"TOTAL SEM BDI - "&amp;B207</f>
        <v>TOTAL SEM BDI - 91692</v>
      </c>
      <c r="B213" s="69"/>
      <c r="C213" s="69"/>
      <c r="D213" s="69"/>
      <c r="E213" s="69"/>
      <c r="F213" s="69"/>
      <c r="G213" s="69"/>
      <c r="H213" s="70"/>
      <c r="I213" s="71">
        <f>SUM(I207:I212)</f>
        <v>28.87</v>
      </c>
      <c r="J213" s="72"/>
    </row>
    <row r="215" spans="1:18" x14ac:dyDescent="0.3">
      <c r="A215" s="4" t="s">
        <v>1018</v>
      </c>
      <c r="B215" s="4" t="s">
        <v>138</v>
      </c>
      <c r="C215" s="4" t="s">
        <v>139</v>
      </c>
      <c r="D215" s="4" t="s">
        <v>21</v>
      </c>
      <c r="E215" s="4" t="s">
        <v>140</v>
      </c>
      <c r="F215" s="4" t="s">
        <v>506</v>
      </c>
      <c r="G215" s="34" t="s">
        <v>1019</v>
      </c>
      <c r="H215" s="35"/>
      <c r="I215" s="34" t="s">
        <v>15</v>
      </c>
      <c r="J215" s="35"/>
    </row>
    <row r="216" spans="1:18" x14ac:dyDescent="0.3">
      <c r="A216" s="15" t="s">
        <v>1093</v>
      </c>
      <c r="B216" s="15">
        <v>88245</v>
      </c>
      <c r="C216" s="15" t="str">
        <f>VLOOKUP(B216,S!$A:$G,2,FALSE)</f>
        <v>SINAPI</v>
      </c>
      <c r="D216" s="22" t="str">
        <f>VLOOKUP(B216,S!$A:$G,3,FALSE)</f>
        <v>ARMADOR COM ENCARGOS COMPLEMENTARES</v>
      </c>
      <c r="E216" s="15" t="str">
        <f>VLOOKUP(B216,S!$A:$G,4,FALSE)</f>
        <v>H</v>
      </c>
      <c r="F216" s="15"/>
      <c r="G216" s="73">
        <f>I225</f>
        <v>27.189999999999998</v>
      </c>
      <c r="H216" s="74"/>
      <c r="I216" s="73"/>
      <c r="J216" s="74"/>
      <c r="K216" s="16">
        <f>VLOOKUP(B216,S!A:G,5,FALSE)</f>
        <v>27.19</v>
      </c>
      <c r="L216" s="15" t="str">
        <f>IF(K216=G216,"OK, CONFORME TABELA",IF(G216&gt;K216,"ACIMA DA TABELA: ","ABAIXO DA TABELA: ")&amp;TRUNC((G216*100)/K216,2)&amp;" %")</f>
        <v>OK, CONFORME TABELA</v>
      </c>
    </row>
    <row r="217" spans="1:18" ht="30" customHeight="1" x14ac:dyDescent="0.3">
      <c r="A217" s="23" t="s">
        <v>1022</v>
      </c>
      <c r="B217" s="23">
        <v>95314</v>
      </c>
      <c r="C217" s="23" t="str">
        <f>VLOOKUP(B217,IF(A217="COMPOSICAO",S!$A:$E,I!$A:$E),2,FALSE)</f>
        <v>SINAPI</v>
      </c>
      <c r="D217" s="24" t="str">
        <f>VLOOKUP(B217,IF(A217="COMPOSICAO",S!$A:$E,I!$A:$E),3,FALSE)</f>
        <v>CURSO DE CAPACITAÇÃO PARA ARMADOR (ENCARGOS COMPLEMENTARES) - HORISTA</v>
      </c>
      <c r="E217" s="23" t="str">
        <f>VLOOKUP(B217,IF(A217="COMPOSICAO",S!$A:$E,I!$A:$E),4,FALSE)</f>
        <v>H</v>
      </c>
      <c r="F217" s="23">
        <v>1</v>
      </c>
      <c r="G217" s="71">
        <f>IF(A217="COMPOSICAO",VLOOKUP("TOTAL SEM BDI - "&amp;B217,CPUAUX3!$A:$J,9,FALSE),VLOOKUP(B217,I!$A:$E,5,FALSE))</f>
        <v>0.23</v>
      </c>
      <c r="H217" s="72"/>
      <c r="I217" s="71">
        <f t="shared" ref="I217:I224" si="20">TRUNC(F217*G217,2)</f>
        <v>0.23</v>
      </c>
      <c r="J217" s="72"/>
      <c r="M217" s="23">
        <f t="shared" ref="M217:M224" si="21">B217</f>
        <v>95314</v>
      </c>
      <c r="N217" s="23">
        <f>SUMIF(CPUAUX1!M:M,B216,CPUAUX1!O:O)</f>
        <v>3.8812828500000007</v>
      </c>
      <c r="O217" s="23">
        <f t="shared" ref="O217:O224" si="22">F217*N217</f>
        <v>3.8812828500000007</v>
      </c>
      <c r="Q217" s="23">
        <f ca="1">SUMIF(CPUAUX1!M:M,B216,CPUAUX1!R:R)</f>
        <v>1.5525131400000001</v>
      </c>
      <c r="R217" s="23">
        <f t="shared" ref="R217:R224" ca="1" si="23">F217*Q217</f>
        <v>1.5525131400000001</v>
      </c>
    </row>
    <row r="218" spans="1:18" ht="30" customHeight="1" x14ac:dyDescent="0.3">
      <c r="A218" s="23" t="s">
        <v>1025</v>
      </c>
      <c r="B218" s="23">
        <v>43489</v>
      </c>
      <c r="C218" s="23" t="str">
        <f>VLOOKUP(B218,IF(A218="COMPOSICAO",S!$A:$E,I!$A:$E),2,FALSE)</f>
        <v>SINAPI</v>
      </c>
      <c r="D218" s="24" t="str">
        <f>VLOOKUP(B218,IF(A218="COMPOSICAO",S!$A:$E,I!$A:$E),3,FALSE)</f>
        <v>EPI - FAMILIA PEDREIRO - HORISTA (ENCARGOS COMPLEMENTARES - COLETADO CAIXA)</v>
      </c>
      <c r="E218" s="23" t="str">
        <f>VLOOKUP(B218,IF(A218="COMPOSICAO",S!$A:$E,I!$A:$E),4,FALSE)</f>
        <v>H</v>
      </c>
      <c r="F218" s="23">
        <v>1</v>
      </c>
      <c r="G218" s="71">
        <f>IF(A218="COMPOSICAO",VLOOKUP("TOTAL SEM BDI - "&amp;B218,CPUAUX3!$A:$J,9,FALSE),VLOOKUP(B218,I!$A:$E,5,FALSE))</f>
        <v>1.31</v>
      </c>
      <c r="H218" s="72"/>
      <c r="I218" s="71">
        <f t="shared" si="20"/>
        <v>1.31</v>
      </c>
      <c r="J218" s="72"/>
      <c r="M218" s="23">
        <f t="shared" si="21"/>
        <v>43489</v>
      </c>
      <c r="N218" s="23">
        <f>SUMIF(CPUAUX1!M:M,B216,CPUAUX1!O:O)</f>
        <v>3.8812828500000007</v>
      </c>
      <c r="O218" s="23">
        <f t="shared" si="22"/>
        <v>3.8812828500000007</v>
      </c>
      <c r="Q218" s="23">
        <f ca="1">SUMIF(CPUAUX1!M:M,B216,CPUAUX1!R:R)</f>
        <v>1.5525131400000001</v>
      </c>
      <c r="R218" s="23">
        <f t="shared" ca="1" si="23"/>
        <v>1.5525131400000001</v>
      </c>
    </row>
    <row r="219" spans="1:18" ht="30" customHeight="1" x14ac:dyDescent="0.3">
      <c r="A219" s="23" t="s">
        <v>1025</v>
      </c>
      <c r="B219" s="23">
        <v>43465</v>
      </c>
      <c r="C219" s="23" t="str">
        <f>VLOOKUP(B219,IF(A219="COMPOSICAO",S!$A:$E,I!$A:$E),2,FALSE)</f>
        <v>SINAPI</v>
      </c>
      <c r="D219" s="24" t="str">
        <f>VLOOKUP(B219,IF(A219="COMPOSICAO",S!$A:$E,I!$A:$E),3,FALSE)</f>
        <v>FERRAMENTAS - FAMILIA PEDREIRO - HORISTA (ENCARGOS COMPLEMENTARES - COLETADO CAIXA)</v>
      </c>
      <c r="E219" s="23" t="str">
        <f>VLOOKUP(B219,IF(A219="COMPOSICAO",S!$A:$E,I!$A:$E),4,FALSE)</f>
        <v>H</v>
      </c>
      <c r="F219" s="23">
        <v>1</v>
      </c>
      <c r="G219" s="71">
        <f>IF(A219="COMPOSICAO",VLOOKUP("TOTAL SEM BDI - "&amp;B219,CPUAUX3!$A:$J,9,FALSE),VLOOKUP(B219,I!$A:$E,5,FALSE))</f>
        <v>0.78</v>
      </c>
      <c r="H219" s="72"/>
      <c r="I219" s="71">
        <f t="shared" si="20"/>
        <v>0.78</v>
      </c>
      <c r="J219" s="72"/>
      <c r="M219" s="23">
        <f t="shared" si="21"/>
        <v>43465</v>
      </c>
      <c r="N219" s="23">
        <f>SUMIF(CPUAUX1!M:M,B216,CPUAUX1!O:O)</f>
        <v>3.8812828500000007</v>
      </c>
      <c r="O219" s="23">
        <f t="shared" si="22"/>
        <v>3.8812828500000007</v>
      </c>
      <c r="Q219" s="23">
        <f ca="1">SUMIF(CPUAUX1!M:M,B216,CPUAUX1!R:R)</f>
        <v>1.5525131400000001</v>
      </c>
      <c r="R219" s="23">
        <f t="shared" ca="1" si="23"/>
        <v>1.5525131400000001</v>
      </c>
    </row>
    <row r="220" spans="1:18" ht="30" customHeight="1" x14ac:dyDescent="0.3">
      <c r="A220" s="23" t="s">
        <v>1025</v>
      </c>
      <c r="B220" s="23">
        <v>37373</v>
      </c>
      <c r="C220" s="23" t="str">
        <f>VLOOKUP(B220,IF(A220="COMPOSICAO",S!$A:$E,I!$A:$E),2,FALSE)</f>
        <v>SINAPI</v>
      </c>
      <c r="D220" s="24" t="str">
        <f>VLOOKUP(B220,IF(A220="COMPOSICAO",S!$A:$E,I!$A:$E),3,FALSE)</f>
        <v>SEGURO - HORISTA (COLETADO CAIXA - ENCARGOS COMPLEMENTARES)</v>
      </c>
      <c r="E220" s="23" t="str">
        <f>VLOOKUP(B220,IF(A220="COMPOSICAO",S!$A:$E,I!$A:$E),4,FALSE)</f>
        <v>H</v>
      </c>
      <c r="F220" s="23">
        <v>1</v>
      </c>
      <c r="G220" s="71">
        <f>IF(A220="COMPOSICAO",VLOOKUP("TOTAL SEM BDI - "&amp;B220,CPUAUX3!$A:$J,9,FALSE),VLOOKUP(B220,I!$A:$E,5,FALSE))</f>
        <v>0.08</v>
      </c>
      <c r="H220" s="72"/>
      <c r="I220" s="71">
        <f t="shared" si="20"/>
        <v>0.08</v>
      </c>
      <c r="J220" s="72"/>
      <c r="M220" s="23">
        <f t="shared" si="21"/>
        <v>37373</v>
      </c>
      <c r="N220" s="23">
        <f>SUMIF(CPUAUX1!M:M,B216,CPUAUX1!O:O)</f>
        <v>3.8812828500000007</v>
      </c>
      <c r="O220" s="23">
        <f t="shared" si="22"/>
        <v>3.8812828500000007</v>
      </c>
      <c r="Q220" s="23">
        <f ca="1">SUMIF(CPUAUX1!M:M,B216,CPUAUX1!R:R)</f>
        <v>1.5525131400000001</v>
      </c>
      <c r="R220" s="23">
        <f t="shared" ca="1" si="23"/>
        <v>1.5525131400000001</v>
      </c>
    </row>
    <row r="221" spans="1:18" ht="30" customHeight="1" x14ac:dyDescent="0.3">
      <c r="A221" s="23" t="s">
        <v>1025</v>
      </c>
      <c r="B221" s="23">
        <v>37372</v>
      </c>
      <c r="C221" s="23" t="str">
        <f>VLOOKUP(B221,IF(A221="COMPOSICAO",S!$A:$E,I!$A:$E),2,FALSE)</f>
        <v>SINAPI</v>
      </c>
      <c r="D221" s="24" t="str">
        <f>VLOOKUP(B221,IF(A221="COMPOSICAO",S!$A:$E,I!$A:$E),3,FALSE)</f>
        <v>EXAMES - HORISTA (COLETADO CAIXA - ENCARGOS COMPLEMENTARES)</v>
      </c>
      <c r="E221" s="23" t="str">
        <f>VLOOKUP(B221,IF(A221="COMPOSICAO",S!$A:$E,I!$A:$E),4,FALSE)</f>
        <v>H</v>
      </c>
      <c r="F221" s="23">
        <v>1</v>
      </c>
      <c r="G221" s="71">
        <f>IF(A221="COMPOSICAO",VLOOKUP("TOTAL SEM BDI - "&amp;B221,CPUAUX3!$A:$J,9,FALSE),VLOOKUP(B221,I!$A:$E,5,FALSE))</f>
        <v>1.43</v>
      </c>
      <c r="H221" s="72"/>
      <c r="I221" s="71">
        <f t="shared" si="20"/>
        <v>1.43</v>
      </c>
      <c r="J221" s="72"/>
      <c r="M221" s="23">
        <f t="shared" si="21"/>
        <v>37372</v>
      </c>
      <c r="N221" s="23">
        <f>SUMIF(CPUAUX1!M:M,B216,CPUAUX1!O:O)</f>
        <v>3.8812828500000007</v>
      </c>
      <c r="O221" s="23">
        <f t="shared" si="22"/>
        <v>3.8812828500000007</v>
      </c>
      <c r="Q221" s="23">
        <f ca="1">SUMIF(CPUAUX1!M:M,B216,CPUAUX1!R:R)</f>
        <v>1.5525131400000001</v>
      </c>
      <c r="R221" s="23">
        <f t="shared" ca="1" si="23"/>
        <v>1.5525131400000001</v>
      </c>
    </row>
    <row r="222" spans="1:18" ht="30" customHeight="1" x14ac:dyDescent="0.3">
      <c r="A222" s="23" t="s">
        <v>1025</v>
      </c>
      <c r="B222" s="23">
        <v>37371</v>
      </c>
      <c r="C222" s="23" t="str">
        <f>VLOOKUP(B222,IF(A222="COMPOSICAO",S!$A:$E,I!$A:$E),2,FALSE)</f>
        <v>SINAPI</v>
      </c>
      <c r="D222" s="24" t="str">
        <f>VLOOKUP(B222,IF(A222="COMPOSICAO",S!$A:$E,I!$A:$E),3,FALSE)</f>
        <v>TRANSPORTE - HORISTA (COLETADO CAIXA - ENCARGOS COMPLEMENTARES)</v>
      </c>
      <c r="E222" s="23" t="str">
        <f>VLOOKUP(B222,IF(A222="COMPOSICAO",S!$A:$E,I!$A:$E),4,FALSE)</f>
        <v>H</v>
      </c>
      <c r="F222" s="23">
        <v>1</v>
      </c>
      <c r="G222" s="71">
        <f>IF(A222="COMPOSICAO",VLOOKUP("TOTAL SEM BDI - "&amp;B222,CPUAUX3!$A:$J,9,FALSE),VLOOKUP(B222,I!$A:$E,5,FALSE))</f>
        <v>0.56999999999999995</v>
      </c>
      <c r="H222" s="72"/>
      <c r="I222" s="71">
        <f t="shared" si="20"/>
        <v>0.56999999999999995</v>
      </c>
      <c r="J222" s="72"/>
      <c r="M222" s="23">
        <f t="shared" si="21"/>
        <v>37371</v>
      </c>
      <c r="N222" s="23">
        <f>SUMIF(CPUAUX1!M:M,B216,CPUAUX1!O:O)</f>
        <v>3.8812828500000007</v>
      </c>
      <c r="O222" s="23">
        <f t="shared" si="22"/>
        <v>3.8812828500000007</v>
      </c>
      <c r="Q222" s="23">
        <f ca="1">SUMIF(CPUAUX1!M:M,B216,CPUAUX1!R:R)</f>
        <v>1.5525131400000001</v>
      </c>
      <c r="R222" s="23">
        <f t="shared" ca="1" si="23"/>
        <v>1.5525131400000001</v>
      </c>
    </row>
    <row r="223" spans="1:18" ht="30" customHeight="1" x14ac:dyDescent="0.3">
      <c r="A223" s="23" t="s">
        <v>1025</v>
      </c>
      <c r="B223" s="23">
        <v>37370</v>
      </c>
      <c r="C223" s="23" t="str">
        <f>VLOOKUP(B223,IF(A223="COMPOSICAO",S!$A:$E,I!$A:$E),2,FALSE)</f>
        <v>SINAPI</v>
      </c>
      <c r="D223" s="24" t="str">
        <f>VLOOKUP(B223,IF(A223="COMPOSICAO",S!$A:$E,I!$A:$E),3,FALSE)</f>
        <v>ALIMENTACAO - HORISTA (COLETADO CAIXA - ENCARGOS COMPLEMENTARES)</v>
      </c>
      <c r="E223" s="23" t="str">
        <f>VLOOKUP(B223,IF(A223="COMPOSICAO",S!$A:$E,I!$A:$E),4,FALSE)</f>
        <v>H</v>
      </c>
      <c r="F223" s="23">
        <v>1</v>
      </c>
      <c r="G223" s="71">
        <f>IF(A223="COMPOSICAO",VLOOKUP("TOTAL SEM BDI - "&amp;B223,CPUAUX3!$A:$J,9,FALSE),VLOOKUP(B223,I!$A:$E,5,FALSE))</f>
        <v>2.46</v>
      </c>
      <c r="H223" s="72"/>
      <c r="I223" s="71">
        <f t="shared" si="20"/>
        <v>2.46</v>
      </c>
      <c r="J223" s="72"/>
      <c r="M223" s="23">
        <f t="shared" si="21"/>
        <v>37370</v>
      </c>
      <c r="N223" s="23">
        <f>SUMIF(CPUAUX1!M:M,B216,CPUAUX1!O:O)</f>
        <v>3.8812828500000007</v>
      </c>
      <c r="O223" s="23">
        <f t="shared" si="22"/>
        <v>3.8812828500000007</v>
      </c>
      <c r="Q223" s="23">
        <f ca="1">SUMIF(CPUAUX1!M:M,B216,CPUAUX1!R:R)</f>
        <v>1.5525131400000001</v>
      </c>
      <c r="R223" s="23">
        <f t="shared" ca="1" si="23"/>
        <v>1.5525131400000001</v>
      </c>
    </row>
    <row r="224" spans="1:18" x14ac:dyDescent="0.3">
      <c r="A224" s="23" t="s">
        <v>1025</v>
      </c>
      <c r="B224" s="23">
        <v>378</v>
      </c>
      <c r="C224" s="23" t="str">
        <f>VLOOKUP(B224,IF(A224="COMPOSICAO",S!$A:$E,I!$A:$E),2,FALSE)</f>
        <v>SINAPI</v>
      </c>
      <c r="D224" s="24" t="str">
        <f>VLOOKUP(B224,IF(A224="COMPOSICAO",S!$A:$E,I!$A:$E),3,FALSE)</f>
        <v>ARMADOR (HORISTA)</v>
      </c>
      <c r="E224" s="23" t="str">
        <f>VLOOKUP(B224,IF(A224="COMPOSICAO",S!$A:$E,I!$A:$E),4,FALSE)</f>
        <v>H</v>
      </c>
      <c r="F224" s="23">
        <v>1</v>
      </c>
      <c r="G224" s="71">
        <f>IF(A224="COMPOSICAO",VLOOKUP("TOTAL SEM BDI - "&amp;B224,CPUAUX3!$A:$J,9,FALSE),VLOOKUP(B224,I!$A:$E,5,FALSE))</f>
        <v>20.329999999999998</v>
      </c>
      <c r="H224" s="72"/>
      <c r="I224" s="71">
        <f t="shared" si="20"/>
        <v>20.329999999999998</v>
      </c>
      <c r="J224" s="72"/>
      <c r="M224" s="23">
        <f t="shared" si="21"/>
        <v>378</v>
      </c>
      <c r="N224" s="23">
        <f>SUMIF(CPUAUX1!M:M,B216,CPUAUX1!O:O)</f>
        <v>3.8812828500000007</v>
      </c>
      <c r="O224" s="23">
        <f t="shared" si="22"/>
        <v>3.8812828500000007</v>
      </c>
      <c r="Q224" s="23">
        <f ca="1">SUMIF(CPUAUX1!M:M,B216,CPUAUX1!R:R)</f>
        <v>1.5525131400000001</v>
      </c>
      <c r="R224" s="23">
        <f t="shared" ca="1" si="23"/>
        <v>1.5525131400000001</v>
      </c>
    </row>
    <row r="225" spans="1:18" x14ac:dyDescent="0.3">
      <c r="A225" s="68" t="str">
        <f>"TOTAL SEM BDI - "&amp;B216</f>
        <v>TOTAL SEM BDI - 88245</v>
      </c>
      <c r="B225" s="69"/>
      <c r="C225" s="69"/>
      <c r="D225" s="69"/>
      <c r="E225" s="69"/>
      <c r="F225" s="69"/>
      <c r="G225" s="69"/>
      <c r="H225" s="70"/>
      <c r="I225" s="71">
        <f>SUM(I216:I224)</f>
        <v>27.189999999999998</v>
      </c>
      <c r="J225" s="72"/>
    </row>
    <row r="227" spans="1:18" x14ac:dyDescent="0.3">
      <c r="A227" s="4" t="s">
        <v>1018</v>
      </c>
      <c r="B227" s="4" t="s">
        <v>138</v>
      </c>
      <c r="C227" s="4" t="s">
        <v>139</v>
      </c>
      <c r="D227" s="4" t="s">
        <v>21</v>
      </c>
      <c r="E227" s="4" t="s">
        <v>140</v>
      </c>
      <c r="F227" s="4" t="s">
        <v>506</v>
      </c>
      <c r="G227" s="34" t="s">
        <v>1019</v>
      </c>
      <c r="H227" s="35"/>
      <c r="I227" s="34" t="s">
        <v>15</v>
      </c>
      <c r="J227" s="35"/>
    </row>
    <row r="228" spans="1:18" ht="30" customHeight="1" x14ac:dyDescent="0.3">
      <c r="A228" s="15" t="s">
        <v>1093</v>
      </c>
      <c r="B228" s="15">
        <v>88238</v>
      </c>
      <c r="C228" s="15" t="str">
        <f>VLOOKUP(B228,S!$A:$G,2,FALSE)</f>
        <v>SINAPI</v>
      </c>
      <c r="D228" s="22" t="str">
        <f>VLOOKUP(B228,S!$A:$G,3,FALSE)</f>
        <v>AJUDANTE DE ARMADOR COM ENCARGOS COMPLEMENTARES</v>
      </c>
      <c r="E228" s="15" t="str">
        <f>VLOOKUP(B228,S!$A:$G,4,FALSE)</f>
        <v>H</v>
      </c>
      <c r="F228" s="15"/>
      <c r="G228" s="73">
        <f>I237</f>
        <v>22.37</v>
      </c>
      <c r="H228" s="74"/>
      <c r="I228" s="73"/>
      <c r="J228" s="74"/>
      <c r="K228" s="16">
        <f>VLOOKUP(B228,S!A:G,5,FALSE)</f>
        <v>22.37</v>
      </c>
      <c r="L228" s="15" t="str">
        <f>IF(K228=G228,"OK, CONFORME TABELA",IF(G228&gt;K228,"ACIMA DA TABELA: ","ABAIXO DA TABELA: ")&amp;TRUNC((G228*100)/K228,2)&amp;" %")</f>
        <v>OK, CONFORME TABELA</v>
      </c>
    </row>
    <row r="229" spans="1:18" ht="30" customHeight="1" x14ac:dyDescent="0.3">
      <c r="A229" s="23" t="s">
        <v>1022</v>
      </c>
      <c r="B229" s="23">
        <v>95308</v>
      </c>
      <c r="C229" s="23" t="str">
        <f>VLOOKUP(B229,IF(A229="COMPOSICAO",S!$A:$E,I!$A:$E),2,FALSE)</f>
        <v>SINAPI</v>
      </c>
      <c r="D229" s="24" t="str">
        <f>VLOOKUP(B229,IF(A229="COMPOSICAO",S!$A:$E,I!$A:$E),3,FALSE)</f>
        <v>CURSO DE CAPACITAÇÃO PARA AJUDANTE DE ARMADOR (ENCARGOS COMPLEMENTARES) - HORISTA</v>
      </c>
      <c r="E229" s="23" t="str">
        <f>VLOOKUP(B229,IF(A229="COMPOSICAO",S!$A:$E,I!$A:$E),4,FALSE)</f>
        <v>H</v>
      </c>
      <c r="F229" s="23">
        <v>1</v>
      </c>
      <c r="G229" s="71">
        <f>IF(A229="COMPOSICAO",VLOOKUP("TOTAL SEM BDI - "&amp;B229,CPUAUX3!$A:$J,9,FALSE),VLOOKUP(B229,I!$A:$E,5,FALSE))</f>
        <v>0.17</v>
      </c>
      <c r="H229" s="72"/>
      <c r="I229" s="71">
        <f t="shared" ref="I229:I236" si="24">TRUNC(F229*G229,2)</f>
        <v>0.17</v>
      </c>
      <c r="J229" s="72"/>
      <c r="M229" s="23">
        <f t="shared" ref="M229:M236" si="25">B229</f>
        <v>95308</v>
      </c>
      <c r="N229" s="23">
        <f>SUMIF(CPUAUX1!M:M,B228,CPUAUX1!O:O)</f>
        <v>0.81084896000000006</v>
      </c>
      <c r="O229" s="23">
        <f t="shared" ref="O229:O236" si="26">F229*N229</f>
        <v>0.81084896000000006</v>
      </c>
      <c r="Q229" s="23">
        <f ca="1">SUMIF(CPUAUX1!M:M,B228,CPUAUX1!R:R)</f>
        <v>0.32433958400000007</v>
      </c>
      <c r="R229" s="23">
        <f t="shared" ref="R229:R236" ca="1" si="27">F229*Q229</f>
        <v>0.32433958400000007</v>
      </c>
    </row>
    <row r="230" spans="1:18" ht="30" customHeight="1" x14ac:dyDescent="0.3">
      <c r="A230" s="23" t="s">
        <v>1025</v>
      </c>
      <c r="B230" s="23">
        <v>43489</v>
      </c>
      <c r="C230" s="23" t="str">
        <f>VLOOKUP(B230,IF(A230="COMPOSICAO",S!$A:$E,I!$A:$E),2,FALSE)</f>
        <v>SINAPI</v>
      </c>
      <c r="D230" s="24" t="str">
        <f>VLOOKUP(B230,IF(A230="COMPOSICAO",S!$A:$E,I!$A:$E),3,FALSE)</f>
        <v>EPI - FAMILIA PEDREIRO - HORISTA (ENCARGOS COMPLEMENTARES - COLETADO CAIXA)</v>
      </c>
      <c r="E230" s="23" t="str">
        <f>VLOOKUP(B230,IF(A230="COMPOSICAO",S!$A:$E,I!$A:$E),4,FALSE)</f>
        <v>H</v>
      </c>
      <c r="F230" s="23">
        <v>1</v>
      </c>
      <c r="G230" s="71">
        <f>IF(A230="COMPOSICAO",VLOOKUP("TOTAL SEM BDI - "&amp;B230,CPUAUX3!$A:$J,9,FALSE),VLOOKUP(B230,I!$A:$E,5,FALSE))</f>
        <v>1.31</v>
      </c>
      <c r="H230" s="72"/>
      <c r="I230" s="71">
        <f t="shared" si="24"/>
        <v>1.31</v>
      </c>
      <c r="J230" s="72"/>
      <c r="M230" s="23">
        <f t="shared" si="25"/>
        <v>43489</v>
      </c>
      <c r="N230" s="23">
        <f>SUMIF(CPUAUX1!M:M,B228,CPUAUX1!O:O)</f>
        <v>0.81084896000000006</v>
      </c>
      <c r="O230" s="23">
        <f t="shared" si="26"/>
        <v>0.81084896000000006</v>
      </c>
      <c r="Q230" s="23">
        <f ca="1">SUMIF(CPUAUX1!M:M,B228,CPUAUX1!R:R)</f>
        <v>0.32433958400000007</v>
      </c>
      <c r="R230" s="23">
        <f t="shared" ca="1" si="27"/>
        <v>0.32433958400000007</v>
      </c>
    </row>
    <row r="231" spans="1:18" ht="30" customHeight="1" x14ac:dyDescent="0.3">
      <c r="A231" s="23" t="s">
        <v>1025</v>
      </c>
      <c r="B231" s="23">
        <v>43465</v>
      </c>
      <c r="C231" s="23" t="str">
        <f>VLOOKUP(B231,IF(A231="COMPOSICAO",S!$A:$E,I!$A:$E),2,FALSE)</f>
        <v>SINAPI</v>
      </c>
      <c r="D231" s="24" t="str">
        <f>VLOOKUP(B231,IF(A231="COMPOSICAO",S!$A:$E,I!$A:$E),3,FALSE)</f>
        <v>FERRAMENTAS - FAMILIA PEDREIRO - HORISTA (ENCARGOS COMPLEMENTARES - COLETADO CAIXA)</v>
      </c>
      <c r="E231" s="23" t="str">
        <f>VLOOKUP(B231,IF(A231="COMPOSICAO",S!$A:$E,I!$A:$E),4,FALSE)</f>
        <v>H</v>
      </c>
      <c r="F231" s="23">
        <v>1</v>
      </c>
      <c r="G231" s="71">
        <f>IF(A231="COMPOSICAO",VLOOKUP("TOTAL SEM BDI - "&amp;B231,CPUAUX3!$A:$J,9,FALSE),VLOOKUP(B231,I!$A:$E,5,FALSE))</f>
        <v>0.78</v>
      </c>
      <c r="H231" s="72"/>
      <c r="I231" s="71">
        <f t="shared" si="24"/>
        <v>0.78</v>
      </c>
      <c r="J231" s="72"/>
      <c r="M231" s="23">
        <f t="shared" si="25"/>
        <v>43465</v>
      </c>
      <c r="N231" s="23">
        <f>SUMIF(CPUAUX1!M:M,B228,CPUAUX1!O:O)</f>
        <v>0.81084896000000006</v>
      </c>
      <c r="O231" s="23">
        <f t="shared" si="26"/>
        <v>0.81084896000000006</v>
      </c>
      <c r="Q231" s="23">
        <f ca="1">SUMIF(CPUAUX1!M:M,B228,CPUAUX1!R:R)</f>
        <v>0.32433958400000007</v>
      </c>
      <c r="R231" s="23">
        <f t="shared" ca="1" si="27"/>
        <v>0.32433958400000007</v>
      </c>
    </row>
    <row r="232" spans="1:18" ht="30" customHeight="1" x14ac:dyDescent="0.3">
      <c r="A232" s="23" t="s">
        <v>1025</v>
      </c>
      <c r="B232" s="23">
        <v>37373</v>
      </c>
      <c r="C232" s="23" t="str">
        <f>VLOOKUP(B232,IF(A232="COMPOSICAO",S!$A:$E,I!$A:$E),2,FALSE)</f>
        <v>SINAPI</v>
      </c>
      <c r="D232" s="24" t="str">
        <f>VLOOKUP(B232,IF(A232="COMPOSICAO",S!$A:$E,I!$A:$E),3,FALSE)</f>
        <v>SEGURO - HORISTA (COLETADO CAIXA - ENCARGOS COMPLEMENTARES)</v>
      </c>
      <c r="E232" s="23" t="str">
        <f>VLOOKUP(B232,IF(A232="COMPOSICAO",S!$A:$E,I!$A:$E),4,FALSE)</f>
        <v>H</v>
      </c>
      <c r="F232" s="23">
        <v>1</v>
      </c>
      <c r="G232" s="71">
        <f>IF(A232="COMPOSICAO",VLOOKUP("TOTAL SEM BDI - "&amp;B232,CPUAUX3!$A:$J,9,FALSE),VLOOKUP(B232,I!$A:$E,5,FALSE))</f>
        <v>0.08</v>
      </c>
      <c r="H232" s="72"/>
      <c r="I232" s="71">
        <f t="shared" si="24"/>
        <v>0.08</v>
      </c>
      <c r="J232" s="72"/>
      <c r="M232" s="23">
        <f t="shared" si="25"/>
        <v>37373</v>
      </c>
      <c r="N232" s="23">
        <f>SUMIF(CPUAUX1!M:M,B228,CPUAUX1!O:O)</f>
        <v>0.81084896000000006</v>
      </c>
      <c r="O232" s="23">
        <f t="shared" si="26"/>
        <v>0.81084896000000006</v>
      </c>
      <c r="Q232" s="23">
        <f ca="1">SUMIF(CPUAUX1!M:M,B228,CPUAUX1!R:R)</f>
        <v>0.32433958400000007</v>
      </c>
      <c r="R232" s="23">
        <f t="shared" ca="1" si="27"/>
        <v>0.32433958400000007</v>
      </c>
    </row>
    <row r="233" spans="1:18" ht="30" customHeight="1" x14ac:dyDescent="0.3">
      <c r="A233" s="23" t="s">
        <v>1025</v>
      </c>
      <c r="B233" s="23">
        <v>37372</v>
      </c>
      <c r="C233" s="23" t="str">
        <f>VLOOKUP(B233,IF(A233="COMPOSICAO",S!$A:$E,I!$A:$E),2,FALSE)</f>
        <v>SINAPI</v>
      </c>
      <c r="D233" s="24" t="str">
        <f>VLOOKUP(B233,IF(A233="COMPOSICAO",S!$A:$E,I!$A:$E),3,FALSE)</f>
        <v>EXAMES - HORISTA (COLETADO CAIXA - ENCARGOS COMPLEMENTARES)</v>
      </c>
      <c r="E233" s="23" t="str">
        <f>VLOOKUP(B233,IF(A233="COMPOSICAO",S!$A:$E,I!$A:$E),4,FALSE)</f>
        <v>H</v>
      </c>
      <c r="F233" s="23">
        <v>1</v>
      </c>
      <c r="G233" s="71">
        <f>IF(A233="COMPOSICAO",VLOOKUP("TOTAL SEM BDI - "&amp;B233,CPUAUX3!$A:$J,9,FALSE),VLOOKUP(B233,I!$A:$E,5,FALSE))</f>
        <v>1.43</v>
      </c>
      <c r="H233" s="72"/>
      <c r="I233" s="71">
        <f t="shared" si="24"/>
        <v>1.43</v>
      </c>
      <c r="J233" s="72"/>
      <c r="M233" s="23">
        <f t="shared" si="25"/>
        <v>37372</v>
      </c>
      <c r="N233" s="23">
        <f>SUMIF(CPUAUX1!M:M,B228,CPUAUX1!O:O)</f>
        <v>0.81084896000000006</v>
      </c>
      <c r="O233" s="23">
        <f t="shared" si="26"/>
        <v>0.81084896000000006</v>
      </c>
      <c r="Q233" s="23">
        <f ca="1">SUMIF(CPUAUX1!M:M,B228,CPUAUX1!R:R)</f>
        <v>0.32433958400000007</v>
      </c>
      <c r="R233" s="23">
        <f t="shared" ca="1" si="27"/>
        <v>0.32433958400000007</v>
      </c>
    </row>
    <row r="234" spans="1:18" ht="30" customHeight="1" x14ac:dyDescent="0.3">
      <c r="A234" s="23" t="s">
        <v>1025</v>
      </c>
      <c r="B234" s="23">
        <v>37371</v>
      </c>
      <c r="C234" s="23" t="str">
        <f>VLOOKUP(B234,IF(A234="COMPOSICAO",S!$A:$E,I!$A:$E),2,FALSE)</f>
        <v>SINAPI</v>
      </c>
      <c r="D234" s="24" t="str">
        <f>VLOOKUP(B234,IF(A234="COMPOSICAO",S!$A:$E,I!$A:$E),3,FALSE)</f>
        <v>TRANSPORTE - HORISTA (COLETADO CAIXA - ENCARGOS COMPLEMENTARES)</v>
      </c>
      <c r="E234" s="23" t="str">
        <f>VLOOKUP(B234,IF(A234="COMPOSICAO",S!$A:$E,I!$A:$E),4,FALSE)</f>
        <v>H</v>
      </c>
      <c r="F234" s="23">
        <v>1</v>
      </c>
      <c r="G234" s="71">
        <f>IF(A234="COMPOSICAO",VLOOKUP("TOTAL SEM BDI - "&amp;B234,CPUAUX3!$A:$J,9,FALSE),VLOOKUP(B234,I!$A:$E,5,FALSE))</f>
        <v>0.56999999999999995</v>
      </c>
      <c r="H234" s="72"/>
      <c r="I234" s="71">
        <f t="shared" si="24"/>
        <v>0.56999999999999995</v>
      </c>
      <c r="J234" s="72"/>
      <c r="M234" s="23">
        <f t="shared" si="25"/>
        <v>37371</v>
      </c>
      <c r="N234" s="23">
        <f>SUMIF(CPUAUX1!M:M,B228,CPUAUX1!O:O)</f>
        <v>0.81084896000000006</v>
      </c>
      <c r="O234" s="23">
        <f t="shared" si="26"/>
        <v>0.81084896000000006</v>
      </c>
      <c r="Q234" s="23">
        <f ca="1">SUMIF(CPUAUX1!M:M,B228,CPUAUX1!R:R)</f>
        <v>0.32433958400000007</v>
      </c>
      <c r="R234" s="23">
        <f t="shared" ca="1" si="27"/>
        <v>0.32433958400000007</v>
      </c>
    </row>
    <row r="235" spans="1:18" ht="30" customHeight="1" x14ac:dyDescent="0.3">
      <c r="A235" s="23" t="s">
        <v>1025</v>
      </c>
      <c r="B235" s="23">
        <v>37370</v>
      </c>
      <c r="C235" s="23" t="str">
        <f>VLOOKUP(B235,IF(A235="COMPOSICAO",S!$A:$E,I!$A:$E),2,FALSE)</f>
        <v>SINAPI</v>
      </c>
      <c r="D235" s="24" t="str">
        <f>VLOOKUP(B235,IF(A235="COMPOSICAO",S!$A:$E,I!$A:$E),3,FALSE)</f>
        <v>ALIMENTACAO - HORISTA (COLETADO CAIXA - ENCARGOS COMPLEMENTARES)</v>
      </c>
      <c r="E235" s="23" t="str">
        <f>VLOOKUP(B235,IF(A235="COMPOSICAO",S!$A:$E,I!$A:$E),4,FALSE)</f>
        <v>H</v>
      </c>
      <c r="F235" s="23">
        <v>1</v>
      </c>
      <c r="G235" s="71">
        <f>IF(A235="COMPOSICAO",VLOOKUP("TOTAL SEM BDI - "&amp;B235,CPUAUX3!$A:$J,9,FALSE),VLOOKUP(B235,I!$A:$E,5,FALSE))</f>
        <v>2.46</v>
      </c>
      <c r="H235" s="72"/>
      <c r="I235" s="71">
        <f t="shared" si="24"/>
        <v>2.46</v>
      </c>
      <c r="J235" s="72"/>
      <c r="M235" s="23">
        <f t="shared" si="25"/>
        <v>37370</v>
      </c>
      <c r="N235" s="23">
        <f>SUMIF(CPUAUX1!M:M,B228,CPUAUX1!O:O)</f>
        <v>0.81084896000000006</v>
      </c>
      <c r="O235" s="23">
        <f t="shared" si="26"/>
        <v>0.81084896000000006</v>
      </c>
      <c r="Q235" s="23">
        <f ca="1">SUMIF(CPUAUX1!M:M,B228,CPUAUX1!R:R)</f>
        <v>0.32433958400000007</v>
      </c>
      <c r="R235" s="23">
        <f t="shared" ca="1" si="27"/>
        <v>0.32433958400000007</v>
      </c>
    </row>
    <row r="236" spans="1:18" x14ac:dyDescent="0.3">
      <c r="A236" s="23" t="s">
        <v>1025</v>
      </c>
      <c r="B236" s="23">
        <v>6114</v>
      </c>
      <c r="C236" s="23" t="str">
        <f>VLOOKUP(B236,IF(A236="COMPOSICAO",S!$A:$E,I!$A:$E),2,FALSE)</f>
        <v>SINAPI</v>
      </c>
      <c r="D236" s="24" t="str">
        <f>VLOOKUP(B236,IF(A236="COMPOSICAO",S!$A:$E,I!$A:$E),3,FALSE)</f>
        <v>AJUDANTE DE ARMADOR (HORISTA)</v>
      </c>
      <c r="E236" s="23" t="str">
        <f>VLOOKUP(B236,IF(A236="COMPOSICAO",S!$A:$E,I!$A:$E),4,FALSE)</f>
        <v>H</v>
      </c>
      <c r="F236" s="23">
        <v>1</v>
      </c>
      <c r="G236" s="71">
        <f>IF(A236="COMPOSICAO",VLOOKUP("TOTAL SEM BDI - "&amp;B236,CPUAUX3!$A:$J,9,FALSE),VLOOKUP(B236,I!$A:$E,5,FALSE))</f>
        <v>15.57</v>
      </c>
      <c r="H236" s="72"/>
      <c r="I236" s="71">
        <f t="shared" si="24"/>
        <v>15.57</v>
      </c>
      <c r="J236" s="72"/>
      <c r="M236" s="23">
        <f t="shared" si="25"/>
        <v>6114</v>
      </c>
      <c r="N236" s="23">
        <f>SUMIF(CPUAUX1!M:M,B228,CPUAUX1!O:O)</f>
        <v>0.81084896000000006</v>
      </c>
      <c r="O236" s="23">
        <f t="shared" si="26"/>
        <v>0.81084896000000006</v>
      </c>
      <c r="Q236" s="23">
        <f ca="1">SUMIF(CPUAUX1!M:M,B228,CPUAUX1!R:R)</f>
        <v>0.32433958400000007</v>
      </c>
      <c r="R236" s="23">
        <f t="shared" ca="1" si="27"/>
        <v>0.32433958400000007</v>
      </c>
    </row>
    <row r="237" spans="1:18" x14ac:dyDescent="0.3">
      <c r="A237" s="68" t="str">
        <f>"TOTAL SEM BDI - "&amp;B228</f>
        <v>TOTAL SEM BDI - 88238</v>
      </c>
      <c r="B237" s="69"/>
      <c r="C237" s="69"/>
      <c r="D237" s="69"/>
      <c r="E237" s="69"/>
      <c r="F237" s="69"/>
      <c r="G237" s="69"/>
      <c r="H237" s="70"/>
      <c r="I237" s="71">
        <f>SUM(I228:I236)</f>
        <v>22.37</v>
      </c>
      <c r="J237" s="72"/>
    </row>
    <row r="239" spans="1:18" x14ac:dyDescent="0.3">
      <c r="A239" s="4" t="s">
        <v>1018</v>
      </c>
      <c r="B239" s="4" t="s">
        <v>138</v>
      </c>
      <c r="C239" s="4" t="s">
        <v>139</v>
      </c>
      <c r="D239" s="4" t="s">
        <v>21</v>
      </c>
      <c r="E239" s="4" t="s">
        <v>140</v>
      </c>
      <c r="F239" s="4" t="s">
        <v>506</v>
      </c>
      <c r="G239" s="34" t="s">
        <v>1019</v>
      </c>
      <c r="H239" s="35"/>
      <c r="I239" s="34" t="s">
        <v>15</v>
      </c>
      <c r="J239" s="35"/>
    </row>
    <row r="240" spans="1:18" ht="45" customHeight="1" x14ac:dyDescent="0.3">
      <c r="A240" s="15" t="s">
        <v>1098</v>
      </c>
      <c r="B240" s="15">
        <v>90587</v>
      </c>
      <c r="C240" s="15" t="str">
        <f>VLOOKUP(B240,S!$A:$G,2,FALSE)</f>
        <v>SINAPI</v>
      </c>
      <c r="D240" s="22" t="str">
        <f>VLOOKUP(B240,S!$A:$G,3,FALSE)</f>
        <v>VIBRADOR DE IMERSÃO, DIÂMETRO DE PONTEIRA 45MM, MOTOR ELÉTRICO TRIFÁSICO POTÊNCIA DE 2 CV - CHI DIURNO. AF_06/2015</v>
      </c>
      <c r="E240" s="15" t="str">
        <f>VLOOKUP(B240,S!$A:$G,4,FALSE)</f>
        <v>CHI</v>
      </c>
      <c r="F240" s="15"/>
      <c r="G240" s="73">
        <f>I243</f>
        <v>0.48</v>
      </c>
      <c r="H240" s="74"/>
      <c r="I240" s="73"/>
      <c r="J240" s="74"/>
      <c r="K240" s="16">
        <f>VLOOKUP(B240,S!A:G,5,FALSE)</f>
        <v>0.48</v>
      </c>
      <c r="L240" s="15" t="str">
        <f>IF(K240=G240,"OK, CONFORME TABELA",IF(G240&gt;K240,"ACIMA DA TABELA: ","ABAIXO DA TABELA: ")&amp;TRUNC((G240*100)/K240,2)&amp;" %")</f>
        <v>OK, CONFORME TABELA</v>
      </c>
    </row>
    <row r="241" spans="1:18" ht="45" customHeight="1" x14ac:dyDescent="0.3">
      <c r="A241" s="23" t="s">
        <v>1022</v>
      </c>
      <c r="B241" s="23">
        <v>90583</v>
      </c>
      <c r="C241" s="23" t="str">
        <f>VLOOKUP(B241,IF(A241="COMPOSICAO",S!$A:$E,I!$A:$E),2,FALSE)</f>
        <v>SINAPI</v>
      </c>
      <c r="D241" s="24" t="str">
        <f>VLOOKUP(B241,IF(A241="COMPOSICAO",S!$A:$E,I!$A:$E),3,FALSE)</f>
        <v>VIBRADOR DE IMERSÃO, DIÂMETRO DE PONTEIRA 45MM, MOTOR ELÉTRICO TRIFÁSICO POTÊNCIA DE 2 CV - JUROS. AF_06/2015</v>
      </c>
      <c r="E241" s="23" t="str">
        <f>VLOOKUP(B241,IF(A241="COMPOSICAO",S!$A:$E,I!$A:$E),4,FALSE)</f>
        <v>H</v>
      </c>
      <c r="F241" s="23">
        <v>1</v>
      </c>
      <c r="G241" s="71">
        <f>IF(A241="COMPOSICAO",VLOOKUP("TOTAL SEM BDI - "&amp;B241,CPUAUX3!$A:$J,9,FALSE),VLOOKUP(B241,I!$A:$E,5,FALSE))</f>
        <v>0.09</v>
      </c>
      <c r="H241" s="72"/>
      <c r="I241" s="71">
        <f>TRUNC(F241*G241,2)</f>
        <v>0.09</v>
      </c>
      <c r="J241" s="72"/>
      <c r="M241" s="23">
        <f>B241</f>
        <v>90583</v>
      </c>
      <c r="N241" s="23">
        <f>SUMIF(CPUAUX1!M:M,B240,CPUAUX1!O:O)</f>
        <v>2.4082500000000003E-2</v>
      </c>
      <c r="O241" s="23">
        <f>F241*N241</f>
        <v>2.4082500000000003E-2</v>
      </c>
      <c r="Q241" s="23">
        <f ca="1">SUMIF(CPUAUX1!M:M,B240,CPUAUX1!R:R)</f>
        <v>9.6330000000000027E-3</v>
      </c>
      <c r="R241" s="23">
        <f ca="1">F241*Q241</f>
        <v>9.6330000000000027E-3</v>
      </c>
    </row>
    <row r="242" spans="1:18" ht="45" customHeight="1" x14ac:dyDescent="0.3">
      <c r="A242" s="23" t="s">
        <v>1022</v>
      </c>
      <c r="B242" s="23">
        <v>90582</v>
      </c>
      <c r="C242" s="23" t="str">
        <f>VLOOKUP(B242,IF(A242="COMPOSICAO",S!$A:$E,I!$A:$E),2,FALSE)</f>
        <v>SINAPI</v>
      </c>
      <c r="D242" s="24" t="str">
        <f>VLOOKUP(B242,IF(A242="COMPOSICAO",S!$A:$E,I!$A:$E),3,FALSE)</f>
        <v>VIBRADOR DE IMERSÃO, DIÂMETRO DE PONTEIRA 45MM, MOTOR ELÉTRICO TRIFÁSICO POTÊNCIA DE 2 CV - DEPRECIAÇÃO. AF_06/2015</v>
      </c>
      <c r="E242" s="23" t="str">
        <f>VLOOKUP(B242,IF(A242="COMPOSICAO",S!$A:$E,I!$A:$E),4,FALSE)</f>
        <v>H</v>
      </c>
      <c r="F242" s="23">
        <v>1</v>
      </c>
      <c r="G242" s="71">
        <f>IF(A242="COMPOSICAO",VLOOKUP("TOTAL SEM BDI - "&amp;B242,CPUAUX3!$A:$J,9,FALSE),VLOOKUP(B242,I!$A:$E,5,FALSE))</f>
        <v>0.39</v>
      </c>
      <c r="H242" s="72"/>
      <c r="I242" s="71">
        <f>TRUNC(F242*G242,2)</f>
        <v>0.39</v>
      </c>
      <c r="J242" s="72"/>
      <c r="M242" s="23">
        <f>B242</f>
        <v>90582</v>
      </c>
      <c r="N242" s="23">
        <f>SUMIF(CPUAUX1!M:M,B240,CPUAUX1!O:O)</f>
        <v>2.4082500000000003E-2</v>
      </c>
      <c r="O242" s="23">
        <f>F242*N242</f>
        <v>2.4082500000000003E-2</v>
      </c>
      <c r="Q242" s="23">
        <f ca="1">SUMIF(CPUAUX1!M:M,B240,CPUAUX1!R:R)</f>
        <v>9.6330000000000027E-3</v>
      </c>
      <c r="R242" s="23">
        <f ca="1">F242*Q242</f>
        <v>9.6330000000000027E-3</v>
      </c>
    </row>
    <row r="243" spans="1:18" x14ac:dyDescent="0.3">
      <c r="A243" s="68" t="str">
        <f>"TOTAL SEM BDI - "&amp;B240</f>
        <v>TOTAL SEM BDI - 90587</v>
      </c>
      <c r="B243" s="69"/>
      <c r="C243" s="69"/>
      <c r="D243" s="69"/>
      <c r="E243" s="69"/>
      <c r="F243" s="69"/>
      <c r="G243" s="69"/>
      <c r="H243" s="70"/>
      <c r="I243" s="71">
        <f>SUM(I240:I242)</f>
        <v>0.48</v>
      </c>
      <c r="J243" s="72"/>
    </row>
    <row r="245" spans="1:18" x14ac:dyDescent="0.3">
      <c r="A245" s="4" t="s">
        <v>1018</v>
      </c>
      <c r="B245" s="4" t="s">
        <v>138</v>
      </c>
      <c r="C245" s="4" t="s">
        <v>139</v>
      </c>
      <c r="D245" s="4" t="s">
        <v>21</v>
      </c>
      <c r="E245" s="4" t="s">
        <v>140</v>
      </c>
      <c r="F245" s="4" t="s">
        <v>506</v>
      </c>
      <c r="G245" s="34" t="s">
        <v>1019</v>
      </c>
      <c r="H245" s="35"/>
      <c r="I245" s="34" t="s">
        <v>15</v>
      </c>
      <c r="J245" s="35"/>
    </row>
    <row r="246" spans="1:18" ht="45" customHeight="1" x14ac:dyDescent="0.3">
      <c r="A246" s="15" t="s">
        <v>1098</v>
      </c>
      <c r="B246" s="15">
        <v>90586</v>
      </c>
      <c r="C246" s="15" t="str">
        <f>VLOOKUP(B246,S!$A:$G,2,FALSE)</f>
        <v>SINAPI</v>
      </c>
      <c r="D246" s="22" t="str">
        <f>VLOOKUP(B246,S!$A:$G,3,FALSE)</f>
        <v>VIBRADOR DE IMERSÃO, DIÂMETRO DE PONTEIRA 45MM, MOTOR ELÉTRICO TRIFÁSICO POTÊNCIA DE 2 CV - CHP DIURNO. AF_06/2015</v>
      </c>
      <c r="E246" s="15" t="str">
        <f>VLOOKUP(B246,S!$A:$G,4,FALSE)</f>
        <v>CHP</v>
      </c>
      <c r="F246" s="15"/>
      <c r="G246" s="73">
        <f>I251</f>
        <v>1.3599999999999999</v>
      </c>
      <c r="H246" s="74"/>
      <c r="I246" s="73"/>
      <c r="J246" s="74"/>
      <c r="K246" s="16">
        <f>VLOOKUP(B246,S!A:G,5,FALSE)</f>
        <v>1.36</v>
      </c>
      <c r="L246" s="15" t="str">
        <f>IF(K246=G246,"OK, CONFORME TABELA",IF(G246&gt;K246,"ACIMA DA TABELA: ","ABAIXO DA TABELA: ")&amp;TRUNC((G246*100)/K246,2)&amp;" %")</f>
        <v>OK, CONFORME TABELA</v>
      </c>
    </row>
    <row r="247" spans="1:18" ht="45" customHeight="1" x14ac:dyDescent="0.3">
      <c r="A247" s="23" t="s">
        <v>1022</v>
      </c>
      <c r="B247" s="23">
        <v>90585</v>
      </c>
      <c r="C247" s="23" t="str">
        <f>VLOOKUP(B247,IF(A247="COMPOSICAO",S!$A:$E,I!$A:$E),2,FALSE)</f>
        <v>SINAPI</v>
      </c>
      <c r="D247" s="24" t="str">
        <f>VLOOKUP(B247,IF(A247="COMPOSICAO",S!$A:$E,I!$A:$E),3,FALSE)</f>
        <v>VIBRADOR DE IMERSÃO, DIÂMETRO DE PONTEIRA 45MM, MOTOR ELÉTRICO TRIFÁSICO POTÊNCIA DE 2 CV - MATERIAIS NA OPERAÇÃO. AF_06/2015</v>
      </c>
      <c r="E247" s="23" t="str">
        <f>VLOOKUP(B247,IF(A247="COMPOSICAO",S!$A:$E,I!$A:$E),4,FALSE)</f>
        <v>H</v>
      </c>
      <c r="F247" s="23">
        <v>1</v>
      </c>
      <c r="G247" s="71">
        <f>IF(A247="COMPOSICAO",VLOOKUP("TOTAL SEM BDI - "&amp;B247,CPUAUX3!$A:$J,9,FALSE),VLOOKUP(B247,I!$A:$E,5,FALSE))</f>
        <v>0.56999999999999995</v>
      </c>
      <c r="H247" s="72"/>
      <c r="I247" s="71">
        <f>TRUNC(F247*G247,2)</f>
        <v>0.56999999999999995</v>
      </c>
      <c r="J247" s="72"/>
      <c r="M247" s="23">
        <f>B247</f>
        <v>90585</v>
      </c>
      <c r="N247" s="23">
        <f>SUMIF(CPUAUX1!M:M,B246,CPUAUX1!O:O)</f>
        <v>1.7413500000000002E-2</v>
      </c>
      <c r="O247" s="23">
        <f>F247*N247</f>
        <v>1.7413500000000002E-2</v>
      </c>
      <c r="Q247" s="23">
        <f ca="1">SUMIF(CPUAUX1!M:M,B246,CPUAUX1!R:R)</f>
        <v>6.9654000000000009E-3</v>
      </c>
      <c r="R247" s="23">
        <f ca="1">F247*Q247</f>
        <v>6.9654000000000009E-3</v>
      </c>
    </row>
    <row r="248" spans="1:18" ht="45" customHeight="1" x14ac:dyDescent="0.3">
      <c r="A248" s="23" t="s">
        <v>1022</v>
      </c>
      <c r="B248" s="23">
        <v>90584</v>
      </c>
      <c r="C248" s="23" t="str">
        <f>VLOOKUP(B248,IF(A248="COMPOSICAO",S!$A:$E,I!$A:$E),2,FALSE)</f>
        <v>SINAPI</v>
      </c>
      <c r="D248" s="24" t="str">
        <f>VLOOKUP(B248,IF(A248="COMPOSICAO",S!$A:$E,I!$A:$E),3,FALSE)</f>
        <v>VIBRADOR DE IMERSÃO, DIÂMETRO DE PONTEIRA 45MM, MOTOR ELÉTRICO TRIFÁSICO POTÊNCIA DE 2 CV - MANUTENÇÃO. AF_06/2015</v>
      </c>
      <c r="E248" s="23" t="str">
        <f>VLOOKUP(B248,IF(A248="COMPOSICAO",S!$A:$E,I!$A:$E),4,FALSE)</f>
        <v>H</v>
      </c>
      <c r="F248" s="23">
        <v>1</v>
      </c>
      <c r="G248" s="71">
        <f>IF(A248="COMPOSICAO",VLOOKUP("TOTAL SEM BDI - "&amp;B248,CPUAUX3!$A:$J,9,FALSE),VLOOKUP(B248,I!$A:$E,5,FALSE))</f>
        <v>0.31</v>
      </c>
      <c r="H248" s="72"/>
      <c r="I248" s="71">
        <f>TRUNC(F248*G248,2)</f>
        <v>0.31</v>
      </c>
      <c r="J248" s="72"/>
      <c r="M248" s="23">
        <f>B248</f>
        <v>90584</v>
      </c>
      <c r="N248" s="23">
        <f>SUMIF(CPUAUX1!M:M,B246,CPUAUX1!O:O)</f>
        <v>1.7413500000000002E-2</v>
      </c>
      <c r="O248" s="23">
        <f>F248*N248</f>
        <v>1.7413500000000002E-2</v>
      </c>
      <c r="Q248" s="23">
        <f ca="1">SUMIF(CPUAUX1!M:M,B246,CPUAUX1!R:R)</f>
        <v>6.9654000000000009E-3</v>
      </c>
      <c r="R248" s="23">
        <f ca="1">F248*Q248</f>
        <v>6.9654000000000009E-3</v>
      </c>
    </row>
    <row r="249" spans="1:18" ht="45" customHeight="1" x14ac:dyDescent="0.3">
      <c r="A249" s="23" t="s">
        <v>1022</v>
      </c>
      <c r="B249" s="23">
        <v>90583</v>
      </c>
      <c r="C249" s="23" t="str">
        <f>VLOOKUP(B249,IF(A249="COMPOSICAO",S!$A:$E,I!$A:$E),2,FALSE)</f>
        <v>SINAPI</v>
      </c>
      <c r="D249" s="24" t="str">
        <f>VLOOKUP(B249,IF(A249="COMPOSICAO",S!$A:$E,I!$A:$E),3,FALSE)</f>
        <v>VIBRADOR DE IMERSÃO, DIÂMETRO DE PONTEIRA 45MM, MOTOR ELÉTRICO TRIFÁSICO POTÊNCIA DE 2 CV - JUROS. AF_06/2015</v>
      </c>
      <c r="E249" s="23" t="str">
        <f>VLOOKUP(B249,IF(A249="COMPOSICAO",S!$A:$E,I!$A:$E),4,FALSE)</f>
        <v>H</v>
      </c>
      <c r="F249" s="23">
        <v>1</v>
      </c>
      <c r="G249" s="71">
        <f>IF(A249="COMPOSICAO",VLOOKUP("TOTAL SEM BDI - "&amp;B249,CPUAUX3!$A:$J,9,FALSE),VLOOKUP(B249,I!$A:$E,5,FALSE))</f>
        <v>0.09</v>
      </c>
      <c r="H249" s="72"/>
      <c r="I249" s="71">
        <f>TRUNC(F249*G249,2)</f>
        <v>0.09</v>
      </c>
      <c r="J249" s="72"/>
      <c r="M249" s="23">
        <f>B249</f>
        <v>90583</v>
      </c>
      <c r="N249" s="23">
        <f>SUMIF(CPUAUX1!M:M,B246,CPUAUX1!O:O)</f>
        <v>1.7413500000000002E-2</v>
      </c>
      <c r="O249" s="23">
        <f>F249*N249</f>
        <v>1.7413500000000002E-2</v>
      </c>
      <c r="Q249" s="23">
        <f ca="1">SUMIF(CPUAUX1!M:M,B246,CPUAUX1!R:R)</f>
        <v>6.9654000000000009E-3</v>
      </c>
      <c r="R249" s="23">
        <f ca="1">F249*Q249</f>
        <v>6.9654000000000009E-3</v>
      </c>
    </row>
    <row r="250" spans="1:18" ht="45" customHeight="1" x14ac:dyDescent="0.3">
      <c r="A250" s="23" t="s">
        <v>1022</v>
      </c>
      <c r="B250" s="23">
        <v>90582</v>
      </c>
      <c r="C250" s="23" t="str">
        <f>VLOOKUP(B250,IF(A250="COMPOSICAO",S!$A:$E,I!$A:$E),2,FALSE)</f>
        <v>SINAPI</v>
      </c>
      <c r="D250" s="24" t="str">
        <f>VLOOKUP(B250,IF(A250="COMPOSICAO",S!$A:$E,I!$A:$E),3,FALSE)</f>
        <v>VIBRADOR DE IMERSÃO, DIÂMETRO DE PONTEIRA 45MM, MOTOR ELÉTRICO TRIFÁSICO POTÊNCIA DE 2 CV - DEPRECIAÇÃO. AF_06/2015</v>
      </c>
      <c r="E250" s="23" t="str">
        <f>VLOOKUP(B250,IF(A250="COMPOSICAO",S!$A:$E,I!$A:$E),4,FALSE)</f>
        <v>H</v>
      </c>
      <c r="F250" s="23">
        <v>1</v>
      </c>
      <c r="G250" s="71">
        <f>IF(A250="COMPOSICAO",VLOOKUP("TOTAL SEM BDI - "&amp;B250,CPUAUX3!$A:$J,9,FALSE),VLOOKUP(B250,I!$A:$E,5,FALSE))</f>
        <v>0.39</v>
      </c>
      <c r="H250" s="72"/>
      <c r="I250" s="71">
        <f>TRUNC(F250*G250,2)</f>
        <v>0.39</v>
      </c>
      <c r="J250" s="72"/>
      <c r="M250" s="23">
        <f>B250</f>
        <v>90582</v>
      </c>
      <c r="N250" s="23">
        <f>SUMIF(CPUAUX1!M:M,B246,CPUAUX1!O:O)</f>
        <v>1.7413500000000002E-2</v>
      </c>
      <c r="O250" s="23">
        <f>F250*N250</f>
        <v>1.7413500000000002E-2</v>
      </c>
      <c r="Q250" s="23">
        <f ca="1">SUMIF(CPUAUX1!M:M,B246,CPUAUX1!R:R)</f>
        <v>6.9654000000000009E-3</v>
      </c>
      <c r="R250" s="23">
        <f ca="1">F250*Q250</f>
        <v>6.9654000000000009E-3</v>
      </c>
    </row>
    <row r="251" spans="1:18" x14ac:dyDescent="0.3">
      <c r="A251" s="68" t="str">
        <f>"TOTAL SEM BDI - "&amp;B246</f>
        <v>TOTAL SEM BDI - 90586</v>
      </c>
      <c r="B251" s="69"/>
      <c r="C251" s="69"/>
      <c r="D251" s="69"/>
      <c r="E251" s="69"/>
      <c r="F251" s="69"/>
      <c r="G251" s="69"/>
      <c r="H251" s="70"/>
      <c r="I251" s="71">
        <f>SUM(I246:I250)</f>
        <v>1.3599999999999999</v>
      </c>
      <c r="J251" s="72"/>
    </row>
    <row r="253" spans="1:18" x14ac:dyDescent="0.3">
      <c r="A253" s="4" t="s">
        <v>1018</v>
      </c>
      <c r="B253" s="4" t="s">
        <v>138</v>
      </c>
      <c r="C253" s="4" t="s">
        <v>139</v>
      </c>
      <c r="D253" s="4" t="s">
        <v>21</v>
      </c>
      <c r="E253" s="4" t="s">
        <v>140</v>
      </c>
      <c r="F253" s="4" t="s">
        <v>506</v>
      </c>
      <c r="G253" s="34" t="s">
        <v>1019</v>
      </c>
      <c r="H253" s="35"/>
      <c r="I253" s="34" t="s">
        <v>15</v>
      </c>
      <c r="J253" s="35"/>
    </row>
    <row r="254" spans="1:18" x14ac:dyDescent="0.3">
      <c r="A254" s="15" t="s">
        <v>1093</v>
      </c>
      <c r="B254" s="15">
        <v>88309</v>
      </c>
      <c r="C254" s="15" t="str">
        <f>VLOOKUP(B254,S!$A:$G,2,FALSE)</f>
        <v>SINAPI</v>
      </c>
      <c r="D254" s="22" t="str">
        <f>VLOOKUP(B254,S!$A:$G,3,FALSE)</f>
        <v>PEDREIRO COM ENCARGOS COMPLEMENTARES</v>
      </c>
      <c r="E254" s="15" t="str">
        <f>VLOOKUP(B254,S!$A:$G,4,FALSE)</f>
        <v>H</v>
      </c>
      <c r="F254" s="15"/>
      <c r="G254" s="73">
        <f>I263</f>
        <v>27.39</v>
      </c>
      <c r="H254" s="74"/>
      <c r="I254" s="73"/>
      <c r="J254" s="74"/>
      <c r="K254" s="16">
        <f>VLOOKUP(B254,S!A:G,5,FALSE)</f>
        <v>27.39</v>
      </c>
      <c r="L254" s="15" t="str">
        <f>IF(K254=G254,"OK, CONFORME TABELA",IF(G254&gt;K254,"ACIMA DA TABELA: ","ABAIXO DA TABELA: ")&amp;TRUNC((G254*100)/K254,2)&amp;" %")</f>
        <v>OK, CONFORME TABELA</v>
      </c>
    </row>
    <row r="255" spans="1:18" ht="30" customHeight="1" x14ac:dyDescent="0.3">
      <c r="A255" s="23" t="s">
        <v>1022</v>
      </c>
      <c r="B255" s="23">
        <v>95371</v>
      </c>
      <c r="C255" s="23" t="str">
        <f>VLOOKUP(B255,IF(A255="COMPOSICAO",S!$A:$E,I!$A:$E),2,FALSE)</f>
        <v>SINAPI</v>
      </c>
      <c r="D255" s="24" t="str">
        <f>VLOOKUP(B255,IF(A255="COMPOSICAO",S!$A:$E,I!$A:$E),3,FALSE)</f>
        <v>CURSO DE CAPACITAÇÃO PARA PEDREIRO (ENCARGOS COMPLEMENTARES) - HORISTA</v>
      </c>
      <c r="E255" s="23" t="str">
        <f>VLOOKUP(B255,IF(A255="COMPOSICAO",S!$A:$E,I!$A:$E),4,FALSE)</f>
        <v>H</v>
      </c>
      <c r="F255" s="23">
        <v>1</v>
      </c>
      <c r="G255" s="71">
        <f>IF(A255="COMPOSICAO",VLOOKUP("TOTAL SEM BDI - "&amp;B255,CPUAUX3!$A:$J,9,FALSE),VLOOKUP(B255,I!$A:$E,5,FALSE))</f>
        <v>0.43</v>
      </c>
      <c r="H255" s="72"/>
      <c r="I255" s="71">
        <f t="shared" ref="I255:I262" si="28">TRUNC(F255*G255,2)</f>
        <v>0.43</v>
      </c>
      <c r="J255" s="72"/>
      <c r="M255" s="23">
        <f t="shared" ref="M255:M262" si="29">B255</f>
        <v>95371</v>
      </c>
      <c r="N255" s="23">
        <f>SUMIF(CPUAUX1!M:M,B254,CPUAUX1!O:O)</f>
        <v>4.1496000000000005E-2</v>
      </c>
      <c r="O255" s="23">
        <f t="shared" ref="O255:O262" si="30">F255*N255</f>
        <v>4.1496000000000005E-2</v>
      </c>
      <c r="Q255" s="23">
        <f ca="1">SUMIF(CPUAUX1!M:M,B254,CPUAUX1!R:R)</f>
        <v>1.6598400000000003E-2</v>
      </c>
      <c r="R255" s="23">
        <f t="shared" ref="R255:R262" ca="1" si="31">F255*Q255</f>
        <v>1.6598400000000003E-2</v>
      </c>
    </row>
    <row r="256" spans="1:18" ht="30" customHeight="1" x14ac:dyDescent="0.3">
      <c r="A256" s="23" t="s">
        <v>1025</v>
      </c>
      <c r="B256" s="23">
        <v>43489</v>
      </c>
      <c r="C256" s="23" t="str">
        <f>VLOOKUP(B256,IF(A256="COMPOSICAO",S!$A:$E,I!$A:$E),2,FALSE)</f>
        <v>SINAPI</v>
      </c>
      <c r="D256" s="24" t="str">
        <f>VLOOKUP(B256,IF(A256="COMPOSICAO",S!$A:$E,I!$A:$E),3,FALSE)</f>
        <v>EPI - FAMILIA PEDREIRO - HORISTA (ENCARGOS COMPLEMENTARES - COLETADO CAIXA)</v>
      </c>
      <c r="E256" s="23" t="str">
        <f>VLOOKUP(B256,IF(A256="COMPOSICAO",S!$A:$E,I!$A:$E),4,FALSE)</f>
        <v>H</v>
      </c>
      <c r="F256" s="23">
        <v>1</v>
      </c>
      <c r="G256" s="71">
        <f>IF(A256="COMPOSICAO",VLOOKUP("TOTAL SEM BDI - "&amp;B256,CPUAUX3!$A:$J,9,FALSE),VLOOKUP(B256,I!$A:$E,5,FALSE))</f>
        <v>1.31</v>
      </c>
      <c r="H256" s="72"/>
      <c r="I256" s="71">
        <f t="shared" si="28"/>
        <v>1.31</v>
      </c>
      <c r="J256" s="72"/>
      <c r="M256" s="23">
        <f t="shared" si="29"/>
        <v>43489</v>
      </c>
      <c r="N256" s="23">
        <f>SUMIF(CPUAUX1!M:M,B254,CPUAUX1!O:O)</f>
        <v>4.1496000000000005E-2</v>
      </c>
      <c r="O256" s="23">
        <f t="shared" si="30"/>
        <v>4.1496000000000005E-2</v>
      </c>
      <c r="Q256" s="23">
        <f ca="1">SUMIF(CPUAUX1!M:M,B254,CPUAUX1!R:R)</f>
        <v>1.6598400000000003E-2</v>
      </c>
      <c r="R256" s="23">
        <f t="shared" ca="1" si="31"/>
        <v>1.6598400000000003E-2</v>
      </c>
    </row>
    <row r="257" spans="1:18" ht="30" customHeight="1" x14ac:dyDescent="0.3">
      <c r="A257" s="23" t="s">
        <v>1025</v>
      </c>
      <c r="B257" s="23">
        <v>43465</v>
      </c>
      <c r="C257" s="23" t="str">
        <f>VLOOKUP(B257,IF(A257="COMPOSICAO",S!$A:$E,I!$A:$E),2,FALSE)</f>
        <v>SINAPI</v>
      </c>
      <c r="D257" s="24" t="str">
        <f>VLOOKUP(B257,IF(A257="COMPOSICAO",S!$A:$E,I!$A:$E),3,FALSE)</f>
        <v>FERRAMENTAS - FAMILIA PEDREIRO - HORISTA (ENCARGOS COMPLEMENTARES - COLETADO CAIXA)</v>
      </c>
      <c r="E257" s="23" t="str">
        <f>VLOOKUP(B257,IF(A257="COMPOSICAO",S!$A:$E,I!$A:$E),4,FALSE)</f>
        <v>H</v>
      </c>
      <c r="F257" s="23">
        <v>1</v>
      </c>
      <c r="G257" s="71">
        <f>IF(A257="COMPOSICAO",VLOOKUP("TOTAL SEM BDI - "&amp;B257,CPUAUX3!$A:$J,9,FALSE),VLOOKUP(B257,I!$A:$E,5,FALSE))</f>
        <v>0.78</v>
      </c>
      <c r="H257" s="72"/>
      <c r="I257" s="71">
        <f t="shared" si="28"/>
        <v>0.78</v>
      </c>
      <c r="J257" s="72"/>
      <c r="M257" s="23">
        <f t="shared" si="29"/>
        <v>43465</v>
      </c>
      <c r="N257" s="23">
        <f>SUMIF(CPUAUX1!M:M,B254,CPUAUX1!O:O)</f>
        <v>4.1496000000000005E-2</v>
      </c>
      <c r="O257" s="23">
        <f t="shared" si="30"/>
        <v>4.1496000000000005E-2</v>
      </c>
      <c r="Q257" s="23">
        <f ca="1">SUMIF(CPUAUX1!M:M,B254,CPUAUX1!R:R)</f>
        <v>1.6598400000000003E-2</v>
      </c>
      <c r="R257" s="23">
        <f t="shared" ca="1" si="31"/>
        <v>1.6598400000000003E-2</v>
      </c>
    </row>
    <row r="258" spans="1:18" ht="30" customHeight="1" x14ac:dyDescent="0.3">
      <c r="A258" s="23" t="s">
        <v>1025</v>
      </c>
      <c r="B258" s="23">
        <v>37373</v>
      </c>
      <c r="C258" s="23" t="str">
        <f>VLOOKUP(B258,IF(A258="COMPOSICAO",S!$A:$E,I!$A:$E),2,FALSE)</f>
        <v>SINAPI</v>
      </c>
      <c r="D258" s="24" t="str">
        <f>VLOOKUP(B258,IF(A258="COMPOSICAO",S!$A:$E,I!$A:$E),3,FALSE)</f>
        <v>SEGURO - HORISTA (COLETADO CAIXA - ENCARGOS COMPLEMENTARES)</v>
      </c>
      <c r="E258" s="23" t="str">
        <f>VLOOKUP(B258,IF(A258="COMPOSICAO",S!$A:$E,I!$A:$E),4,FALSE)</f>
        <v>H</v>
      </c>
      <c r="F258" s="23">
        <v>1</v>
      </c>
      <c r="G258" s="71">
        <f>IF(A258="COMPOSICAO",VLOOKUP("TOTAL SEM BDI - "&amp;B258,CPUAUX3!$A:$J,9,FALSE),VLOOKUP(B258,I!$A:$E,5,FALSE))</f>
        <v>0.08</v>
      </c>
      <c r="H258" s="72"/>
      <c r="I258" s="71">
        <f t="shared" si="28"/>
        <v>0.08</v>
      </c>
      <c r="J258" s="72"/>
      <c r="M258" s="23">
        <f t="shared" si="29"/>
        <v>37373</v>
      </c>
      <c r="N258" s="23">
        <f>SUMIF(CPUAUX1!M:M,B254,CPUAUX1!O:O)</f>
        <v>4.1496000000000005E-2</v>
      </c>
      <c r="O258" s="23">
        <f t="shared" si="30"/>
        <v>4.1496000000000005E-2</v>
      </c>
      <c r="Q258" s="23">
        <f ca="1">SUMIF(CPUAUX1!M:M,B254,CPUAUX1!R:R)</f>
        <v>1.6598400000000003E-2</v>
      </c>
      <c r="R258" s="23">
        <f t="shared" ca="1" si="31"/>
        <v>1.6598400000000003E-2</v>
      </c>
    </row>
    <row r="259" spans="1:18" ht="30" customHeight="1" x14ac:dyDescent="0.3">
      <c r="A259" s="23" t="s">
        <v>1025</v>
      </c>
      <c r="B259" s="23">
        <v>37372</v>
      </c>
      <c r="C259" s="23" t="str">
        <f>VLOOKUP(B259,IF(A259="COMPOSICAO",S!$A:$E,I!$A:$E),2,FALSE)</f>
        <v>SINAPI</v>
      </c>
      <c r="D259" s="24" t="str">
        <f>VLOOKUP(B259,IF(A259="COMPOSICAO",S!$A:$E,I!$A:$E),3,FALSE)</f>
        <v>EXAMES - HORISTA (COLETADO CAIXA - ENCARGOS COMPLEMENTARES)</v>
      </c>
      <c r="E259" s="23" t="str">
        <f>VLOOKUP(B259,IF(A259="COMPOSICAO",S!$A:$E,I!$A:$E),4,FALSE)</f>
        <v>H</v>
      </c>
      <c r="F259" s="23">
        <v>1</v>
      </c>
      <c r="G259" s="71">
        <f>IF(A259="COMPOSICAO",VLOOKUP("TOTAL SEM BDI - "&amp;B259,CPUAUX3!$A:$J,9,FALSE),VLOOKUP(B259,I!$A:$E,5,FALSE))</f>
        <v>1.43</v>
      </c>
      <c r="H259" s="72"/>
      <c r="I259" s="71">
        <f t="shared" si="28"/>
        <v>1.43</v>
      </c>
      <c r="J259" s="72"/>
      <c r="M259" s="23">
        <f t="shared" si="29"/>
        <v>37372</v>
      </c>
      <c r="N259" s="23">
        <f>SUMIF(CPUAUX1!M:M,B254,CPUAUX1!O:O)</f>
        <v>4.1496000000000005E-2</v>
      </c>
      <c r="O259" s="23">
        <f t="shared" si="30"/>
        <v>4.1496000000000005E-2</v>
      </c>
      <c r="Q259" s="23">
        <f ca="1">SUMIF(CPUAUX1!M:M,B254,CPUAUX1!R:R)</f>
        <v>1.6598400000000003E-2</v>
      </c>
      <c r="R259" s="23">
        <f t="shared" ca="1" si="31"/>
        <v>1.6598400000000003E-2</v>
      </c>
    </row>
    <row r="260" spans="1:18" ht="30" customHeight="1" x14ac:dyDescent="0.3">
      <c r="A260" s="23" t="s">
        <v>1025</v>
      </c>
      <c r="B260" s="23">
        <v>37371</v>
      </c>
      <c r="C260" s="23" t="str">
        <f>VLOOKUP(B260,IF(A260="COMPOSICAO",S!$A:$E,I!$A:$E),2,FALSE)</f>
        <v>SINAPI</v>
      </c>
      <c r="D260" s="24" t="str">
        <f>VLOOKUP(B260,IF(A260="COMPOSICAO",S!$A:$E,I!$A:$E),3,FALSE)</f>
        <v>TRANSPORTE - HORISTA (COLETADO CAIXA - ENCARGOS COMPLEMENTARES)</v>
      </c>
      <c r="E260" s="23" t="str">
        <f>VLOOKUP(B260,IF(A260="COMPOSICAO",S!$A:$E,I!$A:$E),4,FALSE)</f>
        <v>H</v>
      </c>
      <c r="F260" s="23">
        <v>1</v>
      </c>
      <c r="G260" s="71">
        <f>IF(A260="COMPOSICAO",VLOOKUP("TOTAL SEM BDI - "&amp;B260,CPUAUX3!$A:$J,9,FALSE),VLOOKUP(B260,I!$A:$E,5,FALSE))</f>
        <v>0.56999999999999995</v>
      </c>
      <c r="H260" s="72"/>
      <c r="I260" s="71">
        <f t="shared" si="28"/>
        <v>0.56999999999999995</v>
      </c>
      <c r="J260" s="72"/>
      <c r="M260" s="23">
        <f t="shared" si="29"/>
        <v>37371</v>
      </c>
      <c r="N260" s="23">
        <f>SUMIF(CPUAUX1!M:M,B254,CPUAUX1!O:O)</f>
        <v>4.1496000000000005E-2</v>
      </c>
      <c r="O260" s="23">
        <f t="shared" si="30"/>
        <v>4.1496000000000005E-2</v>
      </c>
      <c r="Q260" s="23">
        <f ca="1">SUMIF(CPUAUX1!M:M,B254,CPUAUX1!R:R)</f>
        <v>1.6598400000000003E-2</v>
      </c>
      <c r="R260" s="23">
        <f t="shared" ca="1" si="31"/>
        <v>1.6598400000000003E-2</v>
      </c>
    </row>
    <row r="261" spans="1:18" ht="30" customHeight="1" x14ac:dyDescent="0.3">
      <c r="A261" s="23" t="s">
        <v>1025</v>
      </c>
      <c r="B261" s="23">
        <v>37370</v>
      </c>
      <c r="C261" s="23" t="str">
        <f>VLOOKUP(B261,IF(A261="COMPOSICAO",S!$A:$E,I!$A:$E),2,FALSE)</f>
        <v>SINAPI</v>
      </c>
      <c r="D261" s="24" t="str">
        <f>VLOOKUP(B261,IF(A261="COMPOSICAO",S!$A:$E,I!$A:$E),3,FALSE)</f>
        <v>ALIMENTACAO - HORISTA (COLETADO CAIXA - ENCARGOS COMPLEMENTARES)</v>
      </c>
      <c r="E261" s="23" t="str">
        <f>VLOOKUP(B261,IF(A261="COMPOSICAO",S!$A:$E,I!$A:$E),4,FALSE)</f>
        <v>H</v>
      </c>
      <c r="F261" s="23">
        <v>1</v>
      </c>
      <c r="G261" s="71">
        <f>IF(A261="COMPOSICAO",VLOOKUP("TOTAL SEM BDI - "&amp;B261,CPUAUX3!$A:$J,9,FALSE),VLOOKUP(B261,I!$A:$E,5,FALSE))</f>
        <v>2.46</v>
      </c>
      <c r="H261" s="72"/>
      <c r="I261" s="71">
        <f t="shared" si="28"/>
        <v>2.46</v>
      </c>
      <c r="J261" s="72"/>
      <c r="M261" s="23">
        <f t="shared" si="29"/>
        <v>37370</v>
      </c>
      <c r="N261" s="23">
        <f>SUMIF(CPUAUX1!M:M,B254,CPUAUX1!O:O)</f>
        <v>4.1496000000000005E-2</v>
      </c>
      <c r="O261" s="23">
        <f t="shared" si="30"/>
        <v>4.1496000000000005E-2</v>
      </c>
      <c r="Q261" s="23">
        <f ca="1">SUMIF(CPUAUX1!M:M,B254,CPUAUX1!R:R)</f>
        <v>1.6598400000000003E-2</v>
      </c>
      <c r="R261" s="23">
        <f t="shared" ca="1" si="31"/>
        <v>1.6598400000000003E-2</v>
      </c>
    </row>
    <row r="262" spans="1:18" x14ac:dyDescent="0.3">
      <c r="A262" s="23" t="s">
        <v>1025</v>
      </c>
      <c r="B262" s="23">
        <v>4750</v>
      </c>
      <c r="C262" s="23" t="str">
        <f>VLOOKUP(B262,IF(A262="COMPOSICAO",S!$A:$E,I!$A:$E),2,FALSE)</f>
        <v>SINAPI</v>
      </c>
      <c r="D262" s="24" t="str">
        <f>VLOOKUP(B262,IF(A262="COMPOSICAO",S!$A:$E,I!$A:$E),3,FALSE)</f>
        <v>PEDREIRO (HORISTA)</v>
      </c>
      <c r="E262" s="23" t="str">
        <f>VLOOKUP(B262,IF(A262="COMPOSICAO",S!$A:$E,I!$A:$E),4,FALSE)</f>
        <v>H</v>
      </c>
      <c r="F262" s="23">
        <v>1</v>
      </c>
      <c r="G262" s="71">
        <f>IF(A262="COMPOSICAO",VLOOKUP("TOTAL SEM BDI - "&amp;B262,CPUAUX3!$A:$J,9,FALSE),VLOOKUP(B262,I!$A:$E,5,FALSE))</f>
        <v>20.329999999999998</v>
      </c>
      <c r="H262" s="72"/>
      <c r="I262" s="71">
        <f t="shared" si="28"/>
        <v>20.329999999999998</v>
      </c>
      <c r="J262" s="72"/>
      <c r="M262" s="23">
        <f t="shared" si="29"/>
        <v>4750</v>
      </c>
      <c r="N262" s="23">
        <f>SUMIF(CPUAUX1!M:M,B254,CPUAUX1!O:O)</f>
        <v>4.1496000000000005E-2</v>
      </c>
      <c r="O262" s="23">
        <f t="shared" si="30"/>
        <v>4.1496000000000005E-2</v>
      </c>
      <c r="Q262" s="23">
        <f ca="1">SUMIF(CPUAUX1!M:M,B254,CPUAUX1!R:R)</f>
        <v>1.6598400000000003E-2</v>
      </c>
      <c r="R262" s="23">
        <f t="shared" ca="1" si="31"/>
        <v>1.6598400000000003E-2</v>
      </c>
    </row>
    <row r="263" spans="1:18" x14ac:dyDescent="0.3">
      <c r="A263" s="68" t="str">
        <f>"TOTAL SEM BDI - "&amp;B254</f>
        <v>TOTAL SEM BDI - 88309</v>
      </c>
      <c r="B263" s="69"/>
      <c r="C263" s="69"/>
      <c r="D263" s="69"/>
      <c r="E263" s="69"/>
      <c r="F263" s="69"/>
      <c r="G263" s="69"/>
      <c r="H263" s="70"/>
      <c r="I263" s="71">
        <f>SUM(I254:I262)</f>
        <v>27.39</v>
      </c>
      <c r="J263" s="72"/>
    </row>
    <row r="265" spans="1:18" x14ac:dyDescent="0.3">
      <c r="A265" s="4" t="s">
        <v>1018</v>
      </c>
      <c r="B265" s="4" t="s">
        <v>138</v>
      </c>
      <c r="C265" s="4" t="s">
        <v>139</v>
      </c>
      <c r="D265" s="4" t="s">
        <v>21</v>
      </c>
      <c r="E265" s="4" t="s">
        <v>140</v>
      </c>
      <c r="F265" s="4" t="s">
        <v>506</v>
      </c>
      <c r="G265" s="34" t="s">
        <v>1019</v>
      </c>
      <c r="H265" s="35"/>
      <c r="I265" s="34" t="s">
        <v>15</v>
      </c>
      <c r="J265" s="35"/>
    </row>
    <row r="266" spans="1:18" ht="45" customHeight="1" x14ac:dyDescent="0.3">
      <c r="A266" s="15" t="s">
        <v>1099</v>
      </c>
      <c r="B266" s="15">
        <v>92263</v>
      </c>
      <c r="C266" s="15" t="str">
        <f>VLOOKUP(B266,S!$A:$G,2,FALSE)</f>
        <v>SINAPI</v>
      </c>
      <c r="D266" s="22" t="str">
        <f>VLOOKUP(B266,S!$A:$G,3,FALSE)</f>
        <v>FABRICAÇÃO DE FÔRMA PARA PILARES E ESTRUTURAS SIMILARES, EM CHAPA DE MADEIRA COMPENSADA RESINADA, E = 17 MM. AF_09/2020</v>
      </c>
      <c r="E266" s="15" t="str">
        <f>VLOOKUP(B266,S!$A:$G,4,FALSE)</f>
        <v>M2</v>
      </c>
      <c r="F266" s="15"/>
      <c r="G266" s="73">
        <f>I275</f>
        <v>190.18</v>
      </c>
      <c r="H266" s="74"/>
      <c r="I266" s="73"/>
      <c r="J266" s="74"/>
      <c r="K266" s="16">
        <f>VLOOKUP(B266,S!A:G,5,FALSE)</f>
        <v>190.18</v>
      </c>
      <c r="L266" s="15" t="str">
        <f>IF(K266=G266,"OK, CONFORME TABELA",IF(G266&gt;K266,"ACIMA DA TABELA: ","ABAIXO DA TABELA: ")&amp;TRUNC((G266*100)/K266,2)&amp;" %")</f>
        <v>OK, CONFORME TABELA</v>
      </c>
    </row>
    <row r="267" spans="1:18" ht="45" customHeight="1" x14ac:dyDescent="0.3">
      <c r="A267" s="23" t="s">
        <v>1022</v>
      </c>
      <c r="B267" s="23">
        <v>91693</v>
      </c>
      <c r="C267" s="23" t="str">
        <f>VLOOKUP(B267,IF(A267="COMPOSICAO",S!$A:$E,I!$A:$E),2,FALSE)</f>
        <v>SINAPI</v>
      </c>
      <c r="D267" s="24" t="str">
        <f>VLOOKUP(B267,IF(A267="COMPOSICAO",S!$A:$E,I!$A:$E),3,FALSE)</f>
        <v>SERRA CIRCULAR DE BANCADA COM MOTOR ELÉTRICO POTÊNCIA DE 5HP, COM COIFA PARA DISCO 10" - CHI DIURNO. AF_08/2015</v>
      </c>
      <c r="E267" s="23" t="str">
        <f>VLOOKUP(B267,IF(A267="COMPOSICAO",S!$A:$E,I!$A:$E),4,FALSE)</f>
        <v>CHI</v>
      </c>
      <c r="F267" s="23">
        <v>0.255</v>
      </c>
      <c r="G267" s="71">
        <f>IF(A267="COMPOSICAO",VLOOKUP("TOTAL SEM BDI - "&amp;B267,CPUAUX3!$A:$J,9,FALSE),VLOOKUP(B267,I!$A:$E,5,FALSE))</f>
        <v>27.3</v>
      </c>
      <c r="H267" s="72"/>
      <c r="I267" s="71">
        <f t="shared" ref="I267:I274" si="32">TRUNC(F267*G267,2)</f>
        <v>6.96</v>
      </c>
      <c r="J267" s="72"/>
      <c r="M267" s="23">
        <f t="shared" ref="M267:M274" si="33">B267</f>
        <v>91693</v>
      </c>
      <c r="N267" s="23">
        <f>SUMIF(CPUAUX1!M:M,B266,CPUAUX1!O:O)</f>
        <v>0.60976125000000003</v>
      </c>
      <c r="O267" s="23">
        <f t="shared" ref="O267:O274" si="34">F267*N267</f>
        <v>0.15548911875000002</v>
      </c>
      <c r="Q267" s="23">
        <f ca="1">SUMIF(CPUAUX1!M:M,B266,CPUAUX1!R:R)</f>
        <v>0.24390450000000002</v>
      </c>
      <c r="R267" s="23">
        <f t="shared" ref="R267:R274" ca="1" si="35">F267*Q267</f>
        <v>6.2195647500000006E-2</v>
      </c>
    </row>
    <row r="268" spans="1:18" ht="45" customHeight="1" x14ac:dyDescent="0.3">
      <c r="A268" s="23" t="s">
        <v>1022</v>
      </c>
      <c r="B268" s="23">
        <v>91692</v>
      </c>
      <c r="C268" s="23" t="str">
        <f>VLOOKUP(B268,IF(A268="COMPOSICAO",S!$A:$E,I!$A:$E),2,FALSE)</f>
        <v>SINAPI</v>
      </c>
      <c r="D268" s="24" t="str">
        <f>VLOOKUP(B268,IF(A268="COMPOSICAO",S!$A:$E,I!$A:$E),3,FALSE)</f>
        <v>SERRA CIRCULAR DE BANCADA COM MOTOR ELÉTRICO POTÊNCIA DE 5HP, COM COIFA PARA DISCO 10" - CHP DIURNO. AF_08/2015</v>
      </c>
      <c r="E268" s="23" t="str">
        <f>VLOOKUP(B268,IF(A268="COMPOSICAO",S!$A:$E,I!$A:$E),4,FALSE)</f>
        <v>CHP</v>
      </c>
      <c r="F268" s="23">
        <v>6.3E-2</v>
      </c>
      <c r="G268" s="71">
        <f>IF(A268="COMPOSICAO",VLOOKUP("TOTAL SEM BDI - "&amp;B268,CPUAUX3!$A:$J,9,FALSE),VLOOKUP(B268,I!$A:$E,5,FALSE))</f>
        <v>28.87</v>
      </c>
      <c r="H268" s="72"/>
      <c r="I268" s="71">
        <f t="shared" si="32"/>
        <v>1.81</v>
      </c>
      <c r="J268" s="72"/>
      <c r="M268" s="23">
        <f t="shared" si="33"/>
        <v>91692</v>
      </c>
      <c r="N268" s="23">
        <f>SUMIF(CPUAUX1!M:M,B266,CPUAUX1!O:O)</f>
        <v>0.60976125000000003</v>
      </c>
      <c r="O268" s="23">
        <f t="shared" si="34"/>
        <v>3.8414958750000006E-2</v>
      </c>
      <c r="Q268" s="23">
        <f ca="1">SUMIF(CPUAUX1!M:M,B266,CPUAUX1!R:R)</f>
        <v>0.24390450000000002</v>
      </c>
      <c r="R268" s="23">
        <f t="shared" ca="1" si="35"/>
        <v>1.5365983500000001E-2</v>
      </c>
    </row>
    <row r="269" spans="1:18" ht="30" customHeight="1" x14ac:dyDescent="0.3">
      <c r="A269" s="23" t="s">
        <v>1022</v>
      </c>
      <c r="B269" s="23">
        <v>88262</v>
      </c>
      <c r="C269" s="23" t="str">
        <f>VLOOKUP(B269,IF(A269="COMPOSICAO",S!$A:$E,I!$A:$E),2,FALSE)</f>
        <v>SINAPI</v>
      </c>
      <c r="D269" s="24" t="str">
        <f>VLOOKUP(B269,IF(A269="COMPOSICAO",S!$A:$E,I!$A:$E),3,FALSE)</f>
        <v>CARPINTEIRO DE FORMAS COM ENCARGOS COMPLEMENTARES</v>
      </c>
      <c r="E269" s="23" t="str">
        <f>VLOOKUP(B269,IF(A269="COMPOSICAO",S!$A:$E,I!$A:$E),4,FALSE)</f>
        <v>H</v>
      </c>
      <c r="F269" s="23">
        <f>1.18/pcf</f>
        <v>1.18</v>
      </c>
      <c r="G269" s="71">
        <f>IF(A269="COMPOSICAO",VLOOKUP("TOTAL SEM BDI - "&amp;B269,CPUAUX3!$A:$J,9,FALSE),VLOOKUP(B269,I!$A:$E,5,FALSE))</f>
        <v>26.97</v>
      </c>
      <c r="H269" s="72"/>
      <c r="I269" s="71">
        <f t="shared" si="32"/>
        <v>31.82</v>
      </c>
      <c r="J269" s="72"/>
      <c r="M269" s="23">
        <f t="shared" si="33"/>
        <v>88262</v>
      </c>
      <c r="N269" s="23">
        <f>SUMIF(CPUAUX1!M:M,B266,CPUAUX1!O:O)</f>
        <v>0.60976125000000003</v>
      </c>
      <c r="O269" s="23">
        <f t="shared" si="34"/>
        <v>0.71951827499999998</v>
      </c>
      <c r="Q269" s="23">
        <f ca="1">SUMIF(CPUAUX1!M:M,B266,CPUAUX1!R:R)</f>
        <v>0.24390450000000002</v>
      </c>
      <c r="R269" s="23">
        <f t="shared" ca="1" si="35"/>
        <v>0.28780731000000004</v>
      </c>
    </row>
    <row r="270" spans="1:18" ht="30" customHeight="1" x14ac:dyDescent="0.3">
      <c r="A270" s="23" t="s">
        <v>1022</v>
      </c>
      <c r="B270" s="23">
        <v>88239</v>
      </c>
      <c r="C270" s="23" t="str">
        <f>VLOOKUP(B270,IF(A270="COMPOSICAO",S!$A:$E,I!$A:$E),2,FALSE)</f>
        <v>SINAPI</v>
      </c>
      <c r="D270" s="24" t="str">
        <f>VLOOKUP(B270,IF(A270="COMPOSICAO",S!$A:$E,I!$A:$E),3,FALSE)</f>
        <v>AJUDANTE DE CARPINTEIRO COM ENCARGOS COMPLEMENTARES</v>
      </c>
      <c r="E270" s="23" t="str">
        <f>VLOOKUP(B270,IF(A270="COMPOSICAO",S!$A:$E,I!$A:$E),4,FALSE)</f>
        <v>H</v>
      </c>
      <c r="F270" s="23">
        <f>0.25/pcf</f>
        <v>0.25</v>
      </c>
      <c r="G270" s="71">
        <f>IF(A270="COMPOSICAO",VLOOKUP("TOTAL SEM BDI - "&amp;B270,CPUAUX3!$A:$J,9,FALSE),VLOOKUP(B270,I!$A:$E,5,FALSE))</f>
        <v>22.2</v>
      </c>
      <c r="H270" s="72"/>
      <c r="I270" s="71">
        <f t="shared" si="32"/>
        <v>5.55</v>
      </c>
      <c r="J270" s="72"/>
      <c r="M270" s="23">
        <f t="shared" si="33"/>
        <v>88239</v>
      </c>
      <c r="N270" s="23">
        <f>SUMIF(CPUAUX1!M:M,B266,CPUAUX1!O:O)</f>
        <v>0.60976125000000003</v>
      </c>
      <c r="O270" s="23">
        <f t="shared" si="34"/>
        <v>0.15244031250000001</v>
      </c>
      <c r="Q270" s="23">
        <f ca="1">SUMIF(CPUAUX1!M:M,B266,CPUAUX1!R:R)</f>
        <v>0.24390450000000002</v>
      </c>
      <c r="R270" s="23">
        <f t="shared" ca="1" si="35"/>
        <v>6.0976125000000006E-2</v>
      </c>
    </row>
    <row r="271" spans="1:18" ht="30" customHeight="1" x14ac:dyDescent="0.3">
      <c r="A271" s="23" t="s">
        <v>1025</v>
      </c>
      <c r="B271" s="23">
        <v>5068</v>
      </c>
      <c r="C271" s="23" t="str">
        <f>VLOOKUP(B271,IF(A271="COMPOSICAO",S!$A:$E,I!$A:$E),2,FALSE)</f>
        <v>SINAPI</v>
      </c>
      <c r="D271" s="24" t="str">
        <f>VLOOKUP(B271,IF(A271="COMPOSICAO",S!$A:$E,I!$A:$E),3,FALSE)</f>
        <v>PREGO DE ACO POLIDO COM CABECA 17 X 21 (2 X 11)</v>
      </c>
      <c r="E271" s="23" t="str">
        <f>VLOOKUP(B271,IF(A271="COMPOSICAO",S!$A:$E,I!$A:$E),4,FALSE)</f>
        <v>KG</v>
      </c>
      <c r="F271" s="23">
        <v>0.20799999999999999</v>
      </c>
      <c r="G271" s="71">
        <f>IF(A271="COMPOSICAO",VLOOKUP("TOTAL SEM BDI - "&amp;B271,CPUAUX3!$A:$J,9,FALSE),VLOOKUP(B271,I!$A:$E,5,FALSE))</f>
        <v>20.34</v>
      </c>
      <c r="H271" s="72"/>
      <c r="I271" s="71">
        <f t="shared" si="32"/>
        <v>4.2300000000000004</v>
      </c>
      <c r="J271" s="72"/>
      <c r="M271" s="23">
        <f t="shared" si="33"/>
        <v>5068</v>
      </c>
      <c r="N271" s="23">
        <f>SUMIF(CPUAUX1!M:M,B266,CPUAUX1!O:O)</f>
        <v>0.60976125000000003</v>
      </c>
      <c r="O271" s="23">
        <f t="shared" si="34"/>
        <v>0.12683034000000001</v>
      </c>
      <c r="Q271" s="23">
        <f ca="1">SUMIF(CPUAUX1!M:M,B266,CPUAUX1!R:R)</f>
        <v>0.24390450000000002</v>
      </c>
      <c r="R271" s="23">
        <f t="shared" ca="1" si="35"/>
        <v>5.0732136000000004E-2</v>
      </c>
    </row>
    <row r="272" spans="1:18" ht="30" customHeight="1" x14ac:dyDescent="0.3">
      <c r="A272" s="23" t="s">
        <v>1025</v>
      </c>
      <c r="B272" s="23">
        <v>4517</v>
      </c>
      <c r="C272" s="23" t="str">
        <f>VLOOKUP(B272,IF(A272="COMPOSICAO",S!$A:$E,I!$A:$E),2,FALSE)</f>
        <v>SINAPI</v>
      </c>
      <c r="D272" s="24" t="str">
        <f>VLOOKUP(B272,IF(A272="COMPOSICAO",S!$A:$E,I!$A:$E),3,FALSE)</f>
        <v>SARRAFO *2,5 X 7,5* CM EM PINUS, MISTA OU EQUIVALENTE DA REGIAO - BRUTA</v>
      </c>
      <c r="E272" s="23" t="str">
        <f>VLOOKUP(B272,IF(A272="COMPOSICAO",S!$A:$E,I!$A:$E),4,FALSE)</f>
        <v>M</v>
      </c>
      <c r="F272" s="23">
        <v>9.2370000000000001</v>
      </c>
      <c r="G272" s="71">
        <f>IF(A272="COMPOSICAO",VLOOKUP("TOTAL SEM BDI - "&amp;B272,CPUAUX3!$A:$J,9,FALSE),VLOOKUP(B272,I!$A:$E,5,FALSE))</f>
        <v>3.52</v>
      </c>
      <c r="H272" s="72"/>
      <c r="I272" s="71">
        <f t="shared" si="32"/>
        <v>32.51</v>
      </c>
      <c r="J272" s="72"/>
      <c r="M272" s="23">
        <f t="shared" si="33"/>
        <v>4517</v>
      </c>
      <c r="N272" s="23">
        <f>SUMIF(CPUAUX1!M:M,B266,CPUAUX1!O:O)</f>
        <v>0.60976125000000003</v>
      </c>
      <c r="O272" s="23">
        <f t="shared" si="34"/>
        <v>5.63236466625</v>
      </c>
      <c r="Q272" s="23">
        <f ca="1">SUMIF(CPUAUX1!M:M,B266,CPUAUX1!R:R)</f>
        <v>0.24390450000000002</v>
      </c>
      <c r="R272" s="23">
        <f t="shared" ca="1" si="35"/>
        <v>2.2529458665000002</v>
      </c>
    </row>
    <row r="273" spans="1:18" ht="30" customHeight="1" x14ac:dyDescent="0.3">
      <c r="A273" s="23" t="s">
        <v>1025</v>
      </c>
      <c r="B273" s="23">
        <v>4491</v>
      </c>
      <c r="C273" s="23" t="str">
        <f>VLOOKUP(B273,IF(A273="COMPOSICAO",S!$A:$E,I!$A:$E),2,FALSE)</f>
        <v>SINAPI</v>
      </c>
      <c r="D273" s="24" t="str">
        <f>VLOOKUP(B273,IF(A273="COMPOSICAO",S!$A:$E,I!$A:$E),3,FALSE)</f>
        <v>PONTALETE *7,5 X 7,5* CM EM PINUS, MISTA OU EQUIVALENTE DA REGIAO - BRUTA</v>
      </c>
      <c r="E273" s="23" t="str">
        <f>VLOOKUP(B273,IF(A273="COMPOSICAO",S!$A:$E,I!$A:$E),4,FALSE)</f>
        <v>M</v>
      </c>
      <c r="F273" s="23">
        <v>2.3079999999999998</v>
      </c>
      <c r="G273" s="71">
        <f>IF(A273="COMPOSICAO",VLOOKUP("TOTAL SEM BDI - "&amp;B273,CPUAUX3!$A:$J,9,FALSE),VLOOKUP(B273,I!$A:$E,5,FALSE))</f>
        <v>10.050000000000001</v>
      </c>
      <c r="H273" s="72"/>
      <c r="I273" s="71">
        <f t="shared" si="32"/>
        <v>23.19</v>
      </c>
      <c r="J273" s="72"/>
      <c r="M273" s="23">
        <f t="shared" si="33"/>
        <v>4491</v>
      </c>
      <c r="N273" s="23">
        <f>SUMIF(CPUAUX1!M:M,B266,CPUAUX1!O:O)</f>
        <v>0.60976125000000003</v>
      </c>
      <c r="O273" s="23">
        <f t="shared" si="34"/>
        <v>1.407328965</v>
      </c>
      <c r="Q273" s="23">
        <f ca="1">SUMIF(CPUAUX1!M:M,B266,CPUAUX1!R:R)</f>
        <v>0.24390450000000002</v>
      </c>
      <c r="R273" s="23">
        <f t="shared" ca="1" si="35"/>
        <v>0.56293158600000004</v>
      </c>
    </row>
    <row r="274" spans="1:18" ht="45" customHeight="1" x14ac:dyDescent="0.3">
      <c r="A274" s="23" t="s">
        <v>1025</v>
      </c>
      <c r="B274" s="23">
        <v>1358</v>
      </c>
      <c r="C274" s="23" t="str">
        <f>VLOOKUP(B274,IF(A274="COMPOSICAO",S!$A:$E,I!$A:$E),2,FALSE)</f>
        <v>SINAPI</v>
      </c>
      <c r="D274" s="24" t="str">
        <f>VLOOKUP(B274,IF(A274="COMPOSICAO",S!$A:$E,I!$A:$E),3,FALSE)</f>
        <v>CHAPA/PAINEL DE MADEIRA COMPENSADA RESINADA (MADEIRITE RESINADO ROSA) PARA FORMA DE CONCRETO, DE 2200 X 1100 MM, E = 17 MM</v>
      </c>
      <c r="E274" s="23" t="str">
        <f>VLOOKUP(B274,IF(A274="COMPOSICAO",S!$A:$E,I!$A:$E),4,FALSE)</f>
        <v>M2</v>
      </c>
      <c r="F274" s="23">
        <v>1.3360000000000001</v>
      </c>
      <c r="G274" s="71">
        <f>IF(A274="COMPOSICAO",VLOOKUP("TOTAL SEM BDI - "&amp;B274,CPUAUX3!$A:$J,9,FALSE),VLOOKUP(B274,I!$A:$E,5,FALSE))</f>
        <v>62.96</v>
      </c>
      <c r="H274" s="72"/>
      <c r="I274" s="71">
        <f t="shared" si="32"/>
        <v>84.11</v>
      </c>
      <c r="J274" s="72"/>
      <c r="M274" s="23">
        <f t="shared" si="33"/>
        <v>1358</v>
      </c>
      <c r="N274" s="23">
        <f>SUMIF(CPUAUX1!M:M,B266,CPUAUX1!O:O)</f>
        <v>0.60976125000000003</v>
      </c>
      <c r="O274" s="23">
        <f t="shared" si="34"/>
        <v>0.8146410300000001</v>
      </c>
      <c r="Q274" s="23">
        <f ca="1">SUMIF(CPUAUX1!M:M,B266,CPUAUX1!R:R)</f>
        <v>0.24390450000000002</v>
      </c>
      <c r="R274" s="23">
        <f t="shared" ca="1" si="35"/>
        <v>0.32585641200000004</v>
      </c>
    </row>
    <row r="275" spans="1:18" x14ac:dyDescent="0.3">
      <c r="A275" s="68" t="str">
        <f>"TOTAL SEM BDI - "&amp;B266</f>
        <v>TOTAL SEM BDI - 92263</v>
      </c>
      <c r="B275" s="69"/>
      <c r="C275" s="69"/>
      <c r="D275" s="69"/>
      <c r="E275" s="69"/>
      <c r="F275" s="69"/>
      <c r="G275" s="69"/>
      <c r="H275" s="70"/>
      <c r="I275" s="71">
        <f>SUM(I266:I274)</f>
        <v>190.18</v>
      </c>
      <c r="J275" s="72"/>
    </row>
    <row r="277" spans="1:18" x14ac:dyDescent="0.3">
      <c r="A277" s="4" t="s">
        <v>1018</v>
      </c>
      <c r="B277" s="4" t="s">
        <v>138</v>
      </c>
      <c r="C277" s="4" t="s">
        <v>139</v>
      </c>
      <c r="D277" s="4" t="s">
        <v>21</v>
      </c>
      <c r="E277" s="4" t="s">
        <v>140</v>
      </c>
      <c r="F277" s="4" t="s">
        <v>506</v>
      </c>
      <c r="G277" s="34" t="s">
        <v>1019</v>
      </c>
      <c r="H277" s="35"/>
      <c r="I277" s="34" t="s">
        <v>15</v>
      </c>
      <c r="J277" s="35"/>
    </row>
    <row r="278" spans="1:18" ht="30" customHeight="1" x14ac:dyDescent="0.3">
      <c r="A278" s="15" t="s">
        <v>1099</v>
      </c>
      <c r="B278" s="15">
        <v>92272</v>
      </c>
      <c r="C278" s="15" t="str">
        <f>VLOOKUP(B278,S!$A:$G,2,FALSE)</f>
        <v>SINAPI</v>
      </c>
      <c r="D278" s="22" t="str">
        <f>VLOOKUP(B278,S!$A:$G,3,FALSE)</f>
        <v>FABRICAÇÃO DE ESCORAS DE VIGA DO TIPO GARFO, EM MADEIRA. AF_09/2020</v>
      </c>
      <c r="E278" s="15" t="str">
        <f>VLOOKUP(B278,S!$A:$G,4,FALSE)</f>
        <v>M</v>
      </c>
      <c r="F278" s="15"/>
      <c r="G278" s="73">
        <f>I286</f>
        <v>44.24</v>
      </c>
      <c r="H278" s="74"/>
      <c r="I278" s="73"/>
      <c r="J278" s="74"/>
      <c r="K278" s="16">
        <f>VLOOKUP(B278,S!A:G,5,FALSE)</f>
        <v>44.24</v>
      </c>
      <c r="L278" s="15" t="str">
        <f>IF(K278=G278,"OK, CONFORME TABELA",IF(G278&gt;K278,"ACIMA DA TABELA: ","ABAIXO DA TABELA: ")&amp;TRUNC((G278*100)/K278,2)&amp;" %")</f>
        <v>OK, CONFORME TABELA</v>
      </c>
    </row>
    <row r="279" spans="1:18" ht="45" customHeight="1" x14ac:dyDescent="0.3">
      <c r="A279" s="23" t="s">
        <v>1022</v>
      </c>
      <c r="B279" s="23">
        <v>91693</v>
      </c>
      <c r="C279" s="23" t="str">
        <f>VLOOKUP(B279,IF(A279="COMPOSICAO",S!$A:$E,I!$A:$E),2,FALSE)</f>
        <v>SINAPI</v>
      </c>
      <c r="D279" s="24" t="str">
        <f>VLOOKUP(B279,IF(A279="COMPOSICAO",S!$A:$E,I!$A:$E),3,FALSE)</f>
        <v>SERRA CIRCULAR DE BANCADA COM MOTOR ELÉTRICO POTÊNCIA DE 5HP, COM COIFA PARA DISCO 10" - CHI DIURNO. AF_08/2015</v>
      </c>
      <c r="E279" s="23" t="str">
        <f>VLOOKUP(B279,IF(A279="COMPOSICAO",S!$A:$E,I!$A:$E),4,FALSE)</f>
        <v>CHI</v>
      </c>
      <c r="F279" s="23">
        <v>8.7999999999999995E-2</v>
      </c>
      <c r="G279" s="71">
        <f>IF(A279="COMPOSICAO",VLOOKUP("TOTAL SEM BDI - "&amp;B279,CPUAUX3!$A:$J,9,FALSE),VLOOKUP(B279,I!$A:$E,5,FALSE))</f>
        <v>27.3</v>
      </c>
      <c r="H279" s="72"/>
      <c r="I279" s="71">
        <f t="shared" ref="I279:I285" si="36">TRUNC(F279*G279,2)</f>
        <v>2.4</v>
      </c>
      <c r="J279" s="72"/>
      <c r="M279" s="23">
        <f t="shared" ref="M279:M285" si="37">B279</f>
        <v>91693</v>
      </c>
      <c r="N279" s="23">
        <f>SUMIF(CPUAUX1!M:M,B278,CPUAUX1!O:O)</f>
        <v>7.0328232000000011</v>
      </c>
      <c r="O279" s="23">
        <f t="shared" ref="O279:O285" si="38">F279*N279</f>
        <v>0.61888844160000001</v>
      </c>
      <c r="Q279" s="23">
        <f ca="1">SUMIF(CPUAUX1!M:M,B278,CPUAUX1!R:R)</f>
        <v>2.8131292800000005</v>
      </c>
      <c r="R279" s="23">
        <f t="shared" ref="R279:R285" ca="1" si="39">F279*Q279</f>
        <v>0.24755537664000002</v>
      </c>
    </row>
    <row r="280" spans="1:18" ht="45" customHeight="1" x14ac:dyDescent="0.3">
      <c r="A280" s="23" t="s">
        <v>1022</v>
      </c>
      <c r="B280" s="23">
        <v>91692</v>
      </c>
      <c r="C280" s="23" t="str">
        <f>VLOOKUP(B280,IF(A280="COMPOSICAO",S!$A:$E,I!$A:$E),2,FALSE)</f>
        <v>SINAPI</v>
      </c>
      <c r="D280" s="24" t="str">
        <f>VLOOKUP(B280,IF(A280="COMPOSICAO",S!$A:$E,I!$A:$E),3,FALSE)</f>
        <v>SERRA CIRCULAR DE BANCADA COM MOTOR ELÉTRICO POTÊNCIA DE 5HP, COM COIFA PARA DISCO 10" - CHP DIURNO. AF_08/2015</v>
      </c>
      <c r="E280" s="23" t="str">
        <f>VLOOKUP(B280,IF(A280="COMPOSICAO",S!$A:$E,I!$A:$E),4,FALSE)</f>
        <v>CHP</v>
      </c>
      <c r="F280" s="23">
        <v>2.1999999999999999E-2</v>
      </c>
      <c r="G280" s="71">
        <f>IF(A280="COMPOSICAO",VLOOKUP("TOTAL SEM BDI - "&amp;B280,CPUAUX3!$A:$J,9,FALSE),VLOOKUP(B280,I!$A:$E,5,FALSE))</f>
        <v>28.87</v>
      </c>
      <c r="H280" s="72"/>
      <c r="I280" s="71">
        <f t="shared" si="36"/>
        <v>0.63</v>
      </c>
      <c r="J280" s="72"/>
      <c r="M280" s="23">
        <f t="shared" si="37"/>
        <v>91692</v>
      </c>
      <c r="N280" s="23">
        <f>SUMIF(CPUAUX1!M:M,B278,CPUAUX1!O:O)</f>
        <v>7.0328232000000011</v>
      </c>
      <c r="O280" s="23">
        <f t="shared" si="38"/>
        <v>0.1547221104</v>
      </c>
      <c r="Q280" s="23">
        <f ca="1">SUMIF(CPUAUX1!M:M,B278,CPUAUX1!R:R)</f>
        <v>2.8131292800000005</v>
      </c>
      <c r="R280" s="23">
        <f t="shared" ca="1" si="39"/>
        <v>6.1888844160000005E-2</v>
      </c>
    </row>
    <row r="281" spans="1:18" ht="30" customHeight="1" x14ac:dyDescent="0.3">
      <c r="A281" s="23" t="s">
        <v>1022</v>
      </c>
      <c r="B281" s="23">
        <v>88262</v>
      </c>
      <c r="C281" s="23" t="str">
        <f>VLOOKUP(B281,IF(A281="COMPOSICAO",S!$A:$E,I!$A:$E),2,FALSE)</f>
        <v>SINAPI</v>
      </c>
      <c r="D281" s="24" t="str">
        <f>VLOOKUP(B281,IF(A281="COMPOSICAO",S!$A:$E,I!$A:$E),3,FALSE)</f>
        <v>CARPINTEIRO DE FORMAS COM ENCARGOS COMPLEMENTARES</v>
      </c>
      <c r="E281" s="23" t="str">
        <f>VLOOKUP(B281,IF(A281="COMPOSICAO",S!$A:$E,I!$A:$E),4,FALSE)</f>
        <v>H</v>
      </c>
      <c r="F281" s="23">
        <f>0.083/pcf</f>
        <v>8.3000000000000004E-2</v>
      </c>
      <c r="G281" s="71">
        <f>IF(A281="COMPOSICAO",VLOOKUP("TOTAL SEM BDI - "&amp;B281,CPUAUX3!$A:$J,9,FALSE),VLOOKUP(B281,I!$A:$E,5,FALSE))</f>
        <v>26.97</v>
      </c>
      <c r="H281" s="72"/>
      <c r="I281" s="71">
        <f t="shared" si="36"/>
        <v>2.23</v>
      </c>
      <c r="J281" s="72"/>
      <c r="M281" s="23">
        <f t="shared" si="37"/>
        <v>88262</v>
      </c>
      <c r="N281" s="23">
        <f>SUMIF(CPUAUX1!M:M,B278,CPUAUX1!O:O)</f>
        <v>7.0328232000000011</v>
      </c>
      <c r="O281" s="23">
        <f t="shared" si="38"/>
        <v>0.58372432560000009</v>
      </c>
      <c r="Q281" s="23">
        <f ca="1">SUMIF(CPUAUX1!M:M,B278,CPUAUX1!R:R)</f>
        <v>2.8131292800000005</v>
      </c>
      <c r="R281" s="23">
        <f t="shared" ca="1" si="39"/>
        <v>0.23348973024000005</v>
      </c>
    </row>
    <row r="282" spans="1:18" ht="30" customHeight="1" x14ac:dyDescent="0.3">
      <c r="A282" s="23" t="s">
        <v>1022</v>
      </c>
      <c r="B282" s="23">
        <v>88239</v>
      </c>
      <c r="C282" s="23" t="str">
        <f>VLOOKUP(B282,IF(A282="COMPOSICAO",S!$A:$E,I!$A:$E),2,FALSE)</f>
        <v>SINAPI</v>
      </c>
      <c r="D282" s="24" t="str">
        <f>VLOOKUP(B282,IF(A282="COMPOSICAO",S!$A:$E,I!$A:$E),3,FALSE)</f>
        <v>AJUDANTE DE CARPINTEIRO COM ENCARGOS COMPLEMENTARES</v>
      </c>
      <c r="E282" s="23" t="str">
        <f>VLOOKUP(B282,IF(A282="COMPOSICAO",S!$A:$E,I!$A:$E),4,FALSE)</f>
        <v>H</v>
      </c>
      <c r="F282" s="23">
        <f>0.032/pcf</f>
        <v>3.2000000000000001E-2</v>
      </c>
      <c r="G282" s="71">
        <f>IF(A282="COMPOSICAO",VLOOKUP("TOTAL SEM BDI - "&amp;B282,CPUAUX3!$A:$J,9,FALSE),VLOOKUP(B282,I!$A:$E,5,FALSE))</f>
        <v>22.2</v>
      </c>
      <c r="H282" s="72"/>
      <c r="I282" s="71">
        <f t="shared" si="36"/>
        <v>0.71</v>
      </c>
      <c r="J282" s="72"/>
      <c r="M282" s="23">
        <f t="shared" si="37"/>
        <v>88239</v>
      </c>
      <c r="N282" s="23">
        <f>SUMIF(CPUAUX1!M:M,B278,CPUAUX1!O:O)</f>
        <v>7.0328232000000011</v>
      </c>
      <c r="O282" s="23">
        <f t="shared" si="38"/>
        <v>0.22505034240000005</v>
      </c>
      <c r="Q282" s="23">
        <f ca="1">SUMIF(CPUAUX1!M:M,B278,CPUAUX1!R:R)</f>
        <v>2.8131292800000005</v>
      </c>
      <c r="R282" s="23">
        <f t="shared" ca="1" si="39"/>
        <v>9.0020136960000025E-2</v>
      </c>
    </row>
    <row r="283" spans="1:18" ht="30" customHeight="1" x14ac:dyDescent="0.3">
      <c r="A283" s="23" t="s">
        <v>1025</v>
      </c>
      <c r="B283" s="23">
        <v>5068</v>
      </c>
      <c r="C283" s="23" t="str">
        <f>VLOOKUP(B283,IF(A283="COMPOSICAO",S!$A:$E,I!$A:$E),2,FALSE)</f>
        <v>SINAPI</v>
      </c>
      <c r="D283" s="24" t="str">
        <f>VLOOKUP(B283,IF(A283="COMPOSICAO",S!$A:$E,I!$A:$E),3,FALSE)</f>
        <v>PREGO DE ACO POLIDO COM CABECA 17 X 21 (2 X 11)</v>
      </c>
      <c r="E283" s="23" t="str">
        <f>VLOOKUP(B283,IF(A283="COMPOSICAO",S!$A:$E,I!$A:$E),4,FALSE)</f>
        <v>KG</v>
      </c>
      <c r="F283" s="23">
        <v>1.2E-2</v>
      </c>
      <c r="G283" s="71">
        <f>IF(A283="COMPOSICAO",VLOOKUP("TOTAL SEM BDI - "&amp;B283,CPUAUX3!$A:$J,9,FALSE),VLOOKUP(B283,I!$A:$E,5,FALSE))</f>
        <v>20.34</v>
      </c>
      <c r="H283" s="72"/>
      <c r="I283" s="71">
        <f t="shared" si="36"/>
        <v>0.24</v>
      </c>
      <c r="J283" s="72"/>
      <c r="M283" s="23">
        <f t="shared" si="37"/>
        <v>5068</v>
      </c>
      <c r="N283" s="23">
        <f>SUMIF(CPUAUX1!M:M,B278,CPUAUX1!O:O)</f>
        <v>7.0328232000000011</v>
      </c>
      <c r="O283" s="23">
        <f t="shared" si="38"/>
        <v>8.4393878400000011E-2</v>
      </c>
      <c r="Q283" s="23">
        <f ca="1">SUMIF(CPUAUX1!M:M,B278,CPUAUX1!R:R)</f>
        <v>2.8131292800000005</v>
      </c>
      <c r="R283" s="23">
        <f t="shared" ca="1" si="39"/>
        <v>3.3757551360000006E-2</v>
      </c>
    </row>
    <row r="284" spans="1:18" ht="30" customHeight="1" x14ac:dyDescent="0.3">
      <c r="A284" s="23" t="s">
        <v>1025</v>
      </c>
      <c r="B284" s="23">
        <v>4491</v>
      </c>
      <c r="C284" s="23" t="str">
        <f>VLOOKUP(B284,IF(A284="COMPOSICAO",S!$A:$E,I!$A:$E),2,FALSE)</f>
        <v>SINAPI</v>
      </c>
      <c r="D284" s="24" t="str">
        <f>VLOOKUP(B284,IF(A284="COMPOSICAO",S!$A:$E,I!$A:$E),3,FALSE)</f>
        <v>PONTALETE *7,5 X 7,5* CM EM PINUS, MISTA OU EQUIVALENTE DA REGIAO - BRUTA</v>
      </c>
      <c r="E284" s="23" t="str">
        <f>VLOOKUP(B284,IF(A284="COMPOSICAO",S!$A:$E,I!$A:$E),4,FALSE)</f>
        <v>M</v>
      </c>
      <c r="F284" s="23">
        <v>2.3420000000000001</v>
      </c>
      <c r="G284" s="71">
        <f>IF(A284="COMPOSICAO",VLOOKUP("TOTAL SEM BDI - "&amp;B284,CPUAUX3!$A:$J,9,FALSE),VLOOKUP(B284,I!$A:$E,5,FALSE))</f>
        <v>10.050000000000001</v>
      </c>
      <c r="H284" s="72"/>
      <c r="I284" s="71">
        <f t="shared" si="36"/>
        <v>23.53</v>
      </c>
      <c r="J284" s="72"/>
      <c r="M284" s="23">
        <f t="shared" si="37"/>
        <v>4491</v>
      </c>
      <c r="N284" s="23">
        <f>SUMIF(CPUAUX1!M:M,B278,CPUAUX1!O:O)</f>
        <v>7.0328232000000011</v>
      </c>
      <c r="O284" s="23">
        <f t="shared" si="38"/>
        <v>16.470871934400002</v>
      </c>
      <c r="Q284" s="23">
        <f ca="1">SUMIF(CPUAUX1!M:M,B278,CPUAUX1!R:R)</f>
        <v>2.8131292800000005</v>
      </c>
      <c r="R284" s="23">
        <f t="shared" ca="1" si="39"/>
        <v>6.5883487737600017</v>
      </c>
    </row>
    <row r="285" spans="1:18" ht="45" customHeight="1" x14ac:dyDescent="0.3">
      <c r="A285" s="23" t="s">
        <v>1025</v>
      </c>
      <c r="B285" s="23">
        <v>1345</v>
      </c>
      <c r="C285" s="23" t="str">
        <f>VLOOKUP(B285,IF(A285="COMPOSICAO",S!$A:$E,I!$A:$E),2,FALSE)</f>
        <v>SINAPI</v>
      </c>
      <c r="D285" s="24" t="str">
        <f>VLOOKUP(B285,IF(A285="COMPOSICAO",S!$A:$E,I!$A:$E),3,FALSE)</f>
        <v>CHAPA/PAINEL DE MADEIRA COMPENSADA PLASTIFICADA (MADEIRITE PLASTIFICADO) PARA FORMA DE CONCRETO, DE 2200 X 1100 MM, E = *17* MM</v>
      </c>
      <c r="E285" s="23" t="str">
        <f>VLOOKUP(B285,IF(A285="COMPOSICAO",S!$A:$E,I!$A:$E),4,FALSE)</f>
        <v>M2</v>
      </c>
      <c r="F285" s="23">
        <v>0.13600000000000001</v>
      </c>
      <c r="G285" s="71">
        <f>IF(A285="COMPOSICAO",VLOOKUP("TOTAL SEM BDI - "&amp;B285,CPUAUX3!$A:$J,9,FALSE),VLOOKUP(B285,I!$A:$E,5,FALSE))</f>
        <v>106.63</v>
      </c>
      <c r="H285" s="72"/>
      <c r="I285" s="71">
        <f t="shared" si="36"/>
        <v>14.5</v>
      </c>
      <c r="J285" s="72"/>
      <c r="M285" s="23">
        <f t="shared" si="37"/>
        <v>1345</v>
      </c>
      <c r="N285" s="23">
        <f>SUMIF(CPUAUX1!M:M,B278,CPUAUX1!O:O)</f>
        <v>7.0328232000000011</v>
      </c>
      <c r="O285" s="23">
        <f t="shared" si="38"/>
        <v>0.95646395520000016</v>
      </c>
      <c r="Q285" s="23">
        <f ca="1">SUMIF(CPUAUX1!M:M,B278,CPUAUX1!R:R)</f>
        <v>2.8131292800000005</v>
      </c>
      <c r="R285" s="23">
        <f t="shared" ca="1" si="39"/>
        <v>0.3825855820800001</v>
      </c>
    </row>
    <row r="286" spans="1:18" x14ac:dyDescent="0.3">
      <c r="A286" s="68" t="str">
        <f>"TOTAL SEM BDI - "&amp;B278</f>
        <v>TOTAL SEM BDI - 92272</v>
      </c>
      <c r="B286" s="69"/>
      <c r="C286" s="69"/>
      <c r="D286" s="69"/>
      <c r="E286" s="69"/>
      <c r="F286" s="69"/>
      <c r="G286" s="69"/>
      <c r="H286" s="70"/>
      <c r="I286" s="71">
        <f>SUM(I278:I285)</f>
        <v>44.24</v>
      </c>
      <c r="J286" s="72"/>
    </row>
    <row r="288" spans="1:18" x14ac:dyDescent="0.3">
      <c r="A288" s="4" t="s">
        <v>1018</v>
      </c>
      <c r="B288" s="4" t="s">
        <v>138</v>
      </c>
      <c r="C288" s="4" t="s">
        <v>139</v>
      </c>
      <c r="D288" s="4" t="s">
        <v>21</v>
      </c>
      <c r="E288" s="4" t="s">
        <v>140</v>
      </c>
      <c r="F288" s="4" t="s">
        <v>506</v>
      </c>
      <c r="G288" s="34" t="s">
        <v>1019</v>
      </c>
      <c r="H288" s="35"/>
      <c r="I288" s="34" t="s">
        <v>15</v>
      </c>
      <c r="J288" s="35"/>
    </row>
    <row r="289" spans="1:18" ht="45" customHeight="1" x14ac:dyDescent="0.3">
      <c r="A289" s="15" t="s">
        <v>1099</v>
      </c>
      <c r="B289" s="15">
        <v>92265</v>
      </c>
      <c r="C289" s="15" t="str">
        <f>VLOOKUP(B289,S!$A:$G,2,FALSE)</f>
        <v>SINAPI</v>
      </c>
      <c r="D289" s="22" t="str">
        <f>VLOOKUP(B289,S!$A:$G,3,FALSE)</f>
        <v>FABRICAÇÃO DE FÔRMA PARA VIGAS, EM CHAPA DE MADEIRA COMPENSADA RESINADA, E = 17 MM. AF_09/2020</v>
      </c>
      <c r="E289" s="15" t="str">
        <f>VLOOKUP(B289,S!$A:$G,4,FALSE)</f>
        <v>M2</v>
      </c>
      <c r="F289" s="15"/>
      <c r="G289" s="73">
        <f>I298</f>
        <v>138.46</v>
      </c>
      <c r="H289" s="74"/>
      <c r="I289" s="73"/>
      <c r="J289" s="74"/>
      <c r="K289" s="16">
        <f>VLOOKUP(B289,S!A:G,5,FALSE)</f>
        <v>138.46</v>
      </c>
      <c r="L289" s="15" t="str">
        <f>IF(K289=G289,"OK, CONFORME TABELA",IF(G289&gt;K289,"ACIMA DA TABELA: ","ABAIXO DA TABELA: ")&amp;TRUNC((G289*100)/K289,2)&amp;" %")</f>
        <v>OK, CONFORME TABELA</v>
      </c>
    </row>
    <row r="290" spans="1:18" ht="45" customHeight="1" x14ac:dyDescent="0.3">
      <c r="A290" s="23" t="s">
        <v>1022</v>
      </c>
      <c r="B290" s="23">
        <v>91693</v>
      </c>
      <c r="C290" s="23" t="str">
        <f>VLOOKUP(B290,IF(A290="COMPOSICAO",S!$A:$E,I!$A:$E),2,FALSE)</f>
        <v>SINAPI</v>
      </c>
      <c r="D290" s="24" t="str">
        <f>VLOOKUP(B290,IF(A290="COMPOSICAO",S!$A:$E,I!$A:$E),3,FALSE)</f>
        <v>SERRA CIRCULAR DE BANCADA COM MOTOR ELÉTRICO POTÊNCIA DE 5HP, COM COIFA PARA DISCO 10" - CHI DIURNO. AF_08/2015</v>
      </c>
      <c r="E290" s="23" t="str">
        <f>VLOOKUP(B290,IF(A290="COMPOSICAO",S!$A:$E,I!$A:$E),4,FALSE)</f>
        <v>CHI</v>
      </c>
      <c r="F290" s="23">
        <v>0.23699999999999999</v>
      </c>
      <c r="G290" s="71">
        <f>IF(A290="COMPOSICAO",VLOOKUP("TOTAL SEM BDI - "&amp;B290,CPUAUX3!$A:$J,9,FALSE),VLOOKUP(B290,I!$A:$E,5,FALSE))</f>
        <v>27.3</v>
      </c>
      <c r="H290" s="72"/>
      <c r="I290" s="71">
        <f t="shared" ref="I290:I297" si="40">TRUNC(F290*G290,2)</f>
        <v>6.47</v>
      </c>
      <c r="J290" s="72"/>
      <c r="M290" s="23">
        <f t="shared" ref="M290:M297" si="41">B290</f>
        <v>91693</v>
      </c>
      <c r="N290" s="23">
        <f>SUMIF(CPUAUX1!M:M,B289,CPUAUX1!O:O)</f>
        <v>2.4243102000000003</v>
      </c>
      <c r="O290" s="23">
        <f t="shared" ref="O290:O297" si="42">F290*N290</f>
        <v>0.57456151740000005</v>
      </c>
      <c r="Q290" s="23">
        <f ca="1">SUMIF(CPUAUX1!M:M,B289,CPUAUX1!R:R)</f>
        <v>0.9697240800000001</v>
      </c>
      <c r="R290" s="23">
        <f t="shared" ref="R290:R297" ca="1" si="43">F290*Q290</f>
        <v>0.22982460696000001</v>
      </c>
    </row>
    <row r="291" spans="1:18" ht="45" customHeight="1" x14ac:dyDescent="0.3">
      <c r="A291" s="23" t="s">
        <v>1022</v>
      </c>
      <c r="B291" s="23">
        <v>91692</v>
      </c>
      <c r="C291" s="23" t="str">
        <f>VLOOKUP(B291,IF(A291="COMPOSICAO",S!$A:$E,I!$A:$E),2,FALSE)</f>
        <v>SINAPI</v>
      </c>
      <c r="D291" s="24" t="str">
        <f>VLOOKUP(B291,IF(A291="COMPOSICAO",S!$A:$E,I!$A:$E),3,FALSE)</f>
        <v>SERRA CIRCULAR DE BANCADA COM MOTOR ELÉTRICO POTÊNCIA DE 5HP, COM COIFA PARA DISCO 10" - CHP DIURNO. AF_08/2015</v>
      </c>
      <c r="E291" s="23" t="str">
        <f>VLOOKUP(B291,IF(A291="COMPOSICAO",S!$A:$E,I!$A:$E),4,FALSE)</f>
        <v>CHP</v>
      </c>
      <c r="F291" s="23">
        <v>0.05</v>
      </c>
      <c r="G291" s="71">
        <f>IF(A291="COMPOSICAO",VLOOKUP("TOTAL SEM BDI - "&amp;B291,CPUAUX3!$A:$J,9,FALSE),VLOOKUP(B291,I!$A:$E,5,FALSE))</f>
        <v>28.87</v>
      </c>
      <c r="H291" s="72"/>
      <c r="I291" s="71">
        <f t="shared" si="40"/>
        <v>1.44</v>
      </c>
      <c r="J291" s="72"/>
      <c r="M291" s="23">
        <f t="shared" si="41"/>
        <v>91692</v>
      </c>
      <c r="N291" s="23">
        <f>SUMIF(CPUAUX1!M:M,B289,CPUAUX1!O:O)</f>
        <v>2.4243102000000003</v>
      </c>
      <c r="O291" s="23">
        <f t="shared" si="42"/>
        <v>0.12121551000000003</v>
      </c>
      <c r="Q291" s="23">
        <f ca="1">SUMIF(CPUAUX1!M:M,B289,CPUAUX1!R:R)</f>
        <v>0.9697240800000001</v>
      </c>
      <c r="R291" s="23">
        <f t="shared" ca="1" si="43"/>
        <v>4.8486204000000005E-2</v>
      </c>
    </row>
    <row r="292" spans="1:18" ht="30" customHeight="1" x14ac:dyDescent="0.3">
      <c r="A292" s="23" t="s">
        <v>1022</v>
      </c>
      <c r="B292" s="23">
        <v>88262</v>
      </c>
      <c r="C292" s="23" t="str">
        <f>VLOOKUP(B292,IF(A292="COMPOSICAO",S!$A:$E,I!$A:$E),2,FALSE)</f>
        <v>SINAPI</v>
      </c>
      <c r="D292" s="24" t="str">
        <f>VLOOKUP(B292,IF(A292="COMPOSICAO",S!$A:$E,I!$A:$E),3,FALSE)</f>
        <v>CARPINTEIRO DE FORMAS COM ENCARGOS COMPLEMENTARES</v>
      </c>
      <c r="E292" s="23" t="str">
        <f>VLOOKUP(B292,IF(A292="COMPOSICAO",S!$A:$E,I!$A:$E),4,FALSE)</f>
        <v>H</v>
      </c>
      <c r="F292" s="23">
        <f>0.911/pcf</f>
        <v>0.91100000000000003</v>
      </c>
      <c r="G292" s="71">
        <f>IF(A292="COMPOSICAO",VLOOKUP("TOTAL SEM BDI - "&amp;B292,CPUAUX3!$A:$J,9,FALSE),VLOOKUP(B292,I!$A:$E,5,FALSE))</f>
        <v>26.97</v>
      </c>
      <c r="H292" s="72"/>
      <c r="I292" s="71">
        <f t="shared" si="40"/>
        <v>24.56</v>
      </c>
      <c r="J292" s="72"/>
      <c r="M292" s="23">
        <f t="shared" si="41"/>
        <v>88262</v>
      </c>
      <c r="N292" s="23">
        <f>SUMIF(CPUAUX1!M:M,B289,CPUAUX1!O:O)</f>
        <v>2.4243102000000003</v>
      </c>
      <c r="O292" s="23">
        <f t="shared" si="42"/>
        <v>2.2085465922000003</v>
      </c>
      <c r="Q292" s="23">
        <f ca="1">SUMIF(CPUAUX1!M:M,B289,CPUAUX1!R:R)</f>
        <v>0.9697240800000001</v>
      </c>
      <c r="R292" s="23">
        <f t="shared" ca="1" si="43"/>
        <v>0.88341863688000011</v>
      </c>
    </row>
    <row r="293" spans="1:18" ht="30" customHeight="1" x14ac:dyDescent="0.3">
      <c r="A293" s="23" t="s">
        <v>1022</v>
      </c>
      <c r="B293" s="23">
        <v>88239</v>
      </c>
      <c r="C293" s="23" t="str">
        <f>VLOOKUP(B293,IF(A293="COMPOSICAO",S!$A:$E,I!$A:$E),2,FALSE)</f>
        <v>SINAPI</v>
      </c>
      <c r="D293" s="24" t="str">
        <f>VLOOKUP(B293,IF(A293="COMPOSICAO",S!$A:$E,I!$A:$E),3,FALSE)</f>
        <v>AJUDANTE DE CARPINTEIRO COM ENCARGOS COMPLEMENTARES</v>
      </c>
      <c r="E293" s="23" t="str">
        <f>VLOOKUP(B293,IF(A293="COMPOSICAO",S!$A:$E,I!$A:$E),4,FALSE)</f>
        <v>H</v>
      </c>
      <c r="F293" s="23">
        <f>0.202/pcf</f>
        <v>0.20200000000000001</v>
      </c>
      <c r="G293" s="71">
        <f>IF(A293="COMPOSICAO",VLOOKUP("TOTAL SEM BDI - "&amp;B293,CPUAUX3!$A:$J,9,FALSE),VLOOKUP(B293,I!$A:$E,5,FALSE))</f>
        <v>22.2</v>
      </c>
      <c r="H293" s="72"/>
      <c r="I293" s="71">
        <f t="shared" si="40"/>
        <v>4.4800000000000004</v>
      </c>
      <c r="J293" s="72"/>
      <c r="M293" s="23">
        <f t="shared" si="41"/>
        <v>88239</v>
      </c>
      <c r="N293" s="23">
        <f>SUMIF(CPUAUX1!M:M,B289,CPUAUX1!O:O)</f>
        <v>2.4243102000000003</v>
      </c>
      <c r="O293" s="23">
        <f t="shared" si="42"/>
        <v>0.48971066040000011</v>
      </c>
      <c r="Q293" s="23">
        <f ca="1">SUMIF(CPUAUX1!M:M,B289,CPUAUX1!R:R)</f>
        <v>0.9697240800000001</v>
      </c>
      <c r="R293" s="23">
        <f t="shared" ca="1" si="43"/>
        <v>0.19588426416000004</v>
      </c>
    </row>
    <row r="294" spans="1:18" ht="30" customHeight="1" x14ac:dyDescent="0.3">
      <c r="A294" s="23" t="s">
        <v>1025</v>
      </c>
      <c r="B294" s="23">
        <v>5068</v>
      </c>
      <c r="C294" s="23" t="str">
        <f>VLOOKUP(B294,IF(A294="COMPOSICAO",S!$A:$E,I!$A:$E),2,FALSE)</f>
        <v>SINAPI</v>
      </c>
      <c r="D294" s="24" t="str">
        <f>VLOOKUP(B294,IF(A294="COMPOSICAO",S!$A:$E,I!$A:$E),3,FALSE)</f>
        <v>PREGO DE ACO POLIDO COM CABECA 17 X 21 (2 X 11)</v>
      </c>
      <c r="E294" s="23" t="str">
        <f>VLOOKUP(B294,IF(A294="COMPOSICAO",S!$A:$E,I!$A:$E),4,FALSE)</f>
        <v>KG</v>
      </c>
      <c r="F294" s="23">
        <v>0.159</v>
      </c>
      <c r="G294" s="71">
        <f>IF(A294="COMPOSICAO",VLOOKUP("TOTAL SEM BDI - "&amp;B294,CPUAUX3!$A:$J,9,FALSE),VLOOKUP(B294,I!$A:$E,5,FALSE))</f>
        <v>20.34</v>
      </c>
      <c r="H294" s="72"/>
      <c r="I294" s="71">
        <f t="shared" si="40"/>
        <v>3.23</v>
      </c>
      <c r="J294" s="72"/>
      <c r="M294" s="23">
        <f t="shared" si="41"/>
        <v>5068</v>
      </c>
      <c r="N294" s="23">
        <f>SUMIF(CPUAUX1!M:M,B289,CPUAUX1!O:O)</f>
        <v>2.4243102000000003</v>
      </c>
      <c r="O294" s="23">
        <f t="shared" si="42"/>
        <v>0.38546532180000004</v>
      </c>
      <c r="Q294" s="23">
        <f ca="1">SUMIF(CPUAUX1!M:M,B289,CPUAUX1!R:R)</f>
        <v>0.9697240800000001</v>
      </c>
      <c r="R294" s="23">
        <f t="shared" ca="1" si="43"/>
        <v>0.15418612872000001</v>
      </c>
    </row>
    <row r="295" spans="1:18" ht="30" customHeight="1" x14ac:dyDescent="0.3">
      <c r="A295" s="23" t="s">
        <v>1025</v>
      </c>
      <c r="B295" s="23">
        <v>4517</v>
      </c>
      <c r="C295" s="23" t="str">
        <f>VLOOKUP(B295,IF(A295="COMPOSICAO",S!$A:$E,I!$A:$E),2,FALSE)</f>
        <v>SINAPI</v>
      </c>
      <c r="D295" s="24" t="str">
        <f>VLOOKUP(B295,IF(A295="COMPOSICAO",S!$A:$E,I!$A:$E),3,FALSE)</f>
        <v>SARRAFO *2,5 X 7,5* CM EM PINUS, MISTA OU EQUIVALENTE DA REGIAO - BRUTA</v>
      </c>
      <c r="E295" s="23" t="str">
        <f>VLOOKUP(B295,IF(A295="COMPOSICAO",S!$A:$E,I!$A:$E),4,FALSE)</f>
        <v>M</v>
      </c>
      <c r="F295" s="23">
        <v>6.952</v>
      </c>
      <c r="G295" s="71">
        <f>IF(A295="COMPOSICAO",VLOOKUP("TOTAL SEM BDI - "&amp;B295,CPUAUX3!$A:$J,9,FALSE),VLOOKUP(B295,I!$A:$E,5,FALSE))</f>
        <v>3.52</v>
      </c>
      <c r="H295" s="72"/>
      <c r="I295" s="71">
        <f t="shared" si="40"/>
        <v>24.47</v>
      </c>
      <c r="J295" s="72"/>
      <c r="M295" s="23">
        <f t="shared" si="41"/>
        <v>4517</v>
      </c>
      <c r="N295" s="23">
        <f>SUMIF(CPUAUX1!M:M,B289,CPUAUX1!O:O)</f>
        <v>2.4243102000000003</v>
      </c>
      <c r="O295" s="23">
        <f t="shared" si="42"/>
        <v>16.853804510400003</v>
      </c>
      <c r="Q295" s="23">
        <f ca="1">SUMIF(CPUAUX1!M:M,B289,CPUAUX1!R:R)</f>
        <v>0.9697240800000001</v>
      </c>
      <c r="R295" s="23">
        <f t="shared" ca="1" si="43"/>
        <v>6.7415218041600005</v>
      </c>
    </row>
    <row r="296" spans="1:18" ht="30" customHeight="1" x14ac:dyDescent="0.3">
      <c r="A296" s="23" t="s">
        <v>1025</v>
      </c>
      <c r="B296" s="23">
        <v>4491</v>
      </c>
      <c r="C296" s="23" t="str">
        <f>VLOOKUP(B296,IF(A296="COMPOSICAO",S!$A:$E,I!$A:$E),2,FALSE)</f>
        <v>SINAPI</v>
      </c>
      <c r="D296" s="24" t="str">
        <f>VLOOKUP(B296,IF(A296="COMPOSICAO",S!$A:$E,I!$A:$E),3,FALSE)</f>
        <v>PONTALETE *7,5 X 7,5* CM EM PINUS, MISTA OU EQUIVALENTE DA REGIAO - BRUTA</v>
      </c>
      <c r="E296" s="23" t="str">
        <f>VLOOKUP(B296,IF(A296="COMPOSICAO",S!$A:$E,I!$A:$E),4,FALSE)</f>
        <v>M</v>
      </c>
      <c r="F296" s="23">
        <v>0.16600000000000001</v>
      </c>
      <c r="G296" s="71">
        <f>IF(A296="COMPOSICAO",VLOOKUP("TOTAL SEM BDI - "&amp;B296,CPUAUX3!$A:$J,9,FALSE),VLOOKUP(B296,I!$A:$E,5,FALSE))</f>
        <v>10.050000000000001</v>
      </c>
      <c r="H296" s="72"/>
      <c r="I296" s="71">
        <f t="shared" si="40"/>
        <v>1.66</v>
      </c>
      <c r="J296" s="72"/>
      <c r="M296" s="23">
        <f t="shared" si="41"/>
        <v>4491</v>
      </c>
      <c r="N296" s="23">
        <f>SUMIF(CPUAUX1!M:M,B289,CPUAUX1!O:O)</f>
        <v>2.4243102000000003</v>
      </c>
      <c r="O296" s="23">
        <f t="shared" si="42"/>
        <v>0.40243549320000005</v>
      </c>
      <c r="Q296" s="23">
        <f ca="1">SUMIF(CPUAUX1!M:M,B289,CPUAUX1!R:R)</f>
        <v>0.9697240800000001</v>
      </c>
      <c r="R296" s="23">
        <f t="shared" ca="1" si="43"/>
        <v>0.16097419728000004</v>
      </c>
    </row>
    <row r="297" spans="1:18" ht="45" customHeight="1" x14ac:dyDescent="0.3">
      <c r="A297" s="23" t="s">
        <v>1025</v>
      </c>
      <c r="B297" s="23">
        <v>1358</v>
      </c>
      <c r="C297" s="23" t="str">
        <f>VLOOKUP(B297,IF(A297="COMPOSICAO",S!$A:$E,I!$A:$E),2,FALSE)</f>
        <v>SINAPI</v>
      </c>
      <c r="D297" s="24" t="str">
        <f>VLOOKUP(B297,IF(A297="COMPOSICAO",S!$A:$E,I!$A:$E),3,FALSE)</f>
        <v>CHAPA/PAINEL DE MADEIRA COMPENSADA RESINADA (MADEIRITE RESINADO ROSA) PARA FORMA DE CONCRETO, DE 2200 X 1100 MM, E = 17 MM</v>
      </c>
      <c r="E297" s="23" t="str">
        <f>VLOOKUP(B297,IF(A297="COMPOSICAO",S!$A:$E,I!$A:$E),4,FALSE)</f>
        <v>M2</v>
      </c>
      <c r="F297" s="23">
        <v>1.1459999999999999</v>
      </c>
      <c r="G297" s="71">
        <f>IF(A297="COMPOSICAO",VLOOKUP("TOTAL SEM BDI - "&amp;B297,CPUAUX3!$A:$J,9,FALSE),VLOOKUP(B297,I!$A:$E,5,FALSE))</f>
        <v>62.96</v>
      </c>
      <c r="H297" s="72"/>
      <c r="I297" s="71">
        <f t="shared" si="40"/>
        <v>72.150000000000006</v>
      </c>
      <c r="J297" s="72"/>
      <c r="M297" s="23">
        <f t="shared" si="41"/>
        <v>1358</v>
      </c>
      <c r="N297" s="23">
        <f>SUMIF(CPUAUX1!M:M,B289,CPUAUX1!O:O)</f>
        <v>2.4243102000000003</v>
      </c>
      <c r="O297" s="23">
        <f t="shared" si="42"/>
        <v>2.7782594892000003</v>
      </c>
      <c r="Q297" s="23">
        <f ca="1">SUMIF(CPUAUX1!M:M,B289,CPUAUX1!R:R)</f>
        <v>0.9697240800000001</v>
      </c>
      <c r="R297" s="23">
        <f t="shared" ca="1" si="43"/>
        <v>1.11130379568</v>
      </c>
    </row>
    <row r="298" spans="1:18" x14ac:dyDescent="0.3">
      <c r="A298" s="68" t="str">
        <f>"TOTAL SEM BDI - "&amp;B289</f>
        <v>TOTAL SEM BDI - 92265</v>
      </c>
      <c r="B298" s="69"/>
      <c r="C298" s="69"/>
      <c r="D298" s="69"/>
      <c r="E298" s="69"/>
      <c r="F298" s="69"/>
      <c r="G298" s="69"/>
      <c r="H298" s="70"/>
      <c r="I298" s="71">
        <f>SUM(I289:I297)</f>
        <v>138.46</v>
      </c>
      <c r="J298" s="72"/>
    </row>
    <row r="300" spans="1:18" x14ac:dyDescent="0.3">
      <c r="A300" s="4" t="s">
        <v>1018</v>
      </c>
      <c r="B300" s="4" t="s">
        <v>138</v>
      </c>
      <c r="C300" s="4" t="s">
        <v>139</v>
      </c>
      <c r="D300" s="4" t="s">
        <v>21</v>
      </c>
      <c r="E300" s="4" t="s">
        <v>140</v>
      </c>
      <c r="F300" s="4" t="s">
        <v>506</v>
      </c>
      <c r="G300" s="34" t="s">
        <v>1019</v>
      </c>
      <c r="H300" s="35"/>
      <c r="I300" s="34" t="s">
        <v>15</v>
      </c>
      <c r="J300" s="35"/>
    </row>
    <row r="301" spans="1:18" ht="30" customHeight="1" x14ac:dyDescent="0.3">
      <c r="A301" s="15" t="s">
        <v>1100</v>
      </c>
      <c r="B301" s="15">
        <v>92800</v>
      </c>
      <c r="C301" s="15" t="str">
        <f>VLOOKUP(B301,S!$A:$G,2,FALSE)</f>
        <v>SINAPI</v>
      </c>
      <c r="D301" s="22" t="str">
        <f>VLOOKUP(B301,S!$A:$G,3,FALSE)</f>
        <v>CORTE E DOBRA DE AÇO CA-60, DIÂMETRO DE 5,0 MM. AF_06/2022</v>
      </c>
      <c r="E301" s="15" t="str">
        <f>VLOOKUP(B301,S!$A:$G,4,FALSE)</f>
        <v>KG</v>
      </c>
      <c r="F301" s="15"/>
      <c r="G301" s="73">
        <f>I305</f>
        <v>9.9599999999999991</v>
      </c>
      <c r="H301" s="74"/>
      <c r="I301" s="73"/>
      <c r="J301" s="74"/>
      <c r="K301" s="16">
        <f>VLOOKUP(B301,S!A:G,5,FALSE)</f>
        <v>9.9600000000000009</v>
      </c>
      <c r="L301" s="15" t="str">
        <f>IF(K301=G301,"OK, CONFORME TABELA",IF(G301&gt;K301,"ACIMA DA TABELA: ","ABAIXO DA TABELA: ")&amp;TRUNC((G301*100)/K301,2)&amp;" %")</f>
        <v>OK, CONFORME TABELA</v>
      </c>
    </row>
    <row r="302" spans="1:18" x14ac:dyDescent="0.3">
      <c r="A302" s="23" t="s">
        <v>1022</v>
      </c>
      <c r="B302" s="23">
        <v>88245</v>
      </c>
      <c r="C302" s="23" t="str">
        <f>VLOOKUP(B302,IF(A302="COMPOSICAO",S!$A:$E,I!$A:$E),2,FALSE)</f>
        <v>SINAPI</v>
      </c>
      <c r="D302" s="24" t="str">
        <f>VLOOKUP(B302,IF(A302="COMPOSICAO",S!$A:$E,I!$A:$E),3,FALSE)</f>
        <v>ARMADOR COM ENCARGOS COMPLEMENTARES</v>
      </c>
      <c r="E302" s="23" t="str">
        <f>VLOOKUP(B302,IF(A302="COMPOSICAO",S!$A:$E,I!$A:$E),4,FALSE)</f>
        <v>H</v>
      </c>
      <c r="F302" s="23">
        <f>0.0581/pcf</f>
        <v>5.8099999999999999E-2</v>
      </c>
      <c r="G302" s="71">
        <f>IF(A302="COMPOSICAO",VLOOKUP("TOTAL SEM BDI - "&amp;B302,CPUAUX3!$A:$J,9,FALSE),VLOOKUP(B302,I!$A:$E,5,FALSE))</f>
        <v>27.189999999999998</v>
      </c>
      <c r="H302" s="72"/>
      <c r="I302" s="71">
        <f>TRUNC(F302*G302,2)</f>
        <v>1.57</v>
      </c>
      <c r="J302" s="72"/>
      <c r="M302" s="23">
        <f>B302</f>
        <v>88245</v>
      </c>
      <c r="N302" s="23">
        <f>SUMIF(CPUAUX1!M:M,B301,CPUAUX1!O:O)</f>
        <v>4.4413500000000017</v>
      </c>
      <c r="O302" s="23">
        <f>F302*N302</f>
        <v>0.25804243500000007</v>
      </c>
      <c r="Q302" s="23">
        <f ca="1">SUMIF(CPUAUX1!M:M,B301,CPUAUX1!R:R)</f>
        <v>1.7765400000000005</v>
      </c>
      <c r="R302" s="23">
        <f ca="1">F302*Q302</f>
        <v>0.10321697400000003</v>
      </c>
    </row>
    <row r="303" spans="1:18" ht="30" customHeight="1" x14ac:dyDescent="0.3">
      <c r="A303" s="23" t="s">
        <v>1022</v>
      </c>
      <c r="B303" s="23">
        <v>88238</v>
      </c>
      <c r="C303" s="23" t="str">
        <f>VLOOKUP(B303,IF(A303="COMPOSICAO",S!$A:$E,I!$A:$E),2,FALSE)</f>
        <v>SINAPI</v>
      </c>
      <c r="D303" s="24" t="str">
        <f>VLOOKUP(B303,IF(A303="COMPOSICAO",S!$A:$E,I!$A:$E),3,FALSE)</f>
        <v>AJUDANTE DE ARMADOR COM ENCARGOS COMPLEMENTARES</v>
      </c>
      <c r="E303" s="23" t="str">
        <f>VLOOKUP(B303,IF(A303="COMPOSICAO",S!$A:$E,I!$A:$E),4,FALSE)</f>
        <v>H</v>
      </c>
      <c r="F303" s="23">
        <f>0.0095/pcf</f>
        <v>9.4999999999999998E-3</v>
      </c>
      <c r="G303" s="71">
        <f>IF(A303="COMPOSICAO",VLOOKUP("TOTAL SEM BDI - "&amp;B303,CPUAUX3!$A:$J,9,FALSE),VLOOKUP(B303,I!$A:$E,5,FALSE))</f>
        <v>22.37</v>
      </c>
      <c r="H303" s="72"/>
      <c r="I303" s="71">
        <f>TRUNC(F303*G303,2)</f>
        <v>0.21</v>
      </c>
      <c r="J303" s="72"/>
      <c r="M303" s="23">
        <f>B303</f>
        <v>88238</v>
      </c>
      <c r="N303" s="23">
        <f>SUMIF(CPUAUX1!M:M,B301,CPUAUX1!O:O)</f>
        <v>4.4413500000000017</v>
      </c>
      <c r="O303" s="23">
        <f>F303*N303</f>
        <v>4.2192825000000017E-2</v>
      </c>
      <c r="Q303" s="23">
        <f ca="1">SUMIF(CPUAUX1!M:M,B301,CPUAUX1!R:R)</f>
        <v>1.7765400000000005</v>
      </c>
      <c r="R303" s="23">
        <f ca="1">F303*Q303</f>
        <v>1.6877130000000004E-2</v>
      </c>
    </row>
    <row r="304" spans="1:18" ht="30" customHeight="1" x14ac:dyDescent="0.3">
      <c r="A304" s="23" t="s">
        <v>1025</v>
      </c>
      <c r="B304" s="23">
        <v>43059</v>
      </c>
      <c r="C304" s="23" t="str">
        <f>VLOOKUP(B304,IF(A304="COMPOSICAO",S!$A:$E,I!$A:$E),2,FALSE)</f>
        <v>SINAPI</v>
      </c>
      <c r="D304" s="24" t="str">
        <f>VLOOKUP(B304,IF(A304="COMPOSICAO",S!$A:$E,I!$A:$E),3,FALSE)</f>
        <v>ACO CA-60, 4,2 MM, OU 5,0 MM, OU 6,0 MM, OU 7,0 MM, VERGALHAO</v>
      </c>
      <c r="E304" s="23" t="str">
        <f>VLOOKUP(B304,IF(A304="COMPOSICAO",S!$A:$E,I!$A:$E),4,FALSE)</f>
        <v>KG</v>
      </c>
      <c r="F304" s="23">
        <v>1.07</v>
      </c>
      <c r="G304" s="71">
        <f>IF(A304="COMPOSICAO",VLOOKUP("TOTAL SEM BDI - "&amp;B304,CPUAUX3!$A:$J,9,FALSE),VLOOKUP(B304,I!$A:$E,5,FALSE))</f>
        <v>7.65</v>
      </c>
      <c r="H304" s="72"/>
      <c r="I304" s="71">
        <f>TRUNC(F304*G304,2)</f>
        <v>8.18</v>
      </c>
      <c r="J304" s="72"/>
      <c r="M304" s="23">
        <f>B304</f>
        <v>43059</v>
      </c>
      <c r="N304" s="23">
        <f>SUMIF(CPUAUX1!M:M,B301,CPUAUX1!O:O)</f>
        <v>4.4413500000000017</v>
      </c>
      <c r="O304" s="23">
        <f>F304*N304</f>
        <v>4.7522445000000024</v>
      </c>
      <c r="Q304" s="23">
        <f ca="1">SUMIF(CPUAUX1!M:M,B301,CPUAUX1!R:R)</f>
        <v>1.7765400000000005</v>
      </c>
      <c r="R304" s="23">
        <f ca="1">F304*Q304</f>
        <v>1.9008978000000005</v>
      </c>
    </row>
    <row r="305" spans="1:18" x14ac:dyDescent="0.3">
      <c r="A305" s="68" t="str">
        <f>"TOTAL SEM BDI - "&amp;B301</f>
        <v>TOTAL SEM BDI - 92800</v>
      </c>
      <c r="B305" s="69"/>
      <c r="C305" s="69"/>
      <c r="D305" s="69"/>
      <c r="E305" s="69"/>
      <c r="F305" s="69"/>
      <c r="G305" s="69"/>
      <c r="H305" s="70"/>
      <c r="I305" s="71">
        <f>SUM(I301:I304)</f>
        <v>9.9599999999999991</v>
      </c>
      <c r="J305" s="72"/>
    </row>
    <row r="307" spans="1:18" x14ac:dyDescent="0.3">
      <c r="A307" s="4" t="s">
        <v>1018</v>
      </c>
      <c r="B307" s="4" t="s">
        <v>138</v>
      </c>
      <c r="C307" s="4" t="s">
        <v>139</v>
      </c>
      <c r="D307" s="4" t="s">
        <v>21</v>
      </c>
      <c r="E307" s="4" t="s">
        <v>140</v>
      </c>
      <c r="F307" s="4" t="s">
        <v>506</v>
      </c>
      <c r="G307" s="34" t="s">
        <v>1019</v>
      </c>
      <c r="H307" s="35"/>
      <c r="I307" s="34" t="s">
        <v>15</v>
      </c>
      <c r="J307" s="35"/>
    </row>
    <row r="308" spans="1:18" ht="30" customHeight="1" x14ac:dyDescent="0.3">
      <c r="A308" s="15" t="s">
        <v>1100</v>
      </c>
      <c r="B308" s="15">
        <v>92801</v>
      </c>
      <c r="C308" s="15" t="str">
        <f>VLOOKUP(B308,S!$A:$G,2,FALSE)</f>
        <v>SINAPI</v>
      </c>
      <c r="D308" s="22" t="str">
        <f>VLOOKUP(B308,S!$A:$G,3,FALSE)</f>
        <v>CORTE E DOBRA DE AÇO CA-50, DIÂMETRO DE 6,3 MM. AF_06/2022</v>
      </c>
      <c r="E308" s="15" t="str">
        <f>VLOOKUP(B308,S!$A:$G,4,FALSE)</f>
        <v>KG</v>
      </c>
      <c r="F308" s="15"/>
      <c r="G308" s="73">
        <f>I312</f>
        <v>10.059999999999999</v>
      </c>
      <c r="H308" s="74"/>
      <c r="I308" s="73"/>
      <c r="J308" s="74"/>
      <c r="K308" s="16">
        <f>VLOOKUP(B308,S!A:G,5,FALSE)</f>
        <v>10.06</v>
      </c>
      <c r="L308" s="15" t="str">
        <f>IF(K308=G308,"OK, CONFORME TABELA",IF(G308&gt;K308,"ACIMA DA TABELA: ","ABAIXO DA TABELA: ")&amp;TRUNC((G308*100)/K308,2)&amp;" %")</f>
        <v>OK, CONFORME TABELA</v>
      </c>
    </row>
    <row r="309" spans="1:18" x14ac:dyDescent="0.3">
      <c r="A309" s="23" t="s">
        <v>1022</v>
      </c>
      <c r="B309" s="23">
        <v>88245</v>
      </c>
      <c r="C309" s="23" t="str">
        <f>VLOOKUP(B309,IF(A309="COMPOSICAO",S!$A:$E,I!$A:$E),2,FALSE)</f>
        <v>SINAPI</v>
      </c>
      <c r="D309" s="24" t="str">
        <f>VLOOKUP(B309,IF(A309="COMPOSICAO",S!$A:$E,I!$A:$E),3,FALSE)</f>
        <v>ARMADOR COM ENCARGOS COMPLEMENTARES</v>
      </c>
      <c r="E309" s="23" t="str">
        <f>VLOOKUP(B309,IF(A309="COMPOSICAO",S!$A:$E,I!$A:$E),4,FALSE)</f>
        <v>H</v>
      </c>
      <c r="F309" s="23">
        <f>0.031/pcf</f>
        <v>3.1E-2</v>
      </c>
      <c r="G309" s="71">
        <f>IF(A309="COMPOSICAO",VLOOKUP("TOTAL SEM BDI - "&amp;B309,CPUAUX3!$A:$J,9,FALSE),VLOOKUP(B309,I!$A:$E,5,FALSE))</f>
        <v>27.189999999999998</v>
      </c>
      <c r="H309" s="72"/>
      <c r="I309" s="71">
        <f>TRUNC(F309*G309,2)</f>
        <v>0.84</v>
      </c>
      <c r="J309" s="72"/>
      <c r="M309" s="23">
        <f>B309</f>
        <v>88245</v>
      </c>
      <c r="N309" s="23">
        <f>SUMIF(CPUAUX1!M:M,B308,CPUAUX1!O:O)</f>
        <v>4.5339</v>
      </c>
      <c r="O309" s="23">
        <f>F309*N309</f>
        <v>0.14055090000000001</v>
      </c>
      <c r="Q309" s="23">
        <f ca="1">SUMIF(CPUAUX1!M:M,B308,CPUAUX1!R:R)</f>
        <v>1.8135600000000003</v>
      </c>
      <c r="R309" s="23">
        <f ca="1">F309*Q309</f>
        <v>5.6220360000000011E-2</v>
      </c>
    </row>
    <row r="310" spans="1:18" ht="30" customHeight="1" x14ac:dyDescent="0.3">
      <c r="A310" s="23" t="s">
        <v>1022</v>
      </c>
      <c r="B310" s="23">
        <v>88238</v>
      </c>
      <c r="C310" s="23" t="str">
        <f>VLOOKUP(B310,IF(A310="COMPOSICAO",S!$A:$E,I!$A:$E),2,FALSE)</f>
        <v>SINAPI</v>
      </c>
      <c r="D310" s="24" t="str">
        <f>VLOOKUP(B310,IF(A310="COMPOSICAO",S!$A:$E,I!$A:$E),3,FALSE)</f>
        <v>AJUDANTE DE ARMADOR COM ENCARGOS COMPLEMENTARES</v>
      </c>
      <c r="E310" s="23" t="str">
        <f>VLOOKUP(B310,IF(A310="COMPOSICAO",S!$A:$E,I!$A:$E),4,FALSE)</f>
        <v>H</v>
      </c>
      <c r="F310" s="23">
        <f>0.0051/pcf</f>
        <v>5.1000000000000004E-3</v>
      </c>
      <c r="G310" s="71">
        <f>IF(A310="COMPOSICAO",VLOOKUP("TOTAL SEM BDI - "&amp;B310,CPUAUX3!$A:$J,9,FALSE),VLOOKUP(B310,I!$A:$E,5,FALSE))</f>
        <v>22.37</v>
      </c>
      <c r="H310" s="72"/>
      <c r="I310" s="71">
        <f>TRUNC(F310*G310,2)</f>
        <v>0.11</v>
      </c>
      <c r="J310" s="72"/>
      <c r="M310" s="23">
        <f>B310</f>
        <v>88238</v>
      </c>
      <c r="N310" s="23">
        <f>SUMIF(CPUAUX1!M:M,B308,CPUAUX1!O:O)</f>
        <v>4.5339</v>
      </c>
      <c r="O310" s="23">
        <f>F310*N310</f>
        <v>2.3122890000000004E-2</v>
      </c>
      <c r="Q310" s="23">
        <f ca="1">SUMIF(CPUAUX1!M:M,B308,CPUAUX1!R:R)</f>
        <v>1.8135600000000003</v>
      </c>
      <c r="R310" s="23">
        <f ca="1">F310*Q310</f>
        <v>9.2491560000000014E-3</v>
      </c>
    </row>
    <row r="311" spans="1:18" x14ac:dyDescent="0.3">
      <c r="A311" s="23" t="s">
        <v>1025</v>
      </c>
      <c r="B311" s="23">
        <v>32</v>
      </c>
      <c r="C311" s="23" t="str">
        <f>VLOOKUP(B311,IF(A311="COMPOSICAO",S!$A:$E,I!$A:$E),2,FALSE)</f>
        <v>SINAPI</v>
      </c>
      <c r="D311" s="24" t="str">
        <f>VLOOKUP(B311,IF(A311="COMPOSICAO",S!$A:$E,I!$A:$E),3,FALSE)</f>
        <v>ACO CA-50, 6,3 MM, VERGALHAO</v>
      </c>
      <c r="E311" s="23" t="str">
        <f>VLOOKUP(B311,IF(A311="COMPOSICAO",S!$A:$E,I!$A:$E),4,FALSE)</f>
        <v>KG</v>
      </c>
      <c r="F311" s="23">
        <v>1.07</v>
      </c>
      <c r="G311" s="71">
        <f>IF(A311="COMPOSICAO",VLOOKUP("TOTAL SEM BDI - "&amp;B311,CPUAUX3!$A:$J,9,FALSE),VLOOKUP(B311,I!$A:$E,5,FALSE))</f>
        <v>8.52</v>
      </c>
      <c r="H311" s="72"/>
      <c r="I311" s="71">
        <f>TRUNC(F311*G311,2)</f>
        <v>9.11</v>
      </c>
      <c r="J311" s="72"/>
      <c r="M311" s="23">
        <f>B311</f>
        <v>32</v>
      </c>
      <c r="N311" s="23">
        <f>SUMIF(CPUAUX1!M:M,B308,CPUAUX1!O:O)</f>
        <v>4.5339</v>
      </c>
      <c r="O311" s="23">
        <f>F311*N311</f>
        <v>4.8512729999999999</v>
      </c>
      <c r="Q311" s="23">
        <f ca="1">SUMIF(CPUAUX1!M:M,B308,CPUAUX1!R:R)</f>
        <v>1.8135600000000003</v>
      </c>
      <c r="R311" s="23">
        <f ca="1">F311*Q311</f>
        <v>1.9405092000000004</v>
      </c>
    </row>
    <row r="312" spans="1:18" x14ac:dyDescent="0.3">
      <c r="A312" s="68" t="str">
        <f>"TOTAL SEM BDI - "&amp;B308</f>
        <v>TOTAL SEM BDI - 92801</v>
      </c>
      <c r="B312" s="69"/>
      <c r="C312" s="69"/>
      <c r="D312" s="69"/>
      <c r="E312" s="69"/>
      <c r="F312" s="69"/>
      <c r="G312" s="69"/>
      <c r="H312" s="70"/>
      <c r="I312" s="71">
        <f>SUM(I308:I311)</f>
        <v>10.059999999999999</v>
      </c>
      <c r="J312" s="72"/>
    </row>
    <row r="314" spans="1:18" x14ac:dyDescent="0.3">
      <c r="A314" s="4" t="s">
        <v>1018</v>
      </c>
      <c r="B314" s="4" t="s">
        <v>138</v>
      </c>
      <c r="C314" s="4" t="s">
        <v>139</v>
      </c>
      <c r="D314" s="4" t="s">
        <v>21</v>
      </c>
      <c r="E314" s="4" t="s">
        <v>140</v>
      </c>
      <c r="F314" s="4" t="s">
        <v>506</v>
      </c>
      <c r="G314" s="34" t="s">
        <v>1019</v>
      </c>
      <c r="H314" s="35"/>
      <c r="I314" s="34" t="s">
        <v>15</v>
      </c>
      <c r="J314" s="35"/>
    </row>
    <row r="315" spans="1:18" ht="30" customHeight="1" x14ac:dyDescent="0.3">
      <c r="A315" s="15" t="s">
        <v>1100</v>
      </c>
      <c r="B315" s="15">
        <v>92802</v>
      </c>
      <c r="C315" s="15" t="str">
        <f>VLOOKUP(B315,S!$A:$G,2,FALSE)</f>
        <v>SINAPI</v>
      </c>
      <c r="D315" s="22" t="str">
        <f>VLOOKUP(B315,S!$A:$G,3,FALSE)</f>
        <v>CORTE E DOBRA DE AÇO CA-50, DIÂMETRO DE 8,0 MM. AF_06/2022</v>
      </c>
      <c r="E315" s="15" t="str">
        <f>VLOOKUP(B315,S!$A:$G,4,FALSE)</f>
        <v>KG</v>
      </c>
      <c r="F315" s="15"/>
      <c r="G315" s="73">
        <f>I319</f>
        <v>10</v>
      </c>
      <c r="H315" s="74"/>
      <c r="I315" s="73"/>
      <c r="J315" s="74"/>
      <c r="K315" s="16">
        <f>VLOOKUP(B315,S!A:G,5,FALSE)</f>
        <v>10</v>
      </c>
      <c r="L315" s="15" t="str">
        <f>IF(K315=G315,"OK, CONFORME TABELA",IF(G315&gt;K315,"ACIMA DA TABELA: ","ABAIXO DA TABELA: ")&amp;TRUNC((G315*100)/K315,2)&amp;" %")</f>
        <v>OK, CONFORME TABELA</v>
      </c>
    </row>
    <row r="316" spans="1:18" x14ac:dyDescent="0.3">
      <c r="A316" s="23" t="s">
        <v>1022</v>
      </c>
      <c r="B316" s="23">
        <v>88245</v>
      </c>
      <c r="C316" s="23" t="str">
        <f>VLOOKUP(B316,IF(A316="COMPOSICAO",S!$A:$E,I!$A:$E),2,FALSE)</f>
        <v>SINAPI</v>
      </c>
      <c r="D316" s="24" t="str">
        <f>VLOOKUP(B316,IF(A316="COMPOSICAO",S!$A:$E,I!$A:$E),3,FALSE)</f>
        <v>ARMADOR COM ENCARGOS COMPLEMENTARES</v>
      </c>
      <c r="E316" s="23" t="str">
        <f>VLOOKUP(B316,IF(A316="COMPOSICAO",S!$A:$E,I!$A:$E),4,FALSE)</f>
        <v>H</v>
      </c>
      <c r="F316" s="23">
        <f>0.0162/pcf</f>
        <v>1.6199999999999999E-2</v>
      </c>
      <c r="G316" s="71">
        <f>IF(A316="COMPOSICAO",VLOOKUP("TOTAL SEM BDI - "&amp;B316,CPUAUX3!$A:$J,9,FALSE),VLOOKUP(B316,I!$A:$E,5,FALSE))</f>
        <v>27.189999999999998</v>
      </c>
      <c r="H316" s="72"/>
      <c r="I316" s="71">
        <f>TRUNC(F316*G316,2)</f>
        <v>0.44</v>
      </c>
      <c r="J316" s="72"/>
      <c r="M316" s="23">
        <f>B316</f>
        <v>88245</v>
      </c>
      <c r="N316" s="23">
        <f>SUMIF(CPUAUX1!M:M,B315,CPUAUX1!O:O)</f>
        <v>1.7293500000000002</v>
      </c>
      <c r="O316" s="23">
        <f>F316*N316</f>
        <v>2.8015470000000001E-2</v>
      </c>
      <c r="Q316" s="23">
        <f ca="1">SUMIF(CPUAUX1!M:M,B315,CPUAUX1!R:R)</f>
        <v>0.69174000000000013</v>
      </c>
      <c r="R316" s="23">
        <f ca="1">F316*Q316</f>
        <v>1.1206188000000002E-2</v>
      </c>
    </row>
    <row r="317" spans="1:18" ht="30" customHeight="1" x14ac:dyDescent="0.3">
      <c r="A317" s="23" t="s">
        <v>1022</v>
      </c>
      <c r="B317" s="23">
        <v>88238</v>
      </c>
      <c r="C317" s="23" t="str">
        <f>VLOOKUP(B317,IF(A317="COMPOSICAO",S!$A:$E,I!$A:$E),2,FALSE)</f>
        <v>SINAPI</v>
      </c>
      <c r="D317" s="24" t="str">
        <f>VLOOKUP(B317,IF(A317="COMPOSICAO",S!$A:$E,I!$A:$E),3,FALSE)</f>
        <v>AJUDANTE DE ARMADOR COM ENCARGOS COMPLEMENTARES</v>
      </c>
      <c r="E317" s="23" t="str">
        <f>VLOOKUP(B317,IF(A317="COMPOSICAO",S!$A:$E,I!$A:$E),4,FALSE)</f>
        <v>H</v>
      </c>
      <c r="F317" s="23">
        <f>0.0026/pcf</f>
        <v>2.5999999999999999E-3</v>
      </c>
      <c r="G317" s="71">
        <f>IF(A317="COMPOSICAO",VLOOKUP("TOTAL SEM BDI - "&amp;B317,CPUAUX3!$A:$J,9,FALSE),VLOOKUP(B317,I!$A:$E,5,FALSE))</f>
        <v>22.37</v>
      </c>
      <c r="H317" s="72"/>
      <c r="I317" s="71">
        <f>TRUNC(F317*G317,2)</f>
        <v>0.05</v>
      </c>
      <c r="J317" s="72"/>
      <c r="M317" s="23">
        <f>B317</f>
        <v>88238</v>
      </c>
      <c r="N317" s="23">
        <f>SUMIF(CPUAUX1!M:M,B315,CPUAUX1!O:O)</f>
        <v>1.7293500000000002</v>
      </c>
      <c r="O317" s="23">
        <f>F317*N317</f>
        <v>4.4963099999999999E-3</v>
      </c>
      <c r="Q317" s="23">
        <f ca="1">SUMIF(CPUAUX1!M:M,B315,CPUAUX1!R:R)</f>
        <v>0.69174000000000013</v>
      </c>
      <c r="R317" s="23">
        <f ca="1">F317*Q317</f>
        <v>1.7985240000000003E-3</v>
      </c>
    </row>
    <row r="318" spans="1:18" x14ac:dyDescent="0.3">
      <c r="A318" s="23" t="s">
        <v>1025</v>
      </c>
      <c r="B318" s="23">
        <v>33</v>
      </c>
      <c r="C318" s="23" t="str">
        <f>VLOOKUP(B318,IF(A318="COMPOSICAO",S!$A:$E,I!$A:$E),2,FALSE)</f>
        <v>SINAPI</v>
      </c>
      <c r="D318" s="24" t="str">
        <f>VLOOKUP(B318,IF(A318="COMPOSICAO",S!$A:$E,I!$A:$E),3,FALSE)</f>
        <v>ACO CA-50, 8,0 MM, VERGALHAO</v>
      </c>
      <c r="E318" s="23" t="str">
        <f>VLOOKUP(B318,IF(A318="COMPOSICAO",S!$A:$E,I!$A:$E),4,FALSE)</f>
        <v>KG</v>
      </c>
      <c r="F318" s="23">
        <v>1.1100000000000001</v>
      </c>
      <c r="G318" s="71">
        <f>IF(A318="COMPOSICAO",VLOOKUP("TOTAL SEM BDI - "&amp;B318,CPUAUX3!$A:$J,9,FALSE),VLOOKUP(B318,I!$A:$E,5,FALSE))</f>
        <v>8.57</v>
      </c>
      <c r="H318" s="72"/>
      <c r="I318" s="71">
        <f>TRUNC(F318*G318,2)</f>
        <v>9.51</v>
      </c>
      <c r="J318" s="72"/>
      <c r="M318" s="23">
        <f>B318</f>
        <v>33</v>
      </c>
      <c r="N318" s="23">
        <f>SUMIF(CPUAUX1!M:M,B315,CPUAUX1!O:O)</f>
        <v>1.7293500000000002</v>
      </c>
      <c r="O318" s="23">
        <f>F318*N318</f>
        <v>1.9195785000000003</v>
      </c>
      <c r="Q318" s="23">
        <f ca="1">SUMIF(CPUAUX1!M:M,B315,CPUAUX1!R:R)</f>
        <v>0.69174000000000013</v>
      </c>
      <c r="R318" s="23">
        <f ca="1">F318*Q318</f>
        <v>0.76783140000000016</v>
      </c>
    </row>
    <row r="319" spans="1:18" x14ac:dyDescent="0.3">
      <c r="A319" s="68" t="str">
        <f>"TOTAL SEM BDI - "&amp;B315</f>
        <v>TOTAL SEM BDI - 92802</v>
      </c>
      <c r="B319" s="69"/>
      <c r="C319" s="69"/>
      <c r="D319" s="69"/>
      <c r="E319" s="69"/>
      <c r="F319" s="69"/>
      <c r="G319" s="69"/>
      <c r="H319" s="70"/>
      <c r="I319" s="71">
        <f>SUM(I315:I318)</f>
        <v>10</v>
      </c>
      <c r="J319" s="72"/>
    </row>
    <row r="321" spans="1:18" x14ac:dyDescent="0.3">
      <c r="A321" s="4" t="s">
        <v>1018</v>
      </c>
      <c r="B321" s="4" t="s">
        <v>138</v>
      </c>
      <c r="C321" s="4" t="s">
        <v>139</v>
      </c>
      <c r="D321" s="4" t="s">
        <v>21</v>
      </c>
      <c r="E321" s="4" t="s">
        <v>140</v>
      </c>
      <c r="F321" s="4" t="s">
        <v>506</v>
      </c>
      <c r="G321" s="34" t="s">
        <v>1019</v>
      </c>
      <c r="H321" s="35"/>
      <c r="I321" s="34" t="s">
        <v>15</v>
      </c>
      <c r="J321" s="35"/>
    </row>
    <row r="322" spans="1:18" ht="30" customHeight="1" x14ac:dyDescent="0.3">
      <c r="A322" s="15" t="s">
        <v>1100</v>
      </c>
      <c r="B322" s="15">
        <v>92803</v>
      </c>
      <c r="C322" s="15" t="str">
        <f>VLOOKUP(B322,S!$A:$G,2,FALSE)</f>
        <v>SINAPI</v>
      </c>
      <c r="D322" s="22" t="str">
        <f>VLOOKUP(B322,S!$A:$G,3,FALSE)</f>
        <v>CORTE E DOBRA DE AÇO CA-50, DIÂMETRO DE 10,0 MM. AF_06/2022</v>
      </c>
      <c r="E322" s="15" t="str">
        <f>VLOOKUP(B322,S!$A:$G,4,FALSE)</f>
        <v>KG</v>
      </c>
      <c r="F322" s="15"/>
      <c r="G322" s="73">
        <f>I326</f>
        <v>9.2200000000000006</v>
      </c>
      <c r="H322" s="74"/>
      <c r="I322" s="73"/>
      <c r="J322" s="74"/>
      <c r="K322" s="16">
        <f>VLOOKUP(B322,S!A:G,5,FALSE)</f>
        <v>9.2200000000000006</v>
      </c>
      <c r="L322" s="15" t="str">
        <f>IF(K322=G322,"OK, CONFORME TABELA",IF(G322&gt;K322,"ACIMA DA TABELA: ","ABAIXO DA TABELA: ")&amp;TRUNC((G322*100)/K322,2)&amp;" %")</f>
        <v>OK, CONFORME TABELA</v>
      </c>
    </row>
    <row r="323" spans="1:18" x14ac:dyDescent="0.3">
      <c r="A323" s="23" t="s">
        <v>1022</v>
      </c>
      <c r="B323" s="23">
        <v>88245</v>
      </c>
      <c r="C323" s="23" t="str">
        <f>VLOOKUP(B323,IF(A323="COMPOSICAO",S!$A:$E,I!$A:$E),2,FALSE)</f>
        <v>SINAPI</v>
      </c>
      <c r="D323" s="24" t="str">
        <f>VLOOKUP(B323,IF(A323="COMPOSICAO",S!$A:$E,I!$A:$E),3,FALSE)</f>
        <v>ARMADOR COM ENCARGOS COMPLEMENTARES</v>
      </c>
      <c r="E323" s="23" t="str">
        <f>VLOOKUP(B323,IF(A323="COMPOSICAO",S!$A:$E,I!$A:$E),4,FALSE)</f>
        <v>H</v>
      </c>
      <c r="F323" s="23">
        <f>0.0088/pcf</f>
        <v>8.8000000000000005E-3</v>
      </c>
      <c r="G323" s="71">
        <f>IF(A323="COMPOSICAO",VLOOKUP("TOTAL SEM BDI - "&amp;B323,CPUAUX3!$A:$J,9,FALSE),VLOOKUP(B323,I!$A:$E,5,FALSE))</f>
        <v>27.189999999999998</v>
      </c>
      <c r="H323" s="72"/>
      <c r="I323" s="71">
        <f>TRUNC(F323*G323,2)</f>
        <v>0.23</v>
      </c>
      <c r="J323" s="72"/>
      <c r="M323" s="23">
        <f>B323</f>
        <v>88245</v>
      </c>
      <c r="N323" s="23">
        <f>SUMIF(CPUAUX1!M:M,B322,CPUAUX1!O:O)</f>
        <v>34.531950000000009</v>
      </c>
      <c r="O323" s="23">
        <f>F323*N323</f>
        <v>0.30388116000000009</v>
      </c>
      <c r="Q323" s="23">
        <f ca="1">SUMIF(CPUAUX1!M:M,B322,CPUAUX1!R:R)</f>
        <v>13.812780000000002</v>
      </c>
      <c r="R323" s="23">
        <f ca="1">F323*Q323</f>
        <v>0.12155246400000003</v>
      </c>
    </row>
    <row r="324" spans="1:18" ht="30" customHeight="1" x14ac:dyDescent="0.3">
      <c r="A324" s="23" t="s">
        <v>1022</v>
      </c>
      <c r="B324" s="23">
        <v>88238</v>
      </c>
      <c r="C324" s="23" t="str">
        <f>VLOOKUP(B324,IF(A324="COMPOSICAO",S!$A:$E,I!$A:$E),2,FALSE)</f>
        <v>SINAPI</v>
      </c>
      <c r="D324" s="24" t="str">
        <f>VLOOKUP(B324,IF(A324="COMPOSICAO",S!$A:$E,I!$A:$E),3,FALSE)</f>
        <v>AJUDANTE DE ARMADOR COM ENCARGOS COMPLEMENTARES</v>
      </c>
      <c r="E324" s="23" t="str">
        <f>VLOOKUP(B324,IF(A324="COMPOSICAO",S!$A:$E,I!$A:$E),4,FALSE)</f>
        <v>H</v>
      </c>
      <c r="F324" s="23">
        <f>0.0014/pcf</f>
        <v>1.4E-3</v>
      </c>
      <c r="G324" s="71">
        <f>IF(A324="COMPOSICAO",VLOOKUP("TOTAL SEM BDI - "&amp;B324,CPUAUX3!$A:$J,9,FALSE),VLOOKUP(B324,I!$A:$E,5,FALSE))</f>
        <v>22.37</v>
      </c>
      <c r="H324" s="72"/>
      <c r="I324" s="71">
        <f>TRUNC(F324*G324,2)</f>
        <v>0.03</v>
      </c>
      <c r="J324" s="72"/>
      <c r="M324" s="23">
        <f>B324</f>
        <v>88238</v>
      </c>
      <c r="N324" s="23">
        <f>SUMIF(CPUAUX1!M:M,B322,CPUAUX1!O:O)</f>
        <v>34.531950000000009</v>
      </c>
      <c r="O324" s="23">
        <f>F324*N324</f>
        <v>4.8344730000000009E-2</v>
      </c>
      <c r="Q324" s="23">
        <f ca="1">SUMIF(CPUAUX1!M:M,B322,CPUAUX1!R:R)</f>
        <v>13.812780000000002</v>
      </c>
      <c r="R324" s="23">
        <f ca="1">F324*Q324</f>
        <v>1.9337892000000002E-2</v>
      </c>
    </row>
    <row r="325" spans="1:18" x14ac:dyDescent="0.3">
      <c r="A325" s="23" t="s">
        <v>1025</v>
      </c>
      <c r="B325" s="23">
        <v>34</v>
      </c>
      <c r="C325" s="23" t="str">
        <f>VLOOKUP(B325,IF(A325="COMPOSICAO",S!$A:$E,I!$A:$E),2,FALSE)</f>
        <v>SINAPI</v>
      </c>
      <c r="D325" s="24" t="str">
        <f>VLOOKUP(B325,IF(A325="COMPOSICAO",S!$A:$E,I!$A:$E),3,FALSE)</f>
        <v>ACO CA-50, 10,0 MM, VERGALHAO</v>
      </c>
      <c r="E325" s="23" t="str">
        <f>VLOOKUP(B325,IF(A325="COMPOSICAO",S!$A:$E,I!$A:$E),4,FALSE)</f>
        <v>KG</v>
      </c>
      <c r="F325" s="23">
        <v>1.1100000000000001</v>
      </c>
      <c r="G325" s="71">
        <f>IF(A325="COMPOSICAO",VLOOKUP("TOTAL SEM BDI - "&amp;B325,CPUAUX3!$A:$J,9,FALSE),VLOOKUP(B325,I!$A:$E,5,FALSE))</f>
        <v>8.08</v>
      </c>
      <c r="H325" s="72"/>
      <c r="I325" s="71">
        <f>TRUNC(F325*G325,2)</f>
        <v>8.9600000000000009</v>
      </c>
      <c r="J325" s="72"/>
      <c r="M325" s="23">
        <f>B325</f>
        <v>34</v>
      </c>
      <c r="N325" s="23">
        <f>SUMIF(CPUAUX1!M:M,B322,CPUAUX1!O:O)</f>
        <v>34.531950000000009</v>
      </c>
      <c r="O325" s="23">
        <f>F325*N325</f>
        <v>38.330464500000012</v>
      </c>
      <c r="Q325" s="23">
        <f ca="1">SUMIF(CPUAUX1!M:M,B322,CPUAUX1!R:R)</f>
        <v>13.812780000000002</v>
      </c>
      <c r="R325" s="23">
        <f ca="1">F325*Q325</f>
        <v>15.332185800000003</v>
      </c>
    </row>
    <row r="326" spans="1:18" x14ac:dyDescent="0.3">
      <c r="A326" s="68" t="str">
        <f>"TOTAL SEM BDI - "&amp;B322</f>
        <v>TOTAL SEM BDI - 92803</v>
      </c>
      <c r="B326" s="69"/>
      <c r="C326" s="69"/>
      <c r="D326" s="69"/>
      <c r="E326" s="69"/>
      <c r="F326" s="69"/>
      <c r="G326" s="69"/>
      <c r="H326" s="70"/>
      <c r="I326" s="71">
        <f>SUM(I322:I325)</f>
        <v>9.2200000000000006</v>
      </c>
      <c r="J326" s="72"/>
    </row>
    <row r="328" spans="1:18" x14ac:dyDescent="0.3">
      <c r="A328" s="4" t="s">
        <v>1018</v>
      </c>
      <c r="B328" s="4" t="s">
        <v>138</v>
      </c>
      <c r="C328" s="4" t="s">
        <v>139</v>
      </c>
      <c r="D328" s="4" t="s">
        <v>21</v>
      </c>
      <c r="E328" s="4" t="s">
        <v>140</v>
      </c>
      <c r="F328" s="4" t="s">
        <v>506</v>
      </c>
      <c r="G328" s="34" t="s">
        <v>1019</v>
      </c>
      <c r="H328" s="35"/>
      <c r="I328" s="34" t="s">
        <v>15</v>
      </c>
      <c r="J328" s="35"/>
    </row>
    <row r="329" spans="1:18" ht="30" customHeight="1" x14ac:dyDescent="0.3">
      <c r="A329" s="15" t="s">
        <v>1100</v>
      </c>
      <c r="B329" s="15">
        <v>92804</v>
      </c>
      <c r="C329" s="15" t="str">
        <f>VLOOKUP(B329,S!$A:$G,2,FALSE)</f>
        <v>SINAPI</v>
      </c>
      <c r="D329" s="22" t="str">
        <f>VLOOKUP(B329,S!$A:$G,3,FALSE)</f>
        <v>CORTE E DOBRA DE AÇO CA-50, DIÂMETRO DE 12,5 MM. AF_06/2022</v>
      </c>
      <c r="E329" s="15" t="str">
        <f>VLOOKUP(B329,S!$A:$G,4,FALSE)</f>
        <v>KG</v>
      </c>
      <c r="F329" s="15"/>
      <c r="G329" s="73">
        <f>I333</f>
        <v>7.9099999999999993</v>
      </c>
      <c r="H329" s="74"/>
      <c r="I329" s="73"/>
      <c r="J329" s="74"/>
      <c r="K329" s="16">
        <f>VLOOKUP(B329,S!A:G,5,FALSE)</f>
        <v>7.91</v>
      </c>
      <c r="L329" s="15" t="str">
        <f>IF(K329=G329,"OK, CONFORME TABELA",IF(G329&gt;K329,"ACIMA DA TABELA: ","ABAIXO DA TABELA: ")&amp;TRUNC((G329*100)/K329,2)&amp;" %")</f>
        <v>OK, CONFORME TABELA</v>
      </c>
    </row>
    <row r="330" spans="1:18" x14ac:dyDescent="0.3">
      <c r="A330" s="23" t="s">
        <v>1022</v>
      </c>
      <c r="B330" s="23">
        <v>88245</v>
      </c>
      <c r="C330" s="23" t="str">
        <f>VLOOKUP(B330,IF(A330="COMPOSICAO",S!$A:$E,I!$A:$E),2,FALSE)</f>
        <v>SINAPI</v>
      </c>
      <c r="D330" s="24" t="str">
        <f>VLOOKUP(B330,IF(A330="COMPOSICAO",S!$A:$E,I!$A:$E),3,FALSE)</f>
        <v>ARMADOR COM ENCARGOS COMPLEMENTARES</v>
      </c>
      <c r="E330" s="23" t="str">
        <f>VLOOKUP(B330,IF(A330="COMPOSICAO",S!$A:$E,I!$A:$E),4,FALSE)</f>
        <v>H</v>
      </c>
      <c r="F330" s="23">
        <f>0.0048/pcf</f>
        <v>4.7999999999999996E-3</v>
      </c>
      <c r="G330" s="71">
        <f>IF(A330="COMPOSICAO",VLOOKUP("TOTAL SEM BDI - "&amp;B330,CPUAUX3!$A:$J,9,FALSE),VLOOKUP(B330,I!$A:$E,5,FALSE))</f>
        <v>27.189999999999998</v>
      </c>
      <c r="H330" s="72"/>
      <c r="I330" s="71">
        <f>TRUNC(F330*G330,2)</f>
        <v>0.13</v>
      </c>
      <c r="J330" s="72"/>
      <c r="M330" s="23">
        <f>B330</f>
        <v>88245</v>
      </c>
      <c r="N330" s="23">
        <f>SUMIF(CPUAUX1!M:M,B329,CPUAUX1!O:O)</f>
        <v>14.152200000000001</v>
      </c>
      <c r="O330" s="23">
        <f>F330*N330</f>
        <v>6.7930560000000001E-2</v>
      </c>
      <c r="Q330" s="23">
        <f ca="1">SUMIF(CPUAUX1!M:M,B329,CPUAUX1!R:R)</f>
        <v>5.6608800000000006</v>
      </c>
      <c r="R330" s="23">
        <f ca="1">F330*Q330</f>
        <v>2.7172224000000002E-2</v>
      </c>
    </row>
    <row r="331" spans="1:18" ht="30" customHeight="1" x14ac:dyDescent="0.3">
      <c r="A331" s="23" t="s">
        <v>1022</v>
      </c>
      <c r="B331" s="23">
        <v>88238</v>
      </c>
      <c r="C331" s="23" t="str">
        <f>VLOOKUP(B331,IF(A331="COMPOSICAO",S!$A:$E,I!$A:$E),2,FALSE)</f>
        <v>SINAPI</v>
      </c>
      <c r="D331" s="24" t="str">
        <f>VLOOKUP(B331,IF(A331="COMPOSICAO",S!$A:$E,I!$A:$E),3,FALSE)</f>
        <v>AJUDANTE DE ARMADOR COM ENCARGOS COMPLEMENTARES</v>
      </c>
      <c r="E331" s="23" t="str">
        <f>VLOOKUP(B331,IF(A331="COMPOSICAO",S!$A:$E,I!$A:$E),4,FALSE)</f>
        <v>H</v>
      </c>
      <c r="F331" s="23">
        <f>0.0008/pcf</f>
        <v>8.0000000000000004E-4</v>
      </c>
      <c r="G331" s="71">
        <f>IF(A331="COMPOSICAO",VLOOKUP("TOTAL SEM BDI - "&amp;B331,CPUAUX3!$A:$J,9,FALSE),VLOOKUP(B331,I!$A:$E,5,FALSE))</f>
        <v>22.37</v>
      </c>
      <c r="H331" s="72"/>
      <c r="I331" s="71">
        <f>TRUNC(F331*G331,2)</f>
        <v>0.01</v>
      </c>
      <c r="J331" s="72"/>
      <c r="M331" s="23">
        <f>B331</f>
        <v>88238</v>
      </c>
      <c r="N331" s="23">
        <f>SUMIF(CPUAUX1!M:M,B329,CPUAUX1!O:O)</f>
        <v>14.152200000000001</v>
      </c>
      <c r="O331" s="23">
        <f>F331*N331</f>
        <v>1.132176E-2</v>
      </c>
      <c r="Q331" s="23">
        <f ca="1">SUMIF(CPUAUX1!M:M,B329,CPUAUX1!R:R)</f>
        <v>5.6608800000000006</v>
      </c>
      <c r="R331" s="23">
        <f ca="1">F331*Q331</f>
        <v>4.5287040000000006E-3</v>
      </c>
    </row>
    <row r="332" spans="1:18" x14ac:dyDescent="0.3">
      <c r="A332" s="23" t="s">
        <v>1025</v>
      </c>
      <c r="B332" s="23">
        <v>43055</v>
      </c>
      <c r="C332" s="23" t="str">
        <f>VLOOKUP(B332,IF(A332="COMPOSICAO",S!$A:$E,I!$A:$E),2,FALSE)</f>
        <v>SINAPI</v>
      </c>
      <c r="D332" s="24" t="str">
        <f>VLOOKUP(B332,IF(A332="COMPOSICAO",S!$A:$E,I!$A:$E),3,FALSE)</f>
        <v>ACO CA-50, 12,5 MM OU 16,0 MM, VERGALHAO</v>
      </c>
      <c r="E332" s="23" t="str">
        <f>VLOOKUP(B332,IF(A332="COMPOSICAO",S!$A:$E,I!$A:$E),4,FALSE)</f>
        <v>KG</v>
      </c>
      <c r="F332" s="23">
        <v>1.1100000000000001</v>
      </c>
      <c r="G332" s="71">
        <f>IF(A332="COMPOSICAO",VLOOKUP("TOTAL SEM BDI - "&amp;B332,CPUAUX3!$A:$J,9,FALSE),VLOOKUP(B332,I!$A:$E,5,FALSE))</f>
        <v>7</v>
      </c>
      <c r="H332" s="72"/>
      <c r="I332" s="71">
        <f>TRUNC(F332*G332,2)</f>
        <v>7.77</v>
      </c>
      <c r="J332" s="72"/>
      <c r="M332" s="23">
        <f>B332</f>
        <v>43055</v>
      </c>
      <c r="N332" s="23">
        <f>SUMIF(CPUAUX1!M:M,B329,CPUAUX1!O:O)</f>
        <v>14.152200000000001</v>
      </c>
      <c r="O332" s="23">
        <f>F332*N332</f>
        <v>15.708942000000002</v>
      </c>
      <c r="Q332" s="23">
        <f ca="1">SUMIF(CPUAUX1!M:M,B329,CPUAUX1!R:R)</f>
        <v>5.6608800000000006</v>
      </c>
      <c r="R332" s="23">
        <f ca="1">F332*Q332</f>
        <v>6.2835768000000014</v>
      </c>
    </row>
    <row r="333" spans="1:18" x14ac:dyDescent="0.3">
      <c r="A333" s="68" t="str">
        <f>"TOTAL SEM BDI - "&amp;B329</f>
        <v>TOTAL SEM BDI - 92804</v>
      </c>
      <c r="B333" s="69"/>
      <c r="C333" s="69"/>
      <c r="D333" s="69"/>
      <c r="E333" s="69"/>
      <c r="F333" s="69"/>
      <c r="G333" s="69"/>
      <c r="H333" s="70"/>
      <c r="I333" s="71">
        <f>SUM(I329:I332)</f>
        <v>7.9099999999999993</v>
      </c>
      <c r="J333" s="72"/>
    </row>
    <row r="335" spans="1:18" x14ac:dyDescent="0.3">
      <c r="A335" s="4" t="s">
        <v>1018</v>
      </c>
      <c r="B335" s="4" t="s">
        <v>138</v>
      </c>
      <c r="C335" s="4" t="s">
        <v>139</v>
      </c>
      <c r="D335" s="4" t="s">
        <v>21</v>
      </c>
      <c r="E335" s="4" t="s">
        <v>140</v>
      </c>
      <c r="F335" s="4" t="s">
        <v>506</v>
      </c>
      <c r="G335" s="34" t="s">
        <v>1019</v>
      </c>
      <c r="H335" s="35"/>
      <c r="I335" s="34" t="s">
        <v>15</v>
      </c>
      <c r="J335" s="35"/>
    </row>
    <row r="336" spans="1:18" ht="30" customHeight="1" x14ac:dyDescent="0.3">
      <c r="A336" s="15" t="s">
        <v>1100</v>
      </c>
      <c r="B336" s="15">
        <v>92805</v>
      </c>
      <c r="C336" s="15" t="str">
        <f>VLOOKUP(B336,S!$A:$G,2,FALSE)</f>
        <v>SINAPI</v>
      </c>
      <c r="D336" s="22" t="str">
        <f>VLOOKUP(B336,S!$A:$G,3,FALSE)</f>
        <v>CORTE E DOBRA DE AÇO CA-50, DIÂMETRO DE 16,0 MM. AF_06/2022</v>
      </c>
      <c r="E336" s="15" t="str">
        <f>VLOOKUP(B336,S!$A:$G,4,FALSE)</f>
        <v>KG</v>
      </c>
      <c r="F336" s="15"/>
      <c r="G336" s="73">
        <f>I339</f>
        <v>7.8299999999999992</v>
      </c>
      <c r="H336" s="74"/>
      <c r="I336" s="73"/>
      <c r="J336" s="74"/>
      <c r="K336" s="16">
        <f>VLOOKUP(B336,S!A:G,5,FALSE)</f>
        <v>7.83</v>
      </c>
      <c r="L336" s="15" t="str">
        <f>IF(K336=G336,"OK, CONFORME TABELA",IF(G336&gt;K336,"ACIMA DA TABELA: ","ABAIXO DA TABELA: ")&amp;TRUNC((G336*100)/K336,2)&amp;" %")</f>
        <v>OK, CONFORME TABELA</v>
      </c>
    </row>
    <row r="337" spans="1:18" x14ac:dyDescent="0.3">
      <c r="A337" s="23" t="s">
        <v>1022</v>
      </c>
      <c r="B337" s="23">
        <v>88245</v>
      </c>
      <c r="C337" s="23" t="str">
        <f>VLOOKUP(B337,IF(A337="COMPOSICAO",S!$A:$E,I!$A:$E),2,FALSE)</f>
        <v>SINAPI</v>
      </c>
      <c r="D337" s="24" t="str">
        <f>VLOOKUP(B337,IF(A337="COMPOSICAO",S!$A:$E,I!$A:$E),3,FALSE)</f>
        <v>ARMADOR COM ENCARGOS COMPLEMENTARES</v>
      </c>
      <c r="E337" s="23" t="str">
        <f>VLOOKUP(B337,IF(A337="COMPOSICAO",S!$A:$E,I!$A:$E),4,FALSE)</f>
        <v>H</v>
      </c>
      <c r="F337" s="23">
        <f>0.0025/pcf</f>
        <v>2.5000000000000001E-3</v>
      </c>
      <c r="G337" s="71">
        <f>IF(A337="COMPOSICAO",VLOOKUP("TOTAL SEM BDI - "&amp;B337,CPUAUX3!$A:$J,9,FALSE),VLOOKUP(B337,I!$A:$E,5,FALSE))</f>
        <v>27.189999999999998</v>
      </c>
      <c r="H337" s="72"/>
      <c r="I337" s="71">
        <f>TRUNC(F337*G337,2)</f>
        <v>0.06</v>
      </c>
      <c r="J337" s="72"/>
      <c r="M337" s="23">
        <f>B337</f>
        <v>88245</v>
      </c>
      <c r="N337" s="23">
        <f>SUMIF(CPUAUX1!M:M,B336,CPUAUX1!O:O)</f>
        <v>3.6424500000000006</v>
      </c>
      <c r="O337" s="23">
        <f>F337*N337</f>
        <v>9.1061250000000014E-3</v>
      </c>
      <c r="Q337" s="23">
        <f ca="1">SUMIF(CPUAUX1!M:M,B336,CPUAUX1!R:R)</f>
        <v>1.4569800000000004</v>
      </c>
      <c r="R337" s="23">
        <f ca="1">F337*Q337</f>
        <v>3.6424500000000011E-3</v>
      </c>
    </row>
    <row r="338" spans="1:18" x14ac:dyDescent="0.3">
      <c r="A338" s="23" t="s">
        <v>1025</v>
      </c>
      <c r="B338" s="23">
        <v>43055</v>
      </c>
      <c r="C338" s="23" t="str">
        <f>VLOOKUP(B338,IF(A338="COMPOSICAO",S!$A:$E,I!$A:$E),2,FALSE)</f>
        <v>SINAPI</v>
      </c>
      <c r="D338" s="24" t="str">
        <f>VLOOKUP(B338,IF(A338="COMPOSICAO",S!$A:$E,I!$A:$E),3,FALSE)</f>
        <v>ACO CA-50, 12,5 MM OU 16,0 MM, VERGALHAO</v>
      </c>
      <c r="E338" s="23" t="str">
        <f>VLOOKUP(B338,IF(A338="COMPOSICAO",S!$A:$E,I!$A:$E),4,FALSE)</f>
        <v>KG</v>
      </c>
      <c r="F338" s="23">
        <v>1.1100000000000001</v>
      </c>
      <c r="G338" s="71">
        <f>IF(A338="COMPOSICAO",VLOOKUP("TOTAL SEM BDI - "&amp;B338,CPUAUX3!$A:$J,9,FALSE),VLOOKUP(B338,I!$A:$E,5,FALSE))</f>
        <v>7</v>
      </c>
      <c r="H338" s="72"/>
      <c r="I338" s="71">
        <f>TRUNC(F338*G338,2)</f>
        <v>7.77</v>
      </c>
      <c r="J338" s="72"/>
      <c r="M338" s="23">
        <f>B338</f>
        <v>43055</v>
      </c>
      <c r="N338" s="23">
        <f>SUMIF(CPUAUX1!M:M,B336,CPUAUX1!O:O)</f>
        <v>3.6424500000000006</v>
      </c>
      <c r="O338" s="23">
        <f>F338*N338</f>
        <v>4.0431195000000013</v>
      </c>
      <c r="Q338" s="23">
        <f ca="1">SUMIF(CPUAUX1!M:M,B336,CPUAUX1!R:R)</f>
        <v>1.4569800000000004</v>
      </c>
      <c r="R338" s="23">
        <f ca="1">F338*Q338</f>
        <v>1.6172478000000006</v>
      </c>
    </row>
    <row r="339" spans="1:18" x14ac:dyDescent="0.3">
      <c r="A339" s="68" t="str">
        <f>"TOTAL SEM BDI - "&amp;B336</f>
        <v>TOTAL SEM BDI - 92805</v>
      </c>
      <c r="B339" s="69"/>
      <c r="C339" s="69"/>
      <c r="D339" s="69"/>
      <c r="E339" s="69"/>
      <c r="F339" s="69"/>
      <c r="G339" s="69"/>
      <c r="H339" s="70"/>
      <c r="I339" s="71">
        <f>SUM(I336:I338)</f>
        <v>7.8299999999999992</v>
      </c>
      <c r="J339" s="72"/>
    </row>
    <row r="341" spans="1:18" x14ac:dyDescent="0.3">
      <c r="A341" s="4" t="s">
        <v>1018</v>
      </c>
      <c r="B341" s="4" t="s">
        <v>138</v>
      </c>
      <c r="C341" s="4" t="s">
        <v>139</v>
      </c>
      <c r="D341" s="4" t="s">
        <v>21</v>
      </c>
      <c r="E341" s="4" t="s">
        <v>140</v>
      </c>
      <c r="F341" s="4" t="s">
        <v>506</v>
      </c>
      <c r="G341" s="34" t="s">
        <v>1019</v>
      </c>
      <c r="H341" s="35"/>
      <c r="I341" s="34" t="s">
        <v>15</v>
      </c>
      <c r="J341" s="35"/>
    </row>
    <row r="342" spans="1:18" ht="30" customHeight="1" x14ac:dyDescent="0.3">
      <c r="A342" s="15" t="s">
        <v>1100</v>
      </c>
      <c r="B342" s="15">
        <v>92806</v>
      </c>
      <c r="C342" s="15" t="str">
        <f>VLOOKUP(B342,S!$A:$G,2,FALSE)</f>
        <v>SINAPI</v>
      </c>
      <c r="D342" s="22" t="str">
        <f>VLOOKUP(B342,S!$A:$G,3,FALSE)</f>
        <v>CORTE E DOBRA DE AÇO CA-50, DIÂMETRO DE 20,0 MM. AF_06/2022</v>
      </c>
      <c r="E342" s="15" t="str">
        <f>VLOOKUP(B342,S!$A:$G,4,FALSE)</f>
        <v>KG</v>
      </c>
      <c r="F342" s="15"/>
      <c r="G342" s="73">
        <f>I345</f>
        <v>9.2199999999999989</v>
      </c>
      <c r="H342" s="74"/>
      <c r="I342" s="73"/>
      <c r="J342" s="74"/>
      <c r="K342" s="16">
        <f>VLOOKUP(B342,S!A:G,5,FALSE)</f>
        <v>9.2200000000000006</v>
      </c>
      <c r="L342" s="15" t="str">
        <f>IF(K342=G342,"OK, CONFORME TABELA",IF(G342&gt;K342,"ACIMA DA TABELA: ","ABAIXO DA TABELA: ")&amp;TRUNC((G342*100)/K342,2)&amp;" %")</f>
        <v>OK, CONFORME TABELA</v>
      </c>
    </row>
    <row r="343" spans="1:18" x14ac:dyDescent="0.3">
      <c r="A343" s="23" t="s">
        <v>1022</v>
      </c>
      <c r="B343" s="23">
        <v>88245</v>
      </c>
      <c r="C343" s="23" t="str">
        <f>VLOOKUP(B343,IF(A343="COMPOSICAO",S!$A:$E,I!$A:$E),2,FALSE)</f>
        <v>SINAPI</v>
      </c>
      <c r="D343" s="24" t="str">
        <f>VLOOKUP(B343,IF(A343="COMPOSICAO",S!$A:$E,I!$A:$E),3,FALSE)</f>
        <v>ARMADOR COM ENCARGOS COMPLEMENTARES</v>
      </c>
      <c r="E343" s="23" t="str">
        <f>VLOOKUP(B343,IF(A343="COMPOSICAO",S!$A:$E,I!$A:$E),4,FALSE)</f>
        <v>H</v>
      </c>
      <c r="F343" s="23">
        <f>0.0013/pcf</f>
        <v>1.2999999999999999E-3</v>
      </c>
      <c r="G343" s="71">
        <f>IF(A343="COMPOSICAO",VLOOKUP("TOTAL SEM BDI - "&amp;B343,CPUAUX3!$A:$J,9,FALSE),VLOOKUP(B343,I!$A:$E,5,FALSE))</f>
        <v>27.189999999999998</v>
      </c>
      <c r="H343" s="72"/>
      <c r="I343" s="71">
        <f>TRUNC(F343*G343,2)</f>
        <v>0.03</v>
      </c>
      <c r="J343" s="72"/>
      <c r="M343" s="23">
        <f>B343</f>
        <v>88245</v>
      </c>
      <c r="N343" s="23">
        <f>SUMIF(CPUAUX1!M:M,B342,CPUAUX1!O:O)</f>
        <v>6.3966000000000012</v>
      </c>
      <c r="O343" s="23">
        <f>F343*N343</f>
        <v>8.3155800000000012E-3</v>
      </c>
      <c r="Q343" s="23">
        <f ca="1">SUMIF(CPUAUX1!M:M,B342,CPUAUX1!R:R)</f>
        <v>2.5586400000000005</v>
      </c>
      <c r="R343" s="23">
        <f ca="1">F343*Q343</f>
        <v>3.3262320000000006E-3</v>
      </c>
    </row>
    <row r="344" spans="1:18" x14ac:dyDescent="0.3">
      <c r="A344" s="23" t="s">
        <v>1025</v>
      </c>
      <c r="B344" s="23">
        <v>43056</v>
      </c>
      <c r="C344" s="23" t="str">
        <f>VLOOKUP(B344,IF(A344="COMPOSICAO",S!$A:$E,I!$A:$E),2,FALSE)</f>
        <v>SINAPI</v>
      </c>
      <c r="D344" s="24" t="str">
        <f>VLOOKUP(B344,IF(A344="COMPOSICAO",S!$A:$E,I!$A:$E),3,FALSE)</f>
        <v>ACO CA-50, 20,0 MM OU 25,0 MM, VERGALHAO</v>
      </c>
      <c r="E344" s="23" t="str">
        <f>VLOOKUP(B344,IF(A344="COMPOSICAO",S!$A:$E,I!$A:$E),4,FALSE)</f>
        <v>KG</v>
      </c>
      <c r="F344" s="23">
        <v>1.1399999999999999</v>
      </c>
      <c r="G344" s="71">
        <f>IF(A344="COMPOSICAO",VLOOKUP("TOTAL SEM BDI - "&amp;B344,CPUAUX3!$A:$J,9,FALSE),VLOOKUP(B344,I!$A:$E,5,FALSE))</f>
        <v>8.07</v>
      </c>
      <c r="H344" s="72"/>
      <c r="I344" s="71">
        <f>TRUNC(F344*G344,2)</f>
        <v>9.19</v>
      </c>
      <c r="J344" s="72"/>
      <c r="M344" s="23">
        <f>B344</f>
        <v>43056</v>
      </c>
      <c r="N344" s="23">
        <f>SUMIF(CPUAUX1!M:M,B342,CPUAUX1!O:O)</f>
        <v>6.3966000000000012</v>
      </c>
      <c r="O344" s="23">
        <f>F344*N344</f>
        <v>7.2921240000000003</v>
      </c>
      <c r="Q344" s="23">
        <f ca="1">SUMIF(CPUAUX1!M:M,B342,CPUAUX1!R:R)</f>
        <v>2.5586400000000005</v>
      </c>
      <c r="R344" s="23">
        <f ca="1">F344*Q344</f>
        <v>2.9168496000000004</v>
      </c>
    </row>
    <row r="345" spans="1:18" x14ac:dyDescent="0.3">
      <c r="A345" s="68" t="str">
        <f>"TOTAL SEM BDI - "&amp;B342</f>
        <v>TOTAL SEM BDI - 92806</v>
      </c>
      <c r="B345" s="69"/>
      <c r="C345" s="69"/>
      <c r="D345" s="69"/>
      <c r="E345" s="69"/>
      <c r="F345" s="69"/>
      <c r="G345" s="69"/>
      <c r="H345" s="70"/>
      <c r="I345" s="71">
        <f>SUM(I342:I344)</f>
        <v>9.2199999999999989</v>
      </c>
      <c r="J345" s="72"/>
    </row>
    <row r="347" spans="1:18" x14ac:dyDescent="0.3">
      <c r="A347" s="4" t="s">
        <v>1018</v>
      </c>
      <c r="B347" s="4" t="s">
        <v>138</v>
      </c>
      <c r="C347" s="4" t="s">
        <v>139</v>
      </c>
      <c r="D347" s="4" t="s">
        <v>21</v>
      </c>
      <c r="E347" s="4" t="s">
        <v>140</v>
      </c>
      <c r="F347" s="4" t="s">
        <v>506</v>
      </c>
      <c r="G347" s="34" t="s">
        <v>1019</v>
      </c>
      <c r="H347" s="35"/>
      <c r="I347" s="34" t="s">
        <v>15</v>
      </c>
      <c r="J347" s="35"/>
    </row>
    <row r="348" spans="1:18" ht="30" customHeight="1" x14ac:dyDescent="0.3">
      <c r="A348" s="15" t="s">
        <v>1093</v>
      </c>
      <c r="B348" s="15">
        <v>95385</v>
      </c>
      <c r="C348" s="15" t="str">
        <f>VLOOKUP(B348,S!$A:$G,2,FALSE)</f>
        <v>SINAPI</v>
      </c>
      <c r="D348" s="22" t="str">
        <f>VLOOKUP(B348,S!$A:$G,3,FALSE)</f>
        <v>CURSO DE CAPACITAÇÃO PARA TELHADISTA (ENCARGOS COMPLEMENTARES) - HORISTA</v>
      </c>
      <c r="E348" s="15" t="str">
        <f>VLOOKUP(B348,S!$A:$G,4,FALSE)</f>
        <v>H</v>
      </c>
      <c r="F348" s="15"/>
      <c r="G348" s="73">
        <f>I350</f>
        <v>0.23</v>
      </c>
      <c r="H348" s="74"/>
      <c r="I348" s="73"/>
      <c r="J348" s="74"/>
      <c r="K348" s="16">
        <f>VLOOKUP(B348,S!A:G,5,FALSE)</f>
        <v>0.23</v>
      </c>
      <c r="L348" s="15" t="str">
        <f>IF(K348=G348,"OK, CONFORME TABELA",IF(G348&gt;K348,"ACIMA DA TABELA: ","ABAIXO DA TABELA: ")&amp;TRUNC((G348*100)/K348,2)&amp;" %")</f>
        <v>OK, CONFORME TABELA</v>
      </c>
    </row>
    <row r="349" spans="1:18" x14ac:dyDescent="0.3">
      <c r="A349" s="23" t="s">
        <v>1025</v>
      </c>
      <c r="B349" s="23">
        <v>12869</v>
      </c>
      <c r="C349" s="23" t="str">
        <f>VLOOKUP(B349,IF(A349="COMPOSICAO",S!$A:$E,I!$A:$E),2,FALSE)</f>
        <v>SINAPI</v>
      </c>
      <c r="D349" s="24" t="str">
        <f>VLOOKUP(B349,IF(A349="COMPOSICAO",S!$A:$E,I!$A:$E),3,FALSE)</f>
        <v>TELHADOR / TELHADISTA (HORISTA)</v>
      </c>
      <c r="E349" s="23" t="str">
        <f>VLOOKUP(B349,IF(A349="COMPOSICAO",S!$A:$E,I!$A:$E),4,FALSE)</f>
        <v>H</v>
      </c>
      <c r="F349" s="23">
        <v>1.154E-2</v>
      </c>
      <c r="G349" s="71">
        <f>IF(A349="COMPOSICAO",VLOOKUP("TOTAL SEM BDI - "&amp;B349,CPUAUX3!$A:$J,9,FALSE),VLOOKUP(B349,I!$A:$E,5,FALSE))</f>
        <v>20.07</v>
      </c>
      <c r="H349" s="72"/>
      <c r="I349" s="71">
        <f>TRUNC(F349*G349,2)</f>
        <v>0.23</v>
      </c>
      <c r="J349" s="72"/>
      <c r="M349" s="23">
        <f>B349</f>
        <v>12869</v>
      </c>
      <c r="N349" s="23">
        <f>SUMIF(CPUAUX1!M:M,B348,CPUAUX1!O:O)</f>
        <v>6.8029500000000009</v>
      </c>
      <c r="O349" s="23">
        <f>F349*N349</f>
        <v>7.8506043000000011E-2</v>
      </c>
      <c r="Q349" s="23">
        <f ca="1">SUMIF(CPUAUX1!M:M,B348,CPUAUX1!R:R)</f>
        <v>2.7211800000000004</v>
      </c>
      <c r="R349" s="23">
        <f ca="1">F349*Q349</f>
        <v>3.1402417200000005E-2</v>
      </c>
    </row>
    <row r="350" spans="1:18" x14ac:dyDescent="0.3">
      <c r="A350" s="68" t="str">
        <f>"TOTAL SEM BDI - "&amp;B348</f>
        <v>TOTAL SEM BDI - 95385</v>
      </c>
      <c r="B350" s="69"/>
      <c r="C350" s="69"/>
      <c r="D350" s="69"/>
      <c r="E350" s="69"/>
      <c r="F350" s="69"/>
      <c r="G350" s="69"/>
      <c r="H350" s="70"/>
      <c r="I350" s="71">
        <f>SUM(I348:I349)</f>
        <v>0.23</v>
      </c>
      <c r="J350" s="72"/>
    </row>
    <row r="352" spans="1:18" x14ac:dyDescent="0.3">
      <c r="A352" s="4" t="s">
        <v>1018</v>
      </c>
      <c r="B352" s="4" t="s">
        <v>138</v>
      </c>
      <c r="C352" s="4" t="s">
        <v>139</v>
      </c>
      <c r="D352" s="4" t="s">
        <v>21</v>
      </c>
      <c r="E352" s="4" t="s">
        <v>140</v>
      </c>
      <c r="F352" s="4" t="s">
        <v>506</v>
      </c>
      <c r="G352" s="34" t="s">
        <v>1019</v>
      </c>
      <c r="H352" s="35"/>
      <c r="I352" s="34" t="s">
        <v>15</v>
      </c>
      <c r="J352" s="35"/>
    </row>
    <row r="353" spans="1:18" ht="30" customHeight="1" x14ac:dyDescent="0.3">
      <c r="A353" s="15" t="s">
        <v>1093</v>
      </c>
      <c r="B353" s="15">
        <v>95372</v>
      </c>
      <c r="C353" s="15" t="str">
        <f>VLOOKUP(B353,S!$A:$G,2,FALSE)</f>
        <v>SINAPI</v>
      </c>
      <c r="D353" s="22" t="str">
        <f>VLOOKUP(B353,S!$A:$G,3,FALSE)</f>
        <v>CURSO DE CAPACITAÇÃO PARA PINTOR (ENCARGOS COMPLEMENTARES) - HORISTA</v>
      </c>
      <c r="E353" s="15" t="str">
        <f>VLOOKUP(B353,S!$A:$G,4,FALSE)</f>
        <v>H</v>
      </c>
      <c r="F353" s="15"/>
      <c r="G353" s="73">
        <f>I355</f>
        <v>0.3</v>
      </c>
      <c r="H353" s="74"/>
      <c r="I353" s="73"/>
      <c r="J353" s="74"/>
      <c r="K353" s="16">
        <f>VLOOKUP(B353,S!A:G,5,FALSE)</f>
        <v>0.3</v>
      </c>
      <c r="L353" s="15" t="str">
        <f>IF(K353=G353,"OK, CONFORME TABELA",IF(G353&gt;K353,"ACIMA DA TABELA: ","ABAIXO DA TABELA: ")&amp;TRUNC((G353*100)/K353,2)&amp;" %")</f>
        <v>OK, CONFORME TABELA</v>
      </c>
    </row>
    <row r="354" spans="1:18" x14ac:dyDescent="0.3">
      <c r="A354" s="23" t="s">
        <v>1025</v>
      </c>
      <c r="B354" s="23">
        <v>4783</v>
      </c>
      <c r="C354" s="23" t="str">
        <f>VLOOKUP(B354,IF(A354="COMPOSICAO",S!$A:$E,I!$A:$E),2,FALSE)</f>
        <v>SINAPI</v>
      </c>
      <c r="D354" s="24" t="str">
        <f>VLOOKUP(B354,IF(A354="COMPOSICAO",S!$A:$E,I!$A:$E),3,FALSE)</f>
        <v>PINTOR (HORISTA)</v>
      </c>
      <c r="E354" s="23" t="str">
        <f>VLOOKUP(B354,IF(A354="COMPOSICAO",S!$A:$E,I!$A:$E),4,FALSE)</f>
        <v>H</v>
      </c>
      <c r="F354" s="23">
        <v>1.4760000000000001E-2</v>
      </c>
      <c r="G354" s="71">
        <f>IF(A354="COMPOSICAO",VLOOKUP("TOTAL SEM BDI - "&amp;B354,CPUAUX3!$A:$J,9,FALSE),VLOOKUP(B354,I!$A:$E,5,FALSE))</f>
        <v>20.329999999999998</v>
      </c>
      <c r="H354" s="72"/>
      <c r="I354" s="71">
        <f>TRUNC(F354*G354,2)</f>
        <v>0.3</v>
      </c>
      <c r="J354" s="72"/>
      <c r="M354" s="23">
        <f>B354</f>
        <v>4783</v>
      </c>
      <c r="N354" s="23">
        <f>SUMIF(CPUAUX1!M:M,B353,CPUAUX1!O:O)</f>
        <v>80.709119999999999</v>
      </c>
      <c r="O354" s="23">
        <f>F354*N354</f>
        <v>1.1912666112000001</v>
      </c>
      <c r="Q354" s="23">
        <f ca="1">SUMIF(CPUAUX1!M:M,B353,CPUAUX1!R:R)</f>
        <v>32.283647999999999</v>
      </c>
      <c r="R354" s="23">
        <f ca="1">F354*Q354</f>
        <v>0.47650664448000002</v>
      </c>
    </row>
    <row r="355" spans="1:18" x14ac:dyDescent="0.3">
      <c r="A355" s="68" t="str">
        <f>"TOTAL SEM BDI - "&amp;B353</f>
        <v>TOTAL SEM BDI - 95372</v>
      </c>
      <c r="B355" s="69"/>
      <c r="C355" s="69"/>
      <c r="D355" s="69"/>
      <c r="E355" s="69"/>
      <c r="F355" s="69"/>
      <c r="G355" s="69"/>
      <c r="H355" s="70"/>
      <c r="I355" s="71">
        <f>SUM(I353:I354)</f>
        <v>0.3</v>
      </c>
      <c r="J355" s="72"/>
    </row>
    <row r="357" spans="1:18" x14ac:dyDescent="0.3">
      <c r="A357" s="4" t="s">
        <v>1018</v>
      </c>
      <c r="B357" s="4" t="s">
        <v>138</v>
      </c>
      <c r="C357" s="4" t="s">
        <v>139</v>
      </c>
      <c r="D357" s="4" t="s">
        <v>21</v>
      </c>
      <c r="E357" s="4" t="s">
        <v>140</v>
      </c>
      <c r="F357" s="4" t="s">
        <v>506</v>
      </c>
      <c r="G357" s="34" t="s">
        <v>1019</v>
      </c>
      <c r="H357" s="35"/>
      <c r="I357" s="34" t="s">
        <v>15</v>
      </c>
      <c r="J357" s="35"/>
    </row>
    <row r="358" spans="1:18" x14ac:dyDescent="0.3">
      <c r="A358" s="15" t="s">
        <v>1093</v>
      </c>
      <c r="B358" s="15">
        <v>88264</v>
      </c>
      <c r="C358" s="15" t="str">
        <f>VLOOKUP(B358,S!$A:$G,2,FALSE)</f>
        <v>SINAPI</v>
      </c>
      <c r="D358" s="22" t="str">
        <f>VLOOKUP(B358,S!$A:$G,3,FALSE)</f>
        <v>ELETRICISTA COM ENCARGOS COMPLEMENTARES</v>
      </c>
      <c r="E358" s="15" t="str">
        <f>VLOOKUP(B358,S!$A:$G,4,FALSE)</f>
        <v>H</v>
      </c>
      <c r="F358" s="15"/>
      <c r="G358" s="73">
        <f>I367</f>
        <v>27.74</v>
      </c>
      <c r="H358" s="74"/>
      <c r="I358" s="73"/>
      <c r="J358" s="74"/>
      <c r="K358" s="16">
        <f>VLOOKUP(B358,S!A:G,5,FALSE)</f>
        <v>27.74</v>
      </c>
      <c r="L358" s="15" t="str">
        <f>IF(K358=G358,"OK, CONFORME TABELA",IF(G358&gt;K358,"ACIMA DA TABELA: ","ABAIXO DA TABELA: ")&amp;TRUNC((G358*100)/K358,2)&amp;" %")</f>
        <v>OK, CONFORME TABELA</v>
      </c>
    </row>
    <row r="359" spans="1:18" ht="30" customHeight="1" x14ac:dyDescent="0.3">
      <c r="A359" s="23" t="s">
        <v>1022</v>
      </c>
      <c r="B359" s="23">
        <v>95332</v>
      </c>
      <c r="C359" s="23" t="str">
        <f>VLOOKUP(B359,IF(A359="COMPOSICAO",S!$A:$E,I!$A:$E),2,FALSE)</f>
        <v>SINAPI</v>
      </c>
      <c r="D359" s="24" t="str">
        <f>VLOOKUP(B359,IF(A359="COMPOSICAO",S!$A:$E,I!$A:$E),3,FALSE)</f>
        <v>CURSO DE CAPACITAÇÃO PARA ELETRICISTA (ENCARGOS COMPLEMENTARES) - HORISTA</v>
      </c>
      <c r="E359" s="23" t="str">
        <f>VLOOKUP(B359,IF(A359="COMPOSICAO",S!$A:$E,I!$A:$E),4,FALSE)</f>
        <v>H</v>
      </c>
      <c r="F359" s="23">
        <v>1</v>
      </c>
      <c r="G359" s="71">
        <f>IF(A359="COMPOSICAO",VLOOKUP("TOTAL SEM BDI - "&amp;B359,CPUAUX3!$A:$J,9,FALSE),VLOOKUP(B359,I!$A:$E,5,FALSE))</f>
        <v>0.75</v>
      </c>
      <c r="H359" s="72"/>
      <c r="I359" s="71">
        <f t="shared" ref="I359:I366" si="44">TRUNC(F359*G359,2)</f>
        <v>0.75</v>
      </c>
      <c r="J359" s="72"/>
      <c r="M359" s="23">
        <f t="shared" ref="M359:M366" si="45">B359</f>
        <v>95332</v>
      </c>
      <c r="N359" s="23">
        <f>SUMIF(CPUAUX1!M:M,B358,CPUAUX1!O:O)</f>
        <v>27.880274999999997</v>
      </c>
      <c r="O359" s="23">
        <f t="shared" ref="O359:O366" si="46">F359*N359</f>
        <v>27.880274999999997</v>
      </c>
      <c r="Q359" s="23">
        <f ca="1">SUMIF(CPUAUX1!M:M,B358,CPUAUX1!R:R)</f>
        <v>11.15211</v>
      </c>
      <c r="R359" s="23">
        <f t="shared" ref="R359:R366" ca="1" si="47">F359*Q359</f>
        <v>11.15211</v>
      </c>
    </row>
    <row r="360" spans="1:18" ht="30" customHeight="1" x14ac:dyDescent="0.3">
      <c r="A360" s="23" t="s">
        <v>1025</v>
      </c>
      <c r="B360" s="23">
        <v>43484</v>
      </c>
      <c r="C360" s="23" t="str">
        <f>VLOOKUP(B360,IF(A360="COMPOSICAO",S!$A:$E,I!$A:$E),2,FALSE)</f>
        <v>SINAPI</v>
      </c>
      <c r="D360" s="24" t="str">
        <f>VLOOKUP(B360,IF(A360="COMPOSICAO",S!$A:$E,I!$A:$E),3,FALSE)</f>
        <v>EPI - FAMILIA ELETRICISTA - HORISTA (ENCARGOS COMPLEMENTARES - COLETADO CAIXA)</v>
      </c>
      <c r="E360" s="23" t="str">
        <f>VLOOKUP(B360,IF(A360="COMPOSICAO",S!$A:$E,I!$A:$E),4,FALSE)</f>
        <v>H</v>
      </c>
      <c r="F360" s="23">
        <v>1</v>
      </c>
      <c r="G360" s="71">
        <f>IF(A360="COMPOSICAO",VLOOKUP("TOTAL SEM BDI - "&amp;B360,CPUAUX3!$A:$J,9,FALSE),VLOOKUP(B360,I!$A:$E,5,FALSE))</f>
        <v>1.26</v>
      </c>
      <c r="H360" s="72"/>
      <c r="I360" s="71">
        <f t="shared" si="44"/>
        <v>1.26</v>
      </c>
      <c r="J360" s="72"/>
      <c r="M360" s="23">
        <f t="shared" si="45"/>
        <v>43484</v>
      </c>
      <c r="N360" s="23">
        <f>SUMIF(CPUAUX1!M:M,B358,CPUAUX1!O:O)</f>
        <v>27.880274999999997</v>
      </c>
      <c r="O360" s="23">
        <f t="shared" si="46"/>
        <v>27.880274999999997</v>
      </c>
      <c r="Q360" s="23">
        <f ca="1">SUMIF(CPUAUX1!M:M,B358,CPUAUX1!R:R)</f>
        <v>11.15211</v>
      </c>
      <c r="R360" s="23">
        <f t="shared" ca="1" si="47"/>
        <v>11.15211</v>
      </c>
    </row>
    <row r="361" spans="1:18" ht="30" customHeight="1" x14ac:dyDescent="0.3">
      <c r="A361" s="23" t="s">
        <v>1025</v>
      </c>
      <c r="B361" s="23">
        <v>43460</v>
      </c>
      <c r="C361" s="23" t="str">
        <f>VLOOKUP(B361,IF(A361="COMPOSICAO",S!$A:$E,I!$A:$E),2,FALSE)</f>
        <v>SINAPI</v>
      </c>
      <c r="D361" s="24" t="str">
        <f>VLOOKUP(B361,IF(A361="COMPOSICAO",S!$A:$E,I!$A:$E),3,FALSE)</f>
        <v>FERRAMENTAS - FAMILIA ELETRICISTA - HORISTA (ENCARGOS COMPLEMENTARES - COLETADO CAIXA)</v>
      </c>
      <c r="E361" s="23" t="str">
        <f>VLOOKUP(B361,IF(A361="COMPOSICAO",S!$A:$E,I!$A:$E),4,FALSE)</f>
        <v>H</v>
      </c>
      <c r="F361" s="23">
        <v>1</v>
      </c>
      <c r="G361" s="71">
        <f>IF(A361="COMPOSICAO",VLOOKUP("TOTAL SEM BDI - "&amp;B361,CPUAUX3!$A:$J,9,FALSE),VLOOKUP(B361,I!$A:$E,5,FALSE))</f>
        <v>0.86</v>
      </c>
      <c r="H361" s="72"/>
      <c r="I361" s="71">
        <f t="shared" si="44"/>
        <v>0.86</v>
      </c>
      <c r="J361" s="72"/>
      <c r="M361" s="23">
        <f t="shared" si="45"/>
        <v>43460</v>
      </c>
      <c r="N361" s="23">
        <f>SUMIF(CPUAUX1!M:M,B358,CPUAUX1!O:O)</f>
        <v>27.880274999999997</v>
      </c>
      <c r="O361" s="23">
        <f t="shared" si="46"/>
        <v>27.880274999999997</v>
      </c>
      <c r="Q361" s="23">
        <f ca="1">SUMIF(CPUAUX1!M:M,B358,CPUAUX1!R:R)</f>
        <v>11.15211</v>
      </c>
      <c r="R361" s="23">
        <f t="shared" ca="1" si="47"/>
        <v>11.15211</v>
      </c>
    </row>
    <row r="362" spans="1:18" ht="30" customHeight="1" x14ac:dyDescent="0.3">
      <c r="A362" s="23" t="s">
        <v>1025</v>
      </c>
      <c r="B362" s="23">
        <v>37373</v>
      </c>
      <c r="C362" s="23" t="str">
        <f>VLOOKUP(B362,IF(A362="COMPOSICAO",S!$A:$E,I!$A:$E),2,FALSE)</f>
        <v>SINAPI</v>
      </c>
      <c r="D362" s="24" t="str">
        <f>VLOOKUP(B362,IF(A362="COMPOSICAO",S!$A:$E,I!$A:$E),3,FALSE)</f>
        <v>SEGURO - HORISTA (COLETADO CAIXA - ENCARGOS COMPLEMENTARES)</v>
      </c>
      <c r="E362" s="23" t="str">
        <f>VLOOKUP(B362,IF(A362="COMPOSICAO",S!$A:$E,I!$A:$E),4,FALSE)</f>
        <v>H</v>
      </c>
      <c r="F362" s="23">
        <v>1</v>
      </c>
      <c r="G362" s="71">
        <f>IF(A362="COMPOSICAO",VLOOKUP("TOTAL SEM BDI - "&amp;B362,CPUAUX3!$A:$J,9,FALSE),VLOOKUP(B362,I!$A:$E,5,FALSE))</f>
        <v>0.08</v>
      </c>
      <c r="H362" s="72"/>
      <c r="I362" s="71">
        <f t="shared" si="44"/>
        <v>0.08</v>
      </c>
      <c r="J362" s="72"/>
      <c r="M362" s="23">
        <f t="shared" si="45"/>
        <v>37373</v>
      </c>
      <c r="N362" s="23">
        <f>SUMIF(CPUAUX1!M:M,B358,CPUAUX1!O:O)</f>
        <v>27.880274999999997</v>
      </c>
      <c r="O362" s="23">
        <f t="shared" si="46"/>
        <v>27.880274999999997</v>
      </c>
      <c r="Q362" s="23">
        <f ca="1">SUMIF(CPUAUX1!M:M,B358,CPUAUX1!R:R)</f>
        <v>11.15211</v>
      </c>
      <c r="R362" s="23">
        <f t="shared" ca="1" si="47"/>
        <v>11.15211</v>
      </c>
    </row>
    <row r="363" spans="1:18" ht="30" customHeight="1" x14ac:dyDescent="0.3">
      <c r="A363" s="23" t="s">
        <v>1025</v>
      </c>
      <c r="B363" s="23">
        <v>37372</v>
      </c>
      <c r="C363" s="23" t="str">
        <f>VLOOKUP(B363,IF(A363="COMPOSICAO",S!$A:$E,I!$A:$E),2,FALSE)</f>
        <v>SINAPI</v>
      </c>
      <c r="D363" s="24" t="str">
        <f>VLOOKUP(B363,IF(A363="COMPOSICAO",S!$A:$E,I!$A:$E),3,FALSE)</f>
        <v>EXAMES - HORISTA (COLETADO CAIXA - ENCARGOS COMPLEMENTARES)</v>
      </c>
      <c r="E363" s="23" t="str">
        <f>VLOOKUP(B363,IF(A363="COMPOSICAO",S!$A:$E,I!$A:$E),4,FALSE)</f>
        <v>H</v>
      </c>
      <c r="F363" s="23">
        <v>1</v>
      </c>
      <c r="G363" s="71">
        <f>IF(A363="COMPOSICAO",VLOOKUP("TOTAL SEM BDI - "&amp;B363,CPUAUX3!$A:$J,9,FALSE),VLOOKUP(B363,I!$A:$E,5,FALSE))</f>
        <v>1.43</v>
      </c>
      <c r="H363" s="72"/>
      <c r="I363" s="71">
        <f t="shared" si="44"/>
        <v>1.43</v>
      </c>
      <c r="J363" s="72"/>
      <c r="M363" s="23">
        <f t="shared" si="45"/>
        <v>37372</v>
      </c>
      <c r="N363" s="23">
        <f>SUMIF(CPUAUX1!M:M,B358,CPUAUX1!O:O)</f>
        <v>27.880274999999997</v>
      </c>
      <c r="O363" s="23">
        <f t="shared" si="46"/>
        <v>27.880274999999997</v>
      </c>
      <c r="Q363" s="23">
        <f ca="1">SUMIF(CPUAUX1!M:M,B358,CPUAUX1!R:R)</f>
        <v>11.15211</v>
      </c>
      <c r="R363" s="23">
        <f t="shared" ca="1" si="47"/>
        <v>11.15211</v>
      </c>
    </row>
    <row r="364" spans="1:18" ht="30" customHeight="1" x14ac:dyDescent="0.3">
      <c r="A364" s="23" t="s">
        <v>1025</v>
      </c>
      <c r="B364" s="23">
        <v>37371</v>
      </c>
      <c r="C364" s="23" t="str">
        <f>VLOOKUP(B364,IF(A364="COMPOSICAO",S!$A:$E,I!$A:$E),2,FALSE)</f>
        <v>SINAPI</v>
      </c>
      <c r="D364" s="24" t="str">
        <f>VLOOKUP(B364,IF(A364="COMPOSICAO",S!$A:$E,I!$A:$E),3,FALSE)</f>
        <v>TRANSPORTE - HORISTA (COLETADO CAIXA - ENCARGOS COMPLEMENTARES)</v>
      </c>
      <c r="E364" s="23" t="str">
        <f>VLOOKUP(B364,IF(A364="COMPOSICAO",S!$A:$E,I!$A:$E),4,FALSE)</f>
        <v>H</v>
      </c>
      <c r="F364" s="23">
        <v>1</v>
      </c>
      <c r="G364" s="71">
        <f>IF(A364="COMPOSICAO",VLOOKUP("TOTAL SEM BDI - "&amp;B364,CPUAUX3!$A:$J,9,FALSE),VLOOKUP(B364,I!$A:$E,5,FALSE))</f>
        <v>0.56999999999999995</v>
      </c>
      <c r="H364" s="72"/>
      <c r="I364" s="71">
        <f t="shared" si="44"/>
        <v>0.56999999999999995</v>
      </c>
      <c r="J364" s="72"/>
      <c r="M364" s="23">
        <f t="shared" si="45"/>
        <v>37371</v>
      </c>
      <c r="N364" s="23">
        <f>SUMIF(CPUAUX1!M:M,B358,CPUAUX1!O:O)</f>
        <v>27.880274999999997</v>
      </c>
      <c r="O364" s="23">
        <f t="shared" si="46"/>
        <v>27.880274999999997</v>
      </c>
      <c r="Q364" s="23">
        <f ca="1">SUMIF(CPUAUX1!M:M,B358,CPUAUX1!R:R)</f>
        <v>11.15211</v>
      </c>
      <c r="R364" s="23">
        <f t="shared" ca="1" si="47"/>
        <v>11.15211</v>
      </c>
    </row>
    <row r="365" spans="1:18" ht="30" customHeight="1" x14ac:dyDescent="0.3">
      <c r="A365" s="23" t="s">
        <v>1025</v>
      </c>
      <c r="B365" s="23">
        <v>37370</v>
      </c>
      <c r="C365" s="23" t="str">
        <f>VLOOKUP(B365,IF(A365="COMPOSICAO",S!$A:$E,I!$A:$E),2,FALSE)</f>
        <v>SINAPI</v>
      </c>
      <c r="D365" s="24" t="str">
        <f>VLOOKUP(B365,IF(A365="COMPOSICAO",S!$A:$E,I!$A:$E),3,FALSE)</f>
        <v>ALIMENTACAO - HORISTA (COLETADO CAIXA - ENCARGOS COMPLEMENTARES)</v>
      </c>
      <c r="E365" s="23" t="str">
        <f>VLOOKUP(B365,IF(A365="COMPOSICAO",S!$A:$E,I!$A:$E),4,FALSE)</f>
        <v>H</v>
      </c>
      <c r="F365" s="23">
        <v>1</v>
      </c>
      <c r="G365" s="71">
        <f>IF(A365="COMPOSICAO",VLOOKUP("TOTAL SEM BDI - "&amp;B365,CPUAUX3!$A:$J,9,FALSE),VLOOKUP(B365,I!$A:$E,5,FALSE))</f>
        <v>2.46</v>
      </c>
      <c r="H365" s="72"/>
      <c r="I365" s="71">
        <f t="shared" si="44"/>
        <v>2.46</v>
      </c>
      <c r="J365" s="72"/>
      <c r="M365" s="23">
        <f t="shared" si="45"/>
        <v>37370</v>
      </c>
      <c r="N365" s="23">
        <f>SUMIF(CPUAUX1!M:M,B358,CPUAUX1!O:O)</f>
        <v>27.880274999999997</v>
      </c>
      <c r="O365" s="23">
        <f t="shared" si="46"/>
        <v>27.880274999999997</v>
      </c>
      <c r="Q365" s="23">
        <f ca="1">SUMIF(CPUAUX1!M:M,B358,CPUAUX1!R:R)</f>
        <v>11.15211</v>
      </c>
      <c r="R365" s="23">
        <f t="shared" ca="1" si="47"/>
        <v>11.15211</v>
      </c>
    </row>
    <row r="366" spans="1:18" x14ac:dyDescent="0.3">
      <c r="A366" s="23" t="s">
        <v>1025</v>
      </c>
      <c r="B366" s="23">
        <v>2436</v>
      </c>
      <c r="C366" s="23" t="str">
        <f>VLOOKUP(B366,IF(A366="COMPOSICAO",S!$A:$E,I!$A:$E),2,FALSE)</f>
        <v>SINAPI</v>
      </c>
      <c r="D366" s="24" t="str">
        <f>VLOOKUP(B366,IF(A366="COMPOSICAO",S!$A:$E,I!$A:$E),3,FALSE)</f>
        <v>ELETRICISTA (HORISTA)</v>
      </c>
      <c r="E366" s="23" t="str">
        <f>VLOOKUP(B366,IF(A366="COMPOSICAO",S!$A:$E,I!$A:$E),4,FALSE)</f>
        <v>H</v>
      </c>
      <c r="F366" s="23">
        <v>1</v>
      </c>
      <c r="G366" s="71">
        <f>IF(A366="COMPOSICAO",VLOOKUP("TOTAL SEM BDI - "&amp;B366,CPUAUX3!$A:$J,9,FALSE),VLOOKUP(B366,I!$A:$E,5,FALSE))</f>
        <v>20.329999999999998</v>
      </c>
      <c r="H366" s="72"/>
      <c r="I366" s="71">
        <f t="shared" si="44"/>
        <v>20.329999999999998</v>
      </c>
      <c r="J366" s="72"/>
      <c r="M366" s="23">
        <f t="shared" si="45"/>
        <v>2436</v>
      </c>
      <c r="N366" s="23">
        <f>SUMIF(CPUAUX1!M:M,B358,CPUAUX1!O:O)</f>
        <v>27.880274999999997</v>
      </c>
      <c r="O366" s="23">
        <f t="shared" si="46"/>
        <v>27.880274999999997</v>
      </c>
      <c r="Q366" s="23">
        <f ca="1">SUMIF(CPUAUX1!M:M,B358,CPUAUX1!R:R)</f>
        <v>11.15211</v>
      </c>
      <c r="R366" s="23">
        <f t="shared" ca="1" si="47"/>
        <v>11.15211</v>
      </c>
    </row>
    <row r="367" spans="1:18" x14ac:dyDescent="0.3">
      <c r="A367" s="68" t="str">
        <f>"TOTAL SEM BDI - "&amp;B358</f>
        <v>TOTAL SEM BDI - 88264</v>
      </c>
      <c r="B367" s="69"/>
      <c r="C367" s="69"/>
      <c r="D367" s="69"/>
      <c r="E367" s="69"/>
      <c r="F367" s="69"/>
      <c r="G367" s="69"/>
      <c r="H367" s="70"/>
      <c r="I367" s="71">
        <f>SUM(I358:I366)</f>
        <v>27.74</v>
      </c>
      <c r="J367" s="72"/>
    </row>
    <row r="369" spans="1:18" x14ac:dyDescent="0.3">
      <c r="A369" s="4" t="s">
        <v>1018</v>
      </c>
      <c r="B369" s="4" t="s">
        <v>138</v>
      </c>
      <c r="C369" s="4" t="s">
        <v>139</v>
      </c>
      <c r="D369" s="4" t="s">
        <v>21</v>
      </c>
      <c r="E369" s="4" t="s">
        <v>140</v>
      </c>
      <c r="F369" s="4" t="s">
        <v>506</v>
      </c>
      <c r="G369" s="34" t="s">
        <v>1019</v>
      </c>
      <c r="H369" s="35"/>
      <c r="I369" s="34" t="s">
        <v>15</v>
      </c>
      <c r="J369" s="35"/>
    </row>
    <row r="370" spans="1:18" ht="30" customHeight="1" x14ac:dyDescent="0.3">
      <c r="A370" s="15" t="s">
        <v>1093</v>
      </c>
      <c r="B370" s="15">
        <v>88247</v>
      </c>
      <c r="C370" s="15" t="str">
        <f>VLOOKUP(B370,S!$A:$G,2,FALSE)</f>
        <v>SINAPI</v>
      </c>
      <c r="D370" s="22" t="str">
        <f>VLOOKUP(B370,S!$A:$G,3,FALSE)</f>
        <v>AUXILIAR DE ELETRICISTA COM ENCARGOS COMPLEMENTARES</v>
      </c>
      <c r="E370" s="15" t="str">
        <f>VLOOKUP(B370,S!$A:$G,4,FALSE)</f>
        <v>H</v>
      </c>
      <c r="F370" s="15"/>
      <c r="G370" s="73">
        <f>I379</f>
        <v>22.810000000000002</v>
      </c>
      <c r="H370" s="74"/>
      <c r="I370" s="73"/>
      <c r="J370" s="74"/>
      <c r="K370" s="16">
        <f>VLOOKUP(B370,S!A:G,5,FALSE)</f>
        <v>22.81</v>
      </c>
      <c r="L370" s="15" t="str">
        <f>IF(K370=G370,"OK, CONFORME TABELA",IF(G370&gt;K370,"ACIMA DA TABELA: ","ABAIXO DA TABELA: ")&amp;TRUNC((G370*100)/K370,2)&amp;" %")</f>
        <v>OK, CONFORME TABELA</v>
      </c>
    </row>
    <row r="371" spans="1:18" ht="30" customHeight="1" x14ac:dyDescent="0.3">
      <c r="A371" s="23" t="s">
        <v>1022</v>
      </c>
      <c r="B371" s="23">
        <v>95316</v>
      </c>
      <c r="C371" s="23" t="str">
        <f>VLOOKUP(B371,IF(A371="COMPOSICAO",S!$A:$E,I!$A:$E),2,FALSE)</f>
        <v>SINAPI</v>
      </c>
      <c r="D371" s="24" t="str">
        <f>VLOOKUP(B371,IF(A371="COMPOSICAO",S!$A:$E,I!$A:$E),3,FALSE)</f>
        <v>CURSO DE CAPACITAÇÃO PARA AUXILIAR DE ELETRICISTA (ENCARGOS COMPLEMENTARES) - HORISTA</v>
      </c>
      <c r="E371" s="23" t="str">
        <f>VLOOKUP(B371,IF(A371="COMPOSICAO",S!$A:$E,I!$A:$E),4,FALSE)</f>
        <v>H</v>
      </c>
      <c r="F371" s="23">
        <v>1</v>
      </c>
      <c r="G371" s="71">
        <f>IF(A371="COMPOSICAO",VLOOKUP("TOTAL SEM BDI - "&amp;B371,CPUAUX3!$A:$J,9,FALSE),VLOOKUP(B371,I!$A:$E,5,FALSE))</f>
        <v>0.57999999999999996</v>
      </c>
      <c r="H371" s="72"/>
      <c r="I371" s="71">
        <f t="shared" ref="I371:I378" si="48">TRUNC(F371*G371,2)</f>
        <v>0.57999999999999996</v>
      </c>
      <c r="J371" s="72"/>
      <c r="M371" s="23">
        <f t="shared" ref="M371:M378" si="49">B371</f>
        <v>95316</v>
      </c>
      <c r="N371" s="23">
        <f>SUMIF(CPUAUX1!M:M,B370,CPUAUX1!O:O)</f>
        <v>25.464475</v>
      </c>
      <c r="O371" s="23">
        <f t="shared" ref="O371:O378" si="50">F371*N371</f>
        <v>25.464475</v>
      </c>
      <c r="Q371" s="23">
        <f ca="1">SUMIF(CPUAUX1!M:M,B370,CPUAUX1!R:R)</f>
        <v>10.185790000000001</v>
      </c>
      <c r="R371" s="23">
        <f t="shared" ref="R371:R378" ca="1" si="51">F371*Q371</f>
        <v>10.185790000000001</v>
      </c>
    </row>
    <row r="372" spans="1:18" ht="30" customHeight="1" x14ac:dyDescent="0.3">
      <c r="A372" s="23" t="s">
        <v>1025</v>
      </c>
      <c r="B372" s="23">
        <v>43484</v>
      </c>
      <c r="C372" s="23" t="str">
        <f>VLOOKUP(B372,IF(A372="COMPOSICAO",S!$A:$E,I!$A:$E),2,FALSE)</f>
        <v>SINAPI</v>
      </c>
      <c r="D372" s="24" t="str">
        <f>VLOOKUP(B372,IF(A372="COMPOSICAO",S!$A:$E,I!$A:$E),3,FALSE)</f>
        <v>EPI - FAMILIA ELETRICISTA - HORISTA (ENCARGOS COMPLEMENTARES - COLETADO CAIXA)</v>
      </c>
      <c r="E372" s="23" t="str">
        <f>VLOOKUP(B372,IF(A372="COMPOSICAO",S!$A:$E,I!$A:$E),4,FALSE)</f>
        <v>H</v>
      </c>
      <c r="F372" s="23">
        <v>1</v>
      </c>
      <c r="G372" s="71">
        <f>IF(A372="COMPOSICAO",VLOOKUP("TOTAL SEM BDI - "&amp;B372,CPUAUX3!$A:$J,9,FALSE),VLOOKUP(B372,I!$A:$E,5,FALSE))</f>
        <v>1.26</v>
      </c>
      <c r="H372" s="72"/>
      <c r="I372" s="71">
        <f t="shared" si="48"/>
        <v>1.26</v>
      </c>
      <c r="J372" s="72"/>
      <c r="M372" s="23">
        <f t="shared" si="49"/>
        <v>43484</v>
      </c>
      <c r="N372" s="23">
        <f>SUMIF(CPUAUX1!M:M,B370,CPUAUX1!O:O)</f>
        <v>25.464475</v>
      </c>
      <c r="O372" s="23">
        <f t="shared" si="50"/>
        <v>25.464475</v>
      </c>
      <c r="Q372" s="23">
        <f ca="1">SUMIF(CPUAUX1!M:M,B370,CPUAUX1!R:R)</f>
        <v>10.185790000000001</v>
      </c>
      <c r="R372" s="23">
        <f t="shared" ca="1" si="51"/>
        <v>10.185790000000001</v>
      </c>
    </row>
    <row r="373" spans="1:18" ht="30" customHeight="1" x14ac:dyDescent="0.3">
      <c r="A373" s="23" t="s">
        <v>1025</v>
      </c>
      <c r="B373" s="23">
        <v>43460</v>
      </c>
      <c r="C373" s="23" t="str">
        <f>VLOOKUP(B373,IF(A373="COMPOSICAO",S!$A:$E,I!$A:$E),2,FALSE)</f>
        <v>SINAPI</v>
      </c>
      <c r="D373" s="24" t="str">
        <f>VLOOKUP(B373,IF(A373="COMPOSICAO",S!$A:$E,I!$A:$E),3,FALSE)</f>
        <v>FERRAMENTAS - FAMILIA ELETRICISTA - HORISTA (ENCARGOS COMPLEMENTARES - COLETADO CAIXA)</v>
      </c>
      <c r="E373" s="23" t="str">
        <f>VLOOKUP(B373,IF(A373="COMPOSICAO",S!$A:$E,I!$A:$E),4,FALSE)</f>
        <v>H</v>
      </c>
      <c r="F373" s="23">
        <v>1</v>
      </c>
      <c r="G373" s="71">
        <f>IF(A373="COMPOSICAO",VLOOKUP("TOTAL SEM BDI - "&amp;B373,CPUAUX3!$A:$J,9,FALSE),VLOOKUP(B373,I!$A:$E,5,FALSE))</f>
        <v>0.86</v>
      </c>
      <c r="H373" s="72"/>
      <c r="I373" s="71">
        <f t="shared" si="48"/>
        <v>0.86</v>
      </c>
      <c r="J373" s="72"/>
      <c r="M373" s="23">
        <f t="shared" si="49"/>
        <v>43460</v>
      </c>
      <c r="N373" s="23">
        <f>SUMIF(CPUAUX1!M:M,B370,CPUAUX1!O:O)</f>
        <v>25.464475</v>
      </c>
      <c r="O373" s="23">
        <f t="shared" si="50"/>
        <v>25.464475</v>
      </c>
      <c r="Q373" s="23">
        <f ca="1">SUMIF(CPUAUX1!M:M,B370,CPUAUX1!R:R)</f>
        <v>10.185790000000001</v>
      </c>
      <c r="R373" s="23">
        <f t="shared" ca="1" si="51"/>
        <v>10.185790000000001</v>
      </c>
    </row>
    <row r="374" spans="1:18" ht="30" customHeight="1" x14ac:dyDescent="0.3">
      <c r="A374" s="23" t="s">
        <v>1025</v>
      </c>
      <c r="B374" s="23">
        <v>37373</v>
      </c>
      <c r="C374" s="23" t="str">
        <f>VLOOKUP(B374,IF(A374="COMPOSICAO",S!$A:$E,I!$A:$E),2,FALSE)</f>
        <v>SINAPI</v>
      </c>
      <c r="D374" s="24" t="str">
        <f>VLOOKUP(B374,IF(A374="COMPOSICAO",S!$A:$E,I!$A:$E),3,FALSE)</f>
        <v>SEGURO - HORISTA (COLETADO CAIXA - ENCARGOS COMPLEMENTARES)</v>
      </c>
      <c r="E374" s="23" t="str">
        <f>VLOOKUP(B374,IF(A374="COMPOSICAO",S!$A:$E,I!$A:$E),4,FALSE)</f>
        <v>H</v>
      </c>
      <c r="F374" s="23">
        <v>1</v>
      </c>
      <c r="G374" s="71">
        <f>IF(A374="COMPOSICAO",VLOOKUP("TOTAL SEM BDI - "&amp;B374,CPUAUX3!$A:$J,9,FALSE),VLOOKUP(B374,I!$A:$E,5,FALSE))</f>
        <v>0.08</v>
      </c>
      <c r="H374" s="72"/>
      <c r="I374" s="71">
        <f t="shared" si="48"/>
        <v>0.08</v>
      </c>
      <c r="J374" s="72"/>
      <c r="M374" s="23">
        <f t="shared" si="49"/>
        <v>37373</v>
      </c>
      <c r="N374" s="23">
        <f>SUMIF(CPUAUX1!M:M,B370,CPUAUX1!O:O)</f>
        <v>25.464475</v>
      </c>
      <c r="O374" s="23">
        <f t="shared" si="50"/>
        <v>25.464475</v>
      </c>
      <c r="Q374" s="23">
        <f ca="1">SUMIF(CPUAUX1!M:M,B370,CPUAUX1!R:R)</f>
        <v>10.185790000000001</v>
      </c>
      <c r="R374" s="23">
        <f t="shared" ca="1" si="51"/>
        <v>10.185790000000001</v>
      </c>
    </row>
    <row r="375" spans="1:18" ht="30" customHeight="1" x14ac:dyDescent="0.3">
      <c r="A375" s="23" t="s">
        <v>1025</v>
      </c>
      <c r="B375" s="23">
        <v>37372</v>
      </c>
      <c r="C375" s="23" t="str">
        <f>VLOOKUP(B375,IF(A375="COMPOSICAO",S!$A:$E,I!$A:$E),2,FALSE)</f>
        <v>SINAPI</v>
      </c>
      <c r="D375" s="24" t="str">
        <f>VLOOKUP(B375,IF(A375="COMPOSICAO",S!$A:$E,I!$A:$E),3,FALSE)</f>
        <v>EXAMES - HORISTA (COLETADO CAIXA - ENCARGOS COMPLEMENTARES)</v>
      </c>
      <c r="E375" s="23" t="str">
        <f>VLOOKUP(B375,IF(A375="COMPOSICAO",S!$A:$E,I!$A:$E),4,FALSE)</f>
        <v>H</v>
      </c>
      <c r="F375" s="23">
        <v>1</v>
      </c>
      <c r="G375" s="71">
        <f>IF(A375="COMPOSICAO",VLOOKUP("TOTAL SEM BDI - "&amp;B375,CPUAUX3!$A:$J,9,FALSE),VLOOKUP(B375,I!$A:$E,5,FALSE))</f>
        <v>1.43</v>
      </c>
      <c r="H375" s="72"/>
      <c r="I375" s="71">
        <f t="shared" si="48"/>
        <v>1.43</v>
      </c>
      <c r="J375" s="72"/>
      <c r="M375" s="23">
        <f t="shared" si="49"/>
        <v>37372</v>
      </c>
      <c r="N375" s="23">
        <f>SUMIF(CPUAUX1!M:M,B370,CPUAUX1!O:O)</f>
        <v>25.464475</v>
      </c>
      <c r="O375" s="23">
        <f t="shared" si="50"/>
        <v>25.464475</v>
      </c>
      <c r="Q375" s="23">
        <f ca="1">SUMIF(CPUAUX1!M:M,B370,CPUAUX1!R:R)</f>
        <v>10.185790000000001</v>
      </c>
      <c r="R375" s="23">
        <f t="shared" ca="1" si="51"/>
        <v>10.185790000000001</v>
      </c>
    </row>
    <row r="376" spans="1:18" ht="30" customHeight="1" x14ac:dyDescent="0.3">
      <c r="A376" s="23" t="s">
        <v>1025</v>
      </c>
      <c r="B376" s="23">
        <v>37371</v>
      </c>
      <c r="C376" s="23" t="str">
        <f>VLOOKUP(B376,IF(A376="COMPOSICAO",S!$A:$E,I!$A:$E),2,FALSE)</f>
        <v>SINAPI</v>
      </c>
      <c r="D376" s="24" t="str">
        <f>VLOOKUP(B376,IF(A376="COMPOSICAO",S!$A:$E,I!$A:$E),3,FALSE)</f>
        <v>TRANSPORTE - HORISTA (COLETADO CAIXA - ENCARGOS COMPLEMENTARES)</v>
      </c>
      <c r="E376" s="23" t="str">
        <f>VLOOKUP(B376,IF(A376="COMPOSICAO",S!$A:$E,I!$A:$E),4,FALSE)</f>
        <v>H</v>
      </c>
      <c r="F376" s="23">
        <v>1</v>
      </c>
      <c r="G376" s="71">
        <f>IF(A376="COMPOSICAO",VLOOKUP("TOTAL SEM BDI - "&amp;B376,CPUAUX3!$A:$J,9,FALSE),VLOOKUP(B376,I!$A:$E,5,FALSE))</f>
        <v>0.56999999999999995</v>
      </c>
      <c r="H376" s="72"/>
      <c r="I376" s="71">
        <f t="shared" si="48"/>
        <v>0.56999999999999995</v>
      </c>
      <c r="J376" s="72"/>
      <c r="M376" s="23">
        <f t="shared" si="49"/>
        <v>37371</v>
      </c>
      <c r="N376" s="23">
        <f>SUMIF(CPUAUX1!M:M,B370,CPUAUX1!O:O)</f>
        <v>25.464475</v>
      </c>
      <c r="O376" s="23">
        <f t="shared" si="50"/>
        <v>25.464475</v>
      </c>
      <c r="Q376" s="23">
        <f ca="1">SUMIF(CPUAUX1!M:M,B370,CPUAUX1!R:R)</f>
        <v>10.185790000000001</v>
      </c>
      <c r="R376" s="23">
        <f t="shared" ca="1" si="51"/>
        <v>10.185790000000001</v>
      </c>
    </row>
    <row r="377" spans="1:18" ht="30" customHeight="1" x14ac:dyDescent="0.3">
      <c r="A377" s="23" t="s">
        <v>1025</v>
      </c>
      <c r="B377" s="23">
        <v>37370</v>
      </c>
      <c r="C377" s="23" t="str">
        <f>VLOOKUP(B377,IF(A377="COMPOSICAO",S!$A:$E,I!$A:$E),2,FALSE)</f>
        <v>SINAPI</v>
      </c>
      <c r="D377" s="24" t="str">
        <f>VLOOKUP(B377,IF(A377="COMPOSICAO",S!$A:$E,I!$A:$E),3,FALSE)</f>
        <v>ALIMENTACAO - HORISTA (COLETADO CAIXA - ENCARGOS COMPLEMENTARES)</v>
      </c>
      <c r="E377" s="23" t="str">
        <f>VLOOKUP(B377,IF(A377="COMPOSICAO",S!$A:$E,I!$A:$E),4,FALSE)</f>
        <v>H</v>
      </c>
      <c r="F377" s="23">
        <v>1</v>
      </c>
      <c r="G377" s="71">
        <f>IF(A377="COMPOSICAO",VLOOKUP("TOTAL SEM BDI - "&amp;B377,CPUAUX3!$A:$J,9,FALSE),VLOOKUP(B377,I!$A:$E,5,FALSE))</f>
        <v>2.46</v>
      </c>
      <c r="H377" s="72"/>
      <c r="I377" s="71">
        <f t="shared" si="48"/>
        <v>2.46</v>
      </c>
      <c r="J377" s="72"/>
      <c r="M377" s="23">
        <f t="shared" si="49"/>
        <v>37370</v>
      </c>
      <c r="N377" s="23">
        <f>SUMIF(CPUAUX1!M:M,B370,CPUAUX1!O:O)</f>
        <v>25.464475</v>
      </c>
      <c r="O377" s="23">
        <f t="shared" si="50"/>
        <v>25.464475</v>
      </c>
      <c r="Q377" s="23">
        <f ca="1">SUMIF(CPUAUX1!M:M,B370,CPUAUX1!R:R)</f>
        <v>10.185790000000001</v>
      </c>
      <c r="R377" s="23">
        <f t="shared" ca="1" si="51"/>
        <v>10.185790000000001</v>
      </c>
    </row>
    <row r="378" spans="1:18" x14ac:dyDescent="0.3">
      <c r="A378" s="23" t="s">
        <v>1025</v>
      </c>
      <c r="B378" s="23">
        <v>247</v>
      </c>
      <c r="C378" s="23" t="str">
        <f>VLOOKUP(B378,IF(A378="COMPOSICAO",S!$A:$E,I!$A:$E),2,FALSE)</f>
        <v>SINAPI</v>
      </c>
      <c r="D378" s="24" t="str">
        <f>VLOOKUP(B378,IF(A378="COMPOSICAO",S!$A:$E,I!$A:$E),3,FALSE)</f>
        <v>AJUDANTE DE ELETRICISTA (HORISTA)</v>
      </c>
      <c r="E378" s="23" t="str">
        <f>VLOOKUP(B378,IF(A378="COMPOSICAO",S!$A:$E,I!$A:$E),4,FALSE)</f>
        <v>H</v>
      </c>
      <c r="F378" s="23">
        <v>1</v>
      </c>
      <c r="G378" s="71">
        <f>IF(A378="COMPOSICAO",VLOOKUP("TOTAL SEM BDI - "&amp;B378,CPUAUX3!$A:$J,9,FALSE),VLOOKUP(B378,I!$A:$E,5,FALSE))</f>
        <v>15.57</v>
      </c>
      <c r="H378" s="72"/>
      <c r="I378" s="71">
        <f t="shared" si="48"/>
        <v>15.57</v>
      </c>
      <c r="J378" s="72"/>
      <c r="M378" s="23">
        <f t="shared" si="49"/>
        <v>247</v>
      </c>
      <c r="N378" s="23">
        <f>SUMIF(CPUAUX1!M:M,B370,CPUAUX1!O:O)</f>
        <v>25.464475</v>
      </c>
      <c r="O378" s="23">
        <f t="shared" si="50"/>
        <v>25.464475</v>
      </c>
      <c r="Q378" s="23">
        <f ca="1">SUMIF(CPUAUX1!M:M,B370,CPUAUX1!R:R)</f>
        <v>10.185790000000001</v>
      </c>
      <c r="R378" s="23">
        <f t="shared" ca="1" si="51"/>
        <v>10.185790000000001</v>
      </c>
    </row>
    <row r="379" spans="1:18" x14ac:dyDescent="0.3">
      <c r="A379" s="68" t="str">
        <f>"TOTAL SEM BDI - "&amp;B370</f>
        <v>TOTAL SEM BDI - 88247</v>
      </c>
      <c r="B379" s="69"/>
      <c r="C379" s="69"/>
      <c r="D379" s="69"/>
      <c r="E379" s="69"/>
      <c r="F379" s="69"/>
      <c r="G379" s="69"/>
      <c r="H379" s="70"/>
      <c r="I379" s="71">
        <f>SUM(I370:I378)</f>
        <v>22.810000000000002</v>
      </c>
      <c r="J379" s="72"/>
    </row>
    <row r="381" spans="1:18" x14ac:dyDescent="0.3">
      <c r="A381" s="4" t="s">
        <v>1018</v>
      </c>
      <c r="B381" s="4" t="s">
        <v>138</v>
      </c>
      <c r="C381" s="4" t="s">
        <v>139</v>
      </c>
      <c r="D381" s="4" t="s">
        <v>21</v>
      </c>
      <c r="E381" s="4" t="s">
        <v>140</v>
      </c>
      <c r="F381" s="4" t="s">
        <v>506</v>
      </c>
      <c r="G381" s="34" t="s">
        <v>1019</v>
      </c>
      <c r="H381" s="35"/>
      <c r="I381" s="34" t="s">
        <v>15</v>
      </c>
      <c r="J381" s="35"/>
    </row>
    <row r="382" spans="1:18" ht="45" customHeight="1" x14ac:dyDescent="0.3">
      <c r="A382" s="15" t="s">
        <v>1094</v>
      </c>
      <c r="B382" s="15">
        <v>88629</v>
      </c>
      <c r="C382" s="15" t="str">
        <f>VLOOKUP(B382,S!$A:$G,2,FALSE)</f>
        <v>SINAPI</v>
      </c>
      <c r="D382" s="22" t="str">
        <f>VLOOKUP(B382,S!$A:$G,3,FALSE)</f>
        <v>ARGAMASSA TRAÇO 1:3 (EM VOLUME DE CIMENTO E AREIA MÉDIA ÚMIDA), PREPARO MANUAL. AF_08/2019</v>
      </c>
      <c r="E382" s="15" t="str">
        <f>VLOOKUP(B382,S!$A:$G,4,FALSE)</f>
        <v>M3</v>
      </c>
      <c r="F382" s="15"/>
      <c r="G382" s="73">
        <f>I386</f>
        <v>770.66</v>
      </c>
      <c r="H382" s="74"/>
      <c r="I382" s="73"/>
      <c r="J382" s="74"/>
      <c r="K382" s="16">
        <f>VLOOKUP(B382,S!A:G,5,FALSE)</f>
        <v>770.66</v>
      </c>
      <c r="L382" s="15" t="str">
        <f>IF(K382=G382,"OK, CONFORME TABELA",IF(G382&gt;K382,"ACIMA DA TABELA: ","ABAIXO DA TABELA: ")&amp;TRUNC((G382*100)/K382,2)&amp;" %")</f>
        <v>OK, CONFORME TABELA</v>
      </c>
    </row>
    <row r="383" spans="1:18" x14ac:dyDescent="0.3">
      <c r="A383" s="23" t="s">
        <v>1022</v>
      </c>
      <c r="B383" s="23">
        <v>88316</v>
      </c>
      <c r="C383" s="23" t="str">
        <f>VLOOKUP(B383,IF(A383="COMPOSICAO",S!$A:$E,I!$A:$E),2,FALSE)</f>
        <v>SINAPI</v>
      </c>
      <c r="D383" s="24" t="str">
        <f>VLOOKUP(B383,IF(A383="COMPOSICAO",S!$A:$E,I!$A:$E),3,FALSE)</f>
        <v>SERVENTE COM ENCARGOS COMPLEMENTARES</v>
      </c>
      <c r="E383" s="23" t="str">
        <f>VLOOKUP(B383,IF(A383="COMPOSICAO",S!$A:$E,I!$A:$E),4,FALSE)</f>
        <v>H</v>
      </c>
      <c r="F383" s="23">
        <f>8.57/pcf</f>
        <v>8.57</v>
      </c>
      <c r="G383" s="71">
        <f>IF(A383="COMPOSICAO",VLOOKUP("TOTAL SEM BDI - "&amp;B383,CPUAUX3!$A:$J,9,FALSE),VLOOKUP(B383,I!$A:$E,5,FALSE))</f>
        <v>21.709999999999997</v>
      </c>
      <c r="H383" s="72"/>
      <c r="I383" s="71">
        <f>TRUNC(F383*G383,2)</f>
        <v>186.05</v>
      </c>
      <c r="J383" s="72"/>
      <c r="M383" s="23">
        <f>B383</f>
        <v>88316</v>
      </c>
      <c r="N383" s="23">
        <f>SUMIF(CPUAUX1!M:M,B382,CPUAUX1!O:O)</f>
        <v>6.0600000000000001E-2</v>
      </c>
      <c r="O383" s="23">
        <f>F383*N383</f>
        <v>0.51934200000000008</v>
      </c>
      <c r="Q383" s="23">
        <f ca="1">SUMIF(CPUAUX1!M:M,B382,CPUAUX1!R:R)</f>
        <v>2.4240000000000005E-2</v>
      </c>
      <c r="R383" s="23">
        <f ca="1">F383*Q383</f>
        <v>0.20773680000000005</v>
      </c>
    </row>
    <row r="384" spans="1:18" x14ac:dyDescent="0.3">
      <c r="A384" s="23" t="s">
        <v>1025</v>
      </c>
      <c r="B384" s="23">
        <v>1379</v>
      </c>
      <c r="C384" s="23" t="str">
        <f>VLOOKUP(B384,IF(A384="COMPOSICAO",S!$A:$E,I!$A:$E),2,FALSE)</f>
        <v>SINAPI</v>
      </c>
      <c r="D384" s="24" t="str">
        <f>VLOOKUP(B384,IF(A384="COMPOSICAO",S!$A:$E,I!$A:$E),3,FALSE)</f>
        <v>CIMENTO PORTLAND COMPOSTO CP II-32</v>
      </c>
      <c r="E384" s="23" t="str">
        <f>VLOOKUP(B384,IF(A384="COMPOSICAO",S!$A:$E,I!$A:$E),4,FALSE)</f>
        <v>KG</v>
      </c>
      <c r="F384" s="23">
        <v>482.96</v>
      </c>
      <c r="G384" s="71">
        <f>IF(A384="COMPOSICAO",VLOOKUP("TOTAL SEM BDI - "&amp;B384,CPUAUX3!$A:$J,9,FALSE),VLOOKUP(B384,I!$A:$E,5,FALSE))</f>
        <v>1</v>
      </c>
      <c r="H384" s="72"/>
      <c r="I384" s="71">
        <f>TRUNC(F384*G384,2)</f>
        <v>482.96</v>
      </c>
      <c r="J384" s="72"/>
      <c r="M384" s="23">
        <f>B384</f>
        <v>1379</v>
      </c>
      <c r="N384" s="23">
        <f>SUMIF(CPUAUX1!M:M,B382,CPUAUX1!O:O)</f>
        <v>6.0600000000000001E-2</v>
      </c>
      <c r="O384" s="23">
        <f>F384*N384</f>
        <v>29.267375999999999</v>
      </c>
      <c r="Q384" s="23">
        <f ca="1">SUMIF(CPUAUX1!M:M,B382,CPUAUX1!R:R)</f>
        <v>2.4240000000000005E-2</v>
      </c>
      <c r="R384" s="23">
        <f ca="1">F384*Q384</f>
        <v>11.706950400000002</v>
      </c>
    </row>
    <row r="385" spans="1:18" ht="30" customHeight="1" x14ac:dyDescent="0.3">
      <c r="A385" s="23" t="s">
        <v>1025</v>
      </c>
      <c r="B385" s="23">
        <v>370</v>
      </c>
      <c r="C385" s="23" t="str">
        <f>VLOOKUP(B385,IF(A385="COMPOSICAO",S!$A:$E,I!$A:$E),2,FALSE)</f>
        <v>SINAPI</v>
      </c>
      <c r="D385" s="24" t="str">
        <f>VLOOKUP(B385,IF(A385="COMPOSICAO",S!$A:$E,I!$A:$E),3,FALSE)</f>
        <v>AREIA MEDIA - POSTO JAZIDA/FORNECEDOR (RETIRADO NA JAZIDA, SEM TRANSPORTE)</v>
      </c>
      <c r="E385" s="23" t="str">
        <f>VLOOKUP(B385,IF(A385="COMPOSICAO",S!$A:$E,I!$A:$E),4,FALSE)</f>
        <v>M3</v>
      </c>
      <c r="F385" s="23">
        <v>1.07</v>
      </c>
      <c r="G385" s="71">
        <f>IF(A385="COMPOSICAO",VLOOKUP("TOTAL SEM BDI - "&amp;B385,CPUAUX3!$A:$J,9,FALSE),VLOOKUP(B385,I!$A:$E,5,FALSE))</f>
        <v>95</v>
      </c>
      <c r="H385" s="72"/>
      <c r="I385" s="71">
        <f>TRUNC(F385*G385,2)</f>
        <v>101.65</v>
      </c>
      <c r="J385" s="72"/>
      <c r="M385" s="23">
        <f>B385</f>
        <v>370</v>
      </c>
      <c r="N385" s="23">
        <f>SUMIF(CPUAUX1!M:M,B382,CPUAUX1!O:O)</f>
        <v>6.0600000000000001E-2</v>
      </c>
      <c r="O385" s="23">
        <f>F385*N385</f>
        <v>6.4842000000000011E-2</v>
      </c>
      <c r="Q385" s="23">
        <f ca="1">SUMIF(CPUAUX1!M:M,B382,CPUAUX1!R:R)</f>
        <v>2.4240000000000005E-2</v>
      </c>
      <c r="R385" s="23">
        <f ca="1">F385*Q385</f>
        <v>2.5936800000000006E-2</v>
      </c>
    </row>
    <row r="386" spans="1:18" x14ac:dyDescent="0.3">
      <c r="A386" s="68" t="str">
        <f>"TOTAL SEM BDI - "&amp;B382</f>
        <v>TOTAL SEM BDI - 88629</v>
      </c>
      <c r="B386" s="69"/>
      <c r="C386" s="69"/>
      <c r="D386" s="69"/>
      <c r="E386" s="69"/>
      <c r="F386" s="69"/>
      <c r="G386" s="69"/>
      <c r="H386" s="70"/>
      <c r="I386" s="71">
        <f>SUM(I382:I385)</f>
        <v>770.66</v>
      </c>
      <c r="J386" s="72"/>
    </row>
    <row r="388" spans="1:18" x14ac:dyDescent="0.3">
      <c r="A388" s="4" t="s">
        <v>1018</v>
      </c>
      <c r="B388" s="4" t="s">
        <v>138</v>
      </c>
      <c r="C388" s="4" t="s">
        <v>139</v>
      </c>
      <c r="D388" s="4" t="s">
        <v>21</v>
      </c>
      <c r="E388" s="4" t="s">
        <v>140</v>
      </c>
      <c r="F388" s="4" t="s">
        <v>506</v>
      </c>
      <c r="G388" s="34" t="s">
        <v>1019</v>
      </c>
      <c r="H388" s="35"/>
      <c r="I388" s="34" t="s">
        <v>15</v>
      </c>
      <c r="J388" s="35"/>
    </row>
    <row r="389" spans="1:18" ht="30" customHeight="1" x14ac:dyDescent="0.3">
      <c r="A389" s="15" t="s">
        <v>1093</v>
      </c>
      <c r="B389" s="15">
        <v>88267</v>
      </c>
      <c r="C389" s="15" t="str">
        <f>VLOOKUP(B389,S!$A:$G,2,FALSE)</f>
        <v>SINAPI</v>
      </c>
      <c r="D389" s="22" t="str">
        <f>VLOOKUP(B389,S!$A:$G,3,FALSE)</f>
        <v>ENCANADOR OU BOMBEIRO HIDRÁULICO COM ENCARGOS COMPLEMENTARES</v>
      </c>
      <c r="E389" s="15" t="str">
        <f>VLOOKUP(B389,S!$A:$G,4,FALSE)</f>
        <v>H</v>
      </c>
      <c r="F389" s="15"/>
      <c r="G389" s="73">
        <f>I398</f>
        <v>26.669999999999998</v>
      </c>
      <c r="H389" s="74"/>
      <c r="I389" s="73"/>
      <c r="J389" s="74"/>
      <c r="K389" s="16">
        <f>VLOOKUP(B389,S!A:G,5,FALSE)</f>
        <v>26.67</v>
      </c>
      <c r="L389" s="15" t="str">
        <f>IF(K389=G389,"OK, CONFORME TABELA",IF(G389&gt;K389,"ACIMA DA TABELA: ","ABAIXO DA TABELA: ")&amp;TRUNC((G389*100)/K389,2)&amp;" %")</f>
        <v>OK, CONFORME TABELA</v>
      </c>
    </row>
    <row r="390" spans="1:18" ht="45" customHeight="1" x14ac:dyDescent="0.3">
      <c r="A390" s="23" t="s">
        <v>1022</v>
      </c>
      <c r="B390" s="23">
        <v>95335</v>
      </c>
      <c r="C390" s="23" t="str">
        <f>VLOOKUP(B390,IF(A390="COMPOSICAO",S!$A:$E,I!$A:$E),2,FALSE)</f>
        <v>SINAPI</v>
      </c>
      <c r="D390" s="24" t="str">
        <f>VLOOKUP(B390,IF(A390="COMPOSICAO",S!$A:$E,I!$A:$E),3,FALSE)</f>
        <v>CURSO DE CAPACITAÇÃO PARA ENCANADOR OU BOMBEIRO HIDRÁULICO (ENCARGOS COMPLEMENTARES) - HORISTA</v>
      </c>
      <c r="E390" s="23" t="str">
        <f>VLOOKUP(B390,IF(A390="COMPOSICAO",S!$A:$E,I!$A:$E),4,FALSE)</f>
        <v>H</v>
      </c>
      <c r="F390" s="23">
        <v>1</v>
      </c>
      <c r="G390" s="71">
        <f>IF(A390="COMPOSICAO",VLOOKUP("TOTAL SEM BDI - "&amp;B390,CPUAUX3!$A:$J,9,FALSE),VLOOKUP(B390,I!$A:$E,5,FALSE))</f>
        <v>0.36</v>
      </c>
      <c r="H390" s="72"/>
      <c r="I390" s="71">
        <f t="shared" ref="I390:I397" si="52">TRUNC(F390*G390,2)</f>
        <v>0.36</v>
      </c>
      <c r="J390" s="72"/>
      <c r="M390" s="23">
        <f t="shared" ref="M390:M397" si="53">B390</f>
        <v>95335</v>
      </c>
      <c r="N390" s="23">
        <f>SUMIF(CPUAUX1!M:M,B389,CPUAUX1!O:O)</f>
        <v>11.4255</v>
      </c>
      <c r="O390" s="23">
        <f t="shared" ref="O390:O397" si="54">F390*N390</f>
        <v>11.4255</v>
      </c>
      <c r="Q390" s="23">
        <f ca="1">SUMIF(CPUAUX1!M:M,B389,CPUAUX1!R:R)</f>
        <v>4.5701999999999998</v>
      </c>
      <c r="R390" s="23">
        <f t="shared" ref="R390:R397" ca="1" si="55">F390*Q390</f>
        <v>4.5701999999999998</v>
      </c>
    </row>
    <row r="391" spans="1:18" ht="30" customHeight="1" x14ac:dyDescent="0.3">
      <c r="A391" s="23" t="s">
        <v>1025</v>
      </c>
      <c r="B391" s="23">
        <v>43485</v>
      </c>
      <c r="C391" s="23" t="str">
        <f>VLOOKUP(B391,IF(A391="COMPOSICAO",S!$A:$E,I!$A:$E),2,FALSE)</f>
        <v>SINAPI</v>
      </c>
      <c r="D391" s="24" t="str">
        <f>VLOOKUP(B391,IF(A391="COMPOSICAO",S!$A:$E,I!$A:$E),3,FALSE)</f>
        <v>EPI - FAMILIA ENCANADOR - HORISTA (ENCARGOS COMPLEMENTARES - COLETADO CAIXA)</v>
      </c>
      <c r="E391" s="23" t="str">
        <f>VLOOKUP(B391,IF(A391="COMPOSICAO",S!$A:$E,I!$A:$E),4,FALSE)</f>
        <v>H</v>
      </c>
      <c r="F391" s="23">
        <v>1</v>
      </c>
      <c r="G391" s="71">
        <f>IF(A391="COMPOSICAO",VLOOKUP("TOTAL SEM BDI - "&amp;B391,CPUAUX3!$A:$J,9,FALSE),VLOOKUP(B391,I!$A:$E,5,FALSE))</f>
        <v>1.1299999999999999</v>
      </c>
      <c r="H391" s="72"/>
      <c r="I391" s="71">
        <f t="shared" si="52"/>
        <v>1.1299999999999999</v>
      </c>
      <c r="J391" s="72"/>
      <c r="M391" s="23">
        <f t="shared" si="53"/>
        <v>43485</v>
      </c>
      <c r="N391" s="23">
        <f>SUMIF(CPUAUX1!M:M,B389,CPUAUX1!O:O)</f>
        <v>11.4255</v>
      </c>
      <c r="O391" s="23">
        <f t="shared" si="54"/>
        <v>11.4255</v>
      </c>
      <c r="Q391" s="23">
        <f ca="1">SUMIF(CPUAUX1!M:M,B389,CPUAUX1!R:R)</f>
        <v>4.5701999999999998</v>
      </c>
      <c r="R391" s="23">
        <f t="shared" ca="1" si="55"/>
        <v>4.5701999999999998</v>
      </c>
    </row>
    <row r="392" spans="1:18" ht="30" customHeight="1" x14ac:dyDescent="0.3">
      <c r="A392" s="23" t="s">
        <v>1025</v>
      </c>
      <c r="B392" s="23">
        <v>43461</v>
      </c>
      <c r="C392" s="23" t="str">
        <f>VLOOKUP(B392,IF(A392="COMPOSICAO",S!$A:$E,I!$A:$E),2,FALSE)</f>
        <v>SINAPI</v>
      </c>
      <c r="D392" s="24" t="str">
        <f>VLOOKUP(B392,IF(A392="COMPOSICAO",S!$A:$E,I!$A:$E),3,FALSE)</f>
        <v>FERRAMENTAS - FAMILIA ENCANADOR - HORISTA (ENCARGOS COMPLEMENTARES - COLETADO CAIXA)</v>
      </c>
      <c r="E392" s="23" t="str">
        <f>VLOOKUP(B392,IF(A392="COMPOSICAO",S!$A:$E,I!$A:$E),4,FALSE)</f>
        <v>H</v>
      </c>
      <c r="F392" s="23">
        <v>1</v>
      </c>
      <c r="G392" s="71">
        <f>IF(A392="COMPOSICAO",VLOOKUP("TOTAL SEM BDI - "&amp;B392,CPUAUX3!$A:$J,9,FALSE),VLOOKUP(B392,I!$A:$E,5,FALSE))</f>
        <v>0.31</v>
      </c>
      <c r="H392" s="72"/>
      <c r="I392" s="71">
        <f t="shared" si="52"/>
        <v>0.31</v>
      </c>
      <c r="J392" s="72"/>
      <c r="M392" s="23">
        <f t="shared" si="53"/>
        <v>43461</v>
      </c>
      <c r="N392" s="23">
        <f>SUMIF(CPUAUX1!M:M,B389,CPUAUX1!O:O)</f>
        <v>11.4255</v>
      </c>
      <c r="O392" s="23">
        <f t="shared" si="54"/>
        <v>11.4255</v>
      </c>
      <c r="Q392" s="23">
        <f ca="1">SUMIF(CPUAUX1!M:M,B389,CPUAUX1!R:R)</f>
        <v>4.5701999999999998</v>
      </c>
      <c r="R392" s="23">
        <f t="shared" ca="1" si="55"/>
        <v>4.5701999999999998</v>
      </c>
    </row>
    <row r="393" spans="1:18" ht="30" customHeight="1" x14ac:dyDescent="0.3">
      <c r="A393" s="23" t="s">
        <v>1025</v>
      </c>
      <c r="B393" s="23">
        <v>37373</v>
      </c>
      <c r="C393" s="23" t="str">
        <f>VLOOKUP(B393,IF(A393="COMPOSICAO",S!$A:$E,I!$A:$E),2,FALSE)</f>
        <v>SINAPI</v>
      </c>
      <c r="D393" s="24" t="str">
        <f>VLOOKUP(B393,IF(A393="COMPOSICAO",S!$A:$E,I!$A:$E),3,FALSE)</f>
        <v>SEGURO - HORISTA (COLETADO CAIXA - ENCARGOS COMPLEMENTARES)</v>
      </c>
      <c r="E393" s="23" t="str">
        <f>VLOOKUP(B393,IF(A393="COMPOSICAO",S!$A:$E,I!$A:$E),4,FALSE)</f>
        <v>H</v>
      </c>
      <c r="F393" s="23">
        <v>1</v>
      </c>
      <c r="G393" s="71">
        <f>IF(A393="COMPOSICAO",VLOOKUP("TOTAL SEM BDI - "&amp;B393,CPUAUX3!$A:$J,9,FALSE),VLOOKUP(B393,I!$A:$E,5,FALSE))</f>
        <v>0.08</v>
      </c>
      <c r="H393" s="72"/>
      <c r="I393" s="71">
        <f t="shared" si="52"/>
        <v>0.08</v>
      </c>
      <c r="J393" s="72"/>
      <c r="M393" s="23">
        <f t="shared" si="53"/>
        <v>37373</v>
      </c>
      <c r="N393" s="23">
        <f>SUMIF(CPUAUX1!M:M,B389,CPUAUX1!O:O)</f>
        <v>11.4255</v>
      </c>
      <c r="O393" s="23">
        <f t="shared" si="54"/>
        <v>11.4255</v>
      </c>
      <c r="Q393" s="23">
        <f ca="1">SUMIF(CPUAUX1!M:M,B389,CPUAUX1!R:R)</f>
        <v>4.5701999999999998</v>
      </c>
      <c r="R393" s="23">
        <f t="shared" ca="1" si="55"/>
        <v>4.5701999999999998</v>
      </c>
    </row>
    <row r="394" spans="1:18" ht="30" customHeight="1" x14ac:dyDescent="0.3">
      <c r="A394" s="23" t="s">
        <v>1025</v>
      </c>
      <c r="B394" s="23">
        <v>37372</v>
      </c>
      <c r="C394" s="23" t="str">
        <f>VLOOKUP(B394,IF(A394="COMPOSICAO",S!$A:$E,I!$A:$E),2,FALSE)</f>
        <v>SINAPI</v>
      </c>
      <c r="D394" s="24" t="str">
        <f>VLOOKUP(B394,IF(A394="COMPOSICAO",S!$A:$E,I!$A:$E),3,FALSE)</f>
        <v>EXAMES - HORISTA (COLETADO CAIXA - ENCARGOS COMPLEMENTARES)</v>
      </c>
      <c r="E394" s="23" t="str">
        <f>VLOOKUP(B394,IF(A394="COMPOSICAO",S!$A:$E,I!$A:$E),4,FALSE)</f>
        <v>H</v>
      </c>
      <c r="F394" s="23">
        <v>1</v>
      </c>
      <c r="G394" s="71">
        <f>IF(A394="COMPOSICAO",VLOOKUP("TOTAL SEM BDI - "&amp;B394,CPUAUX3!$A:$J,9,FALSE),VLOOKUP(B394,I!$A:$E,5,FALSE))</f>
        <v>1.43</v>
      </c>
      <c r="H394" s="72"/>
      <c r="I394" s="71">
        <f t="shared" si="52"/>
        <v>1.43</v>
      </c>
      <c r="J394" s="72"/>
      <c r="M394" s="23">
        <f t="shared" si="53"/>
        <v>37372</v>
      </c>
      <c r="N394" s="23">
        <f>SUMIF(CPUAUX1!M:M,B389,CPUAUX1!O:O)</f>
        <v>11.4255</v>
      </c>
      <c r="O394" s="23">
        <f t="shared" si="54"/>
        <v>11.4255</v>
      </c>
      <c r="Q394" s="23">
        <f ca="1">SUMIF(CPUAUX1!M:M,B389,CPUAUX1!R:R)</f>
        <v>4.5701999999999998</v>
      </c>
      <c r="R394" s="23">
        <f t="shared" ca="1" si="55"/>
        <v>4.5701999999999998</v>
      </c>
    </row>
    <row r="395" spans="1:18" ht="30" customHeight="1" x14ac:dyDescent="0.3">
      <c r="A395" s="23" t="s">
        <v>1025</v>
      </c>
      <c r="B395" s="23">
        <v>37371</v>
      </c>
      <c r="C395" s="23" t="str">
        <f>VLOOKUP(B395,IF(A395="COMPOSICAO",S!$A:$E,I!$A:$E),2,FALSE)</f>
        <v>SINAPI</v>
      </c>
      <c r="D395" s="24" t="str">
        <f>VLOOKUP(B395,IF(A395="COMPOSICAO",S!$A:$E,I!$A:$E),3,FALSE)</f>
        <v>TRANSPORTE - HORISTA (COLETADO CAIXA - ENCARGOS COMPLEMENTARES)</v>
      </c>
      <c r="E395" s="23" t="str">
        <f>VLOOKUP(B395,IF(A395="COMPOSICAO",S!$A:$E,I!$A:$E),4,FALSE)</f>
        <v>H</v>
      </c>
      <c r="F395" s="23">
        <v>1</v>
      </c>
      <c r="G395" s="71">
        <f>IF(A395="COMPOSICAO",VLOOKUP("TOTAL SEM BDI - "&amp;B395,CPUAUX3!$A:$J,9,FALSE),VLOOKUP(B395,I!$A:$E,5,FALSE))</f>
        <v>0.56999999999999995</v>
      </c>
      <c r="H395" s="72"/>
      <c r="I395" s="71">
        <f t="shared" si="52"/>
        <v>0.56999999999999995</v>
      </c>
      <c r="J395" s="72"/>
      <c r="M395" s="23">
        <f t="shared" si="53"/>
        <v>37371</v>
      </c>
      <c r="N395" s="23">
        <f>SUMIF(CPUAUX1!M:M,B389,CPUAUX1!O:O)</f>
        <v>11.4255</v>
      </c>
      <c r="O395" s="23">
        <f t="shared" si="54"/>
        <v>11.4255</v>
      </c>
      <c r="Q395" s="23">
        <f ca="1">SUMIF(CPUAUX1!M:M,B389,CPUAUX1!R:R)</f>
        <v>4.5701999999999998</v>
      </c>
      <c r="R395" s="23">
        <f t="shared" ca="1" si="55"/>
        <v>4.5701999999999998</v>
      </c>
    </row>
    <row r="396" spans="1:18" ht="30" customHeight="1" x14ac:dyDescent="0.3">
      <c r="A396" s="23" t="s">
        <v>1025</v>
      </c>
      <c r="B396" s="23">
        <v>37370</v>
      </c>
      <c r="C396" s="23" t="str">
        <f>VLOOKUP(B396,IF(A396="COMPOSICAO",S!$A:$E,I!$A:$E),2,FALSE)</f>
        <v>SINAPI</v>
      </c>
      <c r="D396" s="24" t="str">
        <f>VLOOKUP(B396,IF(A396="COMPOSICAO",S!$A:$E,I!$A:$E),3,FALSE)</f>
        <v>ALIMENTACAO - HORISTA (COLETADO CAIXA - ENCARGOS COMPLEMENTARES)</v>
      </c>
      <c r="E396" s="23" t="str">
        <f>VLOOKUP(B396,IF(A396="COMPOSICAO",S!$A:$E,I!$A:$E),4,FALSE)</f>
        <v>H</v>
      </c>
      <c r="F396" s="23">
        <v>1</v>
      </c>
      <c r="G396" s="71">
        <f>IF(A396="COMPOSICAO",VLOOKUP("TOTAL SEM BDI - "&amp;B396,CPUAUX3!$A:$J,9,FALSE),VLOOKUP(B396,I!$A:$E,5,FALSE))</f>
        <v>2.46</v>
      </c>
      <c r="H396" s="72"/>
      <c r="I396" s="71">
        <f t="shared" si="52"/>
        <v>2.46</v>
      </c>
      <c r="J396" s="72"/>
      <c r="M396" s="23">
        <f t="shared" si="53"/>
        <v>37370</v>
      </c>
      <c r="N396" s="23">
        <f>SUMIF(CPUAUX1!M:M,B389,CPUAUX1!O:O)</f>
        <v>11.4255</v>
      </c>
      <c r="O396" s="23">
        <f t="shared" si="54"/>
        <v>11.4255</v>
      </c>
      <c r="Q396" s="23">
        <f ca="1">SUMIF(CPUAUX1!M:M,B389,CPUAUX1!R:R)</f>
        <v>4.5701999999999998</v>
      </c>
      <c r="R396" s="23">
        <f t="shared" ca="1" si="55"/>
        <v>4.5701999999999998</v>
      </c>
    </row>
    <row r="397" spans="1:18" x14ac:dyDescent="0.3">
      <c r="A397" s="23" t="s">
        <v>1025</v>
      </c>
      <c r="B397" s="23">
        <v>2696</v>
      </c>
      <c r="C397" s="23" t="str">
        <f>VLOOKUP(B397,IF(A397="COMPOSICAO",S!$A:$E,I!$A:$E),2,FALSE)</f>
        <v>SINAPI</v>
      </c>
      <c r="D397" s="24" t="str">
        <f>VLOOKUP(B397,IF(A397="COMPOSICAO",S!$A:$E,I!$A:$E),3,FALSE)</f>
        <v>ENCANADOR OU BOMBEIRO HIDRAULICO (HORISTA)</v>
      </c>
      <c r="E397" s="23" t="str">
        <f>VLOOKUP(B397,IF(A397="COMPOSICAO",S!$A:$E,I!$A:$E),4,FALSE)</f>
        <v>H</v>
      </c>
      <c r="F397" s="23">
        <v>1</v>
      </c>
      <c r="G397" s="71">
        <f>IF(A397="COMPOSICAO",VLOOKUP("TOTAL SEM BDI - "&amp;B397,CPUAUX3!$A:$J,9,FALSE),VLOOKUP(B397,I!$A:$E,5,FALSE))</f>
        <v>20.329999999999998</v>
      </c>
      <c r="H397" s="72"/>
      <c r="I397" s="71">
        <f t="shared" si="52"/>
        <v>20.329999999999998</v>
      </c>
      <c r="J397" s="72"/>
      <c r="M397" s="23">
        <f t="shared" si="53"/>
        <v>2696</v>
      </c>
      <c r="N397" s="23">
        <f>SUMIF(CPUAUX1!M:M,B389,CPUAUX1!O:O)</f>
        <v>11.4255</v>
      </c>
      <c r="O397" s="23">
        <f t="shared" si="54"/>
        <v>11.4255</v>
      </c>
      <c r="Q397" s="23">
        <f ca="1">SUMIF(CPUAUX1!M:M,B389,CPUAUX1!R:R)</f>
        <v>4.5701999999999998</v>
      </c>
      <c r="R397" s="23">
        <f t="shared" ca="1" si="55"/>
        <v>4.5701999999999998</v>
      </c>
    </row>
    <row r="398" spans="1:18" x14ac:dyDescent="0.3">
      <c r="A398" s="68" t="str">
        <f>"TOTAL SEM BDI - "&amp;B389</f>
        <v>TOTAL SEM BDI - 88267</v>
      </c>
      <c r="B398" s="69"/>
      <c r="C398" s="69"/>
      <c r="D398" s="69"/>
      <c r="E398" s="69"/>
      <c r="F398" s="69"/>
      <c r="G398" s="69"/>
      <c r="H398" s="70"/>
      <c r="I398" s="71">
        <f>SUM(I389:I397)</f>
        <v>26.669999999999998</v>
      </c>
      <c r="J398" s="72"/>
    </row>
    <row r="400" spans="1:18" x14ac:dyDescent="0.3">
      <c r="A400" s="4" t="s">
        <v>1018</v>
      </c>
      <c r="B400" s="4" t="s">
        <v>138</v>
      </c>
      <c r="C400" s="4" t="s">
        <v>139</v>
      </c>
      <c r="D400" s="4" t="s">
        <v>21</v>
      </c>
      <c r="E400" s="4" t="s">
        <v>140</v>
      </c>
      <c r="F400" s="4" t="s">
        <v>506</v>
      </c>
      <c r="G400" s="34" t="s">
        <v>1019</v>
      </c>
      <c r="H400" s="35"/>
      <c r="I400" s="34" t="s">
        <v>15</v>
      </c>
      <c r="J400" s="35"/>
    </row>
    <row r="401" spans="1:18" ht="30" customHeight="1" x14ac:dyDescent="0.3">
      <c r="A401" s="15" t="s">
        <v>1093</v>
      </c>
      <c r="B401" s="15">
        <v>88248</v>
      </c>
      <c r="C401" s="15" t="str">
        <f>VLOOKUP(B401,S!$A:$G,2,FALSE)</f>
        <v>SINAPI</v>
      </c>
      <c r="D401" s="22" t="str">
        <f>VLOOKUP(B401,S!$A:$G,3,FALSE)</f>
        <v>AUXILIAR DE ENCANADOR OU BOMBEIRO HIDRÁULICO COM ENCARGOS COMPLEMENTARES</v>
      </c>
      <c r="E401" s="15" t="str">
        <f>VLOOKUP(B401,S!$A:$G,4,FALSE)</f>
        <v>H</v>
      </c>
      <c r="F401" s="15"/>
      <c r="G401" s="73">
        <f>I410</f>
        <v>21.82</v>
      </c>
      <c r="H401" s="74"/>
      <c r="I401" s="73"/>
      <c r="J401" s="74"/>
      <c r="K401" s="16">
        <f>VLOOKUP(B401,S!A:G,5,FALSE)</f>
        <v>21.82</v>
      </c>
      <c r="L401" s="15" t="str">
        <f>IF(K401=G401,"OK, CONFORME TABELA",IF(G401&gt;K401,"ACIMA DA TABELA: ","ABAIXO DA TABELA: ")&amp;TRUNC((G401*100)/K401,2)&amp;" %")</f>
        <v>OK, CONFORME TABELA</v>
      </c>
    </row>
    <row r="402" spans="1:18" ht="45" customHeight="1" x14ac:dyDescent="0.3">
      <c r="A402" s="23" t="s">
        <v>1022</v>
      </c>
      <c r="B402" s="23">
        <v>95317</v>
      </c>
      <c r="C402" s="23" t="str">
        <f>VLOOKUP(B402,IF(A402="COMPOSICAO",S!$A:$E,I!$A:$E),2,FALSE)</f>
        <v>SINAPI</v>
      </c>
      <c r="D402" s="24" t="str">
        <f>VLOOKUP(B402,IF(A402="COMPOSICAO",S!$A:$E,I!$A:$E),3,FALSE)</f>
        <v>CURSO DE CAPACITAÇÃO PARA AUXILIAR DE ENCANADOR OU BOMBEIRO HIDRÁULICO (ENCARGOS COMPLEMENTARES) - HORISTA</v>
      </c>
      <c r="E402" s="23" t="str">
        <f>VLOOKUP(B402,IF(A402="COMPOSICAO",S!$A:$E,I!$A:$E),4,FALSE)</f>
        <v>H</v>
      </c>
      <c r="F402" s="23">
        <v>1</v>
      </c>
      <c r="G402" s="71">
        <f>IF(A402="COMPOSICAO",VLOOKUP("TOTAL SEM BDI - "&amp;B402,CPUAUX3!$A:$J,9,FALSE),VLOOKUP(B402,I!$A:$E,5,FALSE))</f>
        <v>0.27</v>
      </c>
      <c r="H402" s="72"/>
      <c r="I402" s="71">
        <f t="shared" ref="I402:I409" si="56">TRUNC(F402*G402,2)</f>
        <v>0.27</v>
      </c>
      <c r="J402" s="72"/>
      <c r="M402" s="23">
        <f t="shared" ref="M402:M409" si="57">B402</f>
        <v>95317</v>
      </c>
      <c r="N402" s="23">
        <f>SUMIF(CPUAUX1!M:M,B401,CPUAUX1!O:O)</f>
        <v>8.3234999999999992</v>
      </c>
      <c r="O402" s="23">
        <f t="shared" ref="O402:O409" si="58">F402*N402</f>
        <v>8.3234999999999992</v>
      </c>
      <c r="Q402" s="23">
        <f ca="1">SUMIF(CPUAUX1!M:M,B401,CPUAUX1!R:R)</f>
        <v>3.3294000000000001</v>
      </c>
      <c r="R402" s="23">
        <f t="shared" ref="R402:R409" ca="1" si="59">F402*Q402</f>
        <v>3.3294000000000001</v>
      </c>
    </row>
    <row r="403" spans="1:18" ht="30" customHeight="1" x14ac:dyDescent="0.3">
      <c r="A403" s="23" t="s">
        <v>1025</v>
      </c>
      <c r="B403" s="23">
        <v>43485</v>
      </c>
      <c r="C403" s="23" t="str">
        <f>VLOOKUP(B403,IF(A403="COMPOSICAO",S!$A:$E,I!$A:$E),2,FALSE)</f>
        <v>SINAPI</v>
      </c>
      <c r="D403" s="24" t="str">
        <f>VLOOKUP(B403,IF(A403="COMPOSICAO",S!$A:$E,I!$A:$E),3,FALSE)</f>
        <v>EPI - FAMILIA ENCANADOR - HORISTA (ENCARGOS COMPLEMENTARES - COLETADO CAIXA)</v>
      </c>
      <c r="E403" s="23" t="str">
        <f>VLOOKUP(B403,IF(A403="COMPOSICAO",S!$A:$E,I!$A:$E),4,FALSE)</f>
        <v>H</v>
      </c>
      <c r="F403" s="23">
        <v>1</v>
      </c>
      <c r="G403" s="71">
        <f>IF(A403="COMPOSICAO",VLOOKUP("TOTAL SEM BDI - "&amp;B403,CPUAUX3!$A:$J,9,FALSE),VLOOKUP(B403,I!$A:$E,5,FALSE))</f>
        <v>1.1299999999999999</v>
      </c>
      <c r="H403" s="72"/>
      <c r="I403" s="71">
        <f t="shared" si="56"/>
        <v>1.1299999999999999</v>
      </c>
      <c r="J403" s="72"/>
      <c r="M403" s="23">
        <f t="shared" si="57"/>
        <v>43485</v>
      </c>
      <c r="N403" s="23">
        <f>SUMIF(CPUAUX1!M:M,B401,CPUAUX1!O:O)</f>
        <v>8.3234999999999992</v>
      </c>
      <c r="O403" s="23">
        <f t="shared" si="58"/>
        <v>8.3234999999999992</v>
      </c>
      <c r="Q403" s="23">
        <f ca="1">SUMIF(CPUAUX1!M:M,B401,CPUAUX1!R:R)</f>
        <v>3.3294000000000001</v>
      </c>
      <c r="R403" s="23">
        <f t="shared" ca="1" si="59"/>
        <v>3.3294000000000001</v>
      </c>
    </row>
    <row r="404" spans="1:18" ht="30" customHeight="1" x14ac:dyDescent="0.3">
      <c r="A404" s="23" t="s">
        <v>1025</v>
      </c>
      <c r="B404" s="23">
        <v>43461</v>
      </c>
      <c r="C404" s="23" t="str">
        <f>VLOOKUP(B404,IF(A404="COMPOSICAO",S!$A:$E,I!$A:$E),2,FALSE)</f>
        <v>SINAPI</v>
      </c>
      <c r="D404" s="24" t="str">
        <f>VLOOKUP(B404,IF(A404="COMPOSICAO",S!$A:$E,I!$A:$E),3,FALSE)</f>
        <v>FERRAMENTAS - FAMILIA ENCANADOR - HORISTA (ENCARGOS COMPLEMENTARES - COLETADO CAIXA)</v>
      </c>
      <c r="E404" s="23" t="str">
        <f>VLOOKUP(B404,IF(A404="COMPOSICAO",S!$A:$E,I!$A:$E),4,FALSE)</f>
        <v>H</v>
      </c>
      <c r="F404" s="23">
        <v>1</v>
      </c>
      <c r="G404" s="71">
        <f>IF(A404="COMPOSICAO",VLOOKUP("TOTAL SEM BDI - "&amp;B404,CPUAUX3!$A:$J,9,FALSE),VLOOKUP(B404,I!$A:$E,5,FALSE))</f>
        <v>0.31</v>
      </c>
      <c r="H404" s="72"/>
      <c r="I404" s="71">
        <f t="shared" si="56"/>
        <v>0.31</v>
      </c>
      <c r="J404" s="72"/>
      <c r="M404" s="23">
        <f t="shared" si="57"/>
        <v>43461</v>
      </c>
      <c r="N404" s="23">
        <f>SUMIF(CPUAUX1!M:M,B401,CPUAUX1!O:O)</f>
        <v>8.3234999999999992</v>
      </c>
      <c r="O404" s="23">
        <f t="shared" si="58"/>
        <v>8.3234999999999992</v>
      </c>
      <c r="Q404" s="23">
        <f ca="1">SUMIF(CPUAUX1!M:M,B401,CPUAUX1!R:R)</f>
        <v>3.3294000000000001</v>
      </c>
      <c r="R404" s="23">
        <f t="shared" ca="1" si="59"/>
        <v>3.3294000000000001</v>
      </c>
    </row>
    <row r="405" spans="1:18" ht="30" customHeight="1" x14ac:dyDescent="0.3">
      <c r="A405" s="23" t="s">
        <v>1025</v>
      </c>
      <c r="B405" s="23">
        <v>37373</v>
      </c>
      <c r="C405" s="23" t="str">
        <f>VLOOKUP(B405,IF(A405="COMPOSICAO",S!$A:$E,I!$A:$E),2,FALSE)</f>
        <v>SINAPI</v>
      </c>
      <c r="D405" s="24" t="str">
        <f>VLOOKUP(B405,IF(A405="COMPOSICAO",S!$A:$E,I!$A:$E),3,FALSE)</f>
        <v>SEGURO - HORISTA (COLETADO CAIXA - ENCARGOS COMPLEMENTARES)</v>
      </c>
      <c r="E405" s="23" t="str">
        <f>VLOOKUP(B405,IF(A405="COMPOSICAO",S!$A:$E,I!$A:$E),4,FALSE)</f>
        <v>H</v>
      </c>
      <c r="F405" s="23">
        <v>1</v>
      </c>
      <c r="G405" s="71">
        <f>IF(A405="COMPOSICAO",VLOOKUP("TOTAL SEM BDI - "&amp;B405,CPUAUX3!$A:$J,9,FALSE),VLOOKUP(B405,I!$A:$E,5,FALSE))</f>
        <v>0.08</v>
      </c>
      <c r="H405" s="72"/>
      <c r="I405" s="71">
        <f t="shared" si="56"/>
        <v>0.08</v>
      </c>
      <c r="J405" s="72"/>
      <c r="M405" s="23">
        <f t="shared" si="57"/>
        <v>37373</v>
      </c>
      <c r="N405" s="23">
        <f>SUMIF(CPUAUX1!M:M,B401,CPUAUX1!O:O)</f>
        <v>8.3234999999999992</v>
      </c>
      <c r="O405" s="23">
        <f t="shared" si="58"/>
        <v>8.3234999999999992</v>
      </c>
      <c r="Q405" s="23">
        <f ca="1">SUMIF(CPUAUX1!M:M,B401,CPUAUX1!R:R)</f>
        <v>3.3294000000000001</v>
      </c>
      <c r="R405" s="23">
        <f t="shared" ca="1" si="59"/>
        <v>3.3294000000000001</v>
      </c>
    </row>
    <row r="406" spans="1:18" ht="30" customHeight="1" x14ac:dyDescent="0.3">
      <c r="A406" s="23" t="s">
        <v>1025</v>
      </c>
      <c r="B406" s="23">
        <v>37372</v>
      </c>
      <c r="C406" s="23" t="str">
        <f>VLOOKUP(B406,IF(A406="COMPOSICAO",S!$A:$E,I!$A:$E),2,FALSE)</f>
        <v>SINAPI</v>
      </c>
      <c r="D406" s="24" t="str">
        <f>VLOOKUP(B406,IF(A406="COMPOSICAO",S!$A:$E,I!$A:$E),3,FALSE)</f>
        <v>EXAMES - HORISTA (COLETADO CAIXA - ENCARGOS COMPLEMENTARES)</v>
      </c>
      <c r="E406" s="23" t="str">
        <f>VLOOKUP(B406,IF(A406="COMPOSICAO",S!$A:$E,I!$A:$E),4,FALSE)</f>
        <v>H</v>
      </c>
      <c r="F406" s="23">
        <v>1</v>
      </c>
      <c r="G406" s="71">
        <f>IF(A406="COMPOSICAO",VLOOKUP("TOTAL SEM BDI - "&amp;B406,CPUAUX3!$A:$J,9,FALSE),VLOOKUP(B406,I!$A:$E,5,FALSE))</f>
        <v>1.43</v>
      </c>
      <c r="H406" s="72"/>
      <c r="I406" s="71">
        <f t="shared" si="56"/>
        <v>1.43</v>
      </c>
      <c r="J406" s="72"/>
      <c r="M406" s="23">
        <f t="shared" si="57"/>
        <v>37372</v>
      </c>
      <c r="N406" s="23">
        <f>SUMIF(CPUAUX1!M:M,B401,CPUAUX1!O:O)</f>
        <v>8.3234999999999992</v>
      </c>
      <c r="O406" s="23">
        <f t="shared" si="58"/>
        <v>8.3234999999999992</v>
      </c>
      <c r="Q406" s="23">
        <f ca="1">SUMIF(CPUAUX1!M:M,B401,CPUAUX1!R:R)</f>
        <v>3.3294000000000001</v>
      </c>
      <c r="R406" s="23">
        <f t="shared" ca="1" si="59"/>
        <v>3.3294000000000001</v>
      </c>
    </row>
    <row r="407" spans="1:18" ht="30" customHeight="1" x14ac:dyDescent="0.3">
      <c r="A407" s="23" t="s">
        <v>1025</v>
      </c>
      <c r="B407" s="23">
        <v>37371</v>
      </c>
      <c r="C407" s="23" t="str">
        <f>VLOOKUP(B407,IF(A407="COMPOSICAO",S!$A:$E,I!$A:$E),2,FALSE)</f>
        <v>SINAPI</v>
      </c>
      <c r="D407" s="24" t="str">
        <f>VLOOKUP(B407,IF(A407="COMPOSICAO",S!$A:$E,I!$A:$E),3,FALSE)</f>
        <v>TRANSPORTE - HORISTA (COLETADO CAIXA - ENCARGOS COMPLEMENTARES)</v>
      </c>
      <c r="E407" s="23" t="str">
        <f>VLOOKUP(B407,IF(A407="COMPOSICAO",S!$A:$E,I!$A:$E),4,FALSE)</f>
        <v>H</v>
      </c>
      <c r="F407" s="23">
        <v>1</v>
      </c>
      <c r="G407" s="71">
        <f>IF(A407="COMPOSICAO",VLOOKUP("TOTAL SEM BDI - "&amp;B407,CPUAUX3!$A:$J,9,FALSE),VLOOKUP(B407,I!$A:$E,5,FALSE))</f>
        <v>0.56999999999999995</v>
      </c>
      <c r="H407" s="72"/>
      <c r="I407" s="71">
        <f t="shared" si="56"/>
        <v>0.56999999999999995</v>
      </c>
      <c r="J407" s="72"/>
      <c r="M407" s="23">
        <f t="shared" si="57"/>
        <v>37371</v>
      </c>
      <c r="N407" s="23">
        <f>SUMIF(CPUAUX1!M:M,B401,CPUAUX1!O:O)</f>
        <v>8.3234999999999992</v>
      </c>
      <c r="O407" s="23">
        <f t="shared" si="58"/>
        <v>8.3234999999999992</v>
      </c>
      <c r="Q407" s="23">
        <f ca="1">SUMIF(CPUAUX1!M:M,B401,CPUAUX1!R:R)</f>
        <v>3.3294000000000001</v>
      </c>
      <c r="R407" s="23">
        <f t="shared" ca="1" si="59"/>
        <v>3.3294000000000001</v>
      </c>
    </row>
    <row r="408" spans="1:18" ht="30" customHeight="1" x14ac:dyDescent="0.3">
      <c r="A408" s="23" t="s">
        <v>1025</v>
      </c>
      <c r="B408" s="23">
        <v>37370</v>
      </c>
      <c r="C408" s="23" t="str">
        <f>VLOOKUP(B408,IF(A408="COMPOSICAO",S!$A:$E,I!$A:$E),2,FALSE)</f>
        <v>SINAPI</v>
      </c>
      <c r="D408" s="24" t="str">
        <f>VLOOKUP(B408,IF(A408="COMPOSICAO",S!$A:$E,I!$A:$E),3,FALSE)</f>
        <v>ALIMENTACAO - HORISTA (COLETADO CAIXA - ENCARGOS COMPLEMENTARES)</v>
      </c>
      <c r="E408" s="23" t="str">
        <f>VLOOKUP(B408,IF(A408="COMPOSICAO",S!$A:$E,I!$A:$E),4,FALSE)</f>
        <v>H</v>
      </c>
      <c r="F408" s="23">
        <v>1</v>
      </c>
      <c r="G408" s="71">
        <f>IF(A408="COMPOSICAO",VLOOKUP("TOTAL SEM BDI - "&amp;B408,CPUAUX3!$A:$J,9,FALSE),VLOOKUP(B408,I!$A:$E,5,FALSE))</f>
        <v>2.46</v>
      </c>
      <c r="H408" s="72"/>
      <c r="I408" s="71">
        <f t="shared" si="56"/>
        <v>2.46</v>
      </c>
      <c r="J408" s="72"/>
      <c r="M408" s="23">
        <f t="shared" si="57"/>
        <v>37370</v>
      </c>
      <c r="N408" s="23">
        <f>SUMIF(CPUAUX1!M:M,B401,CPUAUX1!O:O)</f>
        <v>8.3234999999999992</v>
      </c>
      <c r="O408" s="23">
        <f t="shared" si="58"/>
        <v>8.3234999999999992</v>
      </c>
      <c r="Q408" s="23">
        <f ca="1">SUMIF(CPUAUX1!M:M,B401,CPUAUX1!R:R)</f>
        <v>3.3294000000000001</v>
      </c>
      <c r="R408" s="23">
        <f t="shared" ca="1" si="59"/>
        <v>3.3294000000000001</v>
      </c>
    </row>
    <row r="409" spans="1:18" ht="30" customHeight="1" x14ac:dyDescent="0.3">
      <c r="A409" s="23" t="s">
        <v>1025</v>
      </c>
      <c r="B409" s="23">
        <v>246</v>
      </c>
      <c r="C409" s="23" t="str">
        <f>VLOOKUP(B409,IF(A409="COMPOSICAO",S!$A:$E,I!$A:$E),2,FALSE)</f>
        <v>SINAPI</v>
      </c>
      <c r="D409" s="24" t="str">
        <f>VLOOKUP(B409,IF(A409="COMPOSICAO",S!$A:$E,I!$A:$E),3,FALSE)</f>
        <v>AUXILIAR DE ENCANADOR OU BOMBEIRO HIDRAULICO (HORISTA)</v>
      </c>
      <c r="E409" s="23" t="str">
        <f>VLOOKUP(B409,IF(A409="COMPOSICAO",S!$A:$E,I!$A:$E),4,FALSE)</f>
        <v>H</v>
      </c>
      <c r="F409" s="23">
        <v>1</v>
      </c>
      <c r="G409" s="71">
        <f>IF(A409="COMPOSICAO",VLOOKUP("TOTAL SEM BDI - "&amp;B409,CPUAUX3!$A:$J,9,FALSE),VLOOKUP(B409,I!$A:$E,5,FALSE))</f>
        <v>15.57</v>
      </c>
      <c r="H409" s="72"/>
      <c r="I409" s="71">
        <f t="shared" si="56"/>
        <v>15.57</v>
      </c>
      <c r="J409" s="72"/>
      <c r="M409" s="23">
        <f t="shared" si="57"/>
        <v>246</v>
      </c>
      <c r="N409" s="23">
        <f>SUMIF(CPUAUX1!M:M,B401,CPUAUX1!O:O)</f>
        <v>8.3234999999999992</v>
      </c>
      <c r="O409" s="23">
        <f t="shared" si="58"/>
        <v>8.3234999999999992</v>
      </c>
      <c r="Q409" s="23">
        <f ca="1">SUMIF(CPUAUX1!M:M,B401,CPUAUX1!R:R)</f>
        <v>3.3294000000000001</v>
      </c>
      <c r="R409" s="23">
        <f t="shared" ca="1" si="59"/>
        <v>3.3294000000000001</v>
      </c>
    </row>
    <row r="410" spans="1:18" x14ac:dyDescent="0.3">
      <c r="A410" s="68" t="str">
        <f>"TOTAL SEM BDI - "&amp;B401</f>
        <v>TOTAL SEM BDI - 88248</v>
      </c>
      <c r="B410" s="69"/>
      <c r="C410" s="69"/>
      <c r="D410" s="69"/>
      <c r="E410" s="69"/>
      <c r="F410" s="69"/>
      <c r="G410" s="69"/>
      <c r="H410" s="70"/>
      <c r="I410" s="71">
        <f>SUM(I401:I409)</f>
        <v>21.82</v>
      </c>
      <c r="J410" s="72"/>
    </row>
    <row r="412" spans="1:18" x14ac:dyDescent="0.3">
      <c r="A412" s="4" t="s">
        <v>1018</v>
      </c>
      <c r="B412" s="4" t="s">
        <v>138</v>
      </c>
      <c r="C412" s="4" t="s">
        <v>139</v>
      </c>
      <c r="D412" s="4" t="s">
        <v>21</v>
      </c>
      <c r="E412" s="4" t="s">
        <v>140</v>
      </c>
      <c r="F412" s="4" t="s">
        <v>506</v>
      </c>
      <c r="G412" s="34" t="s">
        <v>1019</v>
      </c>
      <c r="H412" s="35"/>
      <c r="I412" s="34" t="s">
        <v>15</v>
      </c>
      <c r="J412" s="35"/>
    </row>
    <row r="413" spans="1:18" ht="45" customHeight="1" x14ac:dyDescent="0.3">
      <c r="A413" s="15" t="s">
        <v>1078</v>
      </c>
      <c r="B413" s="15">
        <v>92022</v>
      </c>
      <c r="C413" s="15" t="str">
        <f>VLOOKUP(B413,S!$A:$G,2,FALSE)</f>
        <v>SINAPI</v>
      </c>
      <c r="D413" s="22" t="str">
        <f>VLOOKUP(B413,S!$A:$G,3,FALSE)</f>
        <v>INTERRUPTOR SIMPLES (1 MÓDULO) COM 1 TOMADA DE EMBUTIR 2P+T 10 A, SEM SUPORTE E SEM PLACA - FORNECIMENTO E INSTALAÇÃO. AF_03/2023</v>
      </c>
      <c r="E413" s="15" t="str">
        <f>VLOOKUP(B413,S!$A:$G,4,FALSE)</f>
        <v>UN</v>
      </c>
      <c r="F413" s="15"/>
      <c r="G413" s="73">
        <f>I418</f>
        <v>42</v>
      </c>
      <c r="H413" s="74"/>
      <c r="I413" s="73"/>
      <c r="J413" s="74"/>
      <c r="K413" s="16">
        <f>VLOOKUP(B413,S!A:G,5,FALSE)</f>
        <v>42</v>
      </c>
      <c r="L413" s="15" t="str">
        <f>IF(K413=G413,"OK, CONFORME TABELA",IF(G413&gt;K413,"ACIMA DA TABELA: ","ABAIXO DA TABELA: ")&amp;TRUNC((G413*100)/K413,2)&amp;" %")</f>
        <v>OK, CONFORME TABELA</v>
      </c>
    </row>
    <row r="414" spans="1:18" x14ac:dyDescent="0.3">
      <c r="A414" s="23" t="s">
        <v>1022</v>
      </c>
      <c r="B414" s="23">
        <v>88264</v>
      </c>
      <c r="C414" s="23" t="str">
        <f>VLOOKUP(B414,IF(A414="COMPOSICAO",S!$A:$E,I!$A:$E),2,FALSE)</f>
        <v>SINAPI</v>
      </c>
      <c r="D414" s="24" t="str">
        <f>VLOOKUP(B414,IF(A414="COMPOSICAO",S!$A:$E,I!$A:$E),3,FALSE)</f>
        <v>ELETRICISTA COM ENCARGOS COMPLEMENTARES</v>
      </c>
      <c r="E414" s="23" t="str">
        <f>VLOOKUP(B414,IF(A414="COMPOSICAO",S!$A:$E,I!$A:$E),4,FALSE)</f>
        <v>H</v>
      </c>
      <c r="F414" s="23">
        <f>0.486/pcf</f>
        <v>0.48599999999999999</v>
      </c>
      <c r="G414" s="71">
        <f>IF(A414="COMPOSICAO",VLOOKUP("TOTAL SEM BDI - "&amp;B414,CPUAUX3!$A:$J,9,FALSE),VLOOKUP(B414,I!$A:$E,5,FALSE))</f>
        <v>27.74</v>
      </c>
      <c r="H414" s="72"/>
      <c r="I414" s="71">
        <f>TRUNC(F414*G414,2)</f>
        <v>13.48</v>
      </c>
      <c r="J414" s="72"/>
      <c r="M414" s="23">
        <f>B414</f>
        <v>88264</v>
      </c>
      <c r="N414" s="23">
        <f>SUMIF(CPUAUX1!M:M,B413,CPUAUX1!O:O)</f>
        <v>5</v>
      </c>
      <c r="O414" s="23">
        <f>F414*N414</f>
        <v>2.4299999999999997</v>
      </c>
      <c r="Q414" s="23">
        <f ca="1">SUMIF(CPUAUX1!M:M,B413,CPUAUX1!R:R)</f>
        <v>2</v>
      </c>
      <c r="R414" s="23">
        <f ca="1">F414*Q414</f>
        <v>0.97199999999999998</v>
      </c>
    </row>
    <row r="415" spans="1:18" ht="30" customHeight="1" x14ac:dyDescent="0.3">
      <c r="A415" s="23" t="s">
        <v>1022</v>
      </c>
      <c r="B415" s="23">
        <v>88247</v>
      </c>
      <c r="C415" s="23" t="str">
        <f>VLOOKUP(B415,IF(A415="COMPOSICAO",S!$A:$E,I!$A:$E),2,FALSE)</f>
        <v>SINAPI</v>
      </c>
      <c r="D415" s="24" t="str">
        <f>VLOOKUP(B415,IF(A415="COMPOSICAO",S!$A:$E,I!$A:$E),3,FALSE)</f>
        <v>AUXILIAR DE ELETRICISTA COM ENCARGOS COMPLEMENTARES</v>
      </c>
      <c r="E415" s="23" t="str">
        <f>VLOOKUP(B415,IF(A415="COMPOSICAO",S!$A:$E,I!$A:$E),4,FALSE)</f>
        <v>H</v>
      </c>
      <c r="F415" s="23">
        <f>0.486/pcf</f>
        <v>0.48599999999999999</v>
      </c>
      <c r="G415" s="71">
        <f>IF(A415="COMPOSICAO",VLOOKUP("TOTAL SEM BDI - "&amp;B415,CPUAUX3!$A:$J,9,FALSE),VLOOKUP(B415,I!$A:$E,5,FALSE))</f>
        <v>22.81</v>
      </c>
      <c r="H415" s="72"/>
      <c r="I415" s="71">
        <f>TRUNC(F415*G415,2)</f>
        <v>11.08</v>
      </c>
      <c r="J415" s="72"/>
      <c r="M415" s="23">
        <f>B415</f>
        <v>88247</v>
      </c>
      <c r="N415" s="23">
        <f>SUMIF(CPUAUX1!M:M,B413,CPUAUX1!O:O)</f>
        <v>5</v>
      </c>
      <c r="O415" s="23">
        <f>F415*N415</f>
        <v>2.4299999999999997</v>
      </c>
      <c r="Q415" s="23">
        <f ca="1">SUMIF(CPUAUX1!M:M,B413,CPUAUX1!R:R)</f>
        <v>2</v>
      </c>
      <c r="R415" s="23">
        <f ca="1">F415*Q415</f>
        <v>0.97199999999999998</v>
      </c>
    </row>
    <row r="416" spans="1:18" ht="15" customHeight="1" x14ac:dyDescent="0.3">
      <c r="A416" s="23" t="s">
        <v>1025</v>
      </c>
      <c r="B416" s="23">
        <v>38112</v>
      </c>
      <c r="C416" s="23" t="str">
        <f>VLOOKUP(B416,IF(A416="COMPOSICAO",S!$A:$E,I!$A:$E),2,FALSE)</f>
        <v>SINAPI</v>
      </c>
      <c r="D416" s="24" t="str">
        <f>VLOOKUP(B416,IF(A416="COMPOSICAO",S!$A:$E,I!$A:$E),3,FALSE)</f>
        <v>INTERRUPTOR SIMPLES 10A, 250V (APENAS MODULO)</v>
      </c>
      <c r="E416" s="23" t="str">
        <f>VLOOKUP(B416,IF(A416="COMPOSICAO",S!$A:$E,I!$A:$E),4,FALSE)</f>
        <v>UN</v>
      </c>
      <c r="F416" s="23">
        <v>1</v>
      </c>
      <c r="G416" s="71">
        <f>IF(A416="COMPOSICAO",VLOOKUP("TOTAL SEM BDI - "&amp;B416,CPUAUX3!$A:$J,9,FALSE),VLOOKUP(B416,I!$A:$E,5,FALSE))</f>
        <v>8.16</v>
      </c>
      <c r="H416" s="72"/>
      <c r="I416" s="71">
        <f>TRUNC(F416*G416,2)</f>
        <v>8.16</v>
      </c>
      <c r="J416" s="72"/>
      <c r="M416" s="23">
        <f>B416</f>
        <v>38112</v>
      </c>
      <c r="N416" s="23">
        <f>SUMIF(CPUAUX1!M:M,B413,CPUAUX1!O:O)</f>
        <v>5</v>
      </c>
      <c r="O416" s="23">
        <f>F416*N416</f>
        <v>5</v>
      </c>
      <c r="Q416" s="23">
        <f ca="1">SUMIF(CPUAUX1!M:M,B413,CPUAUX1!R:R)</f>
        <v>2</v>
      </c>
      <c r="R416" s="23">
        <f ca="1">F416*Q416</f>
        <v>2</v>
      </c>
    </row>
    <row r="417" spans="1:18" x14ac:dyDescent="0.3">
      <c r="A417" s="23" t="s">
        <v>1025</v>
      </c>
      <c r="B417" s="23">
        <v>38101</v>
      </c>
      <c r="C417" s="23" t="str">
        <f>VLOOKUP(B417,IF(A417="COMPOSICAO",S!$A:$E,I!$A:$E),2,FALSE)</f>
        <v>SINAPI</v>
      </c>
      <c r="D417" s="24" t="str">
        <f>VLOOKUP(B417,IF(A417="COMPOSICAO",S!$A:$E,I!$A:$E),3,FALSE)</f>
        <v>TOMADA 2P+T 10A, 250V (APENAS MODULO)</v>
      </c>
      <c r="E417" s="23" t="str">
        <f>VLOOKUP(B417,IF(A417="COMPOSICAO",S!$A:$E,I!$A:$E),4,FALSE)</f>
        <v>UN</v>
      </c>
      <c r="F417" s="23">
        <v>1</v>
      </c>
      <c r="G417" s="71">
        <f>IF(A417="COMPOSICAO",VLOOKUP("TOTAL SEM BDI - "&amp;B417,CPUAUX3!$A:$J,9,FALSE),VLOOKUP(B417,I!$A:$E,5,FALSE))</f>
        <v>9.2799999999999994</v>
      </c>
      <c r="H417" s="72"/>
      <c r="I417" s="71">
        <f>TRUNC(F417*G417,2)</f>
        <v>9.2799999999999994</v>
      </c>
      <c r="J417" s="72"/>
      <c r="M417" s="23">
        <f>B417</f>
        <v>38101</v>
      </c>
      <c r="N417" s="23">
        <f>SUMIF(CPUAUX1!M:M,B413,CPUAUX1!O:O)</f>
        <v>5</v>
      </c>
      <c r="O417" s="23">
        <f>F417*N417</f>
        <v>5</v>
      </c>
      <c r="Q417" s="23">
        <f ca="1">SUMIF(CPUAUX1!M:M,B413,CPUAUX1!R:R)</f>
        <v>2</v>
      </c>
      <c r="R417" s="23">
        <f ca="1">F417*Q417</f>
        <v>2</v>
      </c>
    </row>
    <row r="418" spans="1:18" x14ac:dyDescent="0.3">
      <c r="A418" s="68" t="str">
        <f>"TOTAL SEM BDI - "&amp;B413</f>
        <v>TOTAL SEM BDI - 92022</v>
      </c>
      <c r="B418" s="69"/>
      <c r="C418" s="69"/>
      <c r="D418" s="69"/>
      <c r="E418" s="69"/>
      <c r="F418" s="69"/>
      <c r="G418" s="69"/>
      <c r="H418" s="70"/>
      <c r="I418" s="71">
        <f>SUM(I413:I417)</f>
        <v>42</v>
      </c>
      <c r="J418" s="72"/>
    </row>
    <row r="420" spans="1:18" x14ac:dyDescent="0.3">
      <c r="A420" s="4" t="s">
        <v>1018</v>
      </c>
      <c r="B420" s="4" t="s">
        <v>138</v>
      </c>
      <c r="C420" s="4" t="s">
        <v>139</v>
      </c>
      <c r="D420" s="4" t="s">
        <v>21</v>
      </c>
      <c r="E420" s="4" t="s">
        <v>140</v>
      </c>
      <c r="F420" s="4" t="s">
        <v>506</v>
      </c>
      <c r="G420" s="34" t="s">
        <v>1019</v>
      </c>
      <c r="H420" s="35"/>
      <c r="I420" s="34" t="s">
        <v>15</v>
      </c>
      <c r="J420" s="35"/>
    </row>
    <row r="421" spans="1:18" ht="45" customHeight="1" x14ac:dyDescent="0.3">
      <c r="A421" s="15" t="s">
        <v>1078</v>
      </c>
      <c r="B421" s="15">
        <v>91946</v>
      </c>
      <c r="C421" s="15" t="str">
        <f>VLOOKUP(B421,S!$A:$G,2,FALSE)</f>
        <v>SINAPI</v>
      </c>
      <c r="D421" s="22" t="str">
        <f>VLOOKUP(B421,S!$A:$G,3,FALSE)</f>
        <v>SUPORTE PARAFUSADO COM PLACA DE ENCAIXE 4" X 2" MÉDIO (1,30 M DO PISO) PARA PONTO ELÉTRICO - FORNECIMENTO E INSTALAÇÃO. AF_03/2023</v>
      </c>
      <c r="E421" s="15" t="str">
        <f>VLOOKUP(B421,S!$A:$G,4,FALSE)</f>
        <v>UN</v>
      </c>
      <c r="F421" s="15"/>
      <c r="G421" s="73">
        <f>I426</f>
        <v>11.71</v>
      </c>
      <c r="H421" s="74"/>
      <c r="I421" s="73"/>
      <c r="J421" s="74"/>
      <c r="K421" s="16">
        <f>VLOOKUP(B421,S!A:G,5,FALSE)</f>
        <v>11.71</v>
      </c>
      <c r="L421" s="15" t="str">
        <f>IF(K421=G421,"OK, CONFORME TABELA",IF(G421&gt;K421,"ACIMA DA TABELA: ","ABAIXO DA TABELA: ")&amp;TRUNC((G421*100)/K421,2)&amp;" %")</f>
        <v>OK, CONFORME TABELA</v>
      </c>
    </row>
    <row r="422" spans="1:18" x14ac:dyDescent="0.3">
      <c r="A422" s="23" t="s">
        <v>1022</v>
      </c>
      <c r="B422" s="23">
        <v>88264</v>
      </c>
      <c r="C422" s="23" t="str">
        <f>VLOOKUP(B422,IF(A422="COMPOSICAO",S!$A:$E,I!$A:$E),2,FALSE)</f>
        <v>SINAPI</v>
      </c>
      <c r="D422" s="24" t="str">
        <f>VLOOKUP(B422,IF(A422="COMPOSICAO",S!$A:$E,I!$A:$E),3,FALSE)</f>
        <v>ELETRICISTA COM ENCARGOS COMPLEMENTARES</v>
      </c>
      <c r="E422" s="23" t="str">
        <f>VLOOKUP(B422,IF(A422="COMPOSICAO",S!$A:$E,I!$A:$E),4,FALSE)</f>
        <v>H</v>
      </c>
      <c r="F422" s="23">
        <f>0.128/pcf</f>
        <v>0.128</v>
      </c>
      <c r="G422" s="71">
        <f>IF(A422="COMPOSICAO",VLOOKUP("TOTAL SEM BDI - "&amp;B422,CPUAUX3!$A:$J,9,FALSE),VLOOKUP(B422,I!$A:$E,5,FALSE))</f>
        <v>27.74</v>
      </c>
      <c r="H422" s="72"/>
      <c r="I422" s="71">
        <f>TRUNC(F422*G422,2)</f>
        <v>3.55</v>
      </c>
      <c r="J422" s="72"/>
      <c r="M422" s="23">
        <f>B422</f>
        <v>88264</v>
      </c>
      <c r="N422" s="23">
        <f>SUMIF(CPUAUX1!M:M,B421,CPUAUX1!O:O)</f>
        <v>5</v>
      </c>
      <c r="O422" s="23">
        <f>F422*N422</f>
        <v>0.64</v>
      </c>
      <c r="Q422" s="23">
        <f ca="1">SUMIF(CPUAUX1!M:M,B421,CPUAUX1!R:R)</f>
        <v>2</v>
      </c>
      <c r="R422" s="23">
        <f ca="1">F422*Q422</f>
        <v>0.25600000000000001</v>
      </c>
    </row>
    <row r="423" spans="1:18" ht="30" customHeight="1" x14ac:dyDescent="0.3">
      <c r="A423" s="23" t="s">
        <v>1022</v>
      </c>
      <c r="B423" s="23">
        <v>88247</v>
      </c>
      <c r="C423" s="23" t="str">
        <f>VLOOKUP(B423,IF(A423="COMPOSICAO",S!$A:$E,I!$A:$E),2,FALSE)</f>
        <v>SINAPI</v>
      </c>
      <c r="D423" s="24" t="str">
        <f>VLOOKUP(B423,IF(A423="COMPOSICAO",S!$A:$E,I!$A:$E),3,FALSE)</f>
        <v>AUXILIAR DE ELETRICISTA COM ENCARGOS COMPLEMENTARES</v>
      </c>
      <c r="E423" s="23" t="str">
        <f>VLOOKUP(B423,IF(A423="COMPOSICAO",S!$A:$E,I!$A:$E),4,FALSE)</f>
        <v>H</v>
      </c>
      <c r="F423" s="23">
        <f>0.128/pcf</f>
        <v>0.128</v>
      </c>
      <c r="G423" s="71">
        <f>IF(A423="COMPOSICAO",VLOOKUP("TOTAL SEM BDI - "&amp;B423,CPUAUX3!$A:$J,9,FALSE),VLOOKUP(B423,I!$A:$E,5,FALSE))</f>
        <v>22.81</v>
      </c>
      <c r="H423" s="72"/>
      <c r="I423" s="71">
        <f>TRUNC(F423*G423,2)</f>
        <v>2.91</v>
      </c>
      <c r="J423" s="72"/>
      <c r="M423" s="23">
        <f>B423</f>
        <v>88247</v>
      </c>
      <c r="N423" s="23">
        <f>SUMIF(CPUAUX1!M:M,B421,CPUAUX1!O:O)</f>
        <v>5</v>
      </c>
      <c r="O423" s="23">
        <f>F423*N423</f>
        <v>0.64</v>
      </c>
      <c r="Q423" s="23">
        <f ca="1">SUMIF(CPUAUX1!M:M,B421,CPUAUX1!R:R)</f>
        <v>2</v>
      </c>
      <c r="R423" s="23">
        <f ca="1">F423*Q423</f>
        <v>0.25600000000000001</v>
      </c>
    </row>
    <row r="424" spans="1:18" ht="45" customHeight="1" x14ac:dyDescent="0.3">
      <c r="A424" s="23" t="s">
        <v>1025</v>
      </c>
      <c r="B424" s="23">
        <v>38099</v>
      </c>
      <c r="C424" s="23" t="str">
        <f>VLOOKUP(B424,IF(A424="COMPOSICAO",S!$A:$E,I!$A:$E),2,FALSE)</f>
        <v>SINAPI</v>
      </c>
      <c r="D424" s="24" t="str">
        <f>VLOOKUP(B424,IF(A424="COMPOSICAO",S!$A:$E,I!$A:$E),3,FALSE)</f>
        <v>SUPORTE DE FIXACAO PARA ESPELHO / PLACA 4" X 2", PARA 3 MODULOS, PARA INSTALACAO DE TOMADAS E INTERRUPTORES (SOMENTE SUPORTE)</v>
      </c>
      <c r="E424" s="23" t="str">
        <f>VLOOKUP(B424,IF(A424="COMPOSICAO",S!$A:$E,I!$A:$E),4,FALSE)</f>
        <v>UN</v>
      </c>
      <c r="F424" s="23">
        <v>1</v>
      </c>
      <c r="G424" s="71">
        <f>IF(A424="COMPOSICAO",VLOOKUP("TOTAL SEM BDI - "&amp;B424,CPUAUX3!$A:$J,9,FALSE),VLOOKUP(B424,I!$A:$E,5,FALSE))</f>
        <v>1.79</v>
      </c>
      <c r="H424" s="72"/>
      <c r="I424" s="71">
        <f>TRUNC(F424*G424,2)</f>
        <v>1.79</v>
      </c>
      <c r="J424" s="72"/>
      <c r="M424" s="23">
        <f>B424</f>
        <v>38099</v>
      </c>
      <c r="N424" s="23">
        <f>SUMIF(CPUAUX1!M:M,B421,CPUAUX1!O:O)</f>
        <v>5</v>
      </c>
      <c r="O424" s="23">
        <f>F424*N424</f>
        <v>5</v>
      </c>
      <c r="Q424" s="23">
        <f ca="1">SUMIF(CPUAUX1!M:M,B421,CPUAUX1!R:R)</f>
        <v>2</v>
      </c>
      <c r="R424" s="23">
        <f ca="1">F424*Q424</f>
        <v>2</v>
      </c>
    </row>
    <row r="425" spans="1:18" ht="30" customHeight="1" x14ac:dyDescent="0.3">
      <c r="A425" s="23" t="s">
        <v>1025</v>
      </c>
      <c r="B425" s="23">
        <v>38094</v>
      </c>
      <c r="C425" s="23" t="str">
        <f>VLOOKUP(B425,IF(A425="COMPOSICAO",S!$A:$E,I!$A:$E),2,FALSE)</f>
        <v>SINAPI</v>
      </c>
      <c r="D425" s="24" t="str">
        <f>VLOOKUP(B425,IF(A425="COMPOSICAO",S!$A:$E,I!$A:$E),3,FALSE)</f>
        <v>ESPELHO / PLACA DE 3 POSTOS 4" X 2", PARA INSTALACAO DE TOMADAS E INTERRUPTORES</v>
      </c>
      <c r="E425" s="23" t="str">
        <f>VLOOKUP(B425,IF(A425="COMPOSICAO",S!$A:$E,I!$A:$E),4,FALSE)</f>
        <v>UN</v>
      </c>
      <c r="F425" s="23">
        <v>1</v>
      </c>
      <c r="G425" s="71">
        <f>IF(A425="COMPOSICAO",VLOOKUP("TOTAL SEM BDI - "&amp;B425,CPUAUX3!$A:$J,9,FALSE),VLOOKUP(B425,I!$A:$E,5,FALSE))</f>
        <v>3.46</v>
      </c>
      <c r="H425" s="72"/>
      <c r="I425" s="71">
        <f>TRUNC(F425*G425,2)</f>
        <v>3.46</v>
      </c>
      <c r="J425" s="72"/>
      <c r="M425" s="23">
        <f>B425</f>
        <v>38094</v>
      </c>
      <c r="N425" s="23">
        <f>SUMIF(CPUAUX1!M:M,B421,CPUAUX1!O:O)</f>
        <v>5</v>
      </c>
      <c r="O425" s="23">
        <f>F425*N425</f>
        <v>5</v>
      </c>
      <c r="Q425" s="23">
        <f ca="1">SUMIF(CPUAUX1!M:M,B421,CPUAUX1!R:R)</f>
        <v>2</v>
      </c>
      <c r="R425" s="23">
        <f ca="1">F425*Q425</f>
        <v>2</v>
      </c>
    </row>
    <row r="426" spans="1:18" x14ac:dyDescent="0.3">
      <c r="A426" s="68" t="str">
        <f>"TOTAL SEM BDI - "&amp;B421</f>
        <v>TOTAL SEM BDI - 91946</v>
      </c>
      <c r="B426" s="69"/>
      <c r="C426" s="69"/>
      <c r="D426" s="69"/>
      <c r="E426" s="69"/>
      <c r="F426" s="69"/>
      <c r="G426" s="69"/>
      <c r="H426" s="70"/>
      <c r="I426" s="71">
        <f>SUM(I421:I425)</f>
        <v>11.71</v>
      </c>
      <c r="J426" s="72"/>
    </row>
    <row r="428" spans="1:18" x14ac:dyDescent="0.3">
      <c r="A428" s="4" t="s">
        <v>1018</v>
      </c>
      <c r="B428" s="4" t="s">
        <v>138</v>
      </c>
      <c r="C428" s="4" t="s">
        <v>139</v>
      </c>
      <c r="D428" s="4" t="s">
        <v>21</v>
      </c>
      <c r="E428" s="4" t="s">
        <v>140</v>
      </c>
      <c r="F428" s="4" t="s">
        <v>506</v>
      </c>
      <c r="G428" s="34" t="s">
        <v>1019</v>
      </c>
      <c r="H428" s="35"/>
      <c r="I428" s="34" t="s">
        <v>15</v>
      </c>
      <c r="J428" s="35"/>
    </row>
    <row r="429" spans="1:18" ht="30" customHeight="1" x14ac:dyDescent="0.3">
      <c r="A429" s="15" t="s">
        <v>1093</v>
      </c>
      <c r="B429" s="15">
        <v>95315</v>
      </c>
      <c r="C429" s="15" t="str">
        <f>VLOOKUP(B429,S!$A:$G,2,FALSE)</f>
        <v>SINAPI</v>
      </c>
      <c r="D429" s="22" t="str">
        <f>VLOOKUP(B429,S!$A:$G,3,FALSE)</f>
        <v>CURSO DE CAPACITAÇÃO PARA ASSENTADOR DE TUBOS (ENCARGOS COMPLEMENTARES) - HORISTA</v>
      </c>
      <c r="E429" s="15" t="str">
        <f>VLOOKUP(B429,S!$A:$G,4,FALSE)</f>
        <v>H</v>
      </c>
      <c r="F429" s="15"/>
      <c r="G429" s="73">
        <f>I431</f>
        <v>0.2</v>
      </c>
      <c r="H429" s="74"/>
      <c r="I429" s="73"/>
      <c r="J429" s="74"/>
      <c r="K429" s="16">
        <f>VLOOKUP(B429,S!A:G,5,FALSE)</f>
        <v>0.2</v>
      </c>
      <c r="L429" s="15" t="str">
        <f>IF(K429=G429,"OK, CONFORME TABELA",IF(G429&gt;K429,"ACIMA DA TABELA: ","ABAIXO DA TABELA: ")&amp;TRUNC((G429*100)/K429,2)&amp;" %")</f>
        <v>OK, CONFORME TABELA</v>
      </c>
    </row>
    <row r="430" spans="1:18" x14ac:dyDescent="0.3">
      <c r="A430" s="23" t="s">
        <v>1025</v>
      </c>
      <c r="B430" s="23">
        <v>40331</v>
      </c>
      <c r="C430" s="23" t="str">
        <f>VLOOKUP(B430,IF(A430="COMPOSICAO",S!$A:$E,I!$A:$E),2,FALSE)</f>
        <v>SINAPI</v>
      </c>
      <c r="D430" s="24" t="str">
        <f>VLOOKUP(B430,IF(A430="COMPOSICAO",S!$A:$E,I!$A:$E),3,FALSE)</f>
        <v>ASSENTADOR DE MANILHAS (HORISTA)</v>
      </c>
      <c r="E430" s="23" t="str">
        <f>VLOOKUP(B430,IF(A430="COMPOSICAO",S!$A:$E,I!$A:$E),4,FALSE)</f>
        <v>H</v>
      </c>
      <c r="F430" s="23">
        <v>1.4760000000000001E-2</v>
      </c>
      <c r="G430" s="71">
        <f>IF(A430="COMPOSICAO",VLOOKUP("TOTAL SEM BDI - "&amp;B430,CPUAUX3!$A:$J,9,FALSE),VLOOKUP(B430,I!$A:$E,5,FALSE))</f>
        <v>13.99</v>
      </c>
      <c r="H430" s="72"/>
      <c r="I430" s="71">
        <f>TRUNC(F430*G430,2)</f>
        <v>0.2</v>
      </c>
      <c r="J430" s="72"/>
      <c r="M430" s="23">
        <f>B430</f>
        <v>40331</v>
      </c>
      <c r="N430" s="23">
        <f>SUMIF(CPUAUX1!M:M,B429,CPUAUX1!O:O)</f>
        <v>5.0999999999999996</v>
      </c>
      <c r="O430" s="23">
        <f>F430*N430</f>
        <v>7.5275999999999996E-2</v>
      </c>
      <c r="Q430" s="23">
        <f ca="1">SUMIF(CPUAUX1!M:M,B429,CPUAUX1!R:R)</f>
        <v>2.04</v>
      </c>
      <c r="R430" s="23">
        <f ca="1">F430*Q430</f>
        <v>3.0110400000000002E-2</v>
      </c>
    </row>
    <row r="431" spans="1:18" x14ac:dyDescent="0.3">
      <c r="A431" s="68" t="str">
        <f>"TOTAL SEM BDI - "&amp;B429</f>
        <v>TOTAL SEM BDI - 95315</v>
      </c>
      <c r="B431" s="69"/>
      <c r="C431" s="69"/>
      <c r="D431" s="69"/>
      <c r="E431" s="69"/>
      <c r="F431" s="69"/>
      <c r="G431" s="69"/>
      <c r="H431" s="70"/>
      <c r="I431" s="71">
        <f>SUM(I429:I430)</f>
        <v>0.2</v>
      </c>
      <c r="J431" s="72"/>
    </row>
    <row r="433" spans="1:18" x14ac:dyDescent="0.3">
      <c r="A433" s="4" t="s">
        <v>1018</v>
      </c>
      <c r="B433" s="4" t="s">
        <v>138</v>
      </c>
      <c r="C433" s="4" t="s">
        <v>139</v>
      </c>
      <c r="D433" s="4" t="s">
        <v>21</v>
      </c>
      <c r="E433" s="4" t="s">
        <v>140</v>
      </c>
      <c r="F433" s="4" t="s">
        <v>506</v>
      </c>
      <c r="G433" s="34" t="s">
        <v>1019</v>
      </c>
      <c r="H433" s="35"/>
      <c r="I433" s="34" t="s">
        <v>15</v>
      </c>
      <c r="J433" s="35"/>
    </row>
    <row r="434" spans="1:18" ht="45" customHeight="1" x14ac:dyDescent="0.3">
      <c r="A434" s="15" t="s">
        <v>1098</v>
      </c>
      <c r="B434" s="15">
        <v>93288</v>
      </c>
      <c r="C434" s="15" t="str">
        <f>VLOOKUP(B434,S!$A:$G,2,FALSE)</f>
        <v>SINAPI</v>
      </c>
      <c r="D434" s="22" t="str">
        <f>VLOOKUP(B434,S!$A:$G,3,FALSE)</f>
        <v>GUINDASTE HIDRÁULICO AUTOPROPELIDO, COM LANÇA TELESCÓPICA 40 M, CAPACIDADE MÁXIMA 60 T, POTÊNCIA 260 KW - CHI DIURNO. AF_03/2016</v>
      </c>
      <c r="E434" s="15" t="str">
        <f>VLOOKUP(B434,S!$A:$G,4,FALSE)</f>
        <v>CHI</v>
      </c>
      <c r="F434" s="15"/>
      <c r="G434" s="73">
        <f>I439</f>
        <v>184.01999999999998</v>
      </c>
      <c r="H434" s="74"/>
      <c r="I434" s="73"/>
      <c r="J434" s="74"/>
      <c r="K434" s="16">
        <f>VLOOKUP(B434,S!A:G,5,FALSE)</f>
        <v>184.02</v>
      </c>
      <c r="L434" s="15" t="str">
        <f>IF(K434=G434,"OK, CONFORME TABELA",IF(G434&gt;K434,"ACIMA DA TABELA: ","ABAIXO DA TABELA: ")&amp;TRUNC((G434*100)/K434,2)&amp;" %")</f>
        <v>OK, CONFORME TABELA</v>
      </c>
    </row>
    <row r="435" spans="1:18" ht="60" customHeight="1" x14ac:dyDescent="0.3">
      <c r="A435" s="23" t="s">
        <v>1022</v>
      </c>
      <c r="B435" s="23">
        <v>93296</v>
      </c>
      <c r="C435" s="23" t="str">
        <f>VLOOKUP(B435,IF(A435="COMPOSICAO",S!$A:$E,I!$A:$E),2,FALSE)</f>
        <v>SINAPI</v>
      </c>
      <c r="D435" s="24" t="str">
        <f>VLOOKUP(B435,IF(A435="COMPOSICAO",S!$A:$E,I!$A:$E),3,FALSE)</f>
        <v>GUINDASTE HIDRÁULICO AUTOPROPELIDO, COM LANÇA TELESCÓPICA 40 M, CAPACIDADE MÁXIMA 60 T, POTÊNCIA 260 KW - IMPOSTOS E SEGUROS. AF_03/2016</v>
      </c>
      <c r="E435" s="23" t="str">
        <f>VLOOKUP(B435,IF(A435="COMPOSICAO",S!$A:$E,I!$A:$E),4,FALSE)</f>
        <v>H</v>
      </c>
      <c r="F435" s="23">
        <v>1</v>
      </c>
      <c r="G435" s="71">
        <f>IF(A435="COMPOSICAO",VLOOKUP("TOTAL SEM BDI - "&amp;B435,CPUAUX3!$A:$J,9,FALSE),VLOOKUP(B435,I!$A:$E,5,FALSE))</f>
        <v>14.19</v>
      </c>
      <c r="H435" s="72"/>
      <c r="I435" s="71">
        <f>TRUNC(F435*G435,2)</f>
        <v>14.19</v>
      </c>
      <c r="J435" s="72"/>
      <c r="M435" s="23">
        <f>B435</f>
        <v>93296</v>
      </c>
      <c r="N435" s="23">
        <f>SUMIF(CPUAUX1!M:M,B434,CPUAUX1!O:O)</f>
        <v>11.8055</v>
      </c>
      <c r="O435" s="23">
        <f>F435*N435</f>
        <v>11.8055</v>
      </c>
      <c r="Q435" s="23">
        <f ca="1">SUMIF(CPUAUX1!M:M,B434,CPUAUX1!R:R)</f>
        <v>4.7222</v>
      </c>
      <c r="R435" s="23">
        <f ca="1">F435*Q435</f>
        <v>4.7222</v>
      </c>
    </row>
    <row r="436" spans="1:18" ht="45" customHeight="1" x14ac:dyDescent="0.3">
      <c r="A436" s="23" t="s">
        <v>1022</v>
      </c>
      <c r="B436" s="23">
        <v>93284</v>
      </c>
      <c r="C436" s="23" t="str">
        <f>VLOOKUP(B436,IF(A436="COMPOSICAO",S!$A:$E,I!$A:$E),2,FALSE)</f>
        <v>SINAPI</v>
      </c>
      <c r="D436" s="24" t="str">
        <f>VLOOKUP(B436,IF(A436="COMPOSICAO",S!$A:$E,I!$A:$E),3,FALSE)</f>
        <v>GUINDASTE HIDRÁULICO AUTOPROPELIDO, COM LANÇA TELESCÓPICA 40 M, CAPACIDADE MÁXIMA 60 T, POTÊNCIA 260 KW - JUROS. AF_03/2016</v>
      </c>
      <c r="E436" s="23" t="str">
        <f>VLOOKUP(B436,IF(A436="COMPOSICAO",S!$A:$E,I!$A:$E),4,FALSE)</f>
        <v>H</v>
      </c>
      <c r="F436" s="23">
        <v>1</v>
      </c>
      <c r="G436" s="71">
        <f>IF(A436="COMPOSICAO",VLOOKUP("TOTAL SEM BDI - "&amp;B436,CPUAUX3!$A:$J,9,FALSE),VLOOKUP(B436,I!$A:$E,5,FALSE))</f>
        <v>35.119999999999997</v>
      </c>
      <c r="H436" s="72"/>
      <c r="I436" s="71">
        <f>TRUNC(F436*G436,2)</f>
        <v>35.119999999999997</v>
      </c>
      <c r="J436" s="72"/>
      <c r="M436" s="23">
        <f>B436</f>
        <v>93284</v>
      </c>
      <c r="N436" s="23">
        <f>SUMIF(CPUAUX1!M:M,B434,CPUAUX1!O:O)</f>
        <v>11.8055</v>
      </c>
      <c r="O436" s="23">
        <f>F436*N436</f>
        <v>11.8055</v>
      </c>
      <c r="Q436" s="23">
        <f ca="1">SUMIF(CPUAUX1!M:M,B434,CPUAUX1!R:R)</f>
        <v>4.7222</v>
      </c>
      <c r="R436" s="23">
        <f ca="1">F436*Q436</f>
        <v>4.7222</v>
      </c>
    </row>
    <row r="437" spans="1:18" ht="60" customHeight="1" x14ac:dyDescent="0.3">
      <c r="A437" s="23" t="s">
        <v>1022</v>
      </c>
      <c r="B437" s="23">
        <v>93283</v>
      </c>
      <c r="C437" s="23" t="str">
        <f>VLOOKUP(B437,IF(A437="COMPOSICAO",S!$A:$E,I!$A:$E),2,FALSE)</f>
        <v>SINAPI</v>
      </c>
      <c r="D437" s="24" t="str">
        <f>VLOOKUP(B437,IF(A437="COMPOSICAO",S!$A:$E,I!$A:$E),3,FALSE)</f>
        <v>GUINDASTE HIDRÁULICO AUTOPROPELIDO, COM LANÇA TELESCÓPICA 40 M, CAPACIDADE MÁXIMA 60 T, POTÊNCIA 260 KW - DEPRECIAÇÃO. AF_03/2016</v>
      </c>
      <c r="E437" s="23" t="str">
        <f>VLOOKUP(B437,IF(A437="COMPOSICAO",S!$A:$E,I!$A:$E),4,FALSE)</f>
        <v>H</v>
      </c>
      <c r="F437" s="23">
        <v>1</v>
      </c>
      <c r="G437" s="71">
        <f>IF(A437="COMPOSICAO",VLOOKUP("TOTAL SEM BDI - "&amp;B437,CPUAUX3!$A:$J,9,FALSE),VLOOKUP(B437,I!$A:$E,5,FALSE))</f>
        <v>99.64</v>
      </c>
      <c r="H437" s="72"/>
      <c r="I437" s="71">
        <f>TRUNC(F437*G437,2)</f>
        <v>99.64</v>
      </c>
      <c r="J437" s="72"/>
      <c r="M437" s="23">
        <f>B437</f>
        <v>93283</v>
      </c>
      <c r="N437" s="23">
        <f>SUMIF(CPUAUX1!M:M,B434,CPUAUX1!O:O)</f>
        <v>11.8055</v>
      </c>
      <c r="O437" s="23">
        <f>F437*N437</f>
        <v>11.8055</v>
      </c>
      <c r="Q437" s="23">
        <f ca="1">SUMIF(CPUAUX1!M:M,B434,CPUAUX1!R:R)</f>
        <v>4.7222</v>
      </c>
      <c r="R437" s="23">
        <f ca="1">F437*Q437</f>
        <v>4.7222</v>
      </c>
    </row>
    <row r="438" spans="1:18" ht="30" customHeight="1" x14ac:dyDescent="0.3">
      <c r="A438" s="23" t="s">
        <v>1022</v>
      </c>
      <c r="B438" s="23">
        <v>88296</v>
      </c>
      <c r="C438" s="23" t="str">
        <f>VLOOKUP(B438,IF(A438="COMPOSICAO",S!$A:$E,I!$A:$E),2,FALSE)</f>
        <v>SINAPI</v>
      </c>
      <c r="D438" s="24" t="str">
        <f>VLOOKUP(B438,IF(A438="COMPOSICAO",S!$A:$E,I!$A:$E),3,FALSE)</f>
        <v>OPERADOR DE GUINDASTE COM ENCARGOS COMPLEMENTARES</v>
      </c>
      <c r="E438" s="23" t="str">
        <f>VLOOKUP(B438,IF(A438="COMPOSICAO",S!$A:$E,I!$A:$E),4,FALSE)</f>
        <v>H</v>
      </c>
      <c r="F438" s="23">
        <v>1</v>
      </c>
      <c r="G438" s="71">
        <f>IF(A438="COMPOSICAO",VLOOKUP("TOTAL SEM BDI - "&amp;B438,CPUAUX3!$A:$J,9,FALSE),VLOOKUP(B438,I!$A:$E,5,FALSE))</f>
        <v>35.07</v>
      </c>
      <c r="H438" s="72"/>
      <c r="I438" s="71">
        <f>TRUNC(F438*G438,2)</f>
        <v>35.07</v>
      </c>
      <c r="J438" s="72"/>
      <c r="M438" s="23">
        <f>B438</f>
        <v>88296</v>
      </c>
      <c r="N438" s="23">
        <f>SUMIF(CPUAUX1!M:M,B434,CPUAUX1!O:O)</f>
        <v>11.8055</v>
      </c>
      <c r="O438" s="23">
        <f>F438*N438</f>
        <v>11.8055</v>
      </c>
      <c r="Q438" s="23">
        <f ca="1">SUMIF(CPUAUX1!M:M,B434,CPUAUX1!R:R)</f>
        <v>4.7222</v>
      </c>
      <c r="R438" s="23">
        <f ca="1">F438*Q438</f>
        <v>4.7222</v>
      </c>
    </row>
    <row r="439" spans="1:18" x14ac:dyDescent="0.3">
      <c r="A439" s="68" t="str">
        <f>"TOTAL SEM BDI - "&amp;B434</f>
        <v>TOTAL SEM BDI - 93288</v>
      </c>
      <c r="B439" s="69"/>
      <c r="C439" s="69"/>
      <c r="D439" s="69"/>
      <c r="E439" s="69"/>
      <c r="F439" s="69"/>
      <c r="G439" s="69"/>
      <c r="H439" s="70"/>
      <c r="I439" s="71">
        <f>SUM(I434:I438)</f>
        <v>184.01999999999998</v>
      </c>
      <c r="J439" s="72"/>
    </row>
    <row r="441" spans="1:18" x14ac:dyDescent="0.3">
      <c r="A441" s="4" t="s">
        <v>1018</v>
      </c>
      <c r="B441" s="4" t="s">
        <v>138</v>
      </c>
      <c r="C441" s="4" t="s">
        <v>139</v>
      </c>
      <c r="D441" s="4" t="s">
        <v>21</v>
      </c>
      <c r="E441" s="4" t="s">
        <v>140</v>
      </c>
      <c r="F441" s="4" t="s">
        <v>506</v>
      </c>
      <c r="G441" s="34" t="s">
        <v>1019</v>
      </c>
      <c r="H441" s="35"/>
      <c r="I441" s="34" t="s">
        <v>15</v>
      </c>
      <c r="J441" s="35"/>
    </row>
    <row r="442" spans="1:18" ht="45" customHeight="1" x14ac:dyDescent="0.3">
      <c r="A442" s="15" t="s">
        <v>1098</v>
      </c>
      <c r="B442" s="15">
        <v>93287</v>
      </c>
      <c r="C442" s="15" t="str">
        <f>VLOOKUP(B442,S!$A:$G,2,FALSE)</f>
        <v>SINAPI</v>
      </c>
      <c r="D442" s="22" t="str">
        <f>VLOOKUP(B442,S!$A:$G,3,FALSE)</f>
        <v>GUINDASTE HIDRÁULICO AUTOPROPELIDO, COM LANÇA TELESCÓPICA 40 M, CAPACIDADE MÁXIMA 60 T, POTÊNCIA 260 KW - CHP DIURNO. AF_03/2016</v>
      </c>
      <c r="E442" s="15" t="str">
        <f>VLOOKUP(B442,S!$A:$G,4,FALSE)</f>
        <v>CHP</v>
      </c>
      <c r="F442" s="15"/>
      <c r="G442" s="73">
        <f>I449</f>
        <v>358.49</v>
      </c>
      <c r="H442" s="74"/>
      <c r="I442" s="73"/>
      <c r="J442" s="74"/>
      <c r="K442" s="16">
        <f>VLOOKUP(B442,S!A:G,5,FALSE)</f>
        <v>358.49</v>
      </c>
      <c r="L442" s="15" t="str">
        <f>IF(K442=G442,"OK, CONFORME TABELA",IF(G442&gt;K442,"ACIMA DA TABELA: ","ABAIXO DA TABELA: ")&amp;TRUNC((G442*100)/K442,2)&amp;" %")</f>
        <v>OK, CONFORME TABELA</v>
      </c>
    </row>
    <row r="443" spans="1:18" ht="60" customHeight="1" x14ac:dyDescent="0.3">
      <c r="A443" s="23" t="s">
        <v>1022</v>
      </c>
      <c r="B443" s="23">
        <v>93296</v>
      </c>
      <c r="C443" s="23" t="str">
        <f>VLOOKUP(B443,IF(A443="COMPOSICAO",S!$A:$E,I!$A:$E),2,FALSE)</f>
        <v>SINAPI</v>
      </c>
      <c r="D443" s="24" t="str">
        <f>VLOOKUP(B443,IF(A443="COMPOSICAO",S!$A:$E,I!$A:$E),3,FALSE)</f>
        <v>GUINDASTE HIDRÁULICO AUTOPROPELIDO, COM LANÇA TELESCÓPICA 40 M, CAPACIDADE MÁXIMA 60 T, POTÊNCIA 260 KW - IMPOSTOS E SEGUROS. AF_03/2016</v>
      </c>
      <c r="E443" s="23" t="str">
        <f>VLOOKUP(B443,IF(A443="COMPOSICAO",S!$A:$E,I!$A:$E),4,FALSE)</f>
        <v>H</v>
      </c>
      <c r="F443" s="23">
        <v>1</v>
      </c>
      <c r="G443" s="71">
        <f>IF(A443="COMPOSICAO",VLOOKUP("TOTAL SEM BDI - "&amp;B443,CPUAUX3!$A:$J,9,FALSE),VLOOKUP(B443,I!$A:$E,5,FALSE))</f>
        <v>14.19</v>
      </c>
      <c r="H443" s="72"/>
      <c r="I443" s="71">
        <f t="shared" ref="I443:I448" si="60">TRUNC(F443*G443,2)</f>
        <v>14.19</v>
      </c>
      <c r="J443" s="72"/>
      <c r="M443" s="23">
        <f t="shared" ref="M443:M448" si="61">B443</f>
        <v>93296</v>
      </c>
      <c r="N443" s="23">
        <f>SUMIF(CPUAUX1!M:M,B442,CPUAUX1!O:O)</f>
        <v>1.3170000000000002</v>
      </c>
      <c r="O443" s="23">
        <f t="shared" ref="O443:O448" si="62">F443*N443</f>
        <v>1.3170000000000002</v>
      </c>
      <c r="Q443" s="23">
        <f ca="1">SUMIF(CPUAUX1!M:M,B442,CPUAUX1!R:R)</f>
        <v>0.52680000000000005</v>
      </c>
      <c r="R443" s="23">
        <f t="shared" ref="R443:R448" ca="1" si="63">F443*Q443</f>
        <v>0.52680000000000005</v>
      </c>
    </row>
    <row r="444" spans="1:18" ht="60" customHeight="1" x14ac:dyDescent="0.3">
      <c r="A444" s="23" t="s">
        <v>1022</v>
      </c>
      <c r="B444" s="23">
        <v>93286</v>
      </c>
      <c r="C444" s="23" t="str">
        <f>VLOOKUP(B444,IF(A444="COMPOSICAO",S!$A:$E,I!$A:$E),2,FALSE)</f>
        <v>SINAPI</v>
      </c>
      <c r="D444" s="24" t="str">
        <f>VLOOKUP(B444,IF(A444="COMPOSICAO",S!$A:$E,I!$A:$E),3,FALSE)</f>
        <v>GUINDASTE HIDRÁULICO AUTOPROPELIDO, COM LANÇA TELESCÓPICA 40 M, CAPACIDADE MÁXIMA 60 T, POTÊNCIA 260 KW - MATERIAIS NA OPERAÇÃO. AF_03/2016</v>
      </c>
      <c r="E444" s="23" t="str">
        <f>VLOOKUP(B444,IF(A444="COMPOSICAO",S!$A:$E,I!$A:$E),4,FALSE)</f>
        <v>H</v>
      </c>
      <c r="F444" s="23">
        <v>1</v>
      </c>
      <c r="G444" s="71">
        <f>IF(A444="COMPOSICAO",VLOOKUP("TOTAL SEM BDI - "&amp;B444,CPUAUX3!$A:$J,9,FALSE),VLOOKUP(B444,I!$A:$E,5,FALSE))</f>
        <v>14.3</v>
      </c>
      <c r="H444" s="72"/>
      <c r="I444" s="71">
        <f t="shared" si="60"/>
        <v>14.3</v>
      </c>
      <c r="J444" s="72"/>
      <c r="M444" s="23">
        <f t="shared" si="61"/>
        <v>93286</v>
      </c>
      <c r="N444" s="23">
        <f>SUMIF(CPUAUX1!M:M,B442,CPUAUX1!O:O)</f>
        <v>1.3170000000000002</v>
      </c>
      <c r="O444" s="23">
        <f t="shared" si="62"/>
        <v>1.3170000000000002</v>
      </c>
      <c r="Q444" s="23">
        <f ca="1">SUMIF(CPUAUX1!M:M,B442,CPUAUX1!R:R)</f>
        <v>0.52680000000000005</v>
      </c>
      <c r="R444" s="23">
        <f t="shared" ca="1" si="63"/>
        <v>0.52680000000000005</v>
      </c>
    </row>
    <row r="445" spans="1:18" ht="45" customHeight="1" x14ac:dyDescent="0.3">
      <c r="A445" s="23" t="s">
        <v>1022</v>
      </c>
      <c r="B445" s="23">
        <v>93285</v>
      </c>
      <c r="C445" s="23" t="str">
        <f>VLOOKUP(B445,IF(A445="COMPOSICAO",S!$A:$E,I!$A:$E),2,FALSE)</f>
        <v>SINAPI</v>
      </c>
      <c r="D445" s="24" t="str">
        <f>VLOOKUP(B445,IF(A445="COMPOSICAO",S!$A:$E,I!$A:$E),3,FALSE)</f>
        <v>GUINDASTE HIDRÁULICO AUTOPROPELIDO, COM LANÇA TELESCÓPICA 40 M, CAPACIDADE MÁXIMA 60 T, POTÊNCIA 260 KW - MANUTENÇÃO. AF_03/2016</v>
      </c>
      <c r="E445" s="23" t="str">
        <f>VLOOKUP(B445,IF(A445="COMPOSICAO",S!$A:$E,I!$A:$E),4,FALSE)</f>
        <v>H</v>
      </c>
      <c r="F445" s="23">
        <v>1</v>
      </c>
      <c r="G445" s="71">
        <f>IF(A445="COMPOSICAO",VLOOKUP("TOTAL SEM BDI - "&amp;B445,CPUAUX3!$A:$J,9,FALSE),VLOOKUP(B445,I!$A:$E,5,FALSE))</f>
        <v>160.16999999999999</v>
      </c>
      <c r="H445" s="72"/>
      <c r="I445" s="71">
        <f t="shared" si="60"/>
        <v>160.16999999999999</v>
      </c>
      <c r="J445" s="72"/>
      <c r="M445" s="23">
        <f t="shared" si="61"/>
        <v>93285</v>
      </c>
      <c r="N445" s="23">
        <f>SUMIF(CPUAUX1!M:M,B442,CPUAUX1!O:O)</f>
        <v>1.3170000000000002</v>
      </c>
      <c r="O445" s="23">
        <f t="shared" si="62"/>
        <v>1.3170000000000002</v>
      </c>
      <c r="Q445" s="23">
        <f ca="1">SUMIF(CPUAUX1!M:M,B442,CPUAUX1!R:R)</f>
        <v>0.52680000000000005</v>
      </c>
      <c r="R445" s="23">
        <f t="shared" ca="1" si="63"/>
        <v>0.52680000000000005</v>
      </c>
    </row>
    <row r="446" spans="1:18" ht="45" customHeight="1" x14ac:dyDescent="0.3">
      <c r="A446" s="23" t="s">
        <v>1022</v>
      </c>
      <c r="B446" s="23">
        <v>93284</v>
      </c>
      <c r="C446" s="23" t="str">
        <f>VLOOKUP(B446,IF(A446="COMPOSICAO",S!$A:$E,I!$A:$E),2,FALSE)</f>
        <v>SINAPI</v>
      </c>
      <c r="D446" s="24" t="str">
        <f>VLOOKUP(B446,IF(A446="COMPOSICAO",S!$A:$E,I!$A:$E),3,FALSE)</f>
        <v>GUINDASTE HIDRÁULICO AUTOPROPELIDO, COM LANÇA TELESCÓPICA 40 M, CAPACIDADE MÁXIMA 60 T, POTÊNCIA 260 KW - JUROS. AF_03/2016</v>
      </c>
      <c r="E446" s="23" t="str">
        <f>VLOOKUP(B446,IF(A446="COMPOSICAO",S!$A:$E,I!$A:$E),4,FALSE)</f>
        <v>H</v>
      </c>
      <c r="F446" s="23">
        <v>1</v>
      </c>
      <c r="G446" s="71">
        <f>IF(A446="COMPOSICAO",VLOOKUP("TOTAL SEM BDI - "&amp;B446,CPUAUX3!$A:$J,9,FALSE),VLOOKUP(B446,I!$A:$E,5,FALSE))</f>
        <v>35.119999999999997</v>
      </c>
      <c r="H446" s="72"/>
      <c r="I446" s="71">
        <f t="shared" si="60"/>
        <v>35.119999999999997</v>
      </c>
      <c r="J446" s="72"/>
      <c r="M446" s="23">
        <f t="shared" si="61"/>
        <v>93284</v>
      </c>
      <c r="N446" s="23">
        <f>SUMIF(CPUAUX1!M:M,B442,CPUAUX1!O:O)</f>
        <v>1.3170000000000002</v>
      </c>
      <c r="O446" s="23">
        <f t="shared" si="62"/>
        <v>1.3170000000000002</v>
      </c>
      <c r="Q446" s="23">
        <f ca="1">SUMIF(CPUAUX1!M:M,B442,CPUAUX1!R:R)</f>
        <v>0.52680000000000005</v>
      </c>
      <c r="R446" s="23">
        <f t="shared" ca="1" si="63"/>
        <v>0.52680000000000005</v>
      </c>
    </row>
    <row r="447" spans="1:18" ht="60" customHeight="1" x14ac:dyDescent="0.3">
      <c r="A447" s="23" t="s">
        <v>1022</v>
      </c>
      <c r="B447" s="23">
        <v>93283</v>
      </c>
      <c r="C447" s="23" t="str">
        <f>VLOOKUP(B447,IF(A447="COMPOSICAO",S!$A:$E,I!$A:$E),2,FALSE)</f>
        <v>SINAPI</v>
      </c>
      <c r="D447" s="24" t="str">
        <f>VLOOKUP(B447,IF(A447="COMPOSICAO",S!$A:$E,I!$A:$E),3,FALSE)</f>
        <v>GUINDASTE HIDRÁULICO AUTOPROPELIDO, COM LANÇA TELESCÓPICA 40 M, CAPACIDADE MÁXIMA 60 T, POTÊNCIA 260 KW - DEPRECIAÇÃO. AF_03/2016</v>
      </c>
      <c r="E447" s="23" t="str">
        <f>VLOOKUP(B447,IF(A447="COMPOSICAO",S!$A:$E,I!$A:$E),4,FALSE)</f>
        <v>H</v>
      </c>
      <c r="F447" s="23">
        <v>1</v>
      </c>
      <c r="G447" s="71">
        <f>IF(A447="COMPOSICAO",VLOOKUP("TOTAL SEM BDI - "&amp;B447,CPUAUX3!$A:$J,9,FALSE),VLOOKUP(B447,I!$A:$E,5,FALSE))</f>
        <v>99.64</v>
      </c>
      <c r="H447" s="72"/>
      <c r="I447" s="71">
        <f t="shared" si="60"/>
        <v>99.64</v>
      </c>
      <c r="J447" s="72"/>
      <c r="M447" s="23">
        <f t="shared" si="61"/>
        <v>93283</v>
      </c>
      <c r="N447" s="23">
        <f>SUMIF(CPUAUX1!M:M,B442,CPUAUX1!O:O)</f>
        <v>1.3170000000000002</v>
      </c>
      <c r="O447" s="23">
        <f t="shared" si="62"/>
        <v>1.3170000000000002</v>
      </c>
      <c r="Q447" s="23">
        <f ca="1">SUMIF(CPUAUX1!M:M,B442,CPUAUX1!R:R)</f>
        <v>0.52680000000000005</v>
      </c>
      <c r="R447" s="23">
        <f t="shared" ca="1" si="63"/>
        <v>0.52680000000000005</v>
      </c>
    </row>
    <row r="448" spans="1:18" ht="30" customHeight="1" x14ac:dyDescent="0.3">
      <c r="A448" s="23" t="s">
        <v>1022</v>
      </c>
      <c r="B448" s="23">
        <v>88296</v>
      </c>
      <c r="C448" s="23" t="str">
        <f>VLOOKUP(B448,IF(A448="COMPOSICAO",S!$A:$E,I!$A:$E),2,FALSE)</f>
        <v>SINAPI</v>
      </c>
      <c r="D448" s="24" t="str">
        <f>VLOOKUP(B448,IF(A448="COMPOSICAO",S!$A:$E,I!$A:$E),3,FALSE)</f>
        <v>OPERADOR DE GUINDASTE COM ENCARGOS COMPLEMENTARES</v>
      </c>
      <c r="E448" s="23" t="str">
        <f>VLOOKUP(B448,IF(A448="COMPOSICAO",S!$A:$E,I!$A:$E),4,FALSE)</f>
        <v>H</v>
      </c>
      <c r="F448" s="23">
        <v>1</v>
      </c>
      <c r="G448" s="71">
        <f>IF(A448="COMPOSICAO",VLOOKUP("TOTAL SEM BDI - "&amp;B448,CPUAUX3!$A:$J,9,FALSE),VLOOKUP(B448,I!$A:$E,5,FALSE))</f>
        <v>35.07</v>
      </c>
      <c r="H448" s="72"/>
      <c r="I448" s="71">
        <f t="shared" si="60"/>
        <v>35.07</v>
      </c>
      <c r="J448" s="72"/>
      <c r="M448" s="23">
        <f t="shared" si="61"/>
        <v>88296</v>
      </c>
      <c r="N448" s="23">
        <f>SUMIF(CPUAUX1!M:M,B442,CPUAUX1!O:O)</f>
        <v>1.3170000000000002</v>
      </c>
      <c r="O448" s="23">
        <f t="shared" si="62"/>
        <v>1.3170000000000002</v>
      </c>
      <c r="Q448" s="23">
        <f ca="1">SUMIF(CPUAUX1!M:M,B442,CPUAUX1!R:R)</f>
        <v>0.52680000000000005</v>
      </c>
      <c r="R448" s="23">
        <f t="shared" ca="1" si="63"/>
        <v>0.52680000000000005</v>
      </c>
    </row>
    <row r="449" spans="1:18" x14ac:dyDescent="0.3">
      <c r="A449" s="68" t="str">
        <f>"TOTAL SEM BDI - "&amp;B442</f>
        <v>TOTAL SEM BDI - 93287</v>
      </c>
      <c r="B449" s="69"/>
      <c r="C449" s="69"/>
      <c r="D449" s="69"/>
      <c r="E449" s="69"/>
      <c r="F449" s="69"/>
      <c r="G449" s="69"/>
      <c r="H449" s="70"/>
      <c r="I449" s="71">
        <f>SUM(I442:I448)</f>
        <v>358.49</v>
      </c>
      <c r="J449" s="72"/>
    </row>
    <row r="451" spans="1:18" x14ac:dyDescent="0.3">
      <c r="A451" s="4" t="s">
        <v>1018</v>
      </c>
      <c r="B451" s="4" t="s">
        <v>138</v>
      </c>
      <c r="C451" s="4" t="s">
        <v>139</v>
      </c>
      <c r="D451" s="4" t="s">
        <v>21</v>
      </c>
      <c r="E451" s="4" t="s">
        <v>140</v>
      </c>
      <c r="F451" s="4" t="s">
        <v>506</v>
      </c>
      <c r="G451" s="34" t="s">
        <v>1019</v>
      </c>
      <c r="H451" s="35"/>
      <c r="I451" s="34" t="s">
        <v>15</v>
      </c>
      <c r="J451" s="35"/>
    </row>
    <row r="452" spans="1:18" x14ac:dyDescent="0.3">
      <c r="A452" s="15" t="s">
        <v>1093</v>
      </c>
      <c r="B452" s="15">
        <v>88310</v>
      </c>
      <c r="C452" s="15" t="str">
        <f>VLOOKUP(B452,S!$A:$G,2,FALSE)</f>
        <v>SINAPI</v>
      </c>
      <c r="D452" s="22" t="str">
        <f>VLOOKUP(B452,S!$A:$G,3,FALSE)</f>
        <v>PINTOR COM ENCARGOS COMPLEMENTARES</v>
      </c>
      <c r="E452" s="15" t="str">
        <f>VLOOKUP(B452,S!$A:$G,4,FALSE)</f>
        <v>H</v>
      </c>
      <c r="F452" s="15"/>
      <c r="G452" s="73">
        <f>I461</f>
        <v>29.069999999999997</v>
      </c>
      <c r="H452" s="74"/>
      <c r="I452" s="73"/>
      <c r="J452" s="74"/>
      <c r="K452" s="16">
        <f>VLOOKUP(B452,S!A:G,5,FALSE)</f>
        <v>29.07</v>
      </c>
      <c r="L452" s="15" t="str">
        <f>IF(K452=G452,"OK, CONFORME TABELA",IF(G452&gt;K452,"ACIMA DA TABELA: ","ABAIXO DA TABELA: ")&amp;TRUNC((G452*100)/K452,2)&amp;" %")</f>
        <v>OK, CONFORME TABELA</v>
      </c>
    </row>
    <row r="453" spans="1:18" ht="30" customHeight="1" x14ac:dyDescent="0.3">
      <c r="A453" s="23" t="s">
        <v>1022</v>
      </c>
      <c r="B453" s="23">
        <v>95372</v>
      </c>
      <c r="C453" s="23" t="str">
        <f>VLOOKUP(B453,IF(A453="COMPOSICAO",S!$A:$E,I!$A:$E),2,FALSE)</f>
        <v>SINAPI</v>
      </c>
      <c r="D453" s="24" t="str">
        <f>VLOOKUP(B453,IF(A453="COMPOSICAO",S!$A:$E,I!$A:$E),3,FALSE)</f>
        <v>CURSO DE CAPACITAÇÃO PARA PINTOR (ENCARGOS COMPLEMENTARES) - HORISTA</v>
      </c>
      <c r="E453" s="23" t="str">
        <f>VLOOKUP(B453,IF(A453="COMPOSICAO",S!$A:$E,I!$A:$E),4,FALSE)</f>
        <v>H</v>
      </c>
      <c r="F453" s="23">
        <v>1</v>
      </c>
      <c r="G453" s="71">
        <f>IF(A453="COMPOSICAO",VLOOKUP("TOTAL SEM BDI - "&amp;B453,CPUAUX3!$A:$J,9,FALSE),VLOOKUP(B453,I!$A:$E,5,FALSE))</f>
        <v>0.3</v>
      </c>
      <c r="H453" s="72"/>
      <c r="I453" s="71">
        <f t="shared" ref="I453:I460" si="64">TRUNC(F453*G453,2)</f>
        <v>0.3</v>
      </c>
      <c r="J453" s="72"/>
      <c r="M453" s="23">
        <f t="shared" ref="M453:M460" si="65">B453</f>
        <v>95372</v>
      </c>
      <c r="N453" s="23">
        <f>SUMIF(CPUAUX1!M:M,B452,CPUAUX1!O:O)</f>
        <v>10</v>
      </c>
      <c r="O453" s="23">
        <f t="shared" ref="O453:O460" si="66">F453*N453</f>
        <v>10</v>
      </c>
      <c r="Q453" s="23">
        <f ca="1">SUMIF(CPUAUX1!M:M,B452,CPUAUX1!R:R)</f>
        <v>4</v>
      </c>
      <c r="R453" s="23">
        <f t="shared" ref="R453:R460" ca="1" si="67">F453*Q453</f>
        <v>4</v>
      </c>
    </row>
    <row r="454" spans="1:18" ht="30" customHeight="1" x14ac:dyDescent="0.3">
      <c r="A454" s="23" t="s">
        <v>1025</v>
      </c>
      <c r="B454" s="23">
        <v>43490</v>
      </c>
      <c r="C454" s="23" t="str">
        <f>VLOOKUP(B454,IF(A454="COMPOSICAO",S!$A:$E,I!$A:$E),2,FALSE)</f>
        <v>SINAPI</v>
      </c>
      <c r="D454" s="24" t="str">
        <f>VLOOKUP(B454,IF(A454="COMPOSICAO",S!$A:$E,I!$A:$E),3,FALSE)</f>
        <v>EPI - FAMILIA PINTOR - HORISTA (ENCARGOS COMPLEMENTARES - COLETADO CAIXA)</v>
      </c>
      <c r="E454" s="23" t="str">
        <f>VLOOKUP(B454,IF(A454="COMPOSICAO",S!$A:$E,I!$A:$E),4,FALSE)</f>
        <v>H</v>
      </c>
      <c r="F454" s="23">
        <v>1</v>
      </c>
      <c r="G454" s="71">
        <f>IF(A454="COMPOSICAO",VLOOKUP("TOTAL SEM BDI - "&amp;B454,CPUAUX3!$A:$J,9,FALSE),VLOOKUP(B454,I!$A:$E,5,FALSE))</f>
        <v>1.85</v>
      </c>
      <c r="H454" s="72"/>
      <c r="I454" s="71">
        <f t="shared" si="64"/>
        <v>1.85</v>
      </c>
      <c r="J454" s="72"/>
      <c r="M454" s="23">
        <f t="shared" si="65"/>
        <v>43490</v>
      </c>
      <c r="N454" s="23">
        <f>SUMIF(CPUAUX1!M:M,B452,CPUAUX1!O:O)</f>
        <v>10</v>
      </c>
      <c r="O454" s="23">
        <f t="shared" si="66"/>
        <v>10</v>
      </c>
      <c r="Q454" s="23">
        <f ca="1">SUMIF(CPUAUX1!M:M,B452,CPUAUX1!R:R)</f>
        <v>4</v>
      </c>
      <c r="R454" s="23">
        <f t="shared" ca="1" si="67"/>
        <v>4</v>
      </c>
    </row>
    <row r="455" spans="1:18" ht="30" customHeight="1" x14ac:dyDescent="0.3">
      <c r="A455" s="23" t="s">
        <v>1025</v>
      </c>
      <c r="B455" s="23">
        <v>43466</v>
      </c>
      <c r="C455" s="23" t="str">
        <f>VLOOKUP(B455,IF(A455="COMPOSICAO",S!$A:$E,I!$A:$E),2,FALSE)</f>
        <v>SINAPI</v>
      </c>
      <c r="D455" s="24" t="str">
        <f>VLOOKUP(B455,IF(A455="COMPOSICAO",S!$A:$E,I!$A:$E),3,FALSE)</f>
        <v>FERRAMENTAS - FAMILIA PINTOR - HORISTA (ENCARGOS COMPLEMENTARES - COLETADO CAIXA)</v>
      </c>
      <c r="E455" s="23" t="str">
        <f>VLOOKUP(B455,IF(A455="COMPOSICAO",S!$A:$E,I!$A:$E),4,FALSE)</f>
        <v>H</v>
      </c>
      <c r="F455" s="23">
        <v>1</v>
      </c>
      <c r="G455" s="71">
        <f>IF(A455="COMPOSICAO",VLOOKUP("TOTAL SEM BDI - "&amp;B455,CPUAUX3!$A:$J,9,FALSE),VLOOKUP(B455,I!$A:$E,5,FALSE))</f>
        <v>2.0499999999999998</v>
      </c>
      <c r="H455" s="72"/>
      <c r="I455" s="71">
        <f t="shared" si="64"/>
        <v>2.0499999999999998</v>
      </c>
      <c r="J455" s="72"/>
      <c r="M455" s="23">
        <f t="shared" si="65"/>
        <v>43466</v>
      </c>
      <c r="N455" s="23">
        <f>SUMIF(CPUAUX1!M:M,B452,CPUAUX1!O:O)</f>
        <v>10</v>
      </c>
      <c r="O455" s="23">
        <f t="shared" si="66"/>
        <v>10</v>
      </c>
      <c r="Q455" s="23">
        <f ca="1">SUMIF(CPUAUX1!M:M,B452,CPUAUX1!R:R)</f>
        <v>4</v>
      </c>
      <c r="R455" s="23">
        <f t="shared" ca="1" si="67"/>
        <v>4</v>
      </c>
    </row>
    <row r="456" spans="1:18" ht="30" customHeight="1" x14ac:dyDescent="0.3">
      <c r="A456" s="23" t="s">
        <v>1025</v>
      </c>
      <c r="B456" s="23">
        <v>37373</v>
      </c>
      <c r="C456" s="23" t="str">
        <f>VLOOKUP(B456,IF(A456="COMPOSICAO",S!$A:$E,I!$A:$E),2,FALSE)</f>
        <v>SINAPI</v>
      </c>
      <c r="D456" s="24" t="str">
        <f>VLOOKUP(B456,IF(A456="COMPOSICAO",S!$A:$E,I!$A:$E),3,FALSE)</f>
        <v>SEGURO - HORISTA (COLETADO CAIXA - ENCARGOS COMPLEMENTARES)</v>
      </c>
      <c r="E456" s="23" t="str">
        <f>VLOOKUP(B456,IF(A456="COMPOSICAO",S!$A:$E,I!$A:$E),4,FALSE)</f>
        <v>H</v>
      </c>
      <c r="F456" s="23">
        <v>1</v>
      </c>
      <c r="G456" s="71">
        <f>IF(A456="COMPOSICAO",VLOOKUP("TOTAL SEM BDI - "&amp;B456,CPUAUX3!$A:$J,9,FALSE),VLOOKUP(B456,I!$A:$E,5,FALSE))</f>
        <v>0.08</v>
      </c>
      <c r="H456" s="72"/>
      <c r="I456" s="71">
        <f t="shared" si="64"/>
        <v>0.08</v>
      </c>
      <c r="J456" s="72"/>
      <c r="M456" s="23">
        <f t="shared" si="65"/>
        <v>37373</v>
      </c>
      <c r="N456" s="23">
        <f>SUMIF(CPUAUX1!M:M,B452,CPUAUX1!O:O)</f>
        <v>10</v>
      </c>
      <c r="O456" s="23">
        <f t="shared" si="66"/>
        <v>10</v>
      </c>
      <c r="Q456" s="23">
        <f ca="1">SUMIF(CPUAUX1!M:M,B452,CPUAUX1!R:R)</f>
        <v>4</v>
      </c>
      <c r="R456" s="23">
        <f t="shared" ca="1" si="67"/>
        <v>4</v>
      </c>
    </row>
    <row r="457" spans="1:18" ht="30" customHeight="1" x14ac:dyDescent="0.3">
      <c r="A457" s="23" t="s">
        <v>1025</v>
      </c>
      <c r="B457" s="23">
        <v>37372</v>
      </c>
      <c r="C457" s="23" t="str">
        <f>VLOOKUP(B457,IF(A457="COMPOSICAO",S!$A:$E,I!$A:$E),2,FALSE)</f>
        <v>SINAPI</v>
      </c>
      <c r="D457" s="24" t="str">
        <f>VLOOKUP(B457,IF(A457="COMPOSICAO",S!$A:$E,I!$A:$E),3,FALSE)</f>
        <v>EXAMES - HORISTA (COLETADO CAIXA - ENCARGOS COMPLEMENTARES)</v>
      </c>
      <c r="E457" s="23" t="str">
        <f>VLOOKUP(B457,IF(A457="COMPOSICAO",S!$A:$E,I!$A:$E),4,FALSE)</f>
        <v>H</v>
      </c>
      <c r="F457" s="23">
        <v>1</v>
      </c>
      <c r="G457" s="71">
        <f>IF(A457="COMPOSICAO",VLOOKUP("TOTAL SEM BDI - "&amp;B457,CPUAUX3!$A:$J,9,FALSE),VLOOKUP(B457,I!$A:$E,5,FALSE))</f>
        <v>1.43</v>
      </c>
      <c r="H457" s="72"/>
      <c r="I457" s="71">
        <f t="shared" si="64"/>
        <v>1.43</v>
      </c>
      <c r="J457" s="72"/>
      <c r="M457" s="23">
        <f t="shared" si="65"/>
        <v>37372</v>
      </c>
      <c r="N457" s="23">
        <f>SUMIF(CPUAUX1!M:M,B452,CPUAUX1!O:O)</f>
        <v>10</v>
      </c>
      <c r="O457" s="23">
        <f t="shared" si="66"/>
        <v>10</v>
      </c>
      <c r="Q457" s="23">
        <f ca="1">SUMIF(CPUAUX1!M:M,B452,CPUAUX1!R:R)</f>
        <v>4</v>
      </c>
      <c r="R457" s="23">
        <f t="shared" ca="1" si="67"/>
        <v>4</v>
      </c>
    </row>
    <row r="458" spans="1:18" ht="30" customHeight="1" x14ac:dyDescent="0.3">
      <c r="A458" s="23" t="s">
        <v>1025</v>
      </c>
      <c r="B458" s="23">
        <v>37371</v>
      </c>
      <c r="C458" s="23" t="str">
        <f>VLOOKUP(B458,IF(A458="COMPOSICAO",S!$A:$E,I!$A:$E),2,FALSE)</f>
        <v>SINAPI</v>
      </c>
      <c r="D458" s="24" t="str">
        <f>VLOOKUP(B458,IF(A458="COMPOSICAO",S!$A:$E,I!$A:$E),3,FALSE)</f>
        <v>TRANSPORTE - HORISTA (COLETADO CAIXA - ENCARGOS COMPLEMENTARES)</v>
      </c>
      <c r="E458" s="23" t="str">
        <f>VLOOKUP(B458,IF(A458="COMPOSICAO",S!$A:$E,I!$A:$E),4,FALSE)</f>
        <v>H</v>
      </c>
      <c r="F458" s="23">
        <v>1</v>
      </c>
      <c r="G458" s="71">
        <f>IF(A458="COMPOSICAO",VLOOKUP("TOTAL SEM BDI - "&amp;B458,CPUAUX3!$A:$J,9,FALSE),VLOOKUP(B458,I!$A:$E,5,FALSE))</f>
        <v>0.56999999999999995</v>
      </c>
      <c r="H458" s="72"/>
      <c r="I458" s="71">
        <f t="shared" si="64"/>
        <v>0.56999999999999995</v>
      </c>
      <c r="J458" s="72"/>
      <c r="M458" s="23">
        <f t="shared" si="65"/>
        <v>37371</v>
      </c>
      <c r="N458" s="23">
        <f>SUMIF(CPUAUX1!M:M,B452,CPUAUX1!O:O)</f>
        <v>10</v>
      </c>
      <c r="O458" s="23">
        <f t="shared" si="66"/>
        <v>10</v>
      </c>
      <c r="Q458" s="23">
        <f ca="1">SUMIF(CPUAUX1!M:M,B452,CPUAUX1!R:R)</f>
        <v>4</v>
      </c>
      <c r="R458" s="23">
        <f t="shared" ca="1" si="67"/>
        <v>4</v>
      </c>
    </row>
    <row r="459" spans="1:18" ht="30" customHeight="1" x14ac:dyDescent="0.3">
      <c r="A459" s="23" t="s">
        <v>1025</v>
      </c>
      <c r="B459" s="23">
        <v>37370</v>
      </c>
      <c r="C459" s="23" t="str">
        <f>VLOOKUP(B459,IF(A459="COMPOSICAO",S!$A:$E,I!$A:$E),2,FALSE)</f>
        <v>SINAPI</v>
      </c>
      <c r="D459" s="24" t="str">
        <f>VLOOKUP(B459,IF(A459="COMPOSICAO",S!$A:$E,I!$A:$E),3,FALSE)</f>
        <v>ALIMENTACAO - HORISTA (COLETADO CAIXA - ENCARGOS COMPLEMENTARES)</v>
      </c>
      <c r="E459" s="23" t="str">
        <f>VLOOKUP(B459,IF(A459="COMPOSICAO",S!$A:$E,I!$A:$E),4,FALSE)</f>
        <v>H</v>
      </c>
      <c r="F459" s="23">
        <v>1</v>
      </c>
      <c r="G459" s="71">
        <f>IF(A459="COMPOSICAO",VLOOKUP("TOTAL SEM BDI - "&amp;B459,CPUAUX3!$A:$J,9,FALSE),VLOOKUP(B459,I!$A:$E,5,FALSE))</f>
        <v>2.46</v>
      </c>
      <c r="H459" s="72"/>
      <c r="I459" s="71">
        <f t="shared" si="64"/>
        <v>2.46</v>
      </c>
      <c r="J459" s="72"/>
      <c r="M459" s="23">
        <f t="shared" si="65"/>
        <v>37370</v>
      </c>
      <c r="N459" s="23">
        <f>SUMIF(CPUAUX1!M:M,B452,CPUAUX1!O:O)</f>
        <v>10</v>
      </c>
      <c r="O459" s="23">
        <f t="shared" si="66"/>
        <v>10</v>
      </c>
      <c r="Q459" s="23">
        <f ca="1">SUMIF(CPUAUX1!M:M,B452,CPUAUX1!R:R)</f>
        <v>4</v>
      </c>
      <c r="R459" s="23">
        <f t="shared" ca="1" si="67"/>
        <v>4</v>
      </c>
    </row>
    <row r="460" spans="1:18" x14ac:dyDescent="0.3">
      <c r="A460" s="23" t="s">
        <v>1025</v>
      </c>
      <c r="B460" s="23">
        <v>4783</v>
      </c>
      <c r="C460" s="23" t="str">
        <f>VLOOKUP(B460,IF(A460="COMPOSICAO",S!$A:$E,I!$A:$E),2,FALSE)</f>
        <v>SINAPI</v>
      </c>
      <c r="D460" s="24" t="str">
        <f>VLOOKUP(B460,IF(A460="COMPOSICAO",S!$A:$E,I!$A:$E),3,FALSE)</f>
        <v>PINTOR (HORISTA)</v>
      </c>
      <c r="E460" s="23" t="str">
        <f>VLOOKUP(B460,IF(A460="COMPOSICAO",S!$A:$E,I!$A:$E),4,FALSE)</f>
        <v>H</v>
      </c>
      <c r="F460" s="23">
        <v>1</v>
      </c>
      <c r="G460" s="71">
        <f>IF(A460="COMPOSICAO",VLOOKUP("TOTAL SEM BDI - "&amp;B460,CPUAUX3!$A:$J,9,FALSE),VLOOKUP(B460,I!$A:$E,5,FALSE))</f>
        <v>20.329999999999998</v>
      </c>
      <c r="H460" s="72"/>
      <c r="I460" s="71">
        <f t="shared" si="64"/>
        <v>20.329999999999998</v>
      </c>
      <c r="J460" s="72"/>
      <c r="M460" s="23">
        <f t="shared" si="65"/>
        <v>4783</v>
      </c>
      <c r="N460" s="23">
        <f>SUMIF(CPUAUX1!M:M,B452,CPUAUX1!O:O)</f>
        <v>10</v>
      </c>
      <c r="O460" s="23">
        <f t="shared" si="66"/>
        <v>10</v>
      </c>
      <c r="Q460" s="23">
        <f ca="1">SUMIF(CPUAUX1!M:M,B452,CPUAUX1!R:R)</f>
        <v>4</v>
      </c>
      <c r="R460" s="23">
        <f t="shared" ca="1" si="67"/>
        <v>4</v>
      </c>
    </row>
    <row r="461" spans="1:18" x14ac:dyDescent="0.3">
      <c r="A461" s="68" t="str">
        <f>"TOTAL SEM BDI - "&amp;B452</f>
        <v>TOTAL SEM BDI - 88310</v>
      </c>
      <c r="B461" s="69"/>
      <c r="C461" s="69"/>
      <c r="D461" s="69"/>
      <c r="E461" s="69"/>
      <c r="F461" s="69"/>
      <c r="G461" s="69"/>
      <c r="H461" s="70"/>
      <c r="I461" s="71">
        <f>SUM(I452:I460)</f>
        <v>29.069999999999997</v>
      </c>
      <c r="J461" s="72"/>
    </row>
    <row r="463" spans="1:18" x14ac:dyDescent="0.3">
      <c r="A463" s="4" t="s">
        <v>1018</v>
      </c>
      <c r="B463" s="4" t="s">
        <v>138</v>
      </c>
      <c r="C463" s="4" t="s">
        <v>139</v>
      </c>
      <c r="D463" s="4" t="s">
        <v>21</v>
      </c>
      <c r="E463" s="4" t="s">
        <v>140</v>
      </c>
      <c r="F463" s="4" t="s">
        <v>506</v>
      </c>
      <c r="G463" s="34" t="s">
        <v>1019</v>
      </c>
      <c r="H463" s="35"/>
      <c r="I463" s="34" t="s">
        <v>15</v>
      </c>
      <c r="J463" s="35"/>
    </row>
    <row r="464" spans="1:18" x14ac:dyDescent="0.3">
      <c r="A464" s="15" t="s">
        <v>516</v>
      </c>
      <c r="B464" s="15" t="s">
        <v>1076</v>
      </c>
      <c r="C464" s="15" t="str">
        <f>VLOOKUP(B464,S!$A:$G,2,FALSE)</f>
        <v>ORSE</v>
      </c>
      <c r="D464" s="22" t="str">
        <f>VLOOKUP(B464,S!$A:$G,3,FALSE)</f>
        <v>ENCARGOS COMPLEMENTARES - SERVENTE</v>
      </c>
      <c r="E464" s="15" t="str">
        <f>VLOOKUP(B464,S!$A:$G,4,FALSE)</f>
        <v>H</v>
      </c>
      <c r="F464" s="15"/>
      <c r="G464" s="73">
        <f>I483</f>
        <v>3.9599999999999991</v>
      </c>
      <c r="H464" s="74"/>
      <c r="I464" s="73"/>
      <c r="J464" s="74"/>
      <c r="K464" s="16">
        <f>VLOOKUP(B464,S!A:G,5,FALSE)</f>
        <v>3.98</v>
      </c>
      <c r="L464" s="15" t="str">
        <f>IF(K464=G464,"OK, CONFORME TABELA",IF(G464&gt;K464,"ACIMA DA TABELA: ","ABAIXO DA TABELA: ")&amp;TRUNC((G464*100)/K464,2)&amp;" %")</f>
        <v>ABAIXO DA TABELA: 99,49 %</v>
      </c>
    </row>
    <row r="465" spans="1:18" x14ac:dyDescent="0.3">
      <c r="A465" s="23" t="s">
        <v>1025</v>
      </c>
      <c r="B465" s="23" t="s">
        <v>1104</v>
      </c>
      <c r="C465" s="23" t="str">
        <f>VLOOKUP(B465,IF(A465="COMPOSICAO",S!$A:$E,I!$A:$E),2,FALSE)</f>
        <v>ORSE</v>
      </c>
      <c r="D465" s="24" t="str">
        <f>VLOOKUP(B465,IF(A465="COMPOSICAO",S!$A:$E,I!$A:$E),3,FALSE)</f>
        <v>ALMOÇO (PARTICIPAÇÃO DO EMPREGADOR)</v>
      </c>
      <c r="E465" s="23" t="str">
        <f>VLOOKUP(B465,IF(A465="COMPOSICAO",S!$A:$E,I!$A:$E),4,FALSE)</f>
        <v>UN</v>
      </c>
      <c r="F465" s="23">
        <v>0.1018</v>
      </c>
      <c r="G465" s="71">
        <f>IF(A465="COMPOSICAO",VLOOKUP("TOTAL SEM BDI - "&amp;B465,CPUAUX3!$A:$J,9,FALSE),VLOOKUP(B465,I!$A:$E,5,FALSE))</f>
        <v>14</v>
      </c>
      <c r="H465" s="72"/>
      <c r="I465" s="71">
        <f t="shared" ref="I465:I482" si="68">TRUNC(F465*G465,2)</f>
        <v>1.42</v>
      </c>
      <c r="J465" s="72"/>
      <c r="M465" s="23" t="str">
        <f t="shared" ref="M465:M482" si="69">B465</f>
        <v>00158/ORSE</v>
      </c>
      <c r="N465" s="23">
        <f>SUMIF(CPUAUX1!M:M,B464,CPUAUX1!O:O)</f>
        <v>25.87</v>
      </c>
      <c r="O465" s="23">
        <f t="shared" ref="O465:O482" si="70">F465*N465</f>
        <v>2.6335660000000001</v>
      </c>
      <c r="Q465" s="23">
        <f ca="1">SUMIF(CPUAUX1!M:M,B464,CPUAUX1!R:R)</f>
        <v>10.348000000000001</v>
      </c>
      <c r="R465" s="23">
        <f t="shared" ref="R465:R482" ca="1" si="71">F465*Q465</f>
        <v>1.0534264</v>
      </c>
    </row>
    <row r="466" spans="1:18" x14ac:dyDescent="0.3">
      <c r="A466" s="23" t="s">
        <v>1025</v>
      </c>
      <c r="B466" s="23" t="s">
        <v>1105</v>
      </c>
      <c r="C466" s="23" t="str">
        <f>VLOOKUP(B466,IF(A466="COMPOSICAO",S!$A:$E,I!$A:$E),2,FALSE)</f>
        <v>ORSE</v>
      </c>
      <c r="D466" s="24" t="str">
        <f>VLOOKUP(B466,IF(A466="COMPOSICAO",S!$A:$E,I!$A:$E),3,FALSE)</f>
        <v>FARDAMENTO COM MANGAS CURTA</v>
      </c>
      <c r="E466" s="23" t="str">
        <f>VLOOKUP(B466,IF(A466="COMPOSICAO",S!$A:$E,I!$A:$E),4,FALSE)</f>
        <v>UN</v>
      </c>
      <c r="F466" s="23">
        <v>1.5E-3</v>
      </c>
      <c r="G466" s="71">
        <f>IF(A466="COMPOSICAO",VLOOKUP("TOTAL SEM BDI - "&amp;B466,CPUAUX3!$A:$J,9,FALSE),VLOOKUP(B466,I!$A:$E,5,FALSE))</f>
        <v>196.71</v>
      </c>
      <c r="H466" s="72"/>
      <c r="I466" s="71">
        <f t="shared" si="68"/>
        <v>0.28999999999999998</v>
      </c>
      <c r="J466" s="72"/>
      <c r="M466" s="23" t="str">
        <f t="shared" si="69"/>
        <v>00941/ORSE</v>
      </c>
      <c r="N466" s="23">
        <f>SUMIF(CPUAUX1!M:M,B464,CPUAUX1!O:O)</f>
        <v>25.87</v>
      </c>
      <c r="O466" s="23">
        <f t="shared" si="70"/>
        <v>3.8804999999999999E-2</v>
      </c>
      <c r="Q466" s="23">
        <f ca="1">SUMIF(CPUAUX1!M:M,B464,CPUAUX1!R:R)</f>
        <v>10.348000000000001</v>
      </c>
      <c r="R466" s="23">
        <f t="shared" ca="1" si="71"/>
        <v>1.5522000000000001E-2</v>
      </c>
    </row>
    <row r="467" spans="1:18" x14ac:dyDescent="0.3">
      <c r="A467" s="23" t="s">
        <v>1025</v>
      </c>
      <c r="B467" s="23" t="s">
        <v>1106</v>
      </c>
      <c r="C467" s="23" t="str">
        <f>VLOOKUP(B467,IF(A467="COMPOSICAO",S!$A:$E,I!$A:$E),2,FALSE)</f>
        <v>ORSE</v>
      </c>
      <c r="D467" s="24" t="str">
        <f>VLOOKUP(B467,IF(A467="COMPOSICAO",S!$A:$E,I!$A:$E),3,FALSE)</f>
        <v>ÓCULOS BRANCO PROTEÇÃO</v>
      </c>
      <c r="E467" s="23" t="str">
        <f>VLOOKUP(B467,IF(A467="COMPOSICAO",S!$A:$E,I!$A:$E),4,FALSE)</f>
        <v>PR</v>
      </c>
      <c r="F467" s="23">
        <v>8.0000000000000004E-4</v>
      </c>
      <c r="G467" s="71">
        <f>IF(A467="COMPOSICAO",VLOOKUP("TOTAL SEM BDI - "&amp;B467,CPUAUX3!$A:$J,9,FALSE),VLOOKUP(B467,I!$A:$E,5,FALSE))</f>
        <v>7</v>
      </c>
      <c r="H467" s="72"/>
      <c r="I467" s="71">
        <f t="shared" si="68"/>
        <v>0</v>
      </c>
      <c r="J467" s="72"/>
      <c r="M467" s="23" t="str">
        <f t="shared" si="69"/>
        <v>01651/ORSE</v>
      </c>
      <c r="N467" s="23">
        <f>SUMIF(CPUAUX1!M:M,B464,CPUAUX1!O:O)</f>
        <v>25.87</v>
      </c>
      <c r="O467" s="23">
        <f t="shared" si="70"/>
        <v>2.0696000000000003E-2</v>
      </c>
      <c r="Q467" s="23">
        <f ca="1">SUMIF(CPUAUX1!M:M,B464,CPUAUX1!R:R)</f>
        <v>10.348000000000001</v>
      </c>
      <c r="R467" s="23">
        <f t="shared" ca="1" si="71"/>
        <v>8.2784000000000017E-3</v>
      </c>
    </row>
    <row r="468" spans="1:18" x14ac:dyDescent="0.3">
      <c r="A468" s="23" t="s">
        <v>1025</v>
      </c>
      <c r="B468" s="23" t="s">
        <v>1107</v>
      </c>
      <c r="C468" s="23" t="str">
        <f>VLOOKUP(B468,IF(A468="COMPOSICAO",S!$A:$E,I!$A:$E),2,FALSE)</f>
        <v>ORSE</v>
      </c>
      <c r="D468" s="24" t="str">
        <f>VLOOKUP(B468,IF(A468="COMPOSICAO",S!$A:$E,I!$A:$E),3,FALSE)</f>
        <v>VALE TRANSPORTE</v>
      </c>
      <c r="E468" s="23" t="str">
        <f>VLOOKUP(B468,IF(A468="COMPOSICAO",S!$A:$E,I!$A:$E),4,FALSE)</f>
        <v>UN</v>
      </c>
      <c r="F468" s="23">
        <v>9.4100000000000003E-2</v>
      </c>
      <c r="G468" s="71">
        <f>IF(A468="COMPOSICAO",VLOOKUP("TOTAL SEM BDI - "&amp;B468,CPUAUX3!$A:$J,9,FALSE),VLOOKUP(B468,I!$A:$E,5,FALSE))</f>
        <v>4.5</v>
      </c>
      <c r="H468" s="72"/>
      <c r="I468" s="71">
        <f t="shared" si="68"/>
        <v>0.42</v>
      </c>
      <c r="J468" s="72"/>
      <c r="M468" s="23" t="str">
        <f t="shared" si="69"/>
        <v>02378/ORSE</v>
      </c>
      <c r="N468" s="23">
        <f>SUMIF(CPUAUX1!M:M,B464,CPUAUX1!O:O)</f>
        <v>25.87</v>
      </c>
      <c r="O468" s="23">
        <f t="shared" si="70"/>
        <v>2.4343670000000004</v>
      </c>
      <c r="Q468" s="23">
        <f ca="1">SUMIF(CPUAUX1!M:M,B464,CPUAUX1!R:R)</f>
        <v>10.348000000000001</v>
      </c>
      <c r="R468" s="23">
        <f t="shared" ca="1" si="71"/>
        <v>0.97374680000000013</v>
      </c>
    </row>
    <row r="469" spans="1:18" x14ac:dyDescent="0.3">
      <c r="A469" s="23" t="s">
        <v>1025</v>
      </c>
      <c r="B469" s="23" t="s">
        <v>1108</v>
      </c>
      <c r="C469" s="23" t="str">
        <f>VLOOKUP(B469,IF(A469="COMPOSICAO",S!$A:$E,I!$A:$E),2,FALSE)</f>
        <v>ORSE</v>
      </c>
      <c r="D469" s="24" t="str">
        <f>VLOOKUP(B469,IF(A469="COMPOSICAO",S!$A:$E,I!$A:$E),3,FALSE)</f>
        <v>TALHADEIRA CHATA 10"</v>
      </c>
      <c r="E469" s="23" t="str">
        <f>VLOOKUP(B469,IF(A469="COMPOSICAO",S!$A:$E,I!$A:$E),4,FALSE)</f>
        <v>UN</v>
      </c>
      <c r="F469" s="23">
        <v>2.9999999999999997E-4</v>
      </c>
      <c r="G469" s="71">
        <f>IF(A469="COMPOSICAO",VLOOKUP("TOTAL SEM BDI - "&amp;B469,CPUAUX3!$A:$J,9,FALSE),VLOOKUP(B469,I!$A:$E,5,FALSE))</f>
        <v>18.579999999999998</v>
      </c>
      <c r="H469" s="72"/>
      <c r="I469" s="71">
        <f t="shared" si="68"/>
        <v>0</v>
      </c>
      <c r="J469" s="72"/>
      <c r="M469" s="23" t="str">
        <f t="shared" si="69"/>
        <v>04728/ORSE</v>
      </c>
      <c r="N469" s="23">
        <f>SUMIF(CPUAUX1!M:M,B464,CPUAUX1!O:O)</f>
        <v>25.87</v>
      </c>
      <c r="O469" s="23">
        <f t="shared" si="70"/>
        <v>7.7609999999999997E-3</v>
      </c>
      <c r="Q469" s="23">
        <f ca="1">SUMIF(CPUAUX1!M:M,B464,CPUAUX1!R:R)</f>
        <v>10.348000000000001</v>
      </c>
      <c r="R469" s="23">
        <f t="shared" ca="1" si="71"/>
        <v>3.1043999999999998E-3</v>
      </c>
    </row>
    <row r="470" spans="1:18" x14ac:dyDescent="0.3">
      <c r="A470" s="23" t="s">
        <v>1025</v>
      </c>
      <c r="B470" s="23" t="s">
        <v>1109</v>
      </c>
      <c r="C470" s="23" t="str">
        <f>VLOOKUP(B470,IF(A470="COMPOSICAO",S!$A:$E,I!$A:$E),2,FALSE)</f>
        <v>ORSE</v>
      </c>
      <c r="D470" s="24" t="str">
        <f>VLOOKUP(B470,IF(A470="COMPOSICAO",S!$A:$E,I!$A:$E),3,FALSE)</f>
        <v>MARRETA 1 KG COM CABO</v>
      </c>
      <c r="E470" s="23" t="str">
        <f>VLOOKUP(B470,IF(A470="COMPOSICAO",S!$A:$E,I!$A:$E),4,FALSE)</f>
        <v>UN</v>
      </c>
      <c r="F470" s="23">
        <v>1E-4</v>
      </c>
      <c r="G470" s="71">
        <f>IF(A470="COMPOSICAO",VLOOKUP("TOTAL SEM BDI - "&amp;B470,CPUAUX3!$A:$J,9,FALSE),VLOOKUP(B470,I!$A:$E,5,FALSE))</f>
        <v>37.799999999999997</v>
      </c>
      <c r="H470" s="72"/>
      <c r="I470" s="71">
        <f t="shared" si="68"/>
        <v>0</v>
      </c>
      <c r="J470" s="72"/>
      <c r="M470" s="23" t="str">
        <f t="shared" si="69"/>
        <v>04729/ORSE</v>
      </c>
      <c r="N470" s="23">
        <f>SUMIF(CPUAUX1!M:M,B464,CPUAUX1!O:O)</f>
        <v>25.87</v>
      </c>
      <c r="O470" s="23">
        <f t="shared" si="70"/>
        <v>2.5870000000000003E-3</v>
      </c>
      <c r="Q470" s="23">
        <f ca="1">SUMIF(CPUAUX1!M:M,B464,CPUAUX1!R:R)</f>
        <v>10.348000000000001</v>
      </c>
      <c r="R470" s="23">
        <f t="shared" ca="1" si="71"/>
        <v>1.0348000000000002E-3</v>
      </c>
    </row>
    <row r="471" spans="1:18" x14ac:dyDescent="0.3">
      <c r="A471" s="23" t="s">
        <v>1025</v>
      </c>
      <c r="B471" s="23" t="s">
        <v>1110</v>
      </c>
      <c r="C471" s="23" t="str">
        <f>VLOOKUP(B471,IF(A471="COMPOSICAO",S!$A:$E,I!$A:$E),2,FALSE)</f>
        <v>ORSE</v>
      </c>
      <c r="D471" s="24" t="str">
        <f>VLOOKUP(B471,IF(A471="COMPOSICAO",S!$A:$E,I!$A:$E),3,FALSE)</f>
        <v>SEGURO DE VIDA E ACIDENTE EM GRUPO</v>
      </c>
      <c r="E471" s="23" t="str">
        <f>VLOOKUP(B471,IF(A471="COMPOSICAO",S!$A:$E,I!$A:$E),4,FALSE)</f>
        <v>UN</v>
      </c>
      <c r="F471" s="23">
        <v>4.4999999999999997E-3</v>
      </c>
      <c r="G471" s="71">
        <f>IF(A471="COMPOSICAO",VLOOKUP("TOTAL SEM BDI - "&amp;B471,CPUAUX3!$A:$J,9,FALSE),VLOOKUP(B471,I!$A:$E,5,FALSE))</f>
        <v>12.54</v>
      </c>
      <c r="H471" s="72"/>
      <c r="I471" s="71">
        <f t="shared" si="68"/>
        <v>0.05</v>
      </c>
      <c r="J471" s="72"/>
      <c r="M471" s="23" t="str">
        <f t="shared" si="69"/>
        <v>10362/ORSE</v>
      </c>
      <c r="N471" s="23">
        <f>SUMIF(CPUAUX1!M:M,B464,CPUAUX1!O:O)</f>
        <v>25.87</v>
      </c>
      <c r="O471" s="23">
        <f t="shared" si="70"/>
        <v>0.11641499999999999</v>
      </c>
      <c r="Q471" s="23">
        <f ca="1">SUMIF(CPUAUX1!M:M,B464,CPUAUX1!R:R)</f>
        <v>10.348000000000001</v>
      </c>
      <c r="R471" s="23">
        <f t="shared" ca="1" si="71"/>
        <v>4.6566000000000003E-2</v>
      </c>
    </row>
    <row r="472" spans="1:18" x14ac:dyDescent="0.3">
      <c r="A472" s="23" t="s">
        <v>1025</v>
      </c>
      <c r="B472" s="23" t="s">
        <v>1111</v>
      </c>
      <c r="C472" s="23" t="str">
        <f>VLOOKUP(B472,IF(A472="COMPOSICAO",S!$A:$E,I!$A:$E),2,FALSE)</f>
        <v>ORSE</v>
      </c>
      <c r="D472" s="24" t="str">
        <f>VLOOKUP(B472,IF(A472="COMPOSICAO",S!$A:$E,I!$A:$E),3,FALSE)</f>
        <v>CESTA BÁSICA</v>
      </c>
      <c r="E472" s="23" t="str">
        <f>VLOOKUP(B472,IF(A472="COMPOSICAO",S!$A:$E,I!$A:$E),4,FALSE)</f>
        <v>UN</v>
      </c>
      <c r="F472" s="23">
        <v>4.4999999999999997E-3</v>
      </c>
      <c r="G472" s="71">
        <f>IF(A472="COMPOSICAO",VLOOKUP("TOTAL SEM BDI - "&amp;B472,CPUAUX3!$A:$J,9,FALSE),VLOOKUP(B472,I!$A:$E,5,FALSE))</f>
        <v>205</v>
      </c>
      <c r="H472" s="72"/>
      <c r="I472" s="71">
        <f t="shared" si="68"/>
        <v>0.92</v>
      </c>
      <c r="J472" s="72"/>
      <c r="M472" s="23" t="str">
        <f t="shared" si="69"/>
        <v>10492/ORSE</v>
      </c>
      <c r="N472" s="23">
        <f>SUMIF(CPUAUX1!M:M,B464,CPUAUX1!O:O)</f>
        <v>25.87</v>
      </c>
      <c r="O472" s="23">
        <f t="shared" si="70"/>
        <v>0.11641499999999999</v>
      </c>
      <c r="Q472" s="23">
        <f ca="1">SUMIF(CPUAUX1!M:M,B464,CPUAUX1!R:R)</f>
        <v>10.348000000000001</v>
      </c>
      <c r="R472" s="23">
        <f t="shared" ca="1" si="71"/>
        <v>4.6566000000000003E-2</v>
      </c>
    </row>
    <row r="473" spans="1:18" x14ac:dyDescent="0.3">
      <c r="A473" s="23" t="s">
        <v>1025</v>
      </c>
      <c r="B473" s="23" t="s">
        <v>1112</v>
      </c>
      <c r="C473" s="23" t="str">
        <f>VLOOKUP(B473,IF(A473="COMPOSICAO",S!$A:$E,I!$A:$E),2,FALSE)</f>
        <v>ORSE</v>
      </c>
      <c r="D473" s="24" t="str">
        <f>VLOOKUP(B473,IF(A473="COMPOSICAO",S!$A:$E,I!$A:$E),3,FALSE)</f>
        <v>EXAMES ADMISSIONAIS/DEMISSIONAIS (CHECKUP)</v>
      </c>
      <c r="E473" s="23" t="str">
        <f>VLOOKUP(B473,IF(A473="COMPOSICAO",S!$A:$E,I!$A:$E),4,FALSE)</f>
        <v>CJ</v>
      </c>
      <c r="F473" s="23">
        <v>4.0000000000000002E-4</v>
      </c>
      <c r="G473" s="71">
        <f>IF(A473="COMPOSICAO",VLOOKUP("TOTAL SEM BDI - "&amp;B473,CPUAUX3!$A:$J,9,FALSE),VLOOKUP(B473,I!$A:$E,5,FALSE))</f>
        <v>300</v>
      </c>
      <c r="H473" s="72"/>
      <c r="I473" s="71">
        <f t="shared" si="68"/>
        <v>0.12</v>
      </c>
      <c r="J473" s="72"/>
      <c r="M473" s="23" t="str">
        <f t="shared" si="69"/>
        <v>10517/ORSE</v>
      </c>
      <c r="N473" s="23">
        <f>SUMIF(CPUAUX1!M:M,B464,CPUAUX1!O:O)</f>
        <v>25.87</v>
      </c>
      <c r="O473" s="23">
        <f t="shared" si="70"/>
        <v>1.0348000000000001E-2</v>
      </c>
      <c r="Q473" s="23">
        <f ca="1">SUMIF(CPUAUX1!M:M,B464,CPUAUX1!R:R)</f>
        <v>10.348000000000001</v>
      </c>
      <c r="R473" s="23">
        <f t="shared" ca="1" si="71"/>
        <v>4.1392000000000009E-3</v>
      </c>
    </row>
    <row r="474" spans="1:18" x14ac:dyDescent="0.3">
      <c r="A474" s="23" t="s">
        <v>1025</v>
      </c>
      <c r="B474" s="23" t="s">
        <v>1113</v>
      </c>
      <c r="C474" s="23" t="str">
        <f>VLOOKUP(B474,IF(A474="COMPOSICAO",S!$A:$E,I!$A:$E),2,FALSE)</f>
        <v>ORSE</v>
      </c>
      <c r="D474" s="24" t="str">
        <f>VLOOKUP(B474,IF(A474="COMPOSICAO",S!$A:$E,I!$A:$E),3,FALSE)</f>
        <v>PROTETOR AURICULAR</v>
      </c>
      <c r="E474" s="23" t="str">
        <f>VLOOKUP(B474,IF(A474="COMPOSICAO",S!$A:$E,I!$A:$E),4,FALSE)</f>
        <v>UN</v>
      </c>
      <c r="F474" s="23">
        <v>4.4999999999999997E-3</v>
      </c>
      <c r="G474" s="71">
        <f>IF(A474="COMPOSICAO",VLOOKUP("TOTAL SEM BDI - "&amp;B474,CPUAUX3!$A:$J,9,FALSE),VLOOKUP(B474,I!$A:$E,5,FALSE))</f>
        <v>4.9000000000000004</v>
      </c>
      <c r="H474" s="72"/>
      <c r="I474" s="71">
        <f t="shared" si="68"/>
        <v>0.02</v>
      </c>
      <c r="J474" s="72"/>
      <c r="M474" s="23" t="str">
        <f t="shared" si="69"/>
        <v>10596/ORSE</v>
      </c>
      <c r="N474" s="23">
        <f>SUMIF(CPUAUX1!M:M,B464,CPUAUX1!O:O)</f>
        <v>25.87</v>
      </c>
      <c r="O474" s="23">
        <f t="shared" si="70"/>
        <v>0.11641499999999999</v>
      </c>
      <c r="Q474" s="23">
        <f ca="1">SUMIF(CPUAUX1!M:M,B464,CPUAUX1!R:R)</f>
        <v>10.348000000000001</v>
      </c>
      <c r="R474" s="23">
        <f t="shared" ca="1" si="71"/>
        <v>4.6566000000000003E-2</v>
      </c>
    </row>
    <row r="475" spans="1:18" x14ac:dyDescent="0.3">
      <c r="A475" s="23" t="s">
        <v>1025</v>
      </c>
      <c r="B475" s="23" t="s">
        <v>1114</v>
      </c>
      <c r="C475" s="23" t="str">
        <f>VLOOKUP(B475,IF(A475="COMPOSICAO",S!$A:$E,I!$A:$E),2,FALSE)</f>
        <v>ORSE</v>
      </c>
      <c r="D475" s="24" t="str">
        <f>VLOOKUP(B475,IF(A475="COMPOSICAO",S!$A:$E,I!$A:$E),3,FALSE)</f>
        <v>PROTETOR SOLAR FPS 30 COM 120ML</v>
      </c>
      <c r="E475" s="23" t="str">
        <f>VLOOKUP(B475,IF(A475="COMPOSICAO",S!$A:$E,I!$A:$E),4,FALSE)</f>
        <v>UN</v>
      </c>
      <c r="F475" s="23">
        <v>1.8E-3</v>
      </c>
      <c r="G475" s="71">
        <f>IF(A475="COMPOSICAO",VLOOKUP("TOTAL SEM BDI - "&amp;B475,CPUAUX3!$A:$J,9,FALSE),VLOOKUP(B475,I!$A:$E,5,FALSE))</f>
        <v>18</v>
      </c>
      <c r="H475" s="72"/>
      <c r="I475" s="71">
        <f t="shared" si="68"/>
        <v>0.03</v>
      </c>
      <c r="J475" s="72"/>
      <c r="M475" s="23" t="str">
        <f t="shared" si="69"/>
        <v>10599/ORSE</v>
      </c>
      <c r="N475" s="23">
        <f>SUMIF(CPUAUX1!M:M,B464,CPUAUX1!O:O)</f>
        <v>25.87</v>
      </c>
      <c r="O475" s="23">
        <f t="shared" si="70"/>
        <v>4.6566000000000003E-2</v>
      </c>
      <c r="Q475" s="23">
        <f ca="1">SUMIF(CPUAUX1!M:M,B464,CPUAUX1!R:R)</f>
        <v>10.348000000000001</v>
      </c>
      <c r="R475" s="23">
        <f t="shared" ca="1" si="71"/>
        <v>1.8626400000000001E-2</v>
      </c>
    </row>
    <row r="476" spans="1:18" ht="30" customHeight="1" x14ac:dyDescent="0.3">
      <c r="A476" s="23" t="s">
        <v>1025</v>
      </c>
      <c r="B476" s="23" t="s">
        <v>1115</v>
      </c>
      <c r="C476" s="23" t="str">
        <f>VLOOKUP(B476,IF(A476="COMPOSICAO",S!$A:$E,I!$A:$E),2,FALSE)</f>
        <v>ORSE</v>
      </c>
      <c r="D476" s="24" t="str">
        <f>VLOOKUP(B476,IF(A476="COMPOSICAO",S!$A:$E,I!$A:$E),3,FALSE)</f>
        <v>REFEIÇÃO - CAFÉ DA MANHÃ ( CAFÉ COM LEITE E DOIS PÃES COM MANTEIGA)</v>
      </c>
      <c r="E476" s="23" t="str">
        <f>VLOOKUP(B476,IF(A476="COMPOSICAO",S!$A:$E,I!$A:$E),4,FALSE)</f>
        <v>UN</v>
      </c>
      <c r="F476" s="23">
        <v>0.1018</v>
      </c>
      <c r="G476" s="71">
        <f>IF(A476="COMPOSICAO",VLOOKUP("TOTAL SEM BDI - "&amp;B476,CPUAUX3!$A:$J,9,FALSE),VLOOKUP(B476,I!$A:$E,5,FALSE))</f>
        <v>5</v>
      </c>
      <c r="H476" s="72"/>
      <c r="I476" s="71">
        <f t="shared" si="68"/>
        <v>0.5</v>
      </c>
      <c r="J476" s="72"/>
      <c r="M476" s="23" t="str">
        <f t="shared" si="69"/>
        <v>10761/ORSE</v>
      </c>
      <c r="N476" s="23">
        <f>SUMIF(CPUAUX1!M:M,B464,CPUAUX1!O:O)</f>
        <v>25.87</v>
      </c>
      <c r="O476" s="23">
        <f t="shared" si="70"/>
        <v>2.6335660000000001</v>
      </c>
      <c r="Q476" s="23">
        <f ca="1">SUMIF(CPUAUX1!M:M,B464,CPUAUX1!R:R)</f>
        <v>10.348000000000001</v>
      </c>
      <c r="R476" s="23">
        <f t="shared" ca="1" si="71"/>
        <v>1.0534264</v>
      </c>
    </row>
    <row r="477" spans="1:18" x14ac:dyDescent="0.3">
      <c r="A477" s="23" t="s">
        <v>1025</v>
      </c>
      <c r="B477" s="23" t="s">
        <v>1116</v>
      </c>
      <c r="C477" s="23" t="str">
        <f>VLOOKUP(B477,IF(A477="COMPOSICAO",S!$A:$E,I!$A:$E),2,FALSE)</f>
        <v>ORSE</v>
      </c>
      <c r="D477" s="24" t="str">
        <f>VLOOKUP(B477,IF(A477="COMPOSICAO",S!$A:$E,I!$A:$E),3,FALSE)</f>
        <v>PÁ QUADRADA</v>
      </c>
      <c r="E477" s="23" t="str">
        <f>VLOOKUP(B477,IF(A477="COMPOSICAO",S!$A:$E,I!$A:$E),4,FALSE)</f>
        <v>UN</v>
      </c>
      <c r="F477" s="23">
        <v>2.0000000000000001E-4</v>
      </c>
      <c r="G477" s="71">
        <f>IF(A477="COMPOSICAO",VLOOKUP("TOTAL SEM BDI - "&amp;B477,CPUAUX3!$A:$J,9,FALSE),VLOOKUP(B477,I!$A:$E,5,FALSE))</f>
        <v>36.9</v>
      </c>
      <c r="H477" s="72"/>
      <c r="I477" s="71">
        <f t="shared" si="68"/>
        <v>0</v>
      </c>
      <c r="J477" s="72"/>
      <c r="M477" s="23" t="str">
        <f t="shared" si="69"/>
        <v>10788/ORSE</v>
      </c>
      <c r="N477" s="23">
        <f>SUMIF(CPUAUX1!M:M,B464,CPUAUX1!O:O)</f>
        <v>25.87</v>
      </c>
      <c r="O477" s="23">
        <f t="shared" si="70"/>
        <v>5.1740000000000006E-3</v>
      </c>
      <c r="Q477" s="23">
        <f ca="1">SUMIF(CPUAUX1!M:M,B464,CPUAUX1!R:R)</f>
        <v>10.348000000000001</v>
      </c>
      <c r="R477" s="23">
        <f t="shared" ca="1" si="71"/>
        <v>2.0696000000000004E-3</v>
      </c>
    </row>
    <row r="478" spans="1:18" ht="30" customHeight="1" x14ac:dyDescent="0.3">
      <c r="A478" s="23" t="s">
        <v>1025</v>
      </c>
      <c r="B478" s="23">
        <v>2711</v>
      </c>
      <c r="C478" s="23" t="str">
        <f>VLOOKUP(B478,IF(A478="COMPOSICAO",S!$A:$E,I!$A:$E),2,FALSE)</f>
        <v>SINAPI</v>
      </c>
      <c r="D478" s="24" t="str">
        <f>VLOOKUP(B478,IF(A478="COMPOSICAO",S!$A:$E,I!$A:$E),3,FALSE)</f>
        <v>CARRINHO DE MAO, EM ACO, COM CAPACIDADE DE *45 A 65* L / *100* KG, PNEU COM CAMARA</v>
      </c>
      <c r="E478" s="23" t="str">
        <f>VLOOKUP(B478,IF(A478="COMPOSICAO",S!$A:$E,I!$A:$E),4,FALSE)</f>
        <v>UN</v>
      </c>
      <c r="F478" s="23">
        <v>2.0000000000000001E-4</v>
      </c>
      <c r="G478" s="71">
        <f>IF(A478="COMPOSICAO",VLOOKUP("TOTAL SEM BDI - "&amp;B478,CPUAUX3!$A:$J,9,FALSE),VLOOKUP(B478,I!$A:$E,5,FALSE))</f>
        <v>369</v>
      </c>
      <c r="H478" s="72"/>
      <c r="I478" s="71">
        <f t="shared" si="68"/>
        <v>7.0000000000000007E-2</v>
      </c>
      <c r="J478" s="72"/>
      <c r="M478" s="23">
        <f t="shared" si="69"/>
        <v>2711</v>
      </c>
      <c r="N478" s="23">
        <f>SUMIF(CPUAUX1!M:M,B464,CPUAUX1!O:O)</f>
        <v>25.87</v>
      </c>
      <c r="O478" s="23">
        <f t="shared" si="70"/>
        <v>5.1740000000000006E-3</v>
      </c>
      <c r="Q478" s="23">
        <f ca="1">SUMIF(CPUAUX1!M:M,B464,CPUAUX1!R:R)</f>
        <v>10.348000000000001</v>
      </c>
      <c r="R478" s="23">
        <f t="shared" ca="1" si="71"/>
        <v>2.0696000000000004E-3</v>
      </c>
    </row>
    <row r="479" spans="1:18" ht="30" customHeight="1" x14ac:dyDescent="0.3">
      <c r="A479" s="23" t="s">
        <v>1025</v>
      </c>
      <c r="B479" s="23">
        <v>12892</v>
      </c>
      <c r="C479" s="23" t="str">
        <f>VLOOKUP(B479,IF(A479="COMPOSICAO",S!$A:$E,I!$A:$E),2,FALSE)</f>
        <v>SINAPI</v>
      </c>
      <c r="D479" s="24" t="str">
        <f>VLOOKUP(B479,IF(A479="COMPOSICAO",S!$A:$E,I!$A:$E),3,FALSE)</f>
        <v>LUVA RASPA DE COURO, CANO CURTO (PUNHO *7* CM)</v>
      </c>
      <c r="E479" s="23" t="str">
        <f>VLOOKUP(B479,IF(A479="COMPOSICAO",S!$A:$E,I!$A:$E),4,FALSE)</f>
        <v>PAR</v>
      </c>
      <c r="F479" s="23">
        <v>2.3E-3</v>
      </c>
      <c r="G479" s="71">
        <f>IF(A479="COMPOSICAO",VLOOKUP("TOTAL SEM BDI - "&amp;B479,CPUAUX3!$A:$J,9,FALSE),VLOOKUP(B479,I!$A:$E,5,FALSE))</f>
        <v>15.21</v>
      </c>
      <c r="H479" s="72"/>
      <c r="I479" s="71">
        <f t="shared" si="68"/>
        <v>0.03</v>
      </c>
      <c r="J479" s="72"/>
      <c r="M479" s="23">
        <f t="shared" si="69"/>
        <v>12892</v>
      </c>
      <c r="N479" s="23">
        <f>SUMIF(CPUAUX1!M:M,B464,CPUAUX1!O:O)</f>
        <v>25.87</v>
      </c>
      <c r="O479" s="23">
        <f t="shared" si="70"/>
        <v>5.9500999999999998E-2</v>
      </c>
      <c r="Q479" s="23">
        <f ca="1">SUMIF(CPUAUX1!M:M,B464,CPUAUX1!R:R)</f>
        <v>10.348000000000001</v>
      </c>
      <c r="R479" s="23">
        <f t="shared" ca="1" si="71"/>
        <v>2.3800400000000003E-2</v>
      </c>
    </row>
    <row r="480" spans="1:18" ht="30" customHeight="1" x14ac:dyDescent="0.3">
      <c r="A480" s="23" t="s">
        <v>1025</v>
      </c>
      <c r="B480" s="23">
        <v>12893</v>
      </c>
      <c r="C480" s="23" t="str">
        <f>VLOOKUP(B480,IF(A480="COMPOSICAO",S!$A:$E,I!$A:$E),2,FALSE)</f>
        <v>SINAPI</v>
      </c>
      <c r="D480" s="24" t="str">
        <f>VLOOKUP(B480,IF(A480="COMPOSICAO",S!$A:$E,I!$A:$E),3,FALSE)</f>
        <v>BOTA DE SEGURANCA COM BIQUEIRA DE ACO E COLARINHO ACOLCHOADO</v>
      </c>
      <c r="E480" s="23" t="str">
        <f>VLOOKUP(B480,IF(A480="COMPOSICAO",S!$A:$E,I!$A:$E),4,FALSE)</f>
        <v>PAR</v>
      </c>
      <c r="F480" s="23">
        <v>8.0000000000000004E-4</v>
      </c>
      <c r="G480" s="71">
        <f>IF(A480="COMPOSICAO",VLOOKUP("TOTAL SEM BDI - "&amp;B480,CPUAUX3!$A:$J,9,FALSE),VLOOKUP(B480,I!$A:$E,5,FALSE))</f>
        <v>103.39</v>
      </c>
      <c r="H480" s="72"/>
      <c r="I480" s="71">
        <f t="shared" si="68"/>
        <v>0.08</v>
      </c>
      <c r="J480" s="72"/>
      <c r="M480" s="23">
        <f t="shared" si="69"/>
        <v>12893</v>
      </c>
      <c r="N480" s="23">
        <f>SUMIF(CPUAUX1!M:M,B464,CPUAUX1!O:O)</f>
        <v>25.87</v>
      </c>
      <c r="O480" s="23">
        <f t="shared" si="70"/>
        <v>2.0696000000000003E-2</v>
      </c>
      <c r="Q480" s="23">
        <f ca="1">SUMIF(CPUAUX1!M:M,B464,CPUAUX1!R:R)</f>
        <v>10.348000000000001</v>
      </c>
      <c r="R480" s="23">
        <f t="shared" ca="1" si="71"/>
        <v>8.2784000000000017E-3</v>
      </c>
    </row>
    <row r="481" spans="1:18" ht="30" customHeight="1" x14ac:dyDescent="0.3">
      <c r="A481" s="23" t="s">
        <v>1025</v>
      </c>
      <c r="B481" s="23">
        <v>12894</v>
      </c>
      <c r="C481" s="23" t="str">
        <f>VLOOKUP(B481,IF(A481="COMPOSICAO",S!$A:$E,I!$A:$E),2,FALSE)</f>
        <v>SINAPI</v>
      </c>
      <c r="D481" s="24" t="str">
        <f>VLOOKUP(B481,IF(A481="COMPOSICAO",S!$A:$E,I!$A:$E),3,FALSE)</f>
        <v>CAPA PARA CHUVA EM PVC COM FORRO DE POLIESTER, COM CAPUZ (AMARELA OU AZUL)</v>
      </c>
      <c r="E481" s="23" t="str">
        <f>VLOOKUP(B481,IF(A481="COMPOSICAO",S!$A:$E,I!$A:$E),4,FALSE)</f>
        <v>UN</v>
      </c>
      <c r="F481" s="23">
        <v>2.0000000000000001E-4</v>
      </c>
      <c r="G481" s="71">
        <f>IF(A481="COMPOSICAO",VLOOKUP("TOTAL SEM BDI - "&amp;B481,CPUAUX3!$A:$J,9,FALSE),VLOOKUP(B481,I!$A:$E,5,FALSE))</f>
        <v>28.12</v>
      </c>
      <c r="H481" s="72"/>
      <c r="I481" s="71">
        <f t="shared" si="68"/>
        <v>0</v>
      </c>
      <c r="J481" s="72"/>
      <c r="M481" s="23">
        <f t="shared" si="69"/>
        <v>12894</v>
      </c>
      <c r="N481" s="23">
        <f>SUMIF(CPUAUX1!M:M,B464,CPUAUX1!O:O)</f>
        <v>25.87</v>
      </c>
      <c r="O481" s="23">
        <f t="shared" si="70"/>
        <v>5.1740000000000006E-3</v>
      </c>
      <c r="Q481" s="23">
        <f ca="1">SUMIF(CPUAUX1!M:M,B464,CPUAUX1!R:R)</f>
        <v>10.348000000000001</v>
      </c>
      <c r="R481" s="23">
        <f t="shared" ca="1" si="71"/>
        <v>2.0696000000000004E-3</v>
      </c>
    </row>
    <row r="482" spans="1:18" ht="30" customHeight="1" x14ac:dyDescent="0.3">
      <c r="A482" s="23" t="s">
        <v>1025</v>
      </c>
      <c r="B482" s="23">
        <v>12895</v>
      </c>
      <c r="C482" s="23" t="str">
        <f>VLOOKUP(B482,IF(A482="COMPOSICAO",S!$A:$E,I!$A:$E),2,FALSE)</f>
        <v>SINAPI</v>
      </c>
      <c r="D482" s="24" t="str">
        <f>VLOOKUP(B482,IF(A482="COMPOSICAO",S!$A:$E,I!$A:$E),3,FALSE)</f>
        <v>CAPACETE DE SEGURANCA ABA FRONTAL COM SUSPENSAO DE POLIETILENO, SEM JUGULAR (CLASSE B)</v>
      </c>
      <c r="E482" s="23" t="str">
        <f>VLOOKUP(B482,IF(A482="COMPOSICAO",S!$A:$E,I!$A:$E),4,FALSE)</f>
        <v>UN</v>
      </c>
      <c r="F482" s="23">
        <v>5.9999999999999995E-4</v>
      </c>
      <c r="G482" s="71">
        <f>IF(A482="COMPOSICAO",VLOOKUP("TOTAL SEM BDI - "&amp;B482,CPUAUX3!$A:$J,9,FALSE),VLOOKUP(B482,I!$A:$E,5,FALSE))</f>
        <v>18.88</v>
      </c>
      <c r="H482" s="72"/>
      <c r="I482" s="71">
        <f t="shared" si="68"/>
        <v>0.01</v>
      </c>
      <c r="J482" s="72"/>
      <c r="M482" s="23">
        <f t="shared" si="69"/>
        <v>12895</v>
      </c>
      <c r="N482" s="23">
        <f>SUMIF(CPUAUX1!M:M,B464,CPUAUX1!O:O)</f>
        <v>25.87</v>
      </c>
      <c r="O482" s="23">
        <f t="shared" si="70"/>
        <v>1.5521999999999999E-2</v>
      </c>
      <c r="Q482" s="23">
        <f ca="1">SUMIF(CPUAUX1!M:M,B464,CPUAUX1!R:R)</f>
        <v>10.348000000000001</v>
      </c>
      <c r="R482" s="23">
        <f t="shared" ca="1" si="71"/>
        <v>6.2087999999999996E-3</v>
      </c>
    </row>
    <row r="483" spans="1:18" x14ac:dyDescent="0.3">
      <c r="A483" s="68" t="str">
        <f>"TOTAL SEM BDI - "&amp;B464</f>
        <v>TOTAL SEM BDI - 10549/ORSE</v>
      </c>
      <c r="B483" s="69"/>
      <c r="C483" s="69"/>
      <c r="D483" s="69"/>
      <c r="E483" s="69"/>
      <c r="F483" s="69"/>
      <c r="G483" s="69"/>
      <c r="H483" s="70"/>
      <c r="I483" s="71">
        <f>SUM(I464:I482)</f>
        <v>3.9599999999999991</v>
      </c>
      <c r="J483" s="72"/>
    </row>
    <row r="485" spans="1:18" x14ac:dyDescent="0.3">
      <c r="A485" s="4" t="s">
        <v>1018</v>
      </c>
      <c r="B485" s="4" t="s">
        <v>138</v>
      </c>
      <c r="C485" s="4" t="s">
        <v>139</v>
      </c>
      <c r="D485" s="4" t="s">
        <v>21</v>
      </c>
      <c r="E485" s="4" t="s">
        <v>140</v>
      </c>
      <c r="F485" s="4" t="s">
        <v>506</v>
      </c>
      <c r="G485" s="34" t="s">
        <v>1019</v>
      </c>
      <c r="H485" s="35"/>
      <c r="I485" s="34" t="s">
        <v>15</v>
      </c>
      <c r="J485" s="35"/>
    </row>
    <row r="486" spans="1:18" x14ac:dyDescent="0.3">
      <c r="A486" s="15" t="s">
        <v>516</v>
      </c>
      <c r="B486" s="15" t="s">
        <v>1135</v>
      </c>
      <c r="C486" s="15" t="str">
        <f>VLOOKUP(B486,S!$A:$G,2,FALSE)</f>
        <v>ORSE</v>
      </c>
      <c r="D486" s="22" t="str">
        <f>VLOOKUP(B486,S!$A:$G,3,FALSE)</f>
        <v>ENCARGOS COMPLEMENTARES - CARPINTEIRO</v>
      </c>
      <c r="E486" s="15" t="str">
        <f>VLOOKUP(B486,S!$A:$G,4,FALSE)</f>
        <v>H</v>
      </c>
      <c r="F486" s="15"/>
      <c r="G486" s="73">
        <f>I507</f>
        <v>3.8299999999999992</v>
      </c>
      <c r="H486" s="74"/>
      <c r="I486" s="73"/>
      <c r="J486" s="74"/>
      <c r="K486" s="16">
        <f>VLOOKUP(B486,S!A:G,5,FALSE)</f>
        <v>3.87</v>
      </c>
      <c r="L486" s="15" t="str">
        <f>IF(K486=G486,"OK, CONFORME TABELA",IF(G486&gt;K486,"ACIMA DA TABELA: ","ABAIXO DA TABELA: ")&amp;TRUNC((G486*100)/K486,2)&amp;" %")</f>
        <v>ABAIXO DA TABELA: 98,96 %</v>
      </c>
    </row>
    <row r="487" spans="1:18" x14ac:dyDescent="0.3">
      <c r="A487" s="23" t="s">
        <v>1025</v>
      </c>
      <c r="B487" s="23" t="s">
        <v>1104</v>
      </c>
      <c r="C487" s="23" t="str">
        <f>VLOOKUP(B487,IF(A487="COMPOSICAO",S!$A:$E,I!$A:$E),2,FALSE)</f>
        <v>ORSE</v>
      </c>
      <c r="D487" s="24" t="str">
        <f>VLOOKUP(B487,IF(A487="COMPOSICAO",S!$A:$E,I!$A:$E),3,FALSE)</f>
        <v>ALMOÇO (PARTICIPAÇÃO DO EMPREGADOR)</v>
      </c>
      <c r="E487" s="23" t="str">
        <f>VLOOKUP(B487,IF(A487="COMPOSICAO",S!$A:$E,I!$A:$E),4,FALSE)</f>
        <v>UN</v>
      </c>
      <c r="F487" s="23">
        <v>0.1018</v>
      </c>
      <c r="G487" s="71">
        <f>IF(A487="COMPOSICAO",VLOOKUP("TOTAL SEM BDI - "&amp;B487,CPUAUX3!$A:$J,9,FALSE),VLOOKUP(B487,I!$A:$E,5,FALSE))</f>
        <v>14</v>
      </c>
      <c r="H487" s="72"/>
      <c r="I487" s="71">
        <f t="shared" ref="I487:I506" si="72">TRUNC(F487*G487,2)</f>
        <v>1.42</v>
      </c>
      <c r="J487" s="72"/>
      <c r="M487" s="23" t="str">
        <f t="shared" ref="M487:M506" si="73">B487</f>
        <v>00158/ORSE</v>
      </c>
      <c r="N487" s="23">
        <f>SUMIF(CPUAUX1!M:M,B486,CPUAUX1!O:O)</f>
        <v>12.648999999999999</v>
      </c>
      <c r="O487" s="23">
        <f t="shared" ref="O487:O506" si="74">F487*N487</f>
        <v>1.2876681999999999</v>
      </c>
      <c r="Q487" s="23">
        <f ca="1">SUMIF(CPUAUX1!M:M,B486,CPUAUX1!R:R)</f>
        <v>5.0595999999999997</v>
      </c>
      <c r="R487" s="23">
        <f t="shared" ref="R487:R506" ca="1" si="75">F487*Q487</f>
        <v>0.51506728000000002</v>
      </c>
    </row>
    <row r="488" spans="1:18" x14ac:dyDescent="0.3">
      <c r="A488" s="23" t="s">
        <v>1025</v>
      </c>
      <c r="B488" s="23" t="s">
        <v>1105</v>
      </c>
      <c r="C488" s="23" t="str">
        <f>VLOOKUP(B488,IF(A488="COMPOSICAO",S!$A:$E,I!$A:$E),2,FALSE)</f>
        <v>ORSE</v>
      </c>
      <c r="D488" s="24" t="str">
        <f>VLOOKUP(B488,IF(A488="COMPOSICAO",S!$A:$E,I!$A:$E),3,FALSE)</f>
        <v>FARDAMENTO COM MANGAS CURTA</v>
      </c>
      <c r="E488" s="23" t="str">
        <f>VLOOKUP(B488,IF(A488="COMPOSICAO",S!$A:$E,I!$A:$E),4,FALSE)</f>
        <v>UN</v>
      </c>
      <c r="F488" s="23">
        <v>1.5E-3</v>
      </c>
      <c r="G488" s="71">
        <f>IF(A488="COMPOSICAO",VLOOKUP("TOTAL SEM BDI - "&amp;B488,CPUAUX3!$A:$J,9,FALSE),VLOOKUP(B488,I!$A:$E,5,FALSE))</f>
        <v>196.71</v>
      </c>
      <c r="H488" s="72"/>
      <c r="I488" s="71">
        <f t="shared" si="72"/>
        <v>0.28999999999999998</v>
      </c>
      <c r="J488" s="72"/>
      <c r="M488" s="23" t="str">
        <f t="shared" si="73"/>
        <v>00941/ORSE</v>
      </c>
      <c r="N488" s="23">
        <f>SUMIF(CPUAUX1!M:M,B486,CPUAUX1!O:O)</f>
        <v>12.648999999999999</v>
      </c>
      <c r="O488" s="23">
        <f t="shared" si="74"/>
        <v>1.8973500000000001E-2</v>
      </c>
      <c r="Q488" s="23">
        <f ca="1">SUMIF(CPUAUX1!M:M,B486,CPUAUX1!R:R)</f>
        <v>5.0595999999999997</v>
      </c>
      <c r="R488" s="23">
        <f t="shared" ca="1" si="75"/>
        <v>7.5893999999999996E-3</v>
      </c>
    </row>
    <row r="489" spans="1:18" x14ac:dyDescent="0.3">
      <c r="A489" s="23" t="s">
        <v>1025</v>
      </c>
      <c r="B489" s="23" t="s">
        <v>1106</v>
      </c>
      <c r="C489" s="23" t="str">
        <f>VLOOKUP(B489,IF(A489="COMPOSICAO",S!$A:$E,I!$A:$E),2,FALSE)</f>
        <v>ORSE</v>
      </c>
      <c r="D489" s="24" t="str">
        <f>VLOOKUP(B489,IF(A489="COMPOSICAO",S!$A:$E,I!$A:$E),3,FALSE)</f>
        <v>ÓCULOS BRANCO PROTEÇÃO</v>
      </c>
      <c r="E489" s="23" t="str">
        <f>VLOOKUP(B489,IF(A489="COMPOSICAO",S!$A:$E,I!$A:$E),4,FALSE)</f>
        <v>PR</v>
      </c>
      <c r="F489" s="23">
        <v>6.9999999999999999E-4</v>
      </c>
      <c r="G489" s="71">
        <f>IF(A489="COMPOSICAO",VLOOKUP("TOTAL SEM BDI - "&amp;B489,CPUAUX3!$A:$J,9,FALSE),VLOOKUP(B489,I!$A:$E,5,FALSE))</f>
        <v>7</v>
      </c>
      <c r="H489" s="72"/>
      <c r="I489" s="71">
        <f t="shared" si="72"/>
        <v>0</v>
      </c>
      <c r="J489" s="72"/>
      <c r="M489" s="23" t="str">
        <f t="shared" si="73"/>
        <v>01651/ORSE</v>
      </c>
      <c r="N489" s="23">
        <f>SUMIF(CPUAUX1!M:M,B486,CPUAUX1!O:O)</f>
        <v>12.648999999999999</v>
      </c>
      <c r="O489" s="23">
        <f t="shared" si="74"/>
        <v>8.854299999999999E-3</v>
      </c>
      <c r="Q489" s="23">
        <f ca="1">SUMIF(CPUAUX1!M:M,B486,CPUAUX1!R:R)</f>
        <v>5.0595999999999997</v>
      </c>
      <c r="R489" s="23">
        <f t="shared" ca="1" si="75"/>
        <v>3.5417199999999999E-3</v>
      </c>
    </row>
    <row r="490" spans="1:18" x14ac:dyDescent="0.3">
      <c r="A490" s="23" t="s">
        <v>1025</v>
      </c>
      <c r="B490" s="23" t="s">
        <v>1107</v>
      </c>
      <c r="C490" s="23" t="str">
        <f>VLOOKUP(B490,IF(A490="COMPOSICAO",S!$A:$E,I!$A:$E),2,FALSE)</f>
        <v>ORSE</v>
      </c>
      <c r="D490" s="24" t="str">
        <f>VLOOKUP(B490,IF(A490="COMPOSICAO",S!$A:$E,I!$A:$E),3,FALSE)</f>
        <v>VALE TRANSPORTE</v>
      </c>
      <c r="E490" s="23" t="str">
        <f>VLOOKUP(B490,IF(A490="COMPOSICAO",S!$A:$E,I!$A:$E),4,FALSE)</f>
        <v>UN</v>
      </c>
      <c r="F490" s="23">
        <v>6.54E-2</v>
      </c>
      <c r="G490" s="71">
        <f>IF(A490="COMPOSICAO",VLOOKUP("TOTAL SEM BDI - "&amp;B490,CPUAUX3!$A:$J,9,FALSE),VLOOKUP(B490,I!$A:$E,5,FALSE))</f>
        <v>4.5</v>
      </c>
      <c r="H490" s="72"/>
      <c r="I490" s="71">
        <f t="shared" si="72"/>
        <v>0.28999999999999998</v>
      </c>
      <c r="J490" s="72"/>
      <c r="M490" s="23" t="str">
        <f t="shared" si="73"/>
        <v>02378/ORSE</v>
      </c>
      <c r="N490" s="23">
        <f>SUMIF(CPUAUX1!M:M,B486,CPUAUX1!O:O)</f>
        <v>12.648999999999999</v>
      </c>
      <c r="O490" s="23">
        <f t="shared" si="74"/>
        <v>0.82724459999999989</v>
      </c>
      <c r="Q490" s="23">
        <f ca="1">SUMIF(CPUAUX1!M:M,B486,CPUAUX1!R:R)</f>
        <v>5.0595999999999997</v>
      </c>
      <c r="R490" s="23">
        <f t="shared" ca="1" si="75"/>
        <v>0.33089784</v>
      </c>
    </row>
    <row r="491" spans="1:18" x14ac:dyDescent="0.3">
      <c r="A491" s="23" t="s">
        <v>1025</v>
      </c>
      <c r="B491" s="23" t="s">
        <v>1110</v>
      </c>
      <c r="C491" s="23" t="str">
        <f>VLOOKUP(B491,IF(A491="COMPOSICAO",S!$A:$E,I!$A:$E),2,FALSE)</f>
        <v>ORSE</v>
      </c>
      <c r="D491" s="24" t="str">
        <f>VLOOKUP(B491,IF(A491="COMPOSICAO",S!$A:$E,I!$A:$E),3,FALSE)</f>
        <v>SEGURO DE VIDA E ACIDENTE EM GRUPO</v>
      </c>
      <c r="E491" s="23" t="str">
        <f>VLOOKUP(B491,IF(A491="COMPOSICAO",S!$A:$E,I!$A:$E),4,FALSE)</f>
        <v>UN</v>
      </c>
      <c r="F491" s="23">
        <v>4.4999999999999997E-3</v>
      </c>
      <c r="G491" s="71">
        <f>IF(A491="COMPOSICAO",VLOOKUP("TOTAL SEM BDI - "&amp;B491,CPUAUX3!$A:$J,9,FALSE),VLOOKUP(B491,I!$A:$E,5,FALSE))</f>
        <v>12.54</v>
      </c>
      <c r="H491" s="72"/>
      <c r="I491" s="71">
        <f t="shared" si="72"/>
        <v>0.05</v>
      </c>
      <c r="J491" s="72"/>
      <c r="M491" s="23" t="str">
        <f t="shared" si="73"/>
        <v>10362/ORSE</v>
      </c>
      <c r="N491" s="23">
        <f>SUMIF(CPUAUX1!M:M,B486,CPUAUX1!O:O)</f>
        <v>12.648999999999999</v>
      </c>
      <c r="O491" s="23">
        <f t="shared" si="74"/>
        <v>5.6920499999999992E-2</v>
      </c>
      <c r="Q491" s="23">
        <f ca="1">SUMIF(CPUAUX1!M:M,B486,CPUAUX1!R:R)</f>
        <v>5.0595999999999997</v>
      </c>
      <c r="R491" s="23">
        <f t="shared" ca="1" si="75"/>
        <v>2.2768199999999995E-2</v>
      </c>
    </row>
    <row r="492" spans="1:18" x14ac:dyDescent="0.3">
      <c r="A492" s="23" t="s">
        <v>1025</v>
      </c>
      <c r="B492" s="23" t="s">
        <v>1111</v>
      </c>
      <c r="C492" s="23" t="str">
        <f>VLOOKUP(B492,IF(A492="COMPOSICAO",S!$A:$E,I!$A:$E),2,FALSE)</f>
        <v>ORSE</v>
      </c>
      <c r="D492" s="24" t="str">
        <f>VLOOKUP(B492,IF(A492="COMPOSICAO",S!$A:$E,I!$A:$E),3,FALSE)</f>
        <v>CESTA BÁSICA</v>
      </c>
      <c r="E492" s="23" t="str">
        <f>VLOOKUP(B492,IF(A492="COMPOSICAO",S!$A:$E,I!$A:$E),4,FALSE)</f>
        <v>UN</v>
      </c>
      <c r="F492" s="23">
        <v>4.4999999999999997E-3</v>
      </c>
      <c r="G492" s="71">
        <f>IF(A492="COMPOSICAO",VLOOKUP("TOTAL SEM BDI - "&amp;B492,CPUAUX3!$A:$J,9,FALSE),VLOOKUP(B492,I!$A:$E,5,FALSE))</f>
        <v>205</v>
      </c>
      <c r="H492" s="72"/>
      <c r="I492" s="71">
        <f t="shared" si="72"/>
        <v>0.92</v>
      </c>
      <c r="J492" s="72"/>
      <c r="M492" s="23" t="str">
        <f t="shared" si="73"/>
        <v>10492/ORSE</v>
      </c>
      <c r="N492" s="23">
        <f>SUMIF(CPUAUX1!M:M,B486,CPUAUX1!O:O)</f>
        <v>12.648999999999999</v>
      </c>
      <c r="O492" s="23">
        <f t="shared" si="74"/>
        <v>5.6920499999999992E-2</v>
      </c>
      <c r="Q492" s="23">
        <f ca="1">SUMIF(CPUAUX1!M:M,B486,CPUAUX1!R:R)</f>
        <v>5.0595999999999997</v>
      </c>
      <c r="R492" s="23">
        <f t="shared" ca="1" si="75"/>
        <v>2.2768199999999995E-2</v>
      </c>
    </row>
    <row r="493" spans="1:18" x14ac:dyDescent="0.3">
      <c r="A493" s="23" t="s">
        <v>1025</v>
      </c>
      <c r="B493" s="23" t="s">
        <v>1112</v>
      </c>
      <c r="C493" s="23" t="str">
        <f>VLOOKUP(B493,IF(A493="COMPOSICAO",S!$A:$E,I!$A:$E),2,FALSE)</f>
        <v>ORSE</v>
      </c>
      <c r="D493" s="24" t="str">
        <f>VLOOKUP(B493,IF(A493="COMPOSICAO",S!$A:$E,I!$A:$E),3,FALSE)</f>
        <v>EXAMES ADMISSIONAIS/DEMISSIONAIS (CHECKUP)</v>
      </c>
      <c r="E493" s="23" t="str">
        <f>VLOOKUP(B493,IF(A493="COMPOSICAO",S!$A:$E,I!$A:$E),4,FALSE)</f>
        <v>CJ</v>
      </c>
      <c r="F493" s="23">
        <v>4.0000000000000002E-4</v>
      </c>
      <c r="G493" s="71">
        <f>IF(A493="COMPOSICAO",VLOOKUP("TOTAL SEM BDI - "&amp;B493,CPUAUX3!$A:$J,9,FALSE),VLOOKUP(B493,I!$A:$E,5,FALSE))</f>
        <v>300</v>
      </c>
      <c r="H493" s="72"/>
      <c r="I493" s="71">
        <f t="shared" si="72"/>
        <v>0.12</v>
      </c>
      <c r="J493" s="72"/>
      <c r="M493" s="23" t="str">
        <f t="shared" si="73"/>
        <v>10517/ORSE</v>
      </c>
      <c r="N493" s="23">
        <f>SUMIF(CPUAUX1!M:M,B486,CPUAUX1!O:O)</f>
        <v>12.648999999999999</v>
      </c>
      <c r="O493" s="23">
        <f t="shared" si="74"/>
        <v>5.0596E-3</v>
      </c>
      <c r="Q493" s="23">
        <f ca="1">SUMIF(CPUAUX1!M:M,B486,CPUAUX1!R:R)</f>
        <v>5.0595999999999997</v>
      </c>
      <c r="R493" s="23">
        <f t="shared" ca="1" si="75"/>
        <v>2.0238399999999998E-3</v>
      </c>
    </row>
    <row r="494" spans="1:18" x14ac:dyDescent="0.3">
      <c r="A494" s="23" t="s">
        <v>1025</v>
      </c>
      <c r="B494" s="23" t="s">
        <v>1142</v>
      </c>
      <c r="C494" s="23" t="str">
        <f>VLOOKUP(B494,IF(A494="COMPOSICAO",S!$A:$E,I!$A:$E),2,FALSE)</f>
        <v>ORSE</v>
      </c>
      <c r="D494" s="24" t="str">
        <f>VLOOKUP(B494,IF(A494="COMPOSICAO",S!$A:$E,I!$A:$E),3,FALSE)</f>
        <v>SERROTE 40CM</v>
      </c>
      <c r="E494" s="23" t="str">
        <f>VLOOKUP(B494,IF(A494="COMPOSICAO",S!$A:$E,I!$A:$E),4,FALSE)</f>
        <v>UN</v>
      </c>
      <c r="F494" s="23">
        <v>1E-4</v>
      </c>
      <c r="G494" s="71">
        <f>IF(A494="COMPOSICAO",VLOOKUP("TOTAL SEM BDI - "&amp;B494,CPUAUX3!$A:$J,9,FALSE),VLOOKUP(B494,I!$A:$E,5,FALSE))</f>
        <v>29.9</v>
      </c>
      <c r="H494" s="72"/>
      <c r="I494" s="71">
        <f t="shared" si="72"/>
        <v>0</v>
      </c>
      <c r="J494" s="72"/>
      <c r="M494" s="23" t="str">
        <f t="shared" si="73"/>
        <v>10577/ORSE</v>
      </c>
      <c r="N494" s="23">
        <f>SUMIF(CPUAUX1!M:M,B486,CPUAUX1!O:O)</f>
        <v>12.648999999999999</v>
      </c>
      <c r="O494" s="23">
        <f t="shared" si="74"/>
        <v>1.2649E-3</v>
      </c>
      <c r="Q494" s="23">
        <f ca="1">SUMIF(CPUAUX1!M:M,B486,CPUAUX1!R:R)</f>
        <v>5.0595999999999997</v>
      </c>
      <c r="R494" s="23">
        <f t="shared" ca="1" si="75"/>
        <v>5.0595999999999996E-4</v>
      </c>
    </row>
    <row r="495" spans="1:18" x14ac:dyDescent="0.3">
      <c r="A495" s="23" t="s">
        <v>1025</v>
      </c>
      <c r="B495" s="23" t="s">
        <v>1143</v>
      </c>
      <c r="C495" s="23" t="str">
        <f>VLOOKUP(B495,IF(A495="COMPOSICAO",S!$A:$E,I!$A:$E),2,FALSE)</f>
        <v>ORSE</v>
      </c>
      <c r="D495" s="24" t="str">
        <f>VLOOKUP(B495,IF(A495="COMPOSICAO",S!$A:$E,I!$A:$E),3,FALSE)</f>
        <v>FORMÃO GRANDE</v>
      </c>
      <c r="E495" s="23" t="str">
        <f>VLOOKUP(B495,IF(A495="COMPOSICAO",S!$A:$E,I!$A:$E),4,FALSE)</f>
        <v>UN</v>
      </c>
      <c r="F495" s="23">
        <v>2.0000000000000001E-4</v>
      </c>
      <c r="G495" s="71">
        <f>IF(A495="COMPOSICAO",VLOOKUP("TOTAL SEM BDI - "&amp;B495,CPUAUX3!$A:$J,9,FALSE),VLOOKUP(B495,I!$A:$E,5,FALSE))</f>
        <v>15.15</v>
      </c>
      <c r="H495" s="72"/>
      <c r="I495" s="71">
        <f t="shared" si="72"/>
        <v>0</v>
      </c>
      <c r="J495" s="72"/>
      <c r="M495" s="23" t="str">
        <f t="shared" si="73"/>
        <v>10578/ORSE</v>
      </c>
      <c r="N495" s="23">
        <f>SUMIF(CPUAUX1!M:M,B486,CPUAUX1!O:O)</f>
        <v>12.648999999999999</v>
      </c>
      <c r="O495" s="23">
        <f t="shared" si="74"/>
        <v>2.5298E-3</v>
      </c>
      <c r="Q495" s="23">
        <f ca="1">SUMIF(CPUAUX1!M:M,B486,CPUAUX1!R:R)</f>
        <v>5.0595999999999997</v>
      </c>
      <c r="R495" s="23">
        <f t="shared" ca="1" si="75"/>
        <v>1.0119199999999999E-3</v>
      </c>
    </row>
    <row r="496" spans="1:18" x14ac:dyDescent="0.3">
      <c r="A496" s="23" t="s">
        <v>1025</v>
      </c>
      <c r="B496" s="23" t="s">
        <v>1117</v>
      </c>
      <c r="C496" s="23" t="str">
        <f>VLOOKUP(B496,IF(A496="COMPOSICAO",S!$A:$E,I!$A:$E),2,FALSE)</f>
        <v>ORSE</v>
      </c>
      <c r="D496" s="24" t="str">
        <f>VLOOKUP(B496,IF(A496="COMPOSICAO",S!$A:$E,I!$A:$E),3,FALSE)</f>
        <v>CHAVE DE FENDA CHATA 30 CM</v>
      </c>
      <c r="E496" s="23" t="str">
        <f>VLOOKUP(B496,IF(A496="COMPOSICAO",S!$A:$E,I!$A:$E),4,FALSE)</f>
        <v>UN</v>
      </c>
      <c r="F496" s="23">
        <v>2.0000000000000001E-4</v>
      </c>
      <c r="G496" s="71">
        <f>IF(A496="COMPOSICAO",VLOOKUP("TOTAL SEM BDI - "&amp;B496,CPUAUX3!$A:$J,9,FALSE),VLOOKUP(B496,I!$A:$E,5,FALSE))</f>
        <v>26.89</v>
      </c>
      <c r="H496" s="72"/>
      <c r="I496" s="71">
        <f t="shared" si="72"/>
        <v>0</v>
      </c>
      <c r="J496" s="72"/>
      <c r="M496" s="23" t="str">
        <f t="shared" si="73"/>
        <v>10579/ORSE</v>
      </c>
      <c r="N496" s="23">
        <f>SUMIF(CPUAUX1!M:M,B486,CPUAUX1!O:O)</f>
        <v>12.648999999999999</v>
      </c>
      <c r="O496" s="23">
        <f t="shared" si="74"/>
        <v>2.5298E-3</v>
      </c>
      <c r="Q496" s="23">
        <f ca="1">SUMIF(CPUAUX1!M:M,B486,CPUAUX1!R:R)</f>
        <v>5.0595999999999997</v>
      </c>
      <c r="R496" s="23">
        <f t="shared" ca="1" si="75"/>
        <v>1.0119199999999999E-3</v>
      </c>
    </row>
    <row r="497" spans="1:18" x14ac:dyDescent="0.3">
      <c r="A497" s="23" t="s">
        <v>1025</v>
      </c>
      <c r="B497" s="23" t="s">
        <v>1113</v>
      </c>
      <c r="C497" s="23" t="str">
        <f>VLOOKUP(B497,IF(A497="COMPOSICAO",S!$A:$E,I!$A:$E),2,FALSE)</f>
        <v>ORSE</v>
      </c>
      <c r="D497" s="24" t="str">
        <f>VLOOKUP(B497,IF(A497="COMPOSICAO",S!$A:$E,I!$A:$E),3,FALSE)</f>
        <v>PROTETOR AURICULAR</v>
      </c>
      <c r="E497" s="23" t="str">
        <f>VLOOKUP(B497,IF(A497="COMPOSICAO",S!$A:$E,I!$A:$E),4,FALSE)</f>
        <v>UN</v>
      </c>
      <c r="F497" s="23">
        <v>4.4999999999999997E-3</v>
      </c>
      <c r="G497" s="71">
        <f>IF(A497="COMPOSICAO",VLOOKUP("TOTAL SEM BDI - "&amp;B497,CPUAUX3!$A:$J,9,FALSE),VLOOKUP(B497,I!$A:$E,5,FALSE))</f>
        <v>4.9000000000000004</v>
      </c>
      <c r="H497" s="72"/>
      <c r="I497" s="71">
        <f t="shared" si="72"/>
        <v>0.02</v>
      </c>
      <c r="J497" s="72"/>
      <c r="M497" s="23" t="str">
        <f t="shared" si="73"/>
        <v>10596/ORSE</v>
      </c>
      <c r="N497" s="23">
        <f>SUMIF(CPUAUX1!M:M,B486,CPUAUX1!O:O)</f>
        <v>12.648999999999999</v>
      </c>
      <c r="O497" s="23">
        <f t="shared" si="74"/>
        <v>5.6920499999999992E-2</v>
      </c>
      <c r="Q497" s="23">
        <f ca="1">SUMIF(CPUAUX1!M:M,B486,CPUAUX1!R:R)</f>
        <v>5.0595999999999997</v>
      </c>
      <c r="R497" s="23">
        <f t="shared" ca="1" si="75"/>
        <v>2.2768199999999995E-2</v>
      </c>
    </row>
    <row r="498" spans="1:18" x14ac:dyDescent="0.3">
      <c r="A498" s="23" t="s">
        <v>1025</v>
      </c>
      <c r="B498" s="23" t="s">
        <v>1114</v>
      </c>
      <c r="C498" s="23" t="str">
        <f>VLOOKUP(B498,IF(A498="COMPOSICAO",S!$A:$E,I!$A:$E),2,FALSE)</f>
        <v>ORSE</v>
      </c>
      <c r="D498" s="24" t="str">
        <f>VLOOKUP(B498,IF(A498="COMPOSICAO",S!$A:$E,I!$A:$E),3,FALSE)</f>
        <v>PROTETOR SOLAR FPS 30 COM 120ML</v>
      </c>
      <c r="E498" s="23" t="str">
        <f>VLOOKUP(B498,IF(A498="COMPOSICAO",S!$A:$E,I!$A:$E),4,FALSE)</f>
        <v>UN</v>
      </c>
      <c r="F498" s="23">
        <v>1.8E-3</v>
      </c>
      <c r="G498" s="71">
        <f>IF(A498="COMPOSICAO",VLOOKUP("TOTAL SEM BDI - "&amp;B498,CPUAUX3!$A:$J,9,FALSE),VLOOKUP(B498,I!$A:$E,5,FALSE))</f>
        <v>18</v>
      </c>
      <c r="H498" s="72"/>
      <c r="I498" s="71">
        <f t="shared" si="72"/>
        <v>0.03</v>
      </c>
      <c r="J498" s="72"/>
      <c r="M498" s="23" t="str">
        <f t="shared" si="73"/>
        <v>10599/ORSE</v>
      </c>
      <c r="N498" s="23">
        <f>SUMIF(CPUAUX1!M:M,B486,CPUAUX1!O:O)</f>
        <v>12.648999999999999</v>
      </c>
      <c r="O498" s="23">
        <f t="shared" si="74"/>
        <v>2.2768199999999999E-2</v>
      </c>
      <c r="Q498" s="23">
        <f ca="1">SUMIF(CPUAUX1!M:M,B486,CPUAUX1!R:R)</f>
        <v>5.0595999999999997</v>
      </c>
      <c r="R498" s="23">
        <f t="shared" ca="1" si="75"/>
        <v>9.1072799999999988E-3</v>
      </c>
    </row>
    <row r="499" spans="1:18" ht="30" customHeight="1" x14ac:dyDescent="0.3">
      <c r="A499" s="23" t="s">
        <v>1025</v>
      </c>
      <c r="B499" s="23" t="s">
        <v>1115</v>
      </c>
      <c r="C499" s="23" t="str">
        <f>VLOOKUP(B499,IF(A499="COMPOSICAO",S!$A:$E,I!$A:$E),2,FALSE)</f>
        <v>ORSE</v>
      </c>
      <c r="D499" s="24" t="str">
        <f>VLOOKUP(B499,IF(A499="COMPOSICAO",S!$A:$E,I!$A:$E),3,FALSE)</f>
        <v>REFEIÇÃO - CAFÉ DA MANHÃ ( CAFÉ COM LEITE E DOIS PÃES COM MANTEIGA)</v>
      </c>
      <c r="E499" s="23" t="str">
        <f>VLOOKUP(B499,IF(A499="COMPOSICAO",S!$A:$E,I!$A:$E),4,FALSE)</f>
        <v>UN</v>
      </c>
      <c r="F499" s="23">
        <v>0.1018</v>
      </c>
      <c r="G499" s="71">
        <f>IF(A499="COMPOSICAO",VLOOKUP("TOTAL SEM BDI - "&amp;B499,CPUAUX3!$A:$J,9,FALSE),VLOOKUP(B499,I!$A:$E,5,FALSE))</f>
        <v>5</v>
      </c>
      <c r="H499" s="72"/>
      <c r="I499" s="71">
        <f t="shared" si="72"/>
        <v>0.5</v>
      </c>
      <c r="J499" s="72"/>
      <c r="M499" s="23" t="str">
        <f t="shared" si="73"/>
        <v>10761/ORSE</v>
      </c>
      <c r="N499" s="23">
        <f>SUMIF(CPUAUX1!M:M,B486,CPUAUX1!O:O)</f>
        <v>12.648999999999999</v>
      </c>
      <c r="O499" s="23">
        <f t="shared" si="74"/>
        <v>1.2876681999999999</v>
      </c>
      <c r="Q499" s="23">
        <f ca="1">SUMIF(CPUAUX1!M:M,B486,CPUAUX1!R:R)</f>
        <v>5.0595999999999997</v>
      </c>
      <c r="R499" s="23">
        <f t="shared" ca="1" si="75"/>
        <v>0.51506728000000002</v>
      </c>
    </row>
    <row r="500" spans="1:18" x14ac:dyDescent="0.3">
      <c r="A500" s="23" t="s">
        <v>1025</v>
      </c>
      <c r="B500" s="23" t="s">
        <v>1144</v>
      </c>
      <c r="C500" s="23" t="str">
        <f>VLOOKUP(B500,IF(A500="COMPOSICAO",S!$A:$E,I!$A:$E),2,FALSE)</f>
        <v>ORSE</v>
      </c>
      <c r="D500" s="24" t="str">
        <f>VLOOKUP(B500,IF(A500="COMPOSICAO",S!$A:$E,I!$A:$E),3,FALSE)</f>
        <v>MARTELO COM UNHA</v>
      </c>
      <c r="E500" s="23" t="str">
        <f>VLOOKUP(B500,IF(A500="COMPOSICAO",S!$A:$E,I!$A:$E),4,FALSE)</f>
        <v>UN</v>
      </c>
      <c r="F500" s="23">
        <v>2.0000000000000001E-4</v>
      </c>
      <c r="G500" s="71">
        <f>IF(A500="COMPOSICAO",VLOOKUP("TOTAL SEM BDI - "&amp;B500,CPUAUX3!$A:$J,9,FALSE),VLOOKUP(B500,I!$A:$E,5,FALSE))</f>
        <v>48.95</v>
      </c>
      <c r="H500" s="72"/>
      <c r="I500" s="71">
        <f t="shared" si="72"/>
        <v>0</v>
      </c>
      <c r="J500" s="72"/>
      <c r="M500" s="23" t="str">
        <f t="shared" si="73"/>
        <v>11244/ORSE</v>
      </c>
      <c r="N500" s="23">
        <f>SUMIF(CPUAUX1!M:M,B486,CPUAUX1!O:O)</f>
        <v>12.648999999999999</v>
      </c>
      <c r="O500" s="23">
        <f t="shared" si="74"/>
        <v>2.5298E-3</v>
      </c>
      <c r="Q500" s="23">
        <f ca="1">SUMIF(CPUAUX1!M:M,B486,CPUAUX1!R:R)</f>
        <v>5.0595999999999997</v>
      </c>
      <c r="R500" s="23">
        <f t="shared" ca="1" si="75"/>
        <v>1.0119199999999999E-3</v>
      </c>
    </row>
    <row r="501" spans="1:18" ht="30" customHeight="1" x14ac:dyDescent="0.3">
      <c r="A501" s="23" t="s">
        <v>1025</v>
      </c>
      <c r="B501" s="23" t="s">
        <v>1145</v>
      </c>
      <c r="C501" s="23" t="str">
        <f>VLOOKUP(B501,IF(A501="COMPOSICAO",S!$A:$E,I!$A:$E),2,FALSE)</f>
        <v>ORSE</v>
      </c>
      <c r="D501" s="24" t="str">
        <f>VLOOKUP(B501,IF(A501="COMPOSICAO",S!$A:$E,I!$A:$E),3,FALSE)</f>
        <v>FURADEIRA E PARAFUSADEIRA ELETRICA BOSCH OU SIMILAR PROFISSIONAL</v>
      </c>
      <c r="E501" s="23" t="str">
        <f>VLOOKUP(B501,IF(A501="COMPOSICAO",S!$A:$E,I!$A:$E),4,FALSE)</f>
        <v>UN</v>
      </c>
      <c r="F501" s="23">
        <v>1E-4</v>
      </c>
      <c r="G501" s="71">
        <f>IF(A501="COMPOSICAO",VLOOKUP("TOTAL SEM BDI - "&amp;B501,CPUAUX3!$A:$J,9,FALSE),VLOOKUP(B501,I!$A:$E,5,FALSE))</f>
        <v>246</v>
      </c>
      <c r="H501" s="72"/>
      <c r="I501" s="71">
        <f t="shared" si="72"/>
        <v>0.02</v>
      </c>
      <c r="J501" s="72"/>
      <c r="M501" s="23" t="str">
        <f t="shared" si="73"/>
        <v>11248/ORSE</v>
      </c>
      <c r="N501" s="23">
        <f>SUMIF(CPUAUX1!M:M,B486,CPUAUX1!O:O)</f>
        <v>12.648999999999999</v>
      </c>
      <c r="O501" s="23">
        <f t="shared" si="74"/>
        <v>1.2649E-3</v>
      </c>
      <c r="Q501" s="23">
        <f ca="1">SUMIF(CPUAUX1!M:M,B486,CPUAUX1!R:R)</f>
        <v>5.0595999999999997</v>
      </c>
      <c r="R501" s="23">
        <f t="shared" ca="1" si="75"/>
        <v>5.0595999999999996E-4</v>
      </c>
    </row>
    <row r="502" spans="1:18" x14ac:dyDescent="0.3">
      <c r="A502" s="23" t="s">
        <v>1025</v>
      </c>
      <c r="B502" s="23" t="s">
        <v>1146</v>
      </c>
      <c r="C502" s="23" t="str">
        <f>VLOOKUP(B502,IF(A502="COMPOSICAO",S!$A:$E,I!$A:$E),2,FALSE)</f>
        <v>ORSE</v>
      </c>
      <c r="D502" s="24" t="str">
        <f>VLOOKUP(B502,IF(A502="COMPOSICAO",S!$A:$E,I!$A:$E),3,FALSE)</f>
        <v>SERRA CIRCULAR ELETRICA PORTATIL</v>
      </c>
      <c r="E502" s="23" t="str">
        <f>VLOOKUP(B502,IF(A502="COMPOSICAO",S!$A:$E,I!$A:$E),4,FALSE)</f>
        <v>UN</v>
      </c>
      <c r="F502" s="23">
        <v>1E-4</v>
      </c>
      <c r="G502" s="71">
        <f>IF(A502="COMPOSICAO",VLOOKUP("TOTAL SEM BDI - "&amp;B502,CPUAUX3!$A:$J,9,FALSE),VLOOKUP(B502,I!$A:$E,5,FALSE))</f>
        <v>617.95000000000005</v>
      </c>
      <c r="H502" s="72"/>
      <c r="I502" s="71">
        <f t="shared" si="72"/>
        <v>0.06</v>
      </c>
      <c r="J502" s="72"/>
      <c r="M502" s="23" t="str">
        <f t="shared" si="73"/>
        <v>11249/ORSE</v>
      </c>
      <c r="N502" s="23">
        <f>SUMIF(CPUAUX1!M:M,B486,CPUAUX1!O:O)</f>
        <v>12.648999999999999</v>
      </c>
      <c r="O502" s="23">
        <f t="shared" si="74"/>
        <v>1.2649E-3</v>
      </c>
      <c r="Q502" s="23">
        <f ca="1">SUMIF(CPUAUX1!M:M,B486,CPUAUX1!R:R)</f>
        <v>5.0595999999999997</v>
      </c>
      <c r="R502" s="23">
        <f t="shared" ca="1" si="75"/>
        <v>5.0595999999999996E-4</v>
      </c>
    </row>
    <row r="503" spans="1:18" ht="30" customHeight="1" x14ac:dyDescent="0.3">
      <c r="A503" s="23" t="s">
        <v>1025</v>
      </c>
      <c r="B503" s="23">
        <v>12892</v>
      </c>
      <c r="C503" s="23" t="str">
        <f>VLOOKUP(B503,IF(A503="COMPOSICAO",S!$A:$E,I!$A:$E),2,FALSE)</f>
        <v>SINAPI</v>
      </c>
      <c r="D503" s="24" t="str">
        <f>VLOOKUP(B503,IF(A503="COMPOSICAO",S!$A:$E,I!$A:$E),3,FALSE)</f>
        <v>LUVA RASPA DE COURO, CANO CURTO (PUNHO *7* CM)</v>
      </c>
      <c r="E503" s="23" t="str">
        <f>VLOOKUP(B503,IF(A503="COMPOSICAO",S!$A:$E,I!$A:$E),4,FALSE)</f>
        <v>PAR</v>
      </c>
      <c r="F503" s="23">
        <v>2.3E-3</v>
      </c>
      <c r="G503" s="71">
        <f>IF(A503="COMPOSICAO",VLOOKUP("TOTAL SEM BDI - "&amp;B503,CPUAUX3!$A:$J,9,FALSE),VLOOKUP(B503,I!$A:$E,5,FALSE))</f>
        <v>15.21</v>
      </c>
      <c r="H503" s="72"/>
      <c r="I503" s="71">
        <f t="shared" si="72"/>
        <v>0.03</v>
      </c>
      <c r="J503" s="72"/>
      <c r="M503" s="23">
        <f t="shared" si="73"/>
        <v>12892</v>
      </c>
      <c r="N503" s="23">
        <f>SUMIF(CPUAUX1!M:M,B486,CPUAUX1!O:O)</f>
        <v>12.648999999999999</v>
      </c>
      <c r="O503" s="23">
        <f t="shared" si="74"/>
        <v>2.9092699999999999E-2</v>
      </c>
      <c r="Q503" s="23">
        <f ca="1">SUMIF(CPUAUX1!M:M,B486,CPUAUX1!R:R)</f>
        <v>5.0595999999999997</v>
      </c>
      <c r="R503" s="23">
        <f t="shared" ca="1" si="75"/>
        <v>1.1637079999999999E-2</v>
      </c>
    </row>
    <row r="504" spans="1:18" ht="30" customHeight="1" x14ac:dyDescent="0.3">
      <c r="A504" s="23" t="s">
        <v>1025</v>
      </c>
      <c r="B504" s="23">
        <v>12893</v>
      </c>
      <c r="C504" s="23" t="str">
        <f>VLOOKUP(B504,IF(A504="COMPOSICAO",S!$A:$E,I!$A:$E),2,FALSE)</f>
        <v>SINAPI</v>
      </c>
      <c r="D504" s="24" t="str">
        <f>VLOOKUP(B504,IF(A504="COMPOSICAO",S!$A:$E,I!$A:$E),3,FALSE)</f>
        <v>BOTA DE SEGURANCA COM BIQUEIRA DE ACO E COLARINHO ACOLCHOADO</v>
      </c>
      <c r="E504" s="23" t="str">
        <f>VLOOKUP(B504,IF(A504="COMPOSICAO",S!$A:$E,I!$A:$E),4,FALSE)</f>
        <v>PAR</v>
      </c>
      <c r="F504" s="23">
        <v>6.9999999999999999E-4</v>
      </c>
      <c r="G504" s="71">
        <f>IF(A504="COMPOSICAO",VLOOKUP("TOTAL SEM BDI - "&amp;B504,CPUAUX3!$A:$J,9,FALSE),VLOOKUP(B504,I!$A:$E,5,FALSE))</f>
        <v>103.39</v>
      </c>
      <c r="H504" s="72"/>
      <c r="I504" s="71">
        <f t="shared" si="72"/>
        <v>7.0000000000000007E-2</v>
      </c>
      <c r="J504" s="72"/>
      <c r="M504" s="23">
        <f t="shared" si="73"/>
        <v>12893</v>
      </c>
      <c r="N504" s="23">
        <f>SUMIF(CPUAUX1!M:M,B486,CPUAUX1!O:O)</f>
        <v>12.648999999999999</v>
      </c>
      <c r="O504" s="23">
        <f t="shared" si="74"/>
        <v>8.854299999999999E-3</v>
      </c>
      <c r="Q504" s="23">
        <f ca="1">SUMIF(CPUAUX1!M:M,B486,CPUAUX1!R:R)</f>
        <v>5.0595999999999997</v>
      </c>
      <c r="R504" s="23">
        <f t="shared" ca="1" si="75"/>
        <v>3.5417199999999999E-3</v>
      </c>
    </row>
    <row r="505" spans="1:18" ht="30" customHeight="1" x14ac:dyDescent="0.3">
      <c r="A505" s="23" t="s">
        <v>1025</v>
      </c>
      <c r="B505" s="23">
        <v>12894</v>
      </c>
      <c r="C505" s="23" t="str">
        <f>VLOOKUP(B505,IF(A505="COMPOSICAO",S!$A:$E,I!$A:$E),2,FALSE)</f>
        <v>SINAPI</v>
      </c>
      <c r="D505" s="24" t="str">
        <f>VLOOKUP(B505,IF(A505="COMPOSICAO",S!$A:$E,I!$A:$E),3,FALSE)</f>
        <v>CAPA PARA CHUVA EM PVC COM FORRO DE POLIESTER, COM CAPUZ (AMARELA OU AZUL)</v>
      </c>
      <c r="E505" s="23" t="str">
        <f>VLOOKUP(B505,IF(A505="COMPOSICAO",S!$A:$E,I!$A:$E),4,FALSE)</f>
        <v>UN</v>
      </c>
      <c r="F505" s="23">
        <v>2.0000000000000001E-4</v>
      </c>
      <c r="G505" s="71">
        <f>IF(A505="COMPOSICAO",VLOOKUP("TOTAL SEM BDI - "&amp;B505,CPUAUX3!$A:$J,9,FALSE),VLOOKUP(B505,I!$A:$E,5,FALSE))</f>
        <v>28.12</v>
      </c>
      <c r="H505" s="72"/>
      <c r="I505" s="71">
        <f t="shared" si="72"/>
        <v>0</v>
      </c>
      <c r="J505" s="72"/>
      <c r="M505" s="23">
        <f t="shared" si="73"/>
        <v>12894</v>
      </c>
      <c r="N505" s="23">
        <f>SUMIF(CPUAUX1!M:M,B486,CPUAUX1!O:O)</f>
        <v>12.648999999999999</v>
      </c>
      <c r="O505" s="23">
        <f t="shared" si="74"/>
        <v>2.5298E-3</v>
      </c>
      <c r="Q505" s="23">
        <f ca="1">SUMIF(CPUAUX1!M:M,B486,CPUAUX1!R:R)</f>
        <v>5.0595999999999997</v>
      </c>
      <c r="R505" s="23">
        <f t="shared" ca="1" si="75"/>
        <v>1.0119199999999999E-3</v>
      </c>
    </row>
    <row r="506" spans="1:18" ht="30" customHeight="1" x14ac:dyDescent="0.3">
      <c r="A506" s="23" t="s">
        <v>1025</v>
      </c>
      <c r="B506" s="23">
        <v>12895</v>
      </c>
      <c r="C506" s="23" t="str">
        <f>VLOOKUP(B506,IF(A506="COMPOSICAO",S!$A:$E,I!$A:$E),2,FALSE)</f>
        <v>SINAPI</v>
      </c>
      <c r="D506" s="24" t="str">
        <f>VLOOKUP(B506,IF(A506="COMPOSICAO",S!$A:$E,I!$A:$E),3,FALSE)</f>
        <v>CAPACETE DE SEGURANCA ABA FRONTAL COM SUSPENSAO DE POLIETILENO, SEM JUGULAR (CLASSE B)</v>
      </c>
      <c r="E506" s="23" t="str">
        <f>VLOOKUP(B506,IF(A506="COMPOSICAO",S!$A:$E,I!$A:$E),4,FALSE)</f>
        <v>UN</v>
      </c>
      <c r="F506" s="23">
        <v>5.9999999999999995E-4</v>
      </c>
      <c r="G506" s="71">
        <f>IF(A506="COMPOSICAO",VLOOKUP("TOTAL SEM BDI - "&amp;B506,CPUAUX3!$A:$J,9,FALSE),VLOOKUP(B506,I!$A:$E,5,FALSE))</f>
        <v>18.88</v>
      </c>
      <c r="H506" s="72"/>
      <c r="I506" s="71">
        <f t="shared" si="72"/>
        <v>0.01</v>
      </c>
      <c r="J506" s="72"/>
      <c r="M506" s="23">
        <f t="shared" si="73"/>
        <v>12895</v>
      </c>
      <c r="N506" s="23">
        <f>SUMIF(CPUAUX1!M:M,B486,CPUAUX1!O:O)</f>
        <v>12.648999999999999</v>
      </c>
      <c r="O506" s="23">
        <f t="shared" si="74"/>
        <v>7.5893999999999988E-3</v>
      </c>
      <c r="Q506" s="23">
        <f ca="1">SUMIF(CPUAUX1!M:M,B486,CPUAUX1!R:R)</f>
        <v>5.0595999999999997</v>
      </c>
      <c r="R506" s="23">
        <f t="shared" ca="1" si="75"/>
        <v>3.0357599999999993E-3</v>
      </c>
    </row>
    <row r="507" spans="1:18" x14ac:dyDescent="0.3">
      <c r="A507" s="68" t="str">
        <f>"TOTAL SEM BDI - "&amp;B486</f>
        <v>TOTAL SEM BDI - 10551/ORSE</v>
      </c>
      <c r="B507" s="69"/>
      <c r="C507" s="69"/>
      <c r="D507" s="69"/>
      <c r="E507" s="69"/>
      <c r="F507" s="69"/>
      <c r="G507" s="69"/>
      <c r="H507" s="70"/>
      <c r="I507" s="71">
        <f>SUM(I486:I506)</f>
        <v>3.8299999999999992</v>
      </c>
      <c r="J507" s="72"/>
    </row>
    <row r="509" spans="1:18" x14ac:dyDescent="0.3">
      <c r="A509" s="4" t="s">
        <v>1018</v>
      </c>
      <c r="B509" s="4" t="s">
        <v>138</v>
      </c>
      <c r="C509" s="4" t="s">
        <v>139</v>
      </c>
      <c r="D509" s="4" t="s">
        <v>21</v>
      </c>
      <c r="E509" s="4" t="s">
        <v>140</v>
      </c>
      <c r="F509" s="4" t="s">
        <v>506</v>
      </c>
      <c r="G509" s="34" t="s">
        <v>1019</v>
      </c>
      <c r="H509" s="35"/>
      <c r="I509" s="34" t="s">
        <v>15</v>
      </c>
      <c r="J509" s="35"/>
    </row>
    <row r="510" spans="1:18" ht="30" customHeight="1" x14ac:dyDescent="0.3">
      <c r="A510" s="15" t="s">
        <v>516</v>
      </c>
      <c r="B510" s="15" t="s">
        <v>1136</v>
      </c>
      <c r="C510" s="15" t="str">
        <f>VLOOKUP(B510,S!$A:$G,2,FALSE)</f>
        <v>ORSE</v>
      </c>
      <c r="D510" s="22" t="str">
        <f>VLOOKUP(B510,S!$A:$G,3,FALSE)</f>
        <v>CONCRETO SIMPLES FCK= 15 MPA (B1/B2), FABRICADO NA OBRA, SEM LANÇAMENTO E ADENSAMENTO</v>
      </c>
      <c r="E510" s="15" t="str">
        <f>VLOOKUP(B510,S!$A:$G,4,FALSE)</f>
        <v>M3</v>
      </c>
      <c r="F510" s="15"/>
      <c r="G510" s="73">
        <f>I517</f>
        <v>702.66</v>
      </c>
      <c r="H510" s="74"/>
      <c r="I510" s="73"/>
      <c r="J510" s="74"/>
      <c r="K510" s="16">
        <f>VLOOKUP(B510,S!A:G,5,FALSE)</f>
        <v>542.05999999999995</v>
      </c>
      <c r="L510" s="15" t="str">
        <f>IF(K510=G510,"OK, CONFORME TABELA",IF(G510&gt;K510,"ACIMA DA TABELA: ","ABAIXO DA TABELA: ")&amp;TRUNC((G510*100)/K510,2)&amp;" %")</f>
        <v>ACIMA DA TABELA: 129,62 %</v>
      </c>
    </row>
    <row r="511" spans="1:18" ht="30" customHeight="1" x14ac:dyDescent="0.3">
      <c r="A511" s="23" t="s">
        <v>1025</v>
      </c>
      <c r="B511" s="23">
        <v>367</v>
      </c>
      <c r="C511" s="23" t="str">
        <f>VLOOKUP(B511,IF(A511="COMPOSICAO",S!$A:$E,I!$A:$E),2,FALSE)</f>
        <v>SINAPI</v>
      </c>
      <c r="D511" s="24" t="str">
        <f>VLOOKUP(B511,IF(A511="COMPOSICAO",S!$A:$E,I!$A:$E),3,FALSE)</f>
        <v>AREIA GROSSA - POSTO JAZIDA/FORNECEDOR (RETIRADO NA JAZIDA, SEM TRANSPORTE)</v>
      </c>
      <c r="E511" s="23" t="str">
        <f>VLOOKUP(B511,IF(A511="COMPOSICAO",S!$A:$E,I!$A:$E),4,FALSE)</f>
        <v>M3</v>
      </c>
      <c r="F511" s="23">
        <v>0.91300000000000003</v>
      </c>
      <c r="G511" s="71">
        <f>IF(A511="COMPOSICAO",VLOOKUP("TOTAL SEM BDI - "&amp;B511,CPUAUX3!$A:$J,9,FALSE),VLOOKUP(B511,I!$A:$E,5,FALSE))</f>
        <v>96.24</v>
      </c>
      <c r="H511" s="72"/>
      <c r="I511" s="71">
        <f t="shared" ref="I511:I516" si="76">TRUNC(F511*G511,2)</f>
        <v>87.86</v>
      </c>
      <c r="J511" s="72"/>
      <c r="M511" s="23">
        <f t="shared" ref="M511:M516" si="77">B511</f>
        <v>367</v>
      </c>
      <c r="N511" s="23">
        <f>SUMIF(CPUAUX1!M:M,B510,CPUAUX1!O:O)</f>
        <v>1.3</v>
      </c>
      <c r="O511" s="23">
        <f t="shared" ref="O511:O516" si="78">F511*N511</f>
        <v>1.1869000000000001</v>
      </c>
      <c r="Q511" s="23">
        <f ca="1">SUMIF(CPUAUX1!M:M,B510,CPUAUX1!R:R)</f>
        <v>0.52</v>
      </c>
      <c r="R511" s="23">
        <f t="shared" ref="R511:R516" ca="1" si="79">F511*Q511</f>
        <v>0.47476000000000002</v>
      </c>
    </row>
    <row r="512" spans="1:18" x14ac:dyDescent="0.3">
      <c r="A512" s="23" t="s">
        <v>1025</v>
      </c>
      <c r="B512" s="23">
        <v>1379</v>
      </c>
      <c r="C512" s="23" t="str">
        <f>VLOOKUP(B512,IF(A512="COMPOSICAO",S!$A:$E,I!$A:$E),2,FALSE)</f>
        <v>SINAPI</v>
      </c>
      <c r="D512" s="24" t="str">
        <f>VLOOKUP(B512,IF(A512="COMPOSICAO",S!$A:$E,I!$A:$E),3,FALSE)</f>
        <v>CIMENTO PORTLAND COMPOSTO CP II-32</v>
      </c>
      <c r="E512" s="23" t="str">
        <f>VLOOKUP(B512,IF(A512="COMPOSICAO",S!$A:$E,I!$A:$E),4,FALSE)</f>
        <v>KG</v>
      </c>
      <c r="F512" s="23">
        <v>293</v>
      </c>
      <c r="G512" s="71">
        <f>IF(A512="COMPOSICAO",VLOOKUP("TOTAL SEM BDI - "&amp;B512,CPUAUX3!$A:$J,9,FALSE),VLOOKUP(B512,I!$A:$E,5,FALSE))</f>
        <v>1</v>
      </c>
      <c r="H512" s="72"/>
      <c r="I512" s="71">
        <f t="shared" si="76"/>
        <v>293</v>
      </c>
      <c r="J512" s="72"/>
      <c r="M512" s="23">
        <f t="shared" si="77"/>
        <v>1379</v>
      </c>
      <c r="N512" s="23">
        <f>SUMIF(CPUAUX1!M:M,B510,CPUAUX1!O:O)</f>
        <v>1.3</v>
      </c>
      <c r="O512" s="23">
        <f t="shared" si="78"/>
        <v>380.90000000000003</v>
      </c>
      <c r="Q512" s="23">
        <f ca="1">SUMIF(CPUAUX1!M:M,B510,CPUAUX1!R:R)</f>
        <v>0.52</v>
      </c>
      <c r="R512" s="23">
        <f t="shared" ca="1" si="79"/>
        <v>152.36000000000001</v>
      </c>
    </row>
    <row r="513" spans="1:18" ht="30" customHeight="1" x14ac:dyDescent="0.3">
      <c r="A513" s="23" t="s">
        <v>1025</v>
      </c>
      <c r="B513" s="23">
        <v>4718</v>
      </c>
      <c r="C513" s="23" t="str">
        <f>VLOOKUP(B513,IF(A513="COMPOSICAO",S!$A:$E,I!$A:$E),2,FALSE)</f>
        <v>SINAPI</v>
      </c>
      <c r="D513" s="24" t="str">
        <f>VLOOKUP(B513,IF(A513="COMPOSICAO",S!$A:$E,I!$A:$E),3,FALSE)</f>
        <v>PEDRA BRITADA N. 2 (19 A 38 MM) POSTO PEDREIRA/FORNECEDOR, SEM FRETE</v>
      </c>
      <c r="E513" s="23" t="str">
        <f>VLOOKUP(B513,IF(A513="COMPOSICAO",S!$A:$E,I!$A:$E),4,FALSE)</f>
        <v>M3</v>
      </c>
      <c r="F513" s="23">
        <v>0.627</v>
      </c>
      <c r="G513" s="71">
        <f>IF(A513="COMPOSICAO",VLOOKUP("TOTAL SEM BDI - "&amp;B513,CPUAUX3!$A:$J,9,FALSE),VLOOKUP(B513,I!$A:$E,5,FALSE))</f>
        <v>250.2</v>
      </c>
      <c r="H513" s="72"/>
      <c r="I513" s="71">
        <f t="shared" si="76"/>
        <v>156.87</v>
      </c>
      <c r="J513" s="72"/>
      <c r="M513" s="23">
        <f t="shared" si="77"/>
        <v>4718</v>
      </c>
      <c r="N513" s="23">
        <f>SUMIF(CPUAUX1!M:M,B510,CPUAUX1!O:O)</f>
        <v>1.3</v>
      </c>
      <c r="O513" s="23">
        <f t="shared" si="78"/>
        <v>0.81510000000000005</v>
      </c>
      <c r="Q513" s="23">
        <f ca="1">SUMIF(CPUAUX1!M:M,B510,CPUAUX1!R:R)</f>
        <v>0.52</v>
      </c>
      <c r="R513" s="23">
        <f t="shared" ca="1" si="79"/>
        <v>0.32604</v>
      </c>
    </row>
    <row r="514" spans="1:18" ht="30" customHeight="1" x14ac:dyDescent="0.3">
      <c r="A514" s="23" t="s">
        <v>1025</v>
      </c>
      <c r="B514" s="23">
        <v>4721</v>
      </c>
      <c r="C514" s="23" t="str">
        <f>VLOOKUP(B514,IF(A514="COMPOSICAO",S!$A:$E,I!$A:$E),2,FALSE)</f>
        <v>SINAPI</v>
      </c>
      <c r="D514" s="24" t="str">
        <f>VLOOKUP(B514,IF(A514="COMPOSICAO",S!$A:$E,I!$A:$E),3,FALSE)</f>
        <v>PEDRA BRITADA N. 1 (9,5 A 19 MM) POSTO PEDREIRA/FORNECEDOR, SEM FRETE</v>
      </c>
      <c r="E514" s="23" t="str">
        <f>VLOOKUP(B514,IF(A514="COMPOSICAO",S!$A:$E,I!$A:$E),4,FALSE)</f>
        <v>M3</v>
      </c>
      <c r="F514" s="23">
        <v>0.20899999999999999</v>
      </c>
      <c r="G514" s="71">
        <f>IF(A514="COMPOSICAO",VLOOKUP("TOTAL SEM BDI - "&amp;B514,CPUAUX3!$A:$J,9,FALSE),VLOOKUP(B514,I!$A:$E,5,FALSE))</f>
        <v>248.89</v>
      </c>
      <c r="H514" s="72"/>
      <c r="I514" s="71">
        <f t="shared" si="76"/>
        <v>52.01</v>
      </c>
      <c r="J514" s="72"/>
      <c r="M514" s="23">
        <f t="shared" si="77"/>
        <v>4721</v>
      </c>
      <c r="N514" s="23">
        <f>SUMIF(CPUAUX1!M:M,B510,CPUAUX1!O:O)</f>
        <v>1.3</v>
      </c>
      <c r="O514" s="23">
        <f t="shared" si="78"/>
        <v>0.2717</v>
      </c>
      <c r="Q514" s="23">
        <f ca="1">SUMIF(CPUAUX1!M:M,B510,CPUAUX1!R:R)</f>
        <v>0.52</v>
      </c>
      <c r="R514" s="23">
        <f t="shared" ca="1" si="79"/>
        <v>0.10868</v>
      </c>
    </row>
    <row r="515" spans="1:18" x14ac:dyDescent="0.3">
      <c r="A515" s="23" t="s">
        <v>1025</v>
      </c>
      <c r="B515" s="23">
        <v>6111</v>
      </c>
      <c r="C515" s="23" t="str">
        <f>VLOOKUP(B515,IF(A515="COMPOSICAO",S!$A:$E,I!$A:$E),2,FALSE)</f>
        <v>SINAPI</v>
      </c>
      <c r="D515" s="24" t="str">
        <f>VLOOKUP(B515,IF(A515="COMPOSICAO",S!$A:$E,I!$A:$E),3,FALSE)</f>
        <v>SERVENTE DE OBRAS (HORISTA)</v>
      </c>
      <c r="E515" s="23" t="str">
        <f>VLOOKUP(B515,IF(A515="COMPOSICAO",S!$A:$E,I!$A:$E),4,FALSE)</f>
        <v>H</v>
      </c>
      <c r="F515" s="23">
        <f>6/pcf</f>
        <v>6</v>
      </c>
      <c r="G515" s="71">
        <f>IF(A515="COMPOSICAO",VLOOKUP("TOTAL SEM BDI - "&amp;B515,CPUAUX3!$A:$J,9,FALSE),VLOOKUP(B515,I!$A:$E,5,FALSE))</f>
        <v>14.86</v>
      </c>
      <c r="H515" s="72"/>
      <c r="I515" s="71">
        <f t="shared" si="76"/>
        <v>89.16</v>
      </c>
      <c r="J515" s="72"/>
      <c r="M515" s="23">
        <f t="shared" si="77"/>
        <v>6111</v>
      </c>
      <c r="N515" s="23">
        <f>SUMIF(CPUAUX1!M:M,B510,CPUAUX1!O:O)</f>
        <v>1.3</v>
      </c>
      <c r="O515" s="23">
        <f t="shared" si="78"/>
        <v>7.8000000000000007</v>
      </c>
      <c r="Q515" s="23">
        <f ca="1">SUMIF(CPUAUX1!M:M,B510,CPUAUX1!R:R)</f>
        <v>0.52</v>
      </c>
      <c r="R515" s="23">
        <f t="shared" ca="1" si="79"/>
        <v>3.12</v>
      </c>
    </row>
    <row r="516" spans="1:18" x14ac:dyDescent="0.3">
      <c r="A516" s="23" t="s">
        <v>1022</v>
      </c>
      <c r="B516" s="23" t="s">
        <v>1076</v>
      </c>
      <c r="C516" s="23" t="str">
        <f>VLOOKUP(B516,IF(A516="COMPOSICAO",S!$A:$E,I!$A:$E),2,FALSE)</f>
        <v>ORSE</v>
      </c>
      <c r="D516" s="24" t="str">
        <f>VLOOKUP(B516,IF(A516="COMPOSICAO",S!$A:$E,I!$A:$E),3,FALSE)</f>
        <v>ENCARGOS COMPLEMENTARES - SERVENTE</v>
      </c>
      <c r="E516" s="23" t="str">
        <f>VLOOKUP(B516,IF(A516="COMPOSICAO",S!$A:$E,I!$A:$E),4,FALSE)</f>
        <v>H</v>
      </c>
      <c r="F516" s="23">
        <f>6/pcf</f>
        <v>6</v>
      </c>
      <c r="G516" s="71">
        <f>IF(A516="COMPOSICAO",VLOOKUP("TOTAL SEM BDI - "&amp;B516,CPUAUX3!$A:$J,9,FALSE),VLOOKUP(B516,I!$A:$E,5,FALSE))</f>
        <v>3.9599999999999991</v>
      </c>
      <c r="H516" s="72"/>
      <c r="I516" s="71">
        <f t="shared" si="76"/>
        <v>23.76</v>
      </c>
      <c r="J516" s="72"/>
      <c r="M516" s="23" t="str">
        <f t="shared" si="77"/>
        <v>10549/ORSE</v>
      </c>
      <c r="N516" s="23">
        <f>SUMIF(CPUAUX1!M:M,B510,CPUAUX1!O:O)</f>
        <v>1.3</v>
      </c>
      <c r="O516" s="23">
        <f t="shared" si="78"/>
        <v>7.8000000000000007</v>
      </c>
      <c r="Q516" s="23">
        <f ca="1">SUMIF(CPUAUX1!M:M,B510,CPUAUX1!R:R)</f>
        <v>0.52</v>
      </c>
      <c r="R516" s="23">
        <f t="shared" ca="1" si="79"/>
        <v>3.12</v>
      </c>
    </row>
    <row r="517" spans="1:18" x14ac:dyDescent="0.3">
      <c r="A517" s="68" t="str">
        <f>"TOTAL SEM BDI - "&amp;B510</f>
        <v>TOTAL SEM BDI - 00125/ORSE</v>
      </c>
      <c r="B517" s="69"/>
      <c r="C517" s="69"/>
      <c r="D517" s="69"/>
      <c r="E517" s="69"/>
      <c r="F517" s="69"/>
      <c r="G517" s="69"/>
      <c r="H517" s="70"/>
      <c r="I517" s="71">
        <f>SUM(I510:I516)</f>
        <v>702.66</v>
      </c>
      <c r="J517" s="72"/>
    </row>
    <row r="519" spans="1:18" x14ac:dyDescent="0.3">
      <c r="A519" s="4" t="s">
        <v>1018</v>
      </c>
      <c r="B519" s="4" t="s">
        <v>138</v>
      </c>
      <c r="C519" s="4" t="s">
        <v>139</v>
      </c>
      <c r="D519" s="4" t="s">
        <v>21</v>
      </c>
      <c r="E519" s="4" t="s">
        <v>140</v>
      </c>
      <c r="F519" s="4" t="s">
        <v>506</v>
      </c>
      <c r="G519" s="34" t="s">
        <v>1019</v>
      </c>
      <c r="H519" s="35"/>
      <c r="I519" s="34" t="s">
        <v>15</v>
      </c>
      <c r="J519" s="35"/>
    </row>
    <row r="520" spans="1:18" ht="45" customHeight="1" x14ac:dyDescent="0.3">
      <c r="A520" s="15" t="s">
        <v>516</v>
      </c>
      <c r="B520" s="15" t="s">
        <v>1137</v>
      </c>
      <c r="C520" s="15" t="str">
        <f>VLOOKUP(B520,S!$A:$G,2,FALSE)</f>
        <v>ORSE</v>
      </c>
      <c r="D520" s="22" t="str">
        <f>VLOOKUP(B520,S!$A:$G,3,FALSE)</f>
        <v>LANÇAMENTO DE CONCRETO SIMPLES FABRICADO NA OBRA, INCLUSIVE ADENSAMENTO E ACABAMENTO EM PEÇAS DA SUPERESTRUTURA</v>
      </c>
      <c r="E520" s="15" t="str">
        <f>VLOOKUP(B520,S!$A:$G,4,FALSE)</f>
        <v>M3</v>
      </c>
      <c r="F520" s="15"/>
      <c r="G520" s="73">
        <f>I529</f>
        <v>52.15</v>
      </c>
      <c r="H520" s="74"/>
      <c r="I520" s="73"/>
      <c r="J520" s="74"/>
      <c r="K520" s="16">
        <f>VLOOKUP(B520,S!A:G,5,FALSE)</f>
        <v>50.6</v>
      </c>
      <c r="L520" s="15" t="str">
        <f>IF(K520=G520,"OK, CONFORME TABELA",IF(G520&gt;K520,"ACIMA DA TABELA: ","ABAIXO DA TABELA: ")&amp;TRUNC((G520*100)/K520,2)&amp;" %")</f>
        <v>ACIMA DA TABELA: 103,06 %</v>
      </c>
    </row>
    <row r="521" spans="1:18" x14ac:dyDescent="0.3">
      <c r="A521" s="23" t="s">
        <v>1025</v>
      </c>
      <c r="B521" s="23">
        <v>378</v>
      </c>
      <c r="C521" s="23" t="str">
        <f>VLOOKUP(B521,IF(A521="COMPOSICAO",S!$A:$E,I!$A:$E),2,FALSE)</f>
        <v>SINAPI</v>
      </c>
      <c r="D521" s="24" t="str">
        <f>VLOOKUP(B521,IF(A521="COMPOSICAO",S!$A:$E,I!$A:$E),3,FALSE)</f>
        <v>ARMADOR (HORISTA)</v>
      </c>
      <c r="E521" s="23" t="str">
        <f>VLOOKUP(B521,IF(A521="COMPOSICAO",S!$A:$E,I!$A:$E),4,FALSE)</f>
        <v>H</v>
      </c>
      <c r="F521" s="23">
        <f>0.18/pcf</f>
        <v>0.18</v>
      </c>
      <c r="G521" s="71">
        <f>IF(A521="COMPOSICAO",VLOOKUP("TOTAL SEM BDI - "&amp;B521,CPUAUX3!$A:$J,9,FALSE),VLOOKUP(B521,I!$A:$E,5,FALSE))</f>
        <v>20.329999999999998</v>
      </c>
      <c r="H521" s="72"/>
      <c r="I521" s="71">
        <f t="shared" ref="I521:I528" si="80">TRUNC(F521*G521,2)</f>
        <v>3.65</v>
      </c>
      <c r="J521" s="72"/>
      <c r="M521" s="23">
        <f t="shared" ref="M521:M528" si="81">B521</f>
        <v>378</v>
      </c>
      <c r="N521" s="23">
        <f>SUMIF(CPUAUX1!M:M,B520,CPUAUX1!O:O)</f>
        <v>1.3</v>
      </c>
      <c r="O521" s="23">
        <f t="shared" ref="O521:O528" si="82">F521*N521</f>
        <v>0.23399999999999999</v>
      </c>
      <c r="Q521" s="23">
        <f ca="1">SUMIF(CPUAUX1!M:M,B520,CPUAUX1!R:R)</f>
        <v>0.52</v>
      </c>
      <c r="R521" s="23">
        <f t="shared" ref="R521:R528" ca="1" si="83">F521*Q521</f>
        <v>9.3600000000000003E-2</v>
      </c>
    </row>
    <row r="522" spans="1:18" ht="15" customHeight="1" x14ac:dyDescent="0.3">
      <c r="A522" s="23" t="s">
        <v>1025</v>
      </c>
      <c r="B522" s="23">
        <v>1213</v>
      </c>
      <c r="C522" s="23" t="str">
        <f>VLOOKUP(B522,IF(A522="COMPOSICAO",S!$A:$E,I!$A:$E),2,FALSE)</f>
        <v>SINAPI</v>
      </c>
      <c r="D522" s="24" t="str">
        <f>VLOOKUP(B522,IF(A522="COMPOSICAO",S!$A:$E,I!$A:$E),3,FALSE)</f>
        <v>CARPINTEIRO DE FORMAS PARA CONCRETO (HORISTA)</v>
      </c>
      <c r="E522" s="23" t="str">
        <f>VLOOKUP(B522,IF(A522="COMPOSICAO",S!$A:$E,I!$A:$E),4,FALSE)</f>
        <v>H</v>
      </c>
      <c r="F522" s="23">
        <f>0.36/pcf</f>
        <v>0.36</v>
      </c>
      <c r="G522" s="71">
        <f>IF(A522="COMPOSICAO",VLOOKUP("TOTAL SEM BDI - "&amp;B522,CPUAUX3!$A:$J,9,FALSE),VLOOKUP(B522,I!$A:$E,5,FALSE))</f>
        <v>20.329999999999998</v>
      </c>
      <c r="H522" s="72"/>
      <c r="I522" s="71">
        <f t="shared" si="80"/>
        <v>7.31</v>
      </c>
      <c r="J522" s="72"/>
      <c r="M522" s="23">
        <f t="shared" si="81"/>
        <v>1213</v>
      </c>
      <c r="N522" s="23">
        <f>SUMIF(CPUAUX1!M:M,B520,CPUAUX1!O:O)</f>
        <v>1.3</v>
      </c>
      <c r="O522" s="23">
        <f t="shared" si="82"/>
        <v>0.46799999999999997</v>
      </c>
      <c r="Q522" s="23">
        <f ca="1">SUMIF(CPUAUX1!M:M,B520,CPUAUX1!R:R)</f>
        <v>0.52</v>
      </c>
      <c r="R522" s="23">
        <f t="shared" ca="1" si="83"/>
        <v>0.18720000000000001</v>
      </c>
    </row>
    <row r="523" spans="1:18" x14ac:dyDescent="0.3">
      <c r="A523" s="23" t="s">
        <v>1025</v>
      </c>
      <c r="B523" s="23">
        <v>4750</v>
      </c>
      <c r="C523" s="23" t="str">
        <f>VLOOKUP(B523,IF(A523="COMPOSICAO",S!$A:$E,I!$A:$E),2,FALSE)</f>
        <v>SINAPI</v>
      </c>
      <c r="D523" s="24" t="str">
        <f>VLOOKUP(B523,IF(A523="COMPOSICAO",S!$A:$E,I!$A:$E),3,FALSE)</f>
        <v>PEDREIRO (HORISTA)</v>
      </c>
      <c r="E523" s="23" t="str">
        <f>VLOOKUP(B523,IF(A523="COMPOSICAO",S!$A:$E,I!$A:$E),4,FALSE)</f>
        <v>H</v>
      </c>
      <c r="F523" s="23">
        <f>0.36/pcf</f>
        <v>0.36</v>
      </c>
      <c r="G523" s="71">
        <f>IF(A523="COMPOSICAO",VLOOKUP("TOTAL SEM BDI - "&amp;B523,CPUAUX3!$A:$J,9,FALSE),VLOOKUP(B523,I!$A:$E,5,FALSE))</f>
        <v>20.329999999999998</v>
      </c>
      <c r="H523" s="72"/>
      <c r="I523" s="71">
        <f t="shared" si="80"/>
        <v>7.31</v>
      </c>
      <c r="J523" s="72"/>
      <c r="M523" s="23">
        <f t="shared" si="81"/>
        <v>4750</v>
      </c>
      <c r="N523" s="23">
        <f>SUMIF(CPUAUX1!M:M,B520,CPUAUX1!O:O)</f>
        <v>1.3</v>
      </c>
      <c r="O523" s="23">
        <f t="shared" si="82"/>
        <v>0.46799999999999997</v>
      </c>
      <c r="Q523" s="23">
        <f ca="1">SUMIF(CPUAUX1!M:M,B520,CPUAUX1!R:R)</f>
        <v>0.52</v>
      </c>
      <c r="R523" s="23">
        <f t="shared" ca="1" si="83"/>
        <v>0.18720000000000001</v>
      </c>
    </row>
    <row r="524" spans="1:18" x14ac:dyDescent="0.3">
      <c r="A524" s="23" t="s">
        <v>1025</v>
      </c>
      <c r="B524" s="23">
        <v>6111</v>
      </c>
      <c r="C524" s="23" t="str">
        <f>VLOOKUP(B524,IF(A524="COMPOSICAO",S!$A:$E,I!$A:$E),2,FALSE)</f>
        <v>SINAPI</v>
      </c>
      <c r="D524" s="24" t="str">
        <f>VLOOKUP(B524,IF(A524="COMPOSICAO",S!$A:$E,I!$A:$E),3,FALSE)</f>
        <v>SERVENTE DE OBRAS (HORISTA)</v>
      </c>
      <c r="E524" s="23" t="str">
        <f>VLOOKUP(B524,IF(A524="COMPOSICAO",S!$A:$E,I!$A:$E),4,FALSE)</f>
        <v>H</v>
      </c>
      <c r="F524" s="23">
        <f>1.62/pcf</f>
        <v>1.62</v>
      </c>
      <c r="G524" s="71">
        <f>IF(A524="COMPOSICAO",VLOOKUP("TOTAL SEM BDI - "&amp;B524,CPUAUX3!$A:$J,9,FALSE),VLOOKUP(B524,I!$A:$E,5,FALSE))</f>
        <v>14.86</v>
      </c>
      <c r="H524" s="72"/>
      <c r="I524" s="71">
        <f t="shared" si="80"/>
        <v>24.07</v>
      </c>
      <c r="J524" s="72"/>
      <c r="M524" s="23">
        <f t="shared" si="81"/>
        <v>6111</v>
      </c>
      <c r="N524" s="23">
        <f>SUMIF(CPUAUX1!M:M,B520,CPUAUX1!O:O)</f>
        <v>1.3</v>
      </c>
      <c r="O524" s="23">
        <f t="shared" si="82"/>
        <v>2.1060000000000003</v>
      </c>
      <c r="Q524" s="23">
        <f ca="1">SUMIF(CPUAUX1!M:M,B520,CPUAUX1!R:R)</f>
        <v>0.52</v>
      </c>
      <c r="R524" s="23">
        <f t="shared" ca="1" si="83"/>
        <v>0.84240000000000004</v>
      </c>
    </row>
    <row r="525" spans="1:18" x14ac:dyDescent="0.3">
      <c r="A525" s="23" t="s">
        <v>1022</v>
      </c>
      <c r="B525" s="23" t="s">
        <v>1076</v>
      </c>
      <c r="C525" s="23" t="str">
        <f>VLOOKUP(B525,IF(A525="COMPOSICAO",S!$A:$E,I!$A:$E),2,FALSE)</f>
        <v>ORSE</v>
      </c>
      <c r="D525" s="24" t="str">
        <f>VLOOKUP(B525,IF(A525="COMPOSICAO",S!$A:$E,I!$A:$E),3,FALSE)</f>
        <v>ENCARGOS COMPLEMENTARES - SERVENTE</v>
      </c>
      <c r="E525" s="23" t="str">
        <f>VLOOKUP(B525,IF(A525="COMPOSICAO",S!$A:$E,I!$A:$E),4,FALSE)</f>
        <v>H</v>
      </c>
      <c r="F525" s="23">
        <f>1.62/pcf</f>
        <v>1.62</v>
      </c>
      <c r="G525" s="71">
        <f>IF(A525="COMPOSICAO",VLOOKUP("TOTAL SEM BDI - "&amp;B525,CPUAUX3!$A:$J,9,FALSE),VLOOKUP(B525,I!$A:$E,5,FALSE))</f>
        <v>3.9599999999999991</v>
      </c>
      <c r="H525" s="72"/>
      <c r="I525" s="71">
        <f t="shared" si="80"/>
        <v>6.41</v>
      </c>
      <c r="J525" s="72"/>
      <c r="M525" s="23" t="str">
        <f t="shared" si="81"/>
        <v>10549/ORSE</v>
      </c>
      <c r="N525" s="23">
        <f>SUMIF(CPUAUX1!M:M,B520,CPUAUX1!O:O)</f>
        <v>1.3</v>
      </c>
      <c r="O525" s="23">
        <f t="shared" si="82"/>
        <v>2.1060000000000003</v>
      </c>
      <c r="Q525" s="23">
        <f ca="1">SUMIF(CPUAUX1!M:M,B520,CPUAUX1!R:R)</f>
        <v>0.52</v>
      </c>
      <c r="R525" s="23">
        <f t="shared" ca="1" si="83"/>
        <v>0.84240000000000004</v>
      </c>
    </row>
    <row r="526" spans="1:18" x14ac:dyDescent="0.3">
      <c r="A526" s="23" t="s">
        <v>1022</v>
      </c>
      <c r="B526" s="23" t="s">
        <v>1147</v>
      </c>
      <c r="C526" s="23" t="str">
        <f>VLOOKUP(B526,IF(A526="COMPOSICAO",S!$A:$E,I!$A:$E),2,FALSE)</f>
        <v>ORSE</v>
      </c>
      <c r="D526" s="24" t="str">
        <f>VLOOKUP(B526,IF(A526="COMPOSICAO",S!$A:$E,I!$A:$E),3,FALSE)</f>
        <v>ENCARGOS COMPLEMENTARES - PEDREIRO</v>
      </c>
      <c r="E526" s="23" t="str">
        <f>VLOOKUP(B526,IF(A526="COMPOSICAO",S!$A:$E,I!$A:$E),4,FALSE)</f>
        <v>H</v>
      </c>
      <c r="F526" s="23">
        <f>0.36/pcf</f>
        <v>0.36</v>
      </c>
      <c r="G526" s="71">
        <f>IF(A526="COMPOSICAO",VLOOKUP("TOTAL SEM BDI - "&amp;B526,CPUAUX3!$A:$J,9,FALSE),VLOOKUP(B526,I!$A:$E,5,FALSE))</f>
        <v>3.7899999999999991</v>
      </c>
      <c r="H526" s="72"/>
      <c r="I526" s="71">
        <f t="shared" si="80"/>
        <v>1.36</v>
      </c>
      <c r="J526" s="72"/>
      <c r="M526" s="23" t="str">
        <f t="shared" si="81"/>
        <v>10550/ORSE</v>
      </c>
      <c r="N526" s="23">
        <f>SUMIF(CPUAUX1!M:M,B520,CPUAUX1!O:O)</f>
        <v>1.3</v>
      </c>
      <c r="O526" s="23">
        <f t="shared" si="82"/>
        <v>0.46799999999999997</v>
      </c>
      <c r="Q526" s="23">
        <f ca="1">SUMIF(CPUAUX1!M:M,B520,CPUAUX1!R:R)</f>
        <v>0.52</v>
      </c>
      <c r="R526" s="23">
        <f t="shared" ca="1" si="83"/>
        <v>0.18720000000000001</v>
      </c>
    </row>
    <row r="527" spans="1:18" x14ac:dyDescent="0.3">
      <c r="A527" s="23" t="s">
        <v>1022</v>
      </c>
      <c r="B527" s="23" t="s">
        <v>1135</v>
      </c>
      <c r="C527" s="23" t="str">
        <f>VLOOKUP(B527,IF(A527="COMPOSICAO",S!$A:$E,I!$A:$E),2,FALSE)</f>
        <v>ORSE</v>
      </c>
      <c r="D527" s="24" t="str">
        <f>VLOOKUP(B527,IF(A527="COMPOSICAO",S!$A:$E,I!$A:$E),3,FALSE)</f>
        <v>ENCARGOS COMPLEMENTARES - CARPINTEIRO</v>
      </c>
      <c r="E527" s="23" t="str">
        <f>VLOOKUP(B527,IF(A527="COMPOSICAO",S!$A:$E,I!$A:$E),4,FALSE)</f>
        <v>H</v>
      </c>
      <c r="F527" s="23">
        <f>0.36/pcf</f>
        <v>0.36</v>
      </c>
      <c r="G527" s="71">
        <f>IF(A527="COMPOSICAO",VLOOKUP("TOTAL SEM BDI - "&amp;B527,CPUAUX3!$A:$J,9,FALSE),VLOOKUP(B527,I!$A:$E,5,FALSE))</f>
        <v>3.8299999999999992</v>
      </c>
      <c r="H527" s="72"/>
      <c r="I527" s="71">
        <f t="shared" si="80"/>
        <v>1.37</v>
      </c>
      <c r="J527" s="72"/>
      <c r="M527" s="23" t="str">
        <f t="shared" si="81"/>
        <v>10551/ORSE</v>
      </c>
      <c r="N527" s="23">
        <f>SUMIF(CPUAUX1!M:M,B520,CPUAUX1!O:O)</f>
        <v>1.3</v>
      </c>
      <c r="O527" s="23">
        <f t="shared" si="82"/>
        <v>0.46799999999999997</v>
      </c>
      <c r="Q527" s="23">
        <f ca="1">SUMIF(CPUAUX1!M:M,B520,CPUAUX1!R:R)</f>
        <v>0.52</v>
      </c>
      <c r="R527" s="23">
        <f t="shared" ca="1" si="83"/>
        <v>0.18720000000000001</v>
      </c>
    </row>
    <row r="528" spans="1:18" x14ac:dyDescent="0.3">
      <c r="A528" s="23" t="s">
        <v>1022</v>
      </c>
      <c r="B528" s="23" t="s">
        <v>1139</v>
      </c>
      <c r="C528" s="23" t="str">
        <f>VLOOKUP(B528,IF(A528="COMPOSICAO",S!$A:$E,I!$A:$E),2,FALSE)</f>
        <v>ORSE</v>
      </c>
      <c r="D528" s="24" t="str">
        <f>VLOOKUP(B528,IF(A528="COMPOSICAO",S!$A:$E,I!$A:$E),3,FALSE)</f>
        <v>ENCARGOS COMPLEMENTARES - ARMADOR</v>
      </c>
      <c r="E528" s="23" t="str">
        <f>VLOOKUP(B528,IF(A528="COMPOSICAO",S!$A:$E,I!$A:$E),4,FALSE)</f>
        <v>H</v>
      </c>
      <c r="F528" s="23">
        <f>0.18/pcf</f>
        <v>0.18</v>
      </c>
      <c r="G528" s="71">
        <f>IF(A528="COMPOSICAO",VLOOKUP("TOTAL SEM BDI - "&amp;B528,CPUAUX3!$A:$J,9,FALSE),VLOOKUP(B528,I!$A:$E,5,FALSE))</f>
        <v>3.7599999999999993</v>
      </c>
      <c r="H528" s="72"/>
      <c r="I528" s="71">
        <f t="shared" si="80"/>
        <v>0.67</v>
      </c>
      <c r="J528" s="72"/>
      <c r="M528" s="23" t="str">
        <f t="shared" si="81"/>
        <v>10555/ORSE</v>
      </c>
      <c r="N528" s="23">
        <f>SUMIF(CPUAUX1!M:M,B520,CPUAUX1!O:O)</f>
        <v>1.3</v>
      </c>
      <c r="O528" s="23">
        <f t="shared" si="82"/>
        <v>0.23399999999999999</v>
      </c>
      <c r="Q528" s="23">
        <f ca="1">SUMIF(CPUAUX1!M:M,B520,CPUAUX1!R:R)</f>
        <v>0.52</v>
      </c>
      <c r="R528" s="23">
        <f t="shared" ca="1" si="83"/>
        <v>9.3600000000000003E-2</v>
      </c>
    </row>
    <row r="529" spans="1:18" x14ac:dyDescent="0.3">
      <c r="A529" s="68" t="str">
        <f>"TOTAL SEM BDI - "&amp;B520</f>
        <v>TOTAL SEM BDI - 07692/ORSE</v>
      </c>
      <c r="B529" s="69"/>
      <c r="C529" s="69"/>
      <c r="D529" s="69"/>
      <c r="E529" s="69"/>
      <c r="F529" s="69"/>
      <c r="G529" s="69"/>
      <c r="H529" s="70"/>
      <c r="I529" s="71">
        <f>SUM(I520:I528)</f>
        <v>52.15</v>
      </c>
      <c r="J529" s="72"/>
    </row>
    <row r="531" spans="1:18" x14ac:dyDescent="0.3">
      <c r="A531" s="4" t="s">
        <v>1018</v>
      </c>
      <c r="B531" s="4" t="s">
        <v>138</v>
      </c>
      <c r="C531" s="4" t="s">
        <v>139</v>
      </c>
      <c r="D531" s="4" t="s">
        <v>21</v>
      </c>
      <c r="E531" s="4" t="s">
        <v>140</v>
      </c>
      <c r="F531" s="4" t="s">
        <v>506</v>
      </c>
      <c r="G531" s="34" t="s">
        <v>1019</v>
      </c>
      <c r="H531" s="35"/>
      <c r="I531" s="34" t="s">
        <v>15</v>
      </c>
      <c r="J531" s="35"/>
    </row>
    <row r="532" spans="1:18" x14ac:dyDescent="0.3">
      <c r="A532" s="15" t="s">
        <v>516</v>
      </c>
      <c r="B532" s="15" t="s">
        <v>1139</v>
      </c>
      <c r="C532" s="15" t="str">
        <f>VLOOKUP(B532,S!$A:$G,2,FALSE)</f>
        <v>ORSE</v>
      </c>
      <c r="D532" s="22" t="str">
        <f>VLOOKUP(B532,S!$A:$G,3,FALSE)</f>
        <v>ENCARGOS COMPLEMENTARES - ARMADOR</v>
      </c>
      <c r="E532" s="15" t="str">
        <f>VLOOKUP(B532,S!$A:$G,4,FALSE)</f>
        <v>H</v>
      </c>
      <c r="F532" s="15"/>
      <c r="G532" s="73">
        <f>I549</f>
        <v>3.7599999999999993</v>
      </c>
      <c r="H532" s="74"/>
      <c r="I532" s="73"/>
      <c r="J532" s="74"/>
      <c r="K532" s="16">
        <f>VLOOKUP(B532,S!A:G,5,FALSE)</f>
        <v>3.8</v>
      </c>
      <c r="L532" s="15" t="str">
        <f>IF(K532=G532,"OK, CONFORME TABELA",IF(G532&gt;K532,"ACIMA DA TABELA: ","ABAIXO DA TABELA: ")&amp;TRUNC((G532*100)/K532,2)&amp;" %")</f>
        <v>ABAIXO DA TABELA: 98,94 %</v>
      </c>
    </row>
    <row r="533" spans="1:18" x14ac:dyDescent="0.3">
      <c r="A533" s="23" t="s">
        <v>1025</v>
      </c>
      <c r="B533" s="23" t="s">
        <v>1104</v>
      </c>
      <c r="C533" s="23" t="str">
        <f>VLOOKUP(B533,IF(A533="COMPOSICAO",S!$A:$E,I!$A:$E),2,FALSE)</f>
        <v>ORSE</v>
      </c>
      <c r="D533" s="24" t="str">
        <f>VLOOKUP(B533,IF(A533="COMPOSICAO",S!$A:$E,I!$A:$E),3,FALSE)</f>
        <v>ALMOÇO (PARTICIPAÇÃO DO EMPREGADOR)</v>
      </c>
      <c r="E533" s="23" t="str">
        <f>VLOOKUP(B533,IF(A533="COMPOSICAO",S!$A:$E,I!$A:$E),4,FALSE)</f>
        <v>UN</v>
      </c>
      <c r="F533" s="23">
        <v>0.1018</v>
      </c>
      <c r="G533" s="71">
        <f>IF(A533="COMPOSICAO",VLOOKUP("TOTAL SEM BDI - "&amp;B533,CPUAUX3!$A:$J,9,FALSE),VLOOKUP(B533,I!$A:$E,5,FALSE))</f>
        <v>14</v>
      </c>
      <c r="H533" s="72"/>
      <c r="I533" s="71">
        <f t="shared" ref="I533:I548" si="84">TRUNC(F533*G533,2)</f>
        <v>1.42</v>
      </c>
      <c r="J533" s="72"/>
      <c r="M533" s="23" t="str">
        <f t="shared" ref="M533:M548" si="85">B533</f>
        <v>00158/ORSE</v>
      </c>
      <c r="N533" s="23">
        <f>SUMIF(CPUAUX1!M:M,B532,CPUAUX1!O:O)</f>
        <v>8.32</v>
      </c>
      <c r="O533" s="23">
        <f t="shared" ref="O533:O548" si="86">F533*N533</f>
        <v>0.84697600000000006</v>
      </c>
      <c r="Q533" s="23">
        <f ca="1">SUMIF(CPUAUX1!M:M,B532,CPUAUX1!R:R)</f>
        <v>3.3280000000000003</v>
      </c>
      <c r="R533" s="23">
        <f t="shared" ref="R533:R548" ca="1" si="87">F533*Q533</f>
        <v>0.33879040000000005</v>
      </c>
    </row>
    <row r="534" spans="1:18" x14ac:dyDescent="0.3">
      <c r="A534" s="23" t="s">
        <v>1025</v>
      </c>
      <c r="B534" s="23" t="s">
        <v>1105</v>
      </c>
      <c r="C534" s="23" t="str">
        <f>VLOOKUP(B534,IF(A534="COMPOSICAO",S!$A:$E,I!$A:$E),2,FALSE)</f>
        <v>ORSE</v>
      </c>
      <c r="D534" s="24" t="str">
        <f>VLOOKUP(B534,IF(A534="COMPOSICAO",S!$A:$E,I!$A:$E),3,FALSE)</f>
        <v>FARDAMENTO COM MANGAS CURTA</v>
      </c>
      <c r="E534" s="23" t="str">
        <f>VLOOKUP(B534,IF(A534="COMPOSICAO",S!$A:$E,I!$A:$E),4,FALSE)</f>
        <v>UN</v>
      </c>
      <c r="F534" s="23">
        <v>1.5E-3</v>
      </c>
      <c r="G534" s="71">
        <f>IF(A534="COMPOSICAO",VLOOKUP("TOTAL SEM BDI - "&amp;B534,CPUAUX3!$A:$J,9,FALSE),VLOOKUP(B534,I!$A:$E,5,FALSE))</f>
        <v>196.71</v>
      </c>
      <c r="H534" s="72"/>
      <c r="I534" s="71">
        <f t="shared" si="84"/>
        <v>0.28999999999999998</v>
      </c>
      <c r="J534" s="72"/>
      <c r="M534" s="23" t="str">
        <f t="shared" si="85"/>
        <v>00941/ORSE</v>
      </c>
      <c r="N534" s="23">
        <f>SUMIF(CPUAUX1!M:M,B532,CPUAUX1!O:O)</f>
        <v>8.32</v>
      </c>
      <c r="O534" s="23">
        <f t="shared" si="86"/>
        <v>1.2480000000000002E-2</v>
      </c>
      <c r="Q534" s="23">
        <f ca="1">SUMIF(CPUAUX1!M:M,B532,CPUAUX1!R:R)</f>
        <v>3.3280000000000003</v>
      </c>
      <c r="R534" s="23">
        <f t="shared" ca="1" si="87"/>
        <v>4.9920000000000008E-3</v>
      </c>
    </row>
    <row r="535" spans="1:18" x14ac:dyDescent="0.3">
      <c r="A535" s="23" t="s">
        <v>1025</v>
      </c>
      <c r="B535" s="23" t="s">
        <v>1106</v>
      </c>
      <c r="C535" s="23" t="str">
        <f>VLOOKUP(B535,IF(A535="COMPOSICAO",S!$A:$E,I!$A:$E),2,FALSE)</f>
        <v>ORSE</v>
      </c>
      <c r="D535" s="24" t="str">
        <f>VLOOKUP(B535,IF(A535="COMPOSICAO",S!$A:$E,I!$A:$E),3,FALSE)</f>
        <v>ÓCULOS BRANCO PROTEÇÃO</v>
      </c>
      <c r="E535" s="23" t="str">
        <f>VLOOKUP(B535,IF(A535="COMPOSICAO",S!$A:$E,I!$A:$E),4,FALSE)</f>
        <v>PR</v>
      </c>
      <c r="F535" s="23">
        <v>8.0000000000000004E-4</v>
      </c>
      <c r="G535" s="71">
        <f>IF(A535="COMPOSICAO",VLOOKUP("TOTAL SEM BDI - "&amp;B535,CPUAUX3!$A:$J,9,FALSE),VLOOKUP(B535,I!$A:$E,5,FALSE))</f>
        <v>7</v>
      </c>
      <c r="H535" s="72"/>
      <c r="I535" s="71">
        <f t="shared" si="84"/>
        <v>0</v>
      </c>
      <c r="J535" s="72"/>
      <c r="M535" s="23" t="str">
        <f t="shared" si="85"/>
        <v>01651/ORSE</v>
      </c>
      <c r="N535" s="23">
        <f>SUMIF(CPUAUX1!M:M,B532,CPUAUX1!O:O)</f>
        <v>8.32</v>
      </c>
      <c r="O535" s="23">
        <f t="shared" si="86"/>
        <v>6.6560000000000005E-3</v>
      </c>
      <c r="Q535" s="23">
        <f ca="1">SUMIF(CPUAUX1!M:M,B532,CPUAUX1!R:R)</f>
        <v>3.3280000000000003</v>
      </c>
      <c r="R535" s="23">
        <f t="shared" ca="1" si="87"/>
        <v>2.6624000000000005E-3</v>
      </c>
    </row>
    <row r="536" spans="1:18" x14ac:dyDescent="0.3">
      <c r="A536" s="23" t="s">
        <v>1025</v>
      </c>
      <c r="B536" s="23" t="s">
        <v>1107</v>
      </c>
      <c r="C536" s="23" t="str">
        <f>VLOOKUP(B536,IF(A536="COMPOSICAO",S!$A:$E,I!$A:$E),2,FALSE)</f>
        <v>ORSE</v>
      </c>
      <c r="D536" s="24" t="str">
        <f>VLOOKUP(B536,IF(A536="COMPOSICAO",S!$A:$E,I!$A:$E),3,FALSE)</f>
        <v>VALE TRANSPORTE</v>
      </c>
      <c r="E536" s="23" t="str">
        <f>VLOOKUP(B536,IF(A536="COMPOSICAO",S!$A:$E,I!$A:$E),4,FALSE)</f>
        <v>UN</v>
      </c>
      <c r="F536" s="23">
        <v>6.54E-2</v>
      </c>
      <c r="G536" s="71">
        <f>IF(A536="COMPOSICAO",VLOOKUP("TOTAL SEM BDI - "&amp;B536,CPUAUX3!$A:$J,9,FALSE),VLOOKUP(B536,I!$A:$E,5,FALSE))</f>
        <v>4.5</v>
      </c>
      <c r="H536" s="72"/>
      <c r="I536" s="71">
        <f t="shared" si="84"/>
        <v>0.28999999999999998</v>
      </c>
      <c r="J536" s="72"/>
      <c r="M536" s="23" t="str">
        <f t="shared" si="85"/>
        <v>02378/ORSE</v>
      </c>
      <c r="N536" s="23">
        <f>SUMIF(CPUAUX1!M:M,B532,CPUAUX1!O:O)</f>
        <v>8.32</v>
      </c>
      <c r="O536" s="23">
        <f t="shared" si="86"/>
        <v>0.54412800000000006</v>
      </c>
      <c r="Q536" s="23">
        <f ca="1">SUMIF(CPUAUX1!M:M,B532,CPUAUX1!R:R)</f>
        <v>3.3280000000000003</v>
      </c>
      <c r="R536" s="23">
        <f t="shared" ca="1" si="87"/>
        <v>0.21765120000000002</v>
      </c>
    </row>
    <row r="537" spans="1:18" x14ac:dyDescent="0.3">
      <c r="A537" s="23" t="s">
        <v>1025</v>
      </c>
      <c r="B537" s="23" t="s">
        <v>1110</v>
      </c>
      <c r="C537" s="23" t="str">
        <f>VLOOKUP(B537,IF(A537="COMPOSICAO",S!$A:$E,I!$A:$E),2,FALSE)</f>
        <v>ORSE</v>
      </c>
      <c r="D537" s="24" t="str">
        <f>VLOOKUP(B537,IF(A537="COMPOSICAO",S!$A:$E,I!$A:$E),3,FALSE)</f>
        <v>SEGURO DE VIDA E ACIDENTE EM GRUPO</v>
      </c>
      <c r="E537" s="23" t="str">
        <f>VLOOKUP(B537,IF(A537="COMPOSICAO",S!$A:$E,I!$A:$E),4,FALSE)</f>
        <v>UN</v>
      </c>
      <c r="F537" s="23">
        <v>4.4999999999999997E-3</v>
      </c>
      <c r="G537" s="71">
        <f>IF(A537="COMPOSICAO",VLOOKUP("TOTAL SEM BDI - "&amp;B537,CPUAUX3!$A:$J,9,FALSE),VLOOKUP(B537,I!$A:$E,5,FALSE))</f>
        <v>12.54</v>
      </c>
      <c r="H537" s="72"/>
      <c r="I537" s="71">
        <f t="shared" si="84"/>
        <v>0.05</v>
      </c>
      <c r="J537" s="72"/>
      <c r="M537" s="23" t="str">
        <f t="shared" si="85"/>
        <v>10362/ORSE</v>
      </c>
      <c r="N537" s="23">
        <f>SUMIF(CPUAUX1!M:M,B532,CPUAUX1!O:O)</f>
        <v>8.32</v>
      </c>
      <c r="O537" s="23">
        <f t="shared" si="86"/>
        <v>3.7440000000000001E-2</v>
      </c>
      <c r="Q537" s="23">
        <f ca="1">SUMIF(CPUAUX1!M:M,B532,CPUAUX1!R:R)</f>
        <v>3.3280000000000003</v>
      </c>
      <c r="R537" s="23">
        <f t="shared" ca="1" si="87"/>
        <v>1.4976E-2</v>
      </c>
    </row>
    <row r="538" spans="1:18" x14ac:dyDescent="0.3">
      <c r="A538" s="23" t="s">
        <v>1025</v>
      </c>
      <c r="B538" s="23" t="s">
        <v>1111</v>
      </c>
      <c r="C538" s="23" t="str">
        <f>VLOOKUP(B538,IF(A538="COMPOSICAO",S!$A:$E,I!$A:$E),2,FALSE)</f>
        <v>ORSE</v>
      </c>
      <c r="D538" s="24" t="str">
        <f>VLOOKUP(B538,IF(A538="COMPOSICAO",S!$A:$E,I!$A:$E),3,FALSE)</f>
        <v>CESTA BÁSICA</v>
      </c>
      <c r="E538" s="23" t="str">
        <f>VLOOKUP(B538,IF(A538="COMPOSICAO",S!$A:$E,I!$A:$E),4,FALSE)</f>
        <v>UN</v>
      </c>
      <c r="F538" s="23">
        <v>4.4999999999999997E-3</v>
      </c>
      <c r="G538" s="71">
        <f>IF(A538="COMPOSICAO",VLOOKUP("TOTAL SEM BDI - "&amp;B538,CPUAUX3!$A:$J,9,FALSE),VLOOKUP(B538,I!$A:$E,5,FALSE))</f>
        <v>205</v>
      </c>
      <c r="H538" s="72"/>
      <c r="I538" s="71">
        <f t="shared" si="84"/>
        <v>0.92</v>
      </c>
      <c r="J538" s="72"/>
      <c r="M538" s="23" t="str">
        <f t="shared" si="85"/>
        <v>10492/ORSE</v>
      </c>
      <c r="N538" s="23">
        <f>SUMIF(CPUAUX1!M:M,B532,CPUAUX1!O:O)</f>
        <v>8.32</v>
      </c>
      <c r="O538" s="23">
        <f t="shared" si="86"/>
        <v>3.7440000000000001E-2</v>
      </c>
      <c r="Q538" s="23">
        <f ca="1">SUMIF(CPUAUX1!M:M,B532,CPUAUX1!R:R)</f>
        <v>3.3280000000000003</v>
      </c>
      <c r="R538" s="23">
        <f t="shared" ca="1" si="87"/>
        <v>1.4976E-2</v>
      </c>
    </row>
    <row r="539" spans="1:18" x14ac:dyDescent="0.3">
      <c r="A539" s="23" t="s">
        <v>1025</v>
      </c>
      <c r="B539" s="23" t="s">
        <v>1112</v>
      </c>
      <c r="C539" s="23" t="str">
        <f>VLOOKUP(B539,IF(A539="COMPOSICAO",S!$A:$E,I!$A:$E),2,FALSE)</f>
        <v>ORSE</v>
      </c>
      <c r="D539" s="24" t="str">
        <f>VLOOKUP(B539,IF(A539="COMPOSICAO",S!$A:$E,I!$A:$E),3,FALSE)</f>
        <v>EXAMES ADMISSIONAIS/DEMISSIONAIS (CHECKUP)</v>
      </c>
      <c r="E539" s="23" t="str">
        <f>VLOOKUP(B539,IF(A539="COMPOSICAO",S!$A:$E,I!$A:$E),4,FALSE)</f>
        <v>CJ</v>
      </c>
      <c r="F539" s="23">
        <v>4.0000000000000002E-4</v>
      </c>
      <c r="G539" s="71">
        <f>IF(A539="COMPOSICAO",VLOOKUP("TOTAL SEM BDI - "&amp;B539,CPUAUX3!$A:$J,9,FALSE),VLOOKUP(B539,I!$A:$E,5,FALSE))</f>
        <v>300</v>
      </c>
      <c r="H539" s="72"/>
      <c r="I539" s="71">
        <f t="shared" si="84"/>
        <v>0.12</v>
      </c>
      <c r="J539" s="72"/>
      <c r="M539" s="23" t="str">
        <f t="shared" si="85"/>
        <v>10517/ORSE</v>
      </c>
      <c r="N539" s="23">
        <f>SUMIF(CPUAUX1!M:M,B532,CPUAUX1!O:O)</f>
        <v>8.32</v>
      </c>
      <c r="O539" s="23">
        <f t="shared" si="86"/>
        <v>3.3280000000000002E-3</v>
      </c>
      <c r="Q539" s="23">
        <f ca="1">SUMIF(CPUAUX1!M:M,B532,CPUAUX1!R:R)</f>
        <v>3.3280000000000003</v>
      </c>
      <c r="R539" s="23">
        <f t="shared" ca="1" si="87"/>
        <v>1.3312000000000003E-3</v>
      </c>
    </row>
    <row r="540" spans="1:18" x14ac:dyDescent="0.3">
      <c r="A540" s="23" t="s">
        <v>1025</v>
      </c>
      <c r="B540" s="23" t="s">
        <v>1148</v>
      </c>
      <c r="C540" s="23" t="str">
        <f>VLOOKUP(B540,IF(A540="COMPOSICAO",S!$A:$E,I!$A:$E),2,FALSE)</f>
        <v>ORSE</v>
      </c>
      <c r="D540" s="24" t="str">
        <f>VLOOKUP(B540,IF(A540="COMPOSICAO",S!$A:$E,I!$A:$E),3,FALSE)</f>
        <v>ARCO DE SERRA</v>
      </c>
      <c r="E540" s="23" t="str">
        <f>VLOOKUP(B540,IF(A540="COMPOSICAO",S!$A:$E,I!$A:$E),4,FALSE)</f>
        <v>UN</v>
      </c>
      <c r="F540" s="23">
        <v>2.0000000000000001E-4</v>
      </c>
      <c r="G540" s="71">
        <f>IF(A540="COMPOSICAO",VLOOKUP("TOTAL SEM BDI - "&amp;B540,CPUAUX3!$A:$J,9,FALSE),VLOOKUP(B540,I!$A:$E,5,FALSE))</f>
        <v>19.899999999999999</v>
      </c>
      <c r="H540" s="72"/>
      <c r="I540" s="71">
        <f t="shared" si="84"/>
        <v>0</v>
      </c>
      <c r="J540" s="72"/>
      <c r="M540" s="23" t="str">
        <f t="shared" si="85"/>
        <v>10585/ORSE</v>
      </c>
      <c r="N540" s="23">
        <f>SUMIF(CPUAUX1!M:M,B532,CPUAUX1!O:O)</f>
        <v>8.32</v>
      </c>
      <c r="O540" s="23">
        <f t="shared" si="86"/>
        <v>1.6640000000000001E-3</v>
      </c>
      <c r="Q540" s="23">
        <f ca="1">SUMIF(CPUAUX1!M:M,B532,CPUAUX1!R:R)</f>
        <v>3.3280000000000003</v>
      </c>
      <c r="R540" s="23">
        <f t="shared" ca="1" si="87"/>
        <v>6.6560000000000013E-4</v>
      </c>
    </row>
    <row r="541" spans="1:18" x14ac:dyDescent="0.3">
      <c r="A541" s="23" t="s">
        <v>1025</v>
      </c>
      <c r="B541" s="23" t="s">
        <v>1149</v>
      </c>
      <c r="C541" s="23" t="str">
        <f>VLOOKUP(B541,IF(A541="COMPOSICAO",S!$A:$E,I!$A:$E),2,FALSE)</f>
        <v>ORSE</v>
      </c>
      <c r="D541" s="24" t="str">
        <f>VLOOKUP(B541,IF(A541="COMPOSICAO",S!$A:$E,I!$A:$E),3,FALSE)</f>
        <v>TORQUESA</v>
      </c>
      <c r="E541" s="23" t="str">
        <f>VLOOKUP(B541,IF(A541="COMPOSICAO",S!$A:$E,I!$A:$E),4,FALSE)</f>
        <v>UN</v>
      </c>
      <c r="F541" s="23">
        <v>2.0000000000000001E-4</v>
      </c>
      <c r="G541" s="71">
        <f>IF(A541="COMPOSICAO",VLOOKUP("TOTAL SEM BDI - "&amp;B541,CPUAUX3!$A:$J,9,FALSE),VLOOKUP(B541,I!$A:$E,5,FALSE))</f>
        <v>39</v>
      </c>
      <c r="H541" s="72"/>
      <c r="I541" s="71">
        <f t="shared" si="84"/>
        <v>0</v>
      </c>
      <c r="J541" s="72"/>
      <c r="M541" s="23" t="str">
        <f t="shared" si="85"/>
        <v>10586/ORSE</v>
      </c>
      <c r="N541" s="23">
        <f>SUMIF(CPUAUX1!M:M,B532,CPUAUX1!O:O)</f>
        <v>8.32</v>
      </c>
      <c r="O541" s="23">
        <f t="shared" si="86"/>
        <v>1.6640000000000001E-3</v>
      </c>
      <c r="Q541" s="23">
        <f ca="1">SUMIF(CPUAUX1!M:M,B532,CPUAUX1!R:R)</f>
        <v>3.3280000000000003</v>
      </c>
      <c r="R541" s="23">
        <f t="shared" ca="1" si="87"/>
        <v>6.6560000000000013E-4</v>
      </c>
    </row>
    <row r="542" spans="1:18" x14ac:dyDescent="0.3">
      <c r="A542" s="23" t="s">
        <v>1025</v>
      </c>
      <c r="B542" s="23" t="s">
        <v>1113</v>
      </c>
      <c r="C542" s="23" t="str">
        <f>VLOOKUP(B542,IF(A542="COMPOSICAO",S!$A:$E,I!$A:$E),2,FALSE)</f>
        <v>ORSE</v>
      </c>
      <c r="D542" s="24" t="str">
        <f>VLOOKUP(B542,IF(A542="COMPOSICAO",S!$A:$E,I!$A:$E),3,FALSE)</f>
        <v>PROTETOR AURICULAR</v>
      </c>
      <c r="E542" s="23" t="str">
        <f>VLOOKUP(B542,IF(A542="COMPOSICAO",S!$A:$E,I!$A:$E),4,FALSE)</f>
        <v>UN</v>
      </c>
      <c r="F542" s="23">
        <v>4.4999999999999997E-3</v>
      </c>
      <c r="G542" s="71">
        <f>IF(A542="COMPOSICAO",VLOOKUP("TOTAL SEM BDI - "&amp;B542,CPUAUX3!$A:$J,9,FALSE),VLOOKUP(B542,I!$A:$E,5,FALSE))</f>
        <v>4.9000000000000004</v>
      </c>
      <c r="H542" s="72"/>
      <c r="I542" s="71">
        <f t="shared" si="84"/>
        <v>0.02</v>
      </c>
      <c r="J542" s="72"/>
      <c r="M542" s="23" t="str">
        <f t="shared" si="85"/>
        <v>10596/ORSE</v>
      </c>
      <c r="N542" s="23">
        <f>SUMIF(CPUAUX1!M:M,B532,CPUAUX1!O:O)</f>
        <v>8.32</v>
      </c>
      <c r="O542" s="23">
        <f t="shared" si="86"/>
        <v>3.7440000000000001E-2</v>
      </c>
      <c r="Q542" s="23">
        <f ca="1">SUMIF(CPUAUX1!M:M,B532,CPUAUX1!R:R)</f>
        <v>3.3280000000000003</v>
      </c>
      <c r="R542" s="23">
        <f t="shared" ca="1" si="87"/>
        <v>1.4976E-2</v>
      </c>
    </row>
    <row r="543" spans="1:18" x14ac:dyDescent="0.3">
      <c r="A543" s="23" t="s">
        <v>1025</v>
      </c>
      <c r="B543" s="23" t="s">
        <v>1114</v>
      </c>
      <c r="C543" s="23" t="str">
        <f>VLOOKUP(B543,IF(A543="COMPOSICAO",S!$A:$E,I!$A:$E),2,FALSE)</f>
        <v>ORSE</v>
      </c>
      <c r="D543" s="24" t="str">
        <f>VLOOKUP(B543,IF(A543="COMPOSICAO",S!$A:$E,I!$A:$E),3,FALSE)</f>
        <v>PROTETOR SOLAR FPS 30 COM 120ML</v>
      </c>
      <c r="E543" s="23" t="str">
        <f>VLOOKUP(B543,IF(A543="COMPOSICAO",S!$A:$E,I!$A:$E),4,FALSE)</f>
        <v>UN</v>
      </c>
      <c r="F543" s="23">
        <v>1.8E-3</v>
      </c>
      <c r="G543" s="71">
        <f>IF(A543="COMPOSICAO",VLOOKUP("TOTAL SEM BDI - "&amp;B543,CPUAUX3!$A:$J,9,FALSE),VLOOKUP(B543,I!$A:$E,5,FALSE))</f>
        <v>18</v>
      </c>
      <c r="H543" s="72"/>
      <c r="I543" s="71">
        <f t="shared" si="84"/>
        <v>0.03</v>
      </c>
      <c r="J543" s="72"/>
      <c r="M543" s="23" t="str">
        <f t="shared" si="85"/>
        <v>10599/ORSE</v>
      </c>
      <c r="N543" s="23">
        <f>SUMIF(CPUAUX1!M:M,B532,CPUAUX1!O:O)</f>
        <v>8.32</v>
      </c>
      <c r="O543" s="23">
        <f t="shared" si="86"/>
        <v>1.4976E-2</v>
      </c>
      <c r="Q543" s="23">
        <f ca="1">SUMIF(CPUAUX1!M:M,B532,CPUAUX1!R:R)</f>
        <v>3.3280000000000003</v>
      </c>
      <c r="R543" s="23">
        <f t="shared" ca="1" si="87"/>
        <v>5.9904000000000008E-3</v>
      </c>
    </row>
    <row r="544" spans="1:18" ht="30" customHeight="1" x14ac:dyDescent="0.3">
      <c r="A544" s="23" t="s">
        <v>1025</v>
      </c>
      <c r="B544" s="23" t="s">
        <v>1115</v>
      </c>
      <c r="C544" s="23" t="str">
        <f>VLOOKUP(B544,IF(A544="COMPOSICAO",S!$A:$E,I!$A:$E),2,FALSE)</f>
        <v>ORSE</v>
      </c>
      <c r="D544" s="24" t="str">
        <f>VLOOKUP(B544,IF(A544="COMPOSICAO",S!$A:$E,I!$A:$E),3,FALSE)</f>
        <v>REFEIÇÃO - CAFÉ DA MANHÃ ( CAFÉ COM LEITE E DOIS PÃES COM MANTEIGA)</v>
      </c>
      <c r="E544" s="23" t="str">
        <f>VLOOKUP(B544,IF(A544="COMPOSICAO",S!$A:$E,I!$A:$E),4,FALSE)</f>
        <v>UN</v>
      </c>
      <c r="F544" s="23">
        <v>0.1018</v>
      </c>
      <c r="G544" s="71">
        <f>IF(A544="COMPOSICAO",VLOOKUP("TOTAL SEM BDI - "&amp;B544,CPUAUX3!$A:$J,9,FALSE),VLOOKUP(B544,I!$A:$E,5,FALSE))</f>
        <v>5</v>
      </c>
      <c r="H544" s="72"/>
      <c r="I544" s="71">
        <f t="shared" si="84"/>
        <v>0.5</v>
      </c>
      <c r="J544" s="72"/>
      <c r="M544" s="23" t="str">
        <f t="shared" si="85"/>
        <v>10761/ORSE</v>
      </c>
      <c r="N544" s="23">
        <f>SUMIF(CPUAUX1!M:M,B532,CPUAUX1!O:O)</f>
        <v>8.32</v>
      </c>
      <c r="O544" s="23">
        <f t="shared" si="86"/>
        <v>0.84697600000000006</v>
      </c>
      <c r="Q544" s="23">
        <f ca="1">SUMIF(CPUAUX1!M:M,B532,CPUAUX1!R:R)</f>
        <v>3.3280000000000003</v>
      </c>
      <c r="R544" s="23">
        <f t="shared" ca="1" si="87"/>
        <v>0.33879040000000005</v>
      </c>
    </row>
    <row r="545" spans="1:18" ht="30" customHeight="1" x14ac:dyDescent="0.3">
      <c r="A545" s="23" t="s">
        <v>1025</v>
      </c>
      <c r="B545" s="23">
        <v>12892</v>
      </c>
      <c r="C545" s="23" t="str">
        <f>VLOOKUP(B545,IF(A545="COMPOSICAO",S!$A:$E,I!$A:$E),2,FALSE)</f>
        <v>SINAPI</v>
      </c>
      <c r="D545" s="24" t="str">
        <f>VLOOKUP(B545,IF(A545="COMPOSICAO",S!$A:$E,I!$A:$E),3,FALSE)</f>
        <v>LUVA RASPA DE COURO, CANO CURTO (PUNHO *7* CM)</v>
      </c>
      <c r="E545" s="23" t="str">
        <f>VLOOKUP(B545,IF(A545="COMPOSICAO",S!$A:$E,I!$A:$E),4,FALSE)</f>
        <v>PAR</v>
      </c>
      <c r="F545" s="23">
        <v>2.3E-3</v>
      </c>
      <c r="G545" s="71">
        <f>IF(A545="COMPOSICAO",VLOOKUP("TOTAL SEM BDI - "&amp;B545,CPUAUX3!$A:$J,9,FALSE),VLOOKUP(B545,I!$A:$E,5,FALSE))</f>
        <v>15.21</v>
      </c>
      <c r="H545" s="72"/>
      <c r="I545" s="71">
        <f t="shared" si="84"/>
        <v>0.03</v>
      </c>
      <c r="J545" s="72"/>
      <c r="M545" s="23">
        <f t="shared" si="85"/>
        <v>12892</v>
      </c>
      <c r="N545" s="23">
        <f>SUMIF(CPUAUX1!M:M,B532,CPUAUX1!O:O)</f>
        <v>8.32</v>
      </c>
      <c r="O545" s="23">
        <f t="shared" si="86"/>
        <v>1.9136E-2</v>
      </c>
      <c r="Q545" s="23">
        <f ca="1">SUMIF(CPUAUX1!M:M,B532,CPUAUX1!R:R)</f>
        <v>3.3280000000000003</v>
      </c>
      <c r="R545" s="23">
        <f t="shared" ca="1" si="87"/>
        <v>7.6544000000000004E-3</v>
      </c>
    </row>
    <row r="546" spans="1:18" ht="30" customHeight="1" x14ac:dyDescent="0.3">
      <c r="A546" s="23" t="s">
        <v>1025</v>
      </c>
      <c r="B546" s="23">
        <v>12893</v>
      </c>
      <c r="C546" s="23" t="str">
        <f>VLOOKUP(B546,IF(A546="COMPOSICAO",S!$A:$E,I!$A:$E),2,FALSE)</f>
        <v>SINAPI</v>
      </c>
      <c r="D546" s="24" t="str">
        <f>VLOOKUP(B546,IF(A546="COMPOSICAO",S!$A:$E,I!$A:$E),3,FALSE)</f>
        <v>BOTA DE SEGURANCA COM BIQUEIRA DE ACO E COLARINHO ACOLCHOADO</v>
      </c>
      <c r="E546" s="23" t="str">
        <f>VLOOKUP(B546,IF(A546="COMPOSICAO",S!$A:$E,I!$A:$E),4,FALSE)</f>
        <v>PAR</v>
      </c>
      <c r="F546" s="23">
        <v>8.0000000000000004E-4</v>
      </c>
      <c r="G546" s="71">
        <f>IF(A546="COMPOSICAO",VLOOKUP("TOTAL SEM BDI - "&amp;B546,CPUAUX3!$A:$J,9,FALSE),VLOOKUP(B546,I!$A:$E,5,FALSE))</f>
        <v>103.39</v>
      </c>
      <c r="H546" s="72"/>
      <c r="I546" s="71">
        <f t="shared" si="84"/>
        <v>0.08</v>
      </c>
      <c r="J546" s="72"/>
      <c r="M546" s="23">
        <f t="shared" si="85"/>
        <v>12893</v>
      </c>
      <c r="N546" s="23">
        <f>SUMIF(CPUAUX1!M:M,B532,CPUAUX1!O:O)</f>
        <v>8.32</v>
      </c>
      <c r="O546" s="23">
        <f t="shared" si="86"/>
        <v>6.6560000000000005E-3</v>
      </c>
      <c r="Q546" s="23">
        <f ca="1">SUMIF(CPUAUX1!M:M,B532,CPUAUX1!R:R)</f>
        <v>3.3280000000000003</v>
      </c>
      <c r="R546" s="23">
        <f t="shared" ca="1" si="87"/>
        <v>2.6624000000000005E-3</v>
      </c>
    </row>
    <row r="547" spans="1:18" ht="30" customHeight="1" x14ac:dyDescent="0.3">
      <c r="A547" s="23" t="s">
        <v>1025</v>
      </c>
      <c r="B547" s="23">
        <v>12894</v>
      </c>
      <c r="C547" s="23" t="str">
        <f>VLOOKUP(B547,IF(A547="COMPOSICAO",S!$A:$E,I!$A:$E),2,FALSE)</f>
        <v>SINAPI</v>
      </c>
      <c r="D547" s="24" t="str">
        <f>VLOOKUP(B547,IF(A547="COMPOSICAO",S!$A:$E,I!$A:$E),3,FALSE)</f>
        <v>CAPA PARA CHUVA EM PVC COM FORRO DE POLIESTER, COM CAPUZ (AMARELA OU AZUL)</v>
      </c>
      <c r="E547" s="23" t="str">
        <f>VLOOKUP(B547,IF(A547="COMPOSICAO",S!$A:$E,I!$A:$E),4,FALSE)</f>
        <v>UN</v>
      </c>
      <c r="F547" s="23">
        <v>2.0000000000000001E-4</v>
      </c>
      <c r="G547" s="71">
        <f>IF(A547="COMPOSICAO",VLOOKUP("TOTAL SEM BDI - "&amp;B547,CPUAUX3!$A:$J,9,FALSE),VLOOKUP(B547,I!$A:$E,5,FALSE))</f>
        <v>28.12</v>
      </c>
      <c r="H547" s="72"/>
      <c r="I547" s="71">
        <f t="shared" si="84"/>
        <v>0</v>
      </c>
      <c r="J547" s="72"/>
      <c r="M547" s="23">
        <f t="shared" si="85"/>
        <v>12894</v>
      </c>
      <c r="N547" s="23">
        <f>SUMIF(CPUAUX1!M:M,B532,CPUAUX1!O:O)</f>
        <v>8.32</v>
      </c>
      <c r="O547" s="23">
        <f t="shared" si="86"/>
        <v>1.6640000000000001E-3</v>
      </c>
      <c r="Q547" s="23">
        <f ca="1">SUMIF(CPUAUX1!M:M,B532,CPUAUX1!R:R)</f>
        <v>3.3280000000000003</v>
      </c>
      <c r="R547" s="23">
        <f t="shared" ca="1" si="87"/>
        <v>6.6560000000000013E-4</v>
      </c>
    </row>
    <row r="548" spans="1:18" ht="30" customHeight="1" x14ac:dyDescent="0.3">
      <c r="A548" s="23" t="s">
        <v>1025</v>
      </c>
      <c r="B548" s="23">
        <v>12895</v>
      </c>
      <c r="C548" s="23" t="str">
        <f>VLOOKUP(B548,IF(A548="COMPOSICAO",S!$A:$E,I!$A:$E),2,FALSE)</f>
        <v>SINAPI</v>
      </c>
      <c r="D548" s="24" t="str">
        <f>VLOOKUP(B548,IF(A548="COMPOSICAO",S!$A:$E,I!$A:$E),3,FALSE)</f>
        <v>CAPACETE DE SEGURANCA ABA FRONTAL COM SUSPENSAO DE POLIETILENO, SEM JUGULAR (CLASSE B)</v>
      </c>
      <c r="E548" s="23" t="str">
        <f>VLOOKUP(B548,IF(A548="COMPOSICAO",S!$A:$E,I!$A:$E),4,FALSE)</f>
        <v>UN</v>
      </c>
      <c r="F548" s="23">
        <v>5.9999999999999995E-4</v>
      </c>
      <c r="G548" s="71">
        <f>IF(A548="COMPOSICAO",VLOOKUP("TOTAL SEM BDI - "&amp;B548,CPUAUX3!$A:$J,9,FALSE),VLOOKUP(B548,I!$A:$E,5,FALSE))</f>
        <v>18.88</v>
      </c>
      <c r="H548" s="72"/>
      <c r="I548" s="71">
        <f t="shared" si="84"/>
        <v>0.01</v>
      </c>
      <c r="J548" s="72"/>
      <c r="M548" s="23">
        <f t="shared" si="85"/>
        <v>12895</v>
      </c>
      <c r="N548" s="23">
        <f>SUMIF(CPUAUX1!M:M,B532,CPUAUX1!O:O)</f>
        <v>8.32</v>
      </c>
      <c r="O548" s="23">
        <f t="shared" si="86"/>
        <v>4.9919999999999999E-3</v>
      </c>
      <c r="Q548" s="23">
        <f ca="1">SUMIF(CPUAUX1!M:M,B532,CPUAUX1!R:R)</f>
        <v>3.3280000000000003</v>
      </c>
      <c r="R548" s="23">
        <f t="shared" ca="1" si="87"/>
        <v>1.9968E-3</v>
      </c>
    </row>
    <row r="549" spans="1:18" x14ac:dyDescent="0.3">
      <c r="A549" s="68" t="str">
        <f>"TOTAL SEM BDI - "&amp;B532</f>
        <v>TOTAL SEM BDI - 10555/ORSE</v>
      </c>
      <c r="B549" s="69"/>
      <c r="C549" s="69"/>
      <c r="D549" s="69"/>
      <c r="E549" s="69"/>
      <c r="F549" s="69"/>
      <c r="G549" s="69"/>
      <c r="H549" s="70"/>
      <c r="I549" s="71">
        <f>SUM(I532:I548)</f>
        <v>3.7599999999999993</v>
      </c>
      <c r="J549" s="72"/>
    </row>
  </sheetData>
  <mergeCells count="965">
    <mergeCell ref="A1:J1"/>
    <mergeCell ref="A2:J2"/>
    <mergeCell ref="A3:J3"/>
    <mergeCell ref="N4:P4"/>
    <mergeCell ref="Q4:S4"/>
    <mergeCell ref="G6:H6"/>
    <mergeCell ref="I6:J6"/>
    <mergeCell ref="G11:H11"/>
    <mergeCell ref="I11:J11"/>
    <mergeCell ref="G12:H12"/>
    <mergeCell ref="I12:J12"/>
    <mergeCell ref="G13:H13"/>
    <mergeCell ref="I13:J13"/>
    <mergeCell ref="G7:H7"/>
    <mergeCell ref="I7:J7"/>
    <mergeCell ref="G8:H8"/>
    <mergeCell ref="I8:J8"/>
    <mergeCell ref="A9:H9"/>
    <mergeCell ref="I9:J9"/>
    <mergeCell ref="G18:H18"/>
    <mergeCell ref="I18:J18"/>
    <mergeCell ref="A19:H19"/>
    <mergeCell ref="I19:J19"/>
    <mergeCell ref="G21:H21"/>
    <mergeCell ref="I21:J21"/>
    <mergeCell ref="A14:H14"/>
    <mergeCell ref="I14:J14"/>
    <mergeCell ref="G16:H16"/>
    <mergeCell ref="I16:J16"/>
    <mergeCell ref="G17:H17"/>
    <mergeCell ref="I17:J17"/>
    <mergeCell ref="G26:H26"/>
    <mergeCell ref="I26:J26"/>
    <mergeCell ref="G27:H27"/>
    <mergeCell ref="I27:J27"/>
    <mergeCell ref="G28:H28"/>
    <mergeCell ref="I28:J28"/>
    <mergeCell ref="G22:H22"/>
    <mergeCell ref="I22:J22"/>
    <mergeCell ref="G23:H23"/>
    <mergeCell ref="I23:J23"/>
    <mergeCell ref="A24:H24"/>
    <mergeCell ref="I24:J24"/>
    <mergeCell ref="G33:H33"/>
    <mergeCell ref="I33:J33"/>
    <mergeCell ref="A34:H34"/>
    <mergeCell ref="I34:J34"/>
    <mergeCell ref="G36:H36"/>
    <mergeCell ref="I36:J36"/>
    <mergeCell ref="A29:H29"/>
    <mergeCell ref="I29:J29"/>
    <mergeCell ref="G31:H31"/>
    <mergeCell ref="I31:J31"/>
    <mergeCell ref="G32:H32"/>
    <mergeCell ref="I32:J32"/>
    <mergeCell ref="G41:H41"/>
    <mergeCell ref="I41:J41"/>
    <mergeCell ref="G42:H42"/>
    <mergeCell ref="I42:J42"/>
    <mergeCell ref="G43:H43"/>
    <mergeCell ref="I43:J43"/>
    <mergeCell ref="G37:H37"/>
    <mergeCell ref="I37:J37"/>
    <mergeCell ref="G38:H38"/>
    <mergeCell ref="I38:J38"/>
    <mergeCell ref="A39:H39"/>
    <mergeCell ref="I39:J39"/>
    <mergeCell ref="G48:H48"/>
    <mergeCell ref="I48:J48"/>
    <mergeCell ref="A49:H49"/>
    <mergeCell ref="I49:J49"/>
    <mergeCell ref="G51:H51"/>
    <mergeCell ref="I51:J51"/>
    <mergeCell ref="A44:H44"/>
    <mergeCell ref="I44:J44"/>
    <mergeCell ref="G46:H46"/>
    <mergeCell ref="I46:J46"/>
    <mergeCell ref="G47:H47"/>
    <mergeCell ref="I47:J47"/>
    <mergeCell ref="G56:H56"/>
    <mergeCell ref="I56:J56"/>
    <mergeCell ref="G57:H57"/>
    <mergeCell ref="I57:J57"/>
    <mergeCell ref="G58:H58"/>
    <mergeCell ref="I58:J58"/>
    <mergeCell ref="G52:H52"/>
    <mergeCell ref="I52:J52"/>
    <mergeCell ref="G53:H53"/>
    <mergeCell ref="I53:J53"/>
    <mergeCell ref="A54:H54"/>
    <mergeCell ref="I54:J54"/>
    <mergeCell ref="G63:H63"/>
    <mergeCell ref="I63:J63"/>
    <mergeCell ref="G64:H64"/>
    <mergeCell ref="I64:J64"/>
    <mergeCell ref="G65:H65"/>
    <mergeCell ref="I65:J65"/>
    <mergeCell ref="G59:H59"/>
    <mergeCell ref="I59:J59"/>
    <mergeCell ref="A60:H60"/>
    <mergeCell ref="I60:J60"/>
    <mergeCell ref="G62:H62"/>
    <mergeCell ref="I62:J62"/>
    <mergeCell ref="G70:H70"/>
    <mergeCell ref="I70:J70"/>
    <mergeCell ref="G71:H71"/>
    <mergeCell ref="I71:J71"/>
    <mergeCell ref="G72:H72"/>
    <mergeCell ref="I72:J72"/>
    <mergeCell ref="G66:H66"/>
    <mergeCell ref="I66:J66"/>
    <mergeCell ref="G67:H67"/>
    <mergeCell ref="I67:J67"/>
    <mergeCell ref="A68:H68"/>
    <mergeCell ref="I68:J68"/>
    <mergeCell ref="G76:H76"/>
    <mergeCell ref="I76:J76"/>
    <mergeCell ref="G77:H77"/>
    <mergeCell ref="I77:J77"/>
    <mergeCell ref="G78:H78"/>
    <mergeCell ref="I78:J78"/>
    <mergeCell ref="G73:H73"/>
    <mergeCell ref="I73:J73"/>
    <mergeCell ref="G74:H74"/>
    <mergeCell ref="I74:J74"/>
    <mergeCell ref="G75:H75"/>
    <mergeCell ref="I75:J75"/>
    <mergeCell ref="G83:H83"/>
    <mergeCell ref="I83:J83"/>
    <mergeCell ref="G84:H84"/>
    <mergeCell ref="I84:J84"/>
    <mergeCell ref="G85:H85"/>
    <mergeCell ref="I85:J85"/>
    <mergeCell ref="G79:H79"/>
    <mergeCell ref="I79:J79"/>
    <mergeCell ref="A80:H80"/>
    <mergeCell ref="I80:J80"/>
    <mergeCell ref="G82:H82"/>
    <mergeCell ref="I82:J82"/>
    <mergeCell ref="G89:H89"/>
    <mergeCell ref="I89:J89"/>
    <mergeCell ref="G90:H90"/>
    <mergeCell ref="I90:J90"/>
    <mergeCell ref="G91:H91"/>
    <mergeCell ref="I91:J91"/>
    <mergeCell ref="G86:H86"/>
    <mergeCell ref="I86:J86"/>
    <mergeCell ref="G87:H87"/>
    <mergeCell ref="I87:J87"/>
    <mergeCell ref="G88:H88"/>
    <mergeCell ref="I88:J88"/>
    <mergeCell ref="G96:H96"/>
    <mergeCell ref="I96:J96"/>
    <mergeCell ref="G97:H97"/>
    <mergeCell ref="I97:J97"/>
    <mergeCell ref="G98:H98"/>
    <mergeCell ref="I98:J98"/>
    <mergeCell ref="A92:H92"/>
    <mergeCell ref="I92:J92"/>
    <mergeCell ref="G94:H94"/>
    <mergeCell ref="I94:J94"/>
    <mergeCell ref="G95:H95"/>
    <mergeCell ref="I95:J95"/>
    <mergeCell ref="G102:H102"/>
    <mergeCell ref="I102:J102"/>
    <mergeCell ref="G103:H103"/>
    <mergeCell ref="I103:J103"/>
    <mergeCell ref="A104:H104"/>
    <mergeCell ref="I104:J104"/>
    <mergeCell ref="G99:H99"/>
    <mergeCell ref="I99:J99"/>
    <mergeCell ref="G100:H100"/>
    <mergeCell ref="I100:J100"/>
    <mergeCell ref="G101:H101"/>
    <mergeCell ref="I101:J101"/>
    <mergeCell ref="G109:H109"/>
    <mergeCell ref="I109:J109"/>
    <mergeCell ref="G110:H110"/>
    <mergeCell ref="I110:J110"/>
    <mergeCell ref="G111:H111"/>
    <mergeCell ref="I111:J111"/>
    <mergeCell ref="G106:H106"/>
    <mergeCell ref="I106:J106"/>
    <mergeCell ref="G107:H107"/>
    <mergeCell ref="I107:J107"/>
    <mergeCell ref="G108:H108"/>
    <mergeCell ref="I108:J108"/>
    <mergeCell ref="G115:H115"/>
    <mergeCell ref="I115:J115"/>
    <mergeCell ref="A116:H116"/>
    <mergeCell ref="I116:J116"/>
    <mergeCell ref="G118:H118"/>
    <mergeCell ref="I118:J118"/>
    <mergeCell ref="G112:H112"/>
    <mergeCell ref="I112:J112"/>
    <mergeCell ref="G113:H113"/>
    <mergeCell ref="I113:J113"/>
    <mergeCell ref="G114:H114"/>
    <mergeCell ref="I114:J114"/>
    <mergeCell ref="G123:H123"/>
    <mergeCell ref="I123:J123"/>
    <mergeCell ref="G124:H124"/>
    <mergeCell ref="I124:J124"/>
    <mergeCell ref="G125:H125"/>
    <mergeCell ref="I125:J125"/>
    <mergeCell ref="G119:H119"/>
    <mergeCell ref="I119:J119"/>
    <mergeCell ref="G120:H120"/>
    <mergeCell ref="I120:J120"/>
    <mergeCell ref="A121:H121"/>
    <mergeCell ref="I121:J121"/>
    <mergeCell ref="G130:H130"/>
    <mergeCell ref="I130:J130"/>
    <mergeCell ref="A131:H131"/>
    <mergeCell ref="I131:J131"/>
    <mergeCell ref="G133:H133"/>
    <mergeCell ref="I133:J133"/>
    <mergeCell ref="A126:H126"/>
    <mergeCell ref="I126:J126"/>
    <mergeCell ref="G128:H128"/>
    <mergeCell ref="I128:J128"/>
    <mergeCell ref="G129:H129"/>
    <mergeCell ref="I129:J129"/>
    <mergeCell ref="G138:H138"/>
    <mergeCell ref="I138:J138"/>
    <mergeCell ref="G139:H139"/>
    <mergeCell ref="I139:J139"/>
    <mergeCell ref="G140:H140"/>
    <mergeCell ref="I140:J140"/>
    <mergeCell ref="G134:H134"/>
    <mergeCell ref="I134:J134"/>
    <mergeCell ref="G135:H135"/>
    <mergeCell ref="I135:J135"/>
    <mergeCell ref="A136:H136"/>
    <mergeCell ref="I136:J136"/>
    <mergeCell ref="G145:H145"/>
    <mergeCell ref="I145:J145"/>
    <mergeCell ref="A146:H146"/>
    <mergeCell ref="I146:J146"/>
    <mergeCell ref="G148:H148"/>
    <mergeCell ref="I148:J148"/>
    <mergeCell ref="A141:H141"/>
    <mergeCell ref="I141:J141"/>
    <mergeCell ref="G143:H143"/>
    <mergeCell ref="I143:J143"/>
    <mergeCell ref="G144:H144"/>
    <mergeCell ref="I144:J144"/>
    <mergeCell ref="G153:H153"/>
    <mergeCell ref="I153:J153"/>
    <mergeCell ref="G154:H154"/>
    <mergeCell ref="I154:J154"/>
    <mergeCell ref="G155:H155"/>
    <mergeCell ref="I155:J155"/>
    <mergeCell ref="G149:H149"/>
    <mergeCell ref="I149:J149"/>
    <mergeCell ref="G150:H150"/>
    <mergeCell ref="I150:J150"/>
    <mergeCell ref="A151:H151"/>
    <mergeCell ref="I151:J151"/>
    <mergeCell ref="G159:H159"/>
    <mergeCell ref="I159:J159"/>
    <mergeCell ref="G160:H160"/>
    <mergeCell ref="I160:J160"/>
    <mergeCell ref="G161:H161"/>
    <mergeCell ref="I161:J161"/>
    <mergeCell ref="G156:H156"/>
    <mergeCell ref="I156:J156"/>
    <mergeCell ref="G157:H157"/>
    <mergeCell ref="I157:J157"/>
    <mergeCell ref="G158:H158"/>
    <mergeCell ref="I158:J158"/>
    <mergeCell ref="G166:H166"/>
    <mergeCell ref="I166:J166"/>
    <mergeCell ref="G167:H167"/>
    <mergeCell ref="I167:J167"/>
    <mergeCell ref="A168:H168"/>
    <mergeCell ref="I168:J168"/>
    <mergeCell ref="G162:H162"/>
    <mergeCell ref="I162:J162"/>
    <mergeCell ref="A163:H163"/>
    <mergeCell ref="I163:J163"/>
    <mergeCell ref="G165:H165"/>
    <mergeCell ref="I165:J165"/>
    <mergeCell ref="A173:H173"/>
    <mergeCell ref="I173:J173"/>
    <mergeCell ref="G175:H175"/>
    <mergeCell ref="I175:J175"/>
    <mergeCell ref="G176:H176"/>
    <mergeCell ref="I176:J176"/>
    <mergeCell ref="G170:H170"/>
    <mergeCell ref="I170:J170"/>
    <mergeCell ref="G171:H171"/>
    <mergeCell ref="I171:J171"/>
    <mergeCell ref="G172:H172"/>
    <mergeCell ref="I172:J172"/>
    <mergeCell ref="G181:H181"/>
    <mergeCell ref="I181:J181"/>
    <mergeCell ref="G182:H182"/>
    <mergeCell ref="I182:J182"/>
    <mergeCell ref="A183:H183"/>
    <mergeCell ref="I183:J183"/>
    <mergeCell ref="G177:H177"/>
    <mergeCell ref="I177:J177"/>
    <mergeCell ref="A178:H178"/>
    <mergeCell ref="I178:J178"/>
    <mergeCell ref="G180:H180"/>
    <mergeCell ref="I180:J180"/>
    <mergeCell ref="G188:H188"/>
    <mergeCell ref="I188:J188"/>
    <mergeCell ref="A189:H189"/>
    <mergeCell ref="I189:J189"/>
    <mergeCell ref="G191:H191"/>
    <mergeCell ref="I191:J191"/>
    <mergeCell ref="G185:H185"/>
    <mergeCell ref="I185:J185"/>
    <mergeCell ref="G186:H186"/>
    <mergeCell ref="I186:J186"/>
    <mergeCell ref="G187:H187"/>
    <mergeCell ref="I187:J187"/>
    <mergeCell ref="G195:H195"/>
    <mergeCell ref="I195:J195"/>
    <mergeCell ref="G196:H196"/>
    <mergeCell ref="I196:J196"/>
    <mergeCell ref="A197:H197"/>
    <mergeCell ref="I197:J197"/>
    <mergeCell ref="G192:H192"/>
    <mergeCell ref="I192:J192"/>
    <mergeCell ref="G193:H193"/>
    <mergeCell ref="I193:J193"/>
    <mergeCell ref="G194:H194"/>
    <mergeCell ref="I194:J194"/>
    <mergeCell ref="G202:H202"/>
    <mergeCell ref="I202:J202"/>
    <mergeCell ref="G203:H203"/>
    <mergeCell ref="I203:J203"/>
    <mergeCell ref="A204:H204"/>
    <mergeCell ref="I204:J204"/>
    <mergeCell ref="G199:H199"/>
    <mergeCell ref="I199:J199"/>
    <mergeCell ref="G200:H200"/>
    <mergeCell ref="I200:J200"/>
    <mergeCell ref="G201:H201"/>
    <mergeCell ref="I201:J201"/>
    <mergeCell ref="G209:H209"/>
    <mergeCell ref="I209:J209"/>
    <mergeCell ref="G210:H210"/>
    <mergeCell ref="I210:J210"/>
    <mergeCell ref="G211:H211"/>
    <mergeCell ref="I211:J211"/>
    <mergeCell ref="G206:H206"/>
    <mergeCell ref="I206:J206"/>
    <mergeCell ref="G207:H207"/>
    <mergeCell ref="I207:J207"/>
    <mergeCell ref="G208:H208"/>
    <mergeCell ref="I208:J208"/>
    <mergeCell ref="G216:H216"/>
    <mergeCell ref="I216:J216"/>
    <mergeCell ref="G217:H217"/>
    <mergeCell ref="I217:J217"/>
    <mergeCell ref="G218:H218"/>
    <mergeCell ref="I218:J218"/>
    <mergeCell ref="G212:H212"/>
    <mergeCell ref="I212:J212"/>
    <mergeCell ref="A213:H213"/>
    <mergeCell ref="I213:J213"/>
    <mergeCell ref="G215:H215"/>
    <mergeCell ref="I215:J215"/>
    <mergeCell ref="G222:H222"/>
    <mergeCell ref="I222:J222"/>
    <mergeCell ref="G223:H223"/>
    <mergeCell ref="I223:J223"/>
    <mergeCell ref="G224:H224"/>
    <mergeCell ref="I224:J224"/>
    <mergeCell ref="G219:H219"/>
    <mergeCell ref="I219:J219"/>
    <mergeCell ref="G220:H220"/>
    <mergeCell ref="I220:J220"/>
    <mergeCell ref="G221:H221"/>
    <mergeCell ref="I221:J221"/>
    <mergeCell ref="G229:H229"/>
    <mergeCell ref="I229:J229"/>
    <mergeCell ref="G230:H230"/>
    <mergeCell ref="I230:J230"/>
    <mergeCell ref="G231:H231"/>
    <mergeCell ref="I231:J231"/>
    <mergeCell ref="A225:H225"/>
    <mergeCell ref="I225:J225"/>
    <mergeCell ref="G227:H227"/>
    <mergeCell ref="I227:J227"/>
    <mergeCell ref="G228:H228"/>
    <mergeCell ref="I228:J228"/>
    <mergeCell ref="G235:H235"/>
    <mergeCell ref="I235:J235"/>
    <mergeCell ref="G236:H236"/>
    <mergeCell ref="I236:J236"/>
    <mergeCell ref="A237:H237"/>
    <mergeCell ref="I237:J237"/>
    <mergeCell ref="G232:H232"/>
    <mergeCell ref="I232:J232"/>
    <mergeCell ref="G233:H233"/>
    <mergeCell ref="I233:J233"/>
    <mergeCell ref="G234:H234"/>
    <mergeCell ref="I234:J234"/>
    <mergeCell ref="G242:H242"/>
    <mergeCell ref="I242:J242"/>
    <mergeCell ref="A243:H243"/>
    <mergeCell ref="I243:J243"/>
    <mergeCell ref="G245:H245"/>
    <mergeCell ref="I245:J245"/>
    <mergeCell ref="G239:H239"/>
    <mergeCell ref="I239:J239"/>
    <mergeCell ref="G240:H240"/>
    <mergeCell ref="I240:J240"/>
    <mergeCell ref="G241:H241"/>
    <mergeCell ref="I241:J241"/>
    <mergeCell ref="G249:H249"/>
    <mergeCell ref="I249:J249"/>
    <mergeCell ref="G250:H250"/>
    <mergeCell ref="I250:J250"/>
    <mergeCell ref="A251:H251"/>
    <mergeCell ref="I251:J251"/>
    <mergeCell ref="G246:H246"/>
    <mergeCell ref="I246:J246"/>
    <mergeCell ref="G247:H247"/>
    <mergeCell ref="I247:J247"/>
    <mergeCell ref="G248:H248"/>
    <mergeCell ref="I248:J248"/>
    <mergeCell ref="G256:H256"/>
    <mergeCell ref="I256:J256"/>
    <mergeCell ref="G257:H257"/>
    <mergeCell ref="I257:J257"/>
    <mergeCell ref="G258:H258"/>
    <mergeCell ref="I258:J258"/>
    <mergeCell ref="G253:H253"/>
    <mergeCell ref="I253:J253"/>
    <mergeCell ref="G254:H254"/>
    <mergeCell ref="I254:J254"/>
    <mergeCell ref="G255:H255"/>
    <mergeCell ref="I255:J255"/>
    <mergeCell ref="G262:H262"/>
    <mergeCell ref="I262:J262"/>
    <mergeCell ref="A263:H263"/>
    <mergeCell ref="I263:J263"/>
    <mergeCell ref="G265:H265"/>
    <mergeCell ref="I265:J265"/>
    <mergeCell ref="G259:H259"/>
    <mergeCell ref="I259:J259"/>
    <mergeCell ref="G260:H260"/>
    <mergeCell ref="I260:J260"/>
    <mergeCell ref="G261:H261"/>
    <mergeCell ref="I261:J261"/>
    <mergeCell ref="G269:H269"/>
    <mergeCell ref="I269:J269"/>
    <mergeCell ref="G270:H270"/>
    <mergeCell ref="I270:J270"/>
    <mergeCell ref="G271:H271"/>
    <mergeCell ref="I271:J271"/>
    <mergeCell ref="G266:H266"/>
    <mergeCell ref="I266:J266"/>
    <mergeCell ref="G267:H267"/>
    <mergeCell ref="I267:J267"/>
    <mergeCell ref="G268:H268"/>
    <mergeCell ref="I268:J268"/>
    <mergeCell ref="A275:H275"/>
    <mergeCell ref="I275:J275"/>
    <mergeCell ref="G277:H277"/>
    <mergeCell ref="I277:J277"/>
    <mergeCell ref="G278:H278"/>
    <mergeCell ref="I278:J278"/>
    <mergeCell ref="G272:H272"/>
    <mergeCell ref="I272:J272"/>
    <mergeCell ref="G273:H273"/>
    <mergeCell ref="I273:J273"/>
    <mergeCell ref="G274:H274"/>
    <mergeCell ref="I274:J274"/>
    <mergeCell ref="G282:H282"/>
    <mergeCell ref="I282:J282"/>
    <mergeCell ref="G283:H283"/>
    <mergeCell ref="I283:J283"/>
    <mergeCell ref="G284:H284"/>
    <mergeCell ref="I284:J284"/>
    <mergeCell ref="G279:H279"/>
    <mergeCell ref="I279:J279"/>
    <mergeCell ref="G280:H280"/>
    <mergeCell ref="I280:J280"/>
    <mergeCell ref="G281:H281"/>
    <mergeCell ref="I281:J281"/>
    <mergeCell ref="G289:H289"/>
    <mergeCell ref="I289:J289"/>
    <mergeCell ref="G290:H290"/>
    <mergeCell ref="I290:J290"/>
    <mergeCell ref="G291:H291"/>
    <mergeCell ref="I291:J291"/>
    <mergeCell ref="G285:H285"/>
    <mergeCell ref="I285:J285"/>
    <mergeCell ref="A286:H286"/>
    <mergeCell ref="I286:J286"/>
    <mergeCell ref="G288:H288"/>
    <mergeCell ref="I288:J288"/>
    <mergeCell ref="G295:H295"/>
    <mergeCell ref="I295:J295"/>
    <mergeCell ref="G296:H296"/>
    <mergeCell ref="I296:J296"/>
    <mergeCell ref="G297:H297"/>
    <mergeCell ref="I297:J297"/>
    <mergeCell ref="G292:H292"/>
    <mergeCell ref="I292:J292"/>
    <mergeCell ref="G293:H293"/>
    <mergeCell ref="I293:J293"/>
    <mergeCell ref="G294:H294"/>
    <mergeCell ref="I294:J294"/>
    <mergeCell ref="G302:H302"/>
    <mergeCell ref="I302:J302"/>
    <mergeCell ref="G303:H303"/>
    <mergeCell ref="I303:J303"/>
    <mergeCell ref="G304:H304"/>
    <mergeCell ref="I304:J304"/>
    <mergeCell ref="A298:H298"/>
    <mergeCell ref="I298:J298"/>
    <mergeCell ref="G300:H300"/>
    <mergeCell ref="I300:J300"/>
    <mergeCell ref="G301:H301"/>
    <mergeCell ref="I301:J301"/>
    <mergeCell ref="G309:H309"/>
    <mergeCell ref="I309:J309"/>
    <mergeCell ref="G310:H310"/>
    <mergeCell ref="I310:J310"/>
    <mergeCell ref="G311:H311"/>
    <mergeCell ref="I311:J311"/>
    <mergeCell ref="A305:H305"/>
    <mergeCell ref="I305:J305"/>
    <mergeCell ref="G307:H307"/>
    <mergeCell ref="I307:J307"/>
    <mergeCell ref="G308:H308"/>
    <mergeCell ref="I308:J308"/>
    <mergeCell ref="G316:H316"/>
    <mergeCell ref="I316:J316"/>
    <mergeCell ref="G317:H317"/>
    <mergeCell ref="I317:J317"/>
    <mergeCell ref="G318:H318"/>
    <mergeCell ref="I318:J318"/>
    <mergeCell ref="A312:H312"/>
    <mergeCell ref="I312:J312"/>
    <mergeCell ref="G314:H314"/>
    <mergeCell ref="I314:J314"/>
    <mergeCell ref="G315:H315"/>
    <mergeCell ref="I315:J315"/>
    <mergeCell ref="G323:H323"/>
    <mergeCell ref="I323:J323"/>
    <mergeCell ref="G324:H324"/>
    <mergeCell ref="I324:J324"/>
    <mergeCell ref="G325:H325"/>
    <mergeCell ref="I325:J325"/>
    <mergeCell ref="A319:H319"/>
    <mergeCell ref="I319:J319"/>
    <mergeCell ref="G321:H321"/>
    <mergeCell ref="I321:J321"/>
    <mergeCell ref="G322:H322"/>
    <mergeCell ref="I322:J322"/>
    <mergeCell ref="G330:H330"/>
    <mergeCell ref="I330:J330"/>
    <mergeCell ref="G331:H331"/>
    <mergeCell ref="I331:J331"/>
    <mergeCell ref="G332:H332"/>
    <mergeCell ref="I332:J332"/>
    <mergeCell ref="A326:H326"/>
    <mergeCell ref="I326:J326"/>
    <mergeCell ref="G328:H328"/>
    <mergeCell ref="I328:J328"/>
    <mergeCell ref="G329:H329"/>
    <mergeCell ref="I329:J329"/>
    <mergeCell ref="G337:H337"/>
    <mergeCell ref="I337:J337"/>
    <mergeCell ref="G338:H338"/>
    <mergeCell ref="I338:J338"/>
    <mergeCell ref="A339:H339"/>
    <mergeCell ref="I339:J339"/>
    <mergeCell ref="A333:H333"/>
    <mergeCell ref="I333:J333"/>
    <mergeCell ref="G335:H335"/>
    <mergeCell ref="I335:J335"/>
    <mergeCell ref="G336:H336"/>
    <mergeCell ref="I336:J336"/>
    <mergeCell ref="G344:H344"/>
    <mergeCell ref="I344:J344"/>
    <mergeCell ref="A345:H345"/>
    <mergeCell ref="I345:J345"/>
    <mergeCell ref="G347:H347"/>
    <mergeCell ref="I347:J347"/>
    <mergeCell ref="G341:H341"/>
    <mergeCell ref="I341:J341"/>
    <mergeCell ref="G342:H342"/>
    <mergeCell ref="I342:J342"/>
    <mergeCell ref="G343:H343"/>
    <mergeCell ref="I343:J343"/>
    <mergeCell ref="G352:H352"/>
    <mergeCell ref="I352:J352"/>
    <mergeCell ref="G353:H353"/>
    <mergeCell ref="I353:J353"/>
    <mergeCell ref="G354:H354"/>
    <mergeCell ref="I354:J354"/>
    <mergeCell ref="G348:H348"/>
    <mergeCell ref="I348:J348"/>
    <mergeCell ref="G349:H349"/>
    <mergeCell ref="I349:J349"/>
    <mergeCell ref="A350:H350"/>
    <mergeCell ref="I350:J350"/>
    <mergeCell ref="G359:H359"/>
    <mergeCell ref="I359:J359"/>
    <mergeCell ref="G360:H360"/>
    <mergeCell ref="I360:J360"/>
    <mergeCell ref="G361:H361"/>
    <mergeCell ref="I361:J361"/>
    <mergeCell ref="A355:H355"/>
    <mergeCell ref="I355:J355"/>
    <mergeCell ref="G357:H357"/>
    <mergeCell ref="I357:J357"/>
    <mergeCell ref="G358:H358"/>
    <mergeCell ref="I358:J358"/>
    <mergeCell ref="G365:H365"/>
    <mergeCell ref="I365:J365"/>
    <mergeCell ref="G366:H366"/>
    <mergeCell ref="I366:J366"/>
    <mergeCell ref="A367:H367"/>
    <mergeCell ref="I367:J367"/>
    <mergeCell ref="G362:H362"/>
    <mergeCell ref="I362:J362"/>
    <mergeCell ref="G363:H363"/>
    <mergeCell ref="I363:J363"/>
    <mergeCell ref="G364:H364"/>
    <mergeCell ref="I364:J364"/>
    <mergeCell ref="G372:H372"/>
    <mergeCell ref="I372:J372"/>
    <mergeCell ref="G373:H373"/>
    <mergeCell ref="I373:J373"/>
    <mergeCell ref="G374:H374"/>
    <mergeCell ref="I374:J374"/>
    <mergeCell ref="G369:H369"/>
    <mergeCell ref="I369:J369"/>
    <mergeCell ref="G370:H370"/>
    <mergeCell ref="I370:J370"/>
    <mergeCell ref="G371:H371"/>
    <mergeCell ref="I371:J371"/>
    <mergeCell ref="G378:H378"/>
    <mergeCell ref="I378:J378"/>
    <mergeCell ref="A379:H379"/>
    <mergeCell ref="I379:J379"/>
    <mergeCell ref="G381:H381"/>
    <mergeCell ref="I381:J381"/>
    <mergeCell ref="G375:H375"/>
    <mergeCell ref="I375:J375"/>
    <mergeCell ref="G376:H376"/>
    <mergeCell ref="I376:J376"/>
    <mergeCell ref="G377:H377"/>
    <mergeCell ref="I377:J377"/>
    <mergeCell ref="G385:H385"/>
    <mergeCell ref="I385:J385"/>
    <mergeCell ref="A386:H386"/>
    <mergeCell ref="I386:J386"/>
    <mergeCell ref="G388:H388"/>
    <mergeCell ref="I388:J388"/>
    <mergeCell ref="G382:H382"/>
    <mergeCell ref="I382:J382"/>
    <mergeCell ref="G383:H383"/>
    <mergeCell ref="I383:J383"/>
    <mergeCell ref="G384:H384"/>
    <mergeCell ref="I384:J384"/>
    <mergeCell ref="G392:H392"/>
    <mergeCell ref="I392:J392"/>
    <mergeCell ref="G393:H393"/>
    <mergeCell ref="I393:J393"/>
    <mergeCell ref="G394:H394"/>
    <mergeCell ref="I394:J394"/>
    <mergeCell ref="G389:H389"/>
    <mergeCell ref="I389:J389"/>
    <mergeCell ref="G390:H390"/>
    <mergeCell ref="I390:J390"/>
    <mergeCell ref="G391:H391"/>
    <mergeCell ref="I391:J391"/>
    <mergeCell ref="A398:H398"/>
    <mergeCell ref="I398:J398"/>
    <mergeCell ref="G400:H400"/>
    <mergeCell ref="I400:J400"/>
    <mergeCell ref="G401:H401"/>
    <mergeCell ref="I401:J401"/>
    <mergeCell ref="G395:H395"/>
    <mergeCell ref="I395:J395"/>
    <mergeCell ref="G396:H396"/>
    <mergeCell ref="I396:J396"/>
    <mergeCell ref="G397:H397"/>
    <mergeCell ref="I397:J397"/>
    <mergeCell ref="G405:H405"/>
    <mergeCell ref="I405:J405"/>
    <mergeCell ref="G406:H406"/>
    <mergeCell ref="I406:J406"/>
    <mergeCell ref="G407:H407"/>
    <mergeCell ref="I407:J407"/>
    <mergeCell ref="G402:H402"/>
    <mergeCell ref="I402:J402"/>
    <mergeCell ref="G403:H403"/>
    <mergeCell ref="I403:J403"/>
    <mergeCell ref="G404:H404"/>
    <mergeCell ref="I404:J404"/>
    <mergeCell ref="G412:H412"/>
    <mergeCell ref="I412:J412"/>
    <mergeCell ref="G413:H413"/>
    <mergeCell ref="I413:J413"/>
    <mergeCell ref="G414:H414"/>
    <mergeCell ref="I414:J414"/>
    <mergeCell ref="G408:H408"/>
    <mergeCell ref="I408:J408"/>
    <mergeCell ref="G409:H409"/>
    <mergeCell ref="I409:J409"/>
    <mergeCell ref="A410:H410"/>
    <mergeCell ref="I410:J410"/>
    <mergeCell ref="A418:H418"/>
    <mergeCell ref="I418:J418"/>
    <mergeCell ref="G420:H420"/>
    <mergeCell ref="I420:J420"/>
    <mergeCell ref="G421:H421"/>
    <mergeCell ref="I421:J421"/>
    <mergeCell ref="G415:H415"/>
    <mergeCell ref="I415:J415"/>
    <mergeCell ref="G416:H416"/>
    <mergeCell ref="I416:J416"/>
    <mergeCell ref="G417:H417"/>
    <mergeCell ref="I417:J417"/>
    <mergeCell ref="G425:H425"/>
    <mergeCell ref="I425:J425"/>
    <mergeCell ref="A426:H426"/>
    <mergeCell ref="I426:J426"/>
    <mergeCell ref="G428:H428"/>
    <mergeCell ref="I428:J428"/>
    <mergeCell ref="G422:H422"/>
    <mergeCell ref="I422:J422"/>
    <mergeCell ref="G423:H423"/>
    <mergeCell ref="I423:J423"/>
    <mergeCell ref="G424:H424"/>
    <mergeCell ref="I424:J424"/>
    <mergeCell ref="G433:H433"/>
    <mergeCell ref="I433:J433"/>
    <mergeCell ref="G434:H434"/>
    <mergeCell ref="I434:J434"/>
    <mergeCell ref="G435:H435"/>
    <mergeCell ref="I435:J435"/>
    <mergeCell ref="G429:H429"/>
    <mergeCell ref="I429:J429"/>
    <mergeCell ref="G430:H430"/>
    <mergeCell ref="I430:J430"/>
    <mergeCell ref="A431:H431"/>
    <mergeCell ref="I431:J431"/>
    <mergeCell ref="A439:H439"/>
    <mergeCell ref="I439:J439"/>
    <mergeCell ref="G441:H441"/>
    <mergeCell ref="I441:J441"/>
    <mergeCell ref="G442:H442"/>
    <mergeCell ref="I442:J442"/>
    <mergeCell ref="G436:H436"/>
    <mergeCell ref="I436:J436"/>
    <mergeCell ref="G437:H437"/>
    <mergeCell ref="I437:J437"/>
    <mergeCell ref="G438:H438"/>
    <mergeCell ref="I438:J438"/>
    <mergeCell ref="G446:H446"/>
    <mergeCell ref="I446:J446"/>
    <mergeCell ref="G447:H447"/>
    <mergeCell ref="I447:J447"/>
    <mergeCell ref="G448:H448"/>
    <mergeCell ref="I448:J448"/>
    <mergeCell ref="G443:H443"/>
    <mergeCell ref="I443:J443"/>
    <mergeCell ref="G444:H444"/>
    <mergeCell ref="I444:J444"/>
    <mergeCell ref="G445:H445"/>
    <mergeCell ref="I445:J445"/>
    <mergeCell ref="G453:H453"/>
    <mergeCell ref="I453:J453"/>
    <mergeCell ref="G454:H454"/>
    <mergeCell ref="I454:J454"/>
    <mergeCell ref="G455:H455"/>
    <mergeCell ref="I455:J455"/>
    <mergeCell ref="A449:H449"/>
    <mergeCell ref="I449:J449"/>
    <mergeCell ref="G451:H451"/>
    <mergeCell ref="I451:J451"/>
    <mergeCell ref="G452:H452"/>
    <mergeCell ref="I452:J452"/>
    <mergeCell ref="G459:H459"/>
    <mergeCell ref="I459:J459"/>
    <mergeCell ref="G460:H460"/>
    <mergeCell ref="I460:J460"/>
    <mergeCell ref="A461:H461"/>
    <mergeCell ref="I461:J461"/>
    <mergeCell ref="G456:H456"/>
    <mergeCell ref="I456:J456"/>
    <mergeCell ref="G457:H457"/>
    <mergeCell ref="I457:J457"/>
    <mergeCell ref="G458:H458"/>
    <mergeCell ref="I458:J458"/>
    <mergeCell ref="G466:H466"/>
    <mergeCell ref="I466:J466"/>
    <mergeCell ref="G467:H467"/>
    <mergeCell ref="I467:J467"/>
    <mergeCell ref="G468:H468"/>
    <mergeCell ref="I468:J468"/>
    <mergeCell ref="G463:H463"/>
    <mergeCell ref="I463:J463"/>
    <mergeCell ref="G464:H464"/>
    <mergeCell ref="I464:J464"/>
    <mergeCell ref="G465:H465"/>
    <mergeCell ref="I465:J465"/>
    <mergeCell ref="G472:H472"/>
    <mergeCell ref="I472:J472"/>
    <mergeCell ref="G473:H473"/>
    <mergeCell ref="I473:J473"/>
    <mergeCell ref="G474:H474"/>
    <mergeCell ref="I474:J474"/>
    <mergeCell ref="G469:H469"/>
    <mergeCell ref="I469:J469"/>
    <mergeCell ref="G470:H470"/>
    <mergeCell ref="I470:J470"/>
    <mergeCell ref="G471:H471"/>
    <mergeCell ref="I471:J471"/>
    <mergeCell ref="G478:H478"/>
    <mergeCell ref="I478:J478"/>
    <mergeCell ref="G479:H479"/>
    <mergeCell ref="I479:J479"/>
    <mergeCell ref="G480:H480"/>
    <mergeCell ref="I480:J480"/>
    <mergeCell ref="G475:H475"/>
    <mergeCell ref="I475:J475"/>
    <mergeCell ref="G476:H476"/>
    <mergeCell ref="I476:J476"/>
    <mergeCell ref="G477:H477"/>
    <mergeCell ref="I477:J477"/>
    <mergeCell ref="G485:H485"/>
    <mergeCell ref="I485:J485"/>
    <mergeCell ref="G486:H486"/>
    <mergeCell ref="I486:J486"/>
    <mergeCell ref="G487:H487"/>
    <mergeCell ref="I487:J487"/>
    <mergeCell ref="G481:H481"/>
    <mergeCell ref="I481:J481"/>
    <mergeCell ref="G482:H482"/>
    <mergeCell ref="I482:J482"/>
    <mergeCell ref="A483:H483"/>
    <mergeCell ref="I483:J483"/>
    <mergeCell ref="G491:H491"/>
    <mergeCell ref="I491:J491"/>
    <mergeCell ref="G492:H492"/>
    <mergeCell ref="I492:J492"/>
    <mergeCell ref="G493:H493"/>
    <mergeCell ref="I493:J493"/>
    <mergeCell ref="G488:H488"/>
    <mergeCell ref="I488:J488"/>
    <mergeCell ref="G489:H489"/>
    <mergeCell ref="I489:J489"/>
    <mergeCell ref="G490:H490"/>
    <mergeCell ref="I490:J490"/>
    <mergeCell ref="G497:H497"/>
    <mergeCell ref="I497:J497"/>
    <mergeCell ref="G498:H498"/>
    <mergeCell ref="I498:J498"/>
    <mergeCell ref="G499:H499"/>
    <mergeCell ref="I499:J499"/>
    <mergeCell ref="G494:H494"/>
    <mergeCell ref="I494:J494"/>
    <mergeCell ref="G495:H495"/>
    <mergeCell ref="I495:J495"/>
    <mergeCell ref="G496:H496"/>
    <mergeCell ref="I496:J496"/>
    <mergeCell ref="G503:H503"/>
    <mergeCell ref="I503:J503"/>
    <mergeCell ref="G504:H504"/>
    <mergeCell ref="I504:J504"/>
    <mergeCell ref="G505:H505"/>
    <mergeCell ref="I505:J505"/>
    <mergeCell ref="G500:H500"/>
    <mergeCell ref="I500:J500"/>
    <mergeCell ref="G501:H501"/>
    <mergeCell ref="I501:J501"/>
    <mergeCell ref="G502:H502"/>
    <mergeCell ref="I502:J502"/>
    <mergeCell ref="G510:H510"/>
    <mergeCell ref="I510:J510"/>
    <mergeCell ref="G511:H511"/>
    <mergeCell ref="I511:J511"/>
    <mergeCell ref="G512:H512"/>
    <mergeCell ref="I512:J512"/>
    <mergeCell ref="G506:H506"/>
    <mergeCell ref="I506:J506"/>
    <mergeCell ref="A507:H507"/>
    <mergeCell ref="I507:J507"/>
    <mergeCell ref="G509:H509"/>
    <mergeCell ref="I509:J509"/>
    <mergeCell ref="G516:H516"/>
    <mergeCell ref="I516:J516"/>
    <mergeCell ref="A517:H517"/>
    <mergeCell ref="I517:J517"/>
    <mergeCell ref="G519:H519"/>
    <mergeCell ref="I519:J519"/>
    <mergeCell ref="G513:H513"/>
    <mergeCell ref="I513:J513"/>
    <mergeCell ref="G514:H514"/>
    <mergeCell ref="I514:J514"/>
    <mergeCell ref="G515:H515"/>
    <mergeCell ref="I515:J515"/>
    <mergeCell ref="G523:H523"/>
    <mergeCell ref="I523:J523"/>
    <mergeCell ref="G524:H524"/>
    <mergeCell ref="I524:J524"/>
    <mergeCell ref="G525:H525"/>
    <mergeCell ref="I525:J525"/>
    <mergeCell ref="G520:H520"/>
    <mergeCell ref="I520:J520"/>
    <mergeCell ref="G521:H521"/>
    <mergeCell ref="I521:J521"/>
    <mergeCell ref="G522:H522"/>
    <mergeCell ref="I522:J522"/>
    <mergeCell ref="A529:H529"/>
    <mergeCell ref="I529:J529"/>
    <mergeCell ref="G531:H531"/>
    <mergeCell ref="I531:J531"/>
    <mergeCell ref="G532:H532"/>
    <mergeCell ref="I532:J532"/>
    <mergeCell ref="G526:H526"/>
    <mergeCell ref="I526:J526"/>
    <mergeCell ref="G527:H527"/>
    <mergeCell ref="I527:J527"/>
    <mergeCell ref="G528:H528"/>
    <mergeCell ref="I528:J528"/>
    <mergeCell ref="G536:H536"/>
    <mergeCell ref="I536:J536"/>
    <mergeCell ref="G537:H537"/>
    <mergeCell ref="I537:J537"/>
    <mergeCell ref="G538:H538"/>
    <mergeCell ref="I538:J538"/>
    <mergeCell ref="G533:H533"/>
    <mergeCell ref="I533:J533"/>
    <mergeCell ref="G534:H534"/>
    <mergeCell ref="I534:J534"/>
    <mergeCell ref="G535:H535"/>
    <mergeCell ref="I535:J535"/>
    <mergeCell ref="G542:H542"/>
    <mergeCell ref="I542:J542"/>
    <mergeCell ref="G543:H543"/>
    <mergeCell ref="I543:J543"/>
    <mergeCell ref="G544:H544"/>
    <mergeCell ref="I544:J544"/>
    <mergeCell ref="G539:H539"/>
    <mergeCell ref="I539:J539"/>
    <mergeCell ref="G540:H540"/>
    <mergeCell ref="I540:J540"/>
    <mergeCell ref="G541:H541"/>
    <mergeCell ref="I541:J541"/>
    <mergeCell ref="G548:H548"/>
    <mergeCell ref="I548:J548"/>
    <mergeCell ref="A549:H549"/>
    <mergeCell ref="I549:J549"/>
    <mergeCell ref="G545:H545"/>
    <mergeCell ref="I545:J545"/>
    <mergeCell ref="G546:H546"/>
    <mergeCell ref="I546:J546"/>
    <mergeCell ref="G547:H547"/>
    <mergeCell ref="I547:J547"/>
  </mergeCells>
  <pageMargins left="0.78740157480314965" right="0.39370078740157483" top="1.1811023622047245" bottom="0.78740157480314965" header="0.31496062992125984" footer="0.31496062992125984"/>
  <pageSetup paperSize="9" scale="44" fitToHeight="0" orientation="portrait" r:id="rId1"/>
  <headerFooter>
    <oddHeader>&amp;C&amp;G</oddHead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20</vt:i4>
      </vt:variant>
      <vt:variant>
        <vt:lpstr>Intervalos Nomeados</vt:lpstr>
      </vt:variant>
      <vt:variant>
        <vt:i4>48</vt:i4>
      </vt:variant>
    </vt:vector>
  </HeadingPairs>
  <TitlesOfParts>
    <vt:vector size="68" baseType="lpstr">
      <vt:lpstr>DADOS</vt:lpstr>
      <vt:lpstr>RESUMO</vt:lpstr>
      <vt:lpstr>CFF</vt:lpstr>
      <vt:lpstr>ORCAMENTO</vt:lpstr>
      <vt:lpstr>CO</vt:lpstr>
      <vt:lpstr>MEMORIA</vt:lpstr>
      <vt:lpstr>CPU</vt:lpstr>
      <vt:lpstr>CPUAUX1</vt:lpstr>
      <vt:lpstr>CPUAUX2</vt:lpstr>
      <vt:lpstr>CPUAUX3</vt:lpstr>
      <vt:lpstr>CPUAUX4</vt:lpstr>
      <vt:lpstr>CPUAUX5</vt:lpstr>
      <vt:lpstr>BDI</vt:lpstr>
      <vt:lpstr>LSINAPI</vt:lpstr>
      <vt:lpstr>ABC_S</vt:lpstr>
      <vt:lpstr>ABC_I</vt:lpstr>
      <vt:lpstr>COMPRAS</vt:lpstr>
      <vt:lpstr>CONTRATOS</vt:lpstr>
      <vt:lpstr>S</vt:lpstr>
      <vt:lpstr>I</vt:lpstr>
      <vt:lpstr>ABC_I!Area_de_impressao</vt:lpstr>
      <vt:lpstr>ABC_S!Area_de_impressao</vt:lpstr>
      <vt:lpstr>BDI!Area_de_impressao</vt:lpstr>
      <vt:lpstr>CFF!Area_de_impressao</vt:lpstr>
      <vt:lpstr>CO!Area_de_impressao</vt:lpstr>
      <vt:lpstr>COMPRAS!Area_de_impressao</vt:lpstr>
      <vt:lpstr>CONTRATOS!Area_de_impressao</vt:lpstr>
      <vt:lpstr>CPU!Area_de_impressao</vt:lpstr>
      <vt:lpstr>CPUAUX1!Area_de_impressao</vt:lpstr>
      <vt:lpstr>CPUAUX2!Area_de_impressao</vt:lpstr>
      <vt:lpstr>CPUAUX3!Area_de_impressao</vt:lpstr>
      <vt:lpstr>CPUAUX4!Area_de_impressao</vt:lpstr>
      <vt:lpstr>CPUAUX5!Area_de_impressao</vt:lpstr>
      <vt:lpstr>DADOS!Area_de_impressao</vt:lpstr>
      <vt:lpstr>I!Area_de_impressao</vt:lpstr>
      <vt:lpstr>LSINAPI!Area_de_impressao</vt:lpstr>
      <vt:lpstr>MEMORIA!Area_de_impressao</vt:lpstr>
      <vt:lpstr>ORCAMENTO!Area_de_impressao</vt:lpstr>
      <vt:lpstr>RESUMO!Area_de_impressao</vt:lpstr>
      <vt:lpstr>S!Area_de_impressao</vt:lpstr>
      <vt:lpstr>BDI</vt:lpstr>
      <vt:lpstr>CIDADE</vt:lpstr>
      <vt:lpstr>ETAPA</vt:lpstr>
      <vt:lpstr>FOLHA</vt:lpstr>
      <vt:lpstr>FONTE</vt:lpstr>
      <vt:lpstr>icf</vt:lpstr>
      <vt:lpstr>LEI</vt:lpstr>
      <vt:lpstr>OBRA</vt:lpstr>
      <vt:lpstr>pcf</vt:lpstr>
      <vt:lpstr>ABC_I!Titulos_de_impressao</vt:lpstr>
      <vt:lpstr>ABC_S!Titulos_de_impressao</vt:lpstr>
      <vt:lpstr>BDI!Titulos_de_impressao</vt:lpstr>
      <vt:lpstr>CFF!Titulos_de_impressao</vt:lpstr>
      <vt:lpstr>CO!Titulos_de_impressao</vt:lpstr>
      <vt:lpstr>COMPRAS!Titulos_de_impressao</vt:lpstr>
      <vt:lpstr>CONTRATOS!Titulos_de_impressao</vt:lpstr>
      <vt:lpstr>CPU!Titulos_de_impressao</vt:lpstr>
      <vt:lpstr>CPUAUX1!Titulos_de_impressao</vt:lpstr>
      <vt:lpstr>CPUAUX2!Titulos_de_impressao</vt:lpstr>
      <vt:lpstr>CPUAUX3!Titulos_de_impressao</vt:lpstr>
      <vt:lpstr>CPUAUX4!Titulos_de_impressao</vt:lpstr>
      <vt:lpstr>CPUAUX5!Titulos_de_impressao</vt:lpstr>
      <vt:lpstr>I!Titulos_de_impressao</vt:lpstr>
      <vt:lpstr>LSINAPI!Titulos_de_impressao</vt:lpstr>
      <vt:lpstr>MEMORIA!Titulos_de_impressao</vt:lpstr>
      <vt:lpstr>ORCAMENTO!Titulos_de_impressao</vt:lpstr>
      <vt:lpstr>RESUMO!Titulos_de_impressao</vt:lpstr>
      <vt:lpstr>S!Titulos_de_impressao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Planilha Orçamentária</dc:title>
  <dc:creator>joaquimhgn</dc:creator>
  <dc:description>Gerada em www.planodaobra.com</dc:description>
  <cp:lastModifiedBy>Joaquim Henrique</cp:lastModifiedBy>
  <cp:lastPrinted>2025-09-08T16:00:29Z</cp:lastPrinted>
  <dcterms:created xsi:type="dcterms:W3CDTF">2025-08-09T18:24:04Z</dcterms:created>
  <dcterms:modified xsi:type="dcterms:W3CDTF">2025-09-08T16:01:31Z</dcterms:modified>
</cp:coreProperties>
</file>