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h\Desktop\SADA\PARALELEPÍPEDO - SÃO JOÃO DA FRONTEIRA\8. ORÇAMENTO\"/>
    </mc:Choice>
  </mc:AlternateContent>
  <xr:revisionPtr revIDLastSave="0" documentId="13_ncr:1_{46170F0D-0EEA-434A-9952-017C59814C2C}" xr6:coauthVersionLast="47" xr6:coauthVersionMax="47" xr10:uidLastSave="{00000000-0000-0000-0000-000000000000}"/>
  <bookViews>
    <workbookView xWindow="-108" yWindow="-108" windowWidth="23256" windowHeight="12456" activeTab="4" xr2:uid="{13F8F0FA-2A72-40E4-84A8-32EF0E93C519}"/>
  </bookViews>
  <sheets>
    <sheet name="GERAL" sheetId="1" r:id="rId1"/>
    <sheet name="QCI" sheetId="6" r:id="rId2"/>
    <sheet name="RES" sheetId="2" r:id="rId3"/>
    <sheet name="ORÇ" sheetId="7" r:id="rId4"/>
    <sheet name="CRON" sheetId="15" r:id="rId5"/>
    <sheet name="CCU" sheetId="9" r:id="rId6"/>
    <sheet name="BDI" sheetId="8" r:id="rId7"/>
    <sheet name="MC" sheetId="3" r:id="rId8"/>
    <sheet name="LS" sheetId="5" r:id="rId9"/>
    <sheet name="RES DES" sheetId="11" r:id="rId10"/>
    <sheet name="ORÇ (2)" sheetId="12" r:id="rId11"/>
    <sheet name="CCU (2)" sheetId="13" r:id="rId12"/>
    <sheet name="BDI (2)" sheetId="14" r:id="rId13"/>
  </sheets>
  <externalReferences>
    <externalReference r:id="rId14"/>
    <externalReference r:id="rId15"/>
  </externalReferences>
  <definedNames>
    <definedName name="_xlnm.Print_Area" localSheetId="6">BDI!$A$1:$H$71</definedName>
    <definedName name="_xlnm.Print_Area" localSheetId="12">'BDI (2)'!$A$1:$H$71</definedName>
    <definedName name="_xlnm.Print_Area" localSheetId="5">CCU!$A$1:$G$585</definedName>
    <definedName name="_xlnm.Print_Area" localSheetId="11">'CCU (2)'!$A$1:$G$99</definedName>
    <definedName name="_xlnm.Print_Area" localSheetId="4">CRON!$A$1:$F$61</definedName>
    <definedName name="_xlnm.Print_Area" localSheetId="0">GERAL!$A$1:$I$21</definedName>
    <definedName name="_xlnm.Print_Area" localSheetId="7">MC!$A$1:$E$180</definedName>
    <definedName name="_xlnm.Print_Area" localSheetId="3">ORÇ!$A$1:$H$67</definedName>
    <definedName name="_xlnm.Print_Area" localSheetId="10">'ORÇ (2)'!$A$1:$H$67</definedName>
    <definedName name="_xlnm.Print_Area" localSheetId="1">QCI!$A$1:$D$24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5" l="1"/>
  <c r="E58" i="15"/>
  <c r="C21" i="6"/>
  <c r="C18" i="6"/>
  <c r="C15" i="6"/>
  <c r="C13" i="6"/>
  <c r="C11" i="6"/>
  <c r="E20" i="1"/>
  <c r="D20" i="1"/>
  <c r="M19" i="7"/>
  <c r="M18" i="7"/>
  <c r="M17" i="7"/>
  <c r="M16" i="7"/>
  <c r="M15" i="7"/>
  <c r="M14" i="7"/>
  <c r="M13" i="7"/>
  <c r="M12" i="7"/>
  <c r="C147" i="3"/>
  <c r="C92" i="3"/>
  <c r="C37" i="3"/>
  <c r="B16" i="3"/>
  <c r="B23" i="15"/>
  <c r="B39" i="15" s="1"/>
  <c r="B55" i="15" s="1"/>
  <c r="B20" i="15"/>
  <c r="B36" i="15" s="1"/>
  <c r="B52" i="15" s="1"/>
  <c r="B17" i="15"/>
  <c r="B33" i="15" s="1"/>
  <c r="B49" i="15" s="1"/>
  <c r="B14" i="15"/>
  <c r="B30" i="15" s="1"/>
  <c r="B46" i="15" s="1"/>
  <c r="B11" i="15"/>
  <c r="B27" i="15" s="1"/>
  <c r="B43" i="15" s="1"/>
  <c r="B7" i="15"/>
  <c r="B5" i="15"/>
  <c r="B4" i="15"/>
  <c r="A3" i="6"/>
  <c r="B22" i="6"/>
  <c r="B21" i="6"/>
  <c r="B19" i="6"/>
  <c r="B18" i="6"/>
  <c r="B16" i="6"/>
  <c r="B15" i="6"/>
  <c r="B13" i="6"/>
  <c r="A13" i="6"/>
  <c r="A11" i="6"/>
  <c r="A8" i="6"/>
  <c r="G28" i="12" l="1"/>
  <c r="F28" i="12"/>
  <c r="F66" i="12" s="1"/>
  <c r="G27" i="12"/>
  <c r="G65" i="12" s="1"/>
  <c r="F27" i="12"/>
  <c r="F65" i="12" s="1"/>
  <c r="G24" i="12"/>
  <c r="F24" i="12"/>
  <c r="G23" i="12"/>
  <c r="G61" i="12" s="1"/>
  <c r="F23" i="12"/>
  <c r="F61" i="12" s="1"/>
  <c r="G20" i="12"/>
  <c r="F20" i="12"/>
  <c r="G19" i="12"/>
  <c r="F19" i="12"/>
  <c r="F38" i="12" s="1"/>
  <c r="G16" i="12"/>
  <c r="F16" i="12"/>
  <c r="F54" i="12" s="1"/>
  <c r="G13" i="12"/>
  <c r="G51" i="12" s="1"/>
  <c r="F13" i="12"/>
  <c r="F32" i="12" s="1"/>
  <c r="G9" i="12"/>
  <c r="F9" i="12"/>
  <c r="G8" i="12"/>
  <c r="F8" i="12"/>
  <c r="F3" i="12"/>
  <c r="G3" i="13" s="1" a="1"/>
  <c r="G3" i="13" s="1"/>
  <c r="H62" i="14"/>
  <c r="I58" i="14"/>
  <c r="I57" i="14"/>
  <c r="I56" i="14"/>
  <c r="K44" i="14"/>
  <c r="D36" i="14"/>
  <c r="D35" i="14"/>
  <c r="K30" i="14"/>
  <c r="J30" i="14"/>
  <c r="D30" i="14" s="1"/>
  <c r="K28" i="14"/>
  <c r="J28" i="14"/>
  <c r="D28" i="14"/>
  <c r="K27" i="14"/>
  <c r="J27" i="14"/>
  <c r="K24" i="14"/>
  <c r="J24" i="14"/>
  <c r="D24" i="14" s="1"/>
  <c r="K22" i="14"/>
  <c r="J22" i="14"/>
  <c r="D22" i="14" s="1"/>
  <c r="H17" i="14"/>
  <c r="B17" i="14"/>
  <c r="H16" i="14"/>
  <c r="H15" i="14"/>
  <c r="H14" i="14"/>
  <c r="H13" i="14"/>
  <c r="H12" i="14"/>
  <c r="H18" i="14" s="1"/>
  <c r="H8" i="14"/>
  <c r="D8" i="14"/>
  <c r="H7" i="14"/>
  <c r="H9" i="14" s="1"/>
  <c r="D7" i="14"/>
  <c r="D9" i="14" s="1"/>
  <c r="B9" i="14" s="1"/>
  <c r="K41" i="14" s="1"/>
  <c r="D3" i="14"/>
  <c r="E3" i="13"/>
  <c r="G66" i="12"/>
  <c r="G43" i="12"/>
  <c r="G47" i="12"/>
  <c r="F47" i="12"/>
  <c r="G54" i="12"/>
  <c r="A11" i="12"/>
  <c r="D3" i="12"/>
  <c r="B12" i="11"/>
  <c r="B11" i="11"/>
  <c r="B10" i="11"/>
  <c r="B8" i="11"/>
  <c r="B7" i="11"/>
  <c r="A3" i="11"/>
  <c r="C2" i="11"/>
  <c r="A2" i="11"/>
  <c r="G28" i="7"/>
  <c r="F28" i="7"/>
  <c r="G27" i="7"/>
  <c r="F27" i="7"/>
  <c r="G24" i="7"/>
  <c r="F24" i="7"/>
  <c r="G23" i="7"/>
  <c r="F23" i="7"/>
  <c r="G20" i="7"/>
  <c r="F20" i="7"/>
  <c r="G19" i="7"/>
  <c r="F19" i="7"/>
  <c r="G16" i="7"/>
  <c r="F16" i="7"/>
  <c r="G13" i="7"/>
  <c r="F13" i="7"/>
  <c r="G9" i="7"/>
  <c r="F9" i="7"/>
  <c r="G8" i="7"/>
  <c r="F8" i="7"/>
  <c r="F3" i="14" l="1"/>
  <c r="F42" i="12"/>
  <c r="F43" i="12"/>
  <c r="G57" i="12"/>
  <c r="G38" i="12"/>
  <c r="F62" i="12"/>
  <c r="G42" i="12"/>
  <c r="D27" i="14"/>
  <c r="G32" i="12"/>
  <c r="I11" i="14"/>
  <c r="B18" i="14"/>
  <c r="G39" i="12"/>
  <c r="F51" i="12"/>
  <c r="G62" i="12"/>
  <c r="F57" i="12"/>
  <c r="F39" i="12"/>
  <c r="F46" i="12"/>
  <c r="F35" i="12"/>
  <c r="G46" i="12"/>
  <c r="F58" i="12"/>
  <c r="G58" i="12"/>
  <c r="G35" i="12"/>
  <c r="H62" i="8"/>
  <c r="I58" i="8"/>
  <c r="I57" i="8"/>
  <c r="I56" i="8"/>
  <c r="K44" i="8"/>
  <c r="D36" i="8"/>
  <c r="D35" i="8"/>
  <c r="K30" i="8"/>
  <c r="J30" i="8"/>
  <c r="K28" i="8"/>
  <c r="J28" i="8"/>
  <c r="D28" i="8" s="1"/>
  <c r="K27" i="8"/>
  <c r="J27" i="8"/>
  <c r="D27" i="8" s="1"/>
  <c r="K24" i="8"/>
  <c r="J24" i="8"/>
  <c r="D24" i="8" s="1"/>
  <c r="K22" i="8"/>
  <c r="J22" i="8"/>
  <c r="D22" i="8" s="1"/>
  <c r="H18" i="8"/>
  <c r="B18" i="8" s="1"/>
  <c r="H17" i="8"/>
  <c r="B17" i="8"/>
  <c r="H16" i="8"/>
  <c r="H15" i="8"/>
  <c r="H14" i="8"/>
  <c r="H13" i="8"/>
  <c r="H12" i="8"/>
  <c r="H9" i="8"/>
  <c r="D9" i="8"/>
  <c r="B9" i="8" s="1"/>
  <c r="K41" i="8" s="1"/>
  <c r="H8" i="8"/>
  <c r="D8" i="8"/>
  <c r="H7" i="8"/>
  <c r="D7" i="8"/>
  <c r="E3" i="9"/>
  <c r="G3" i="9"/>
  <c r="D30" i="8" l="1"/>
  <c r="B34" i="14"/>
  <c r="D34" i="14" s="1"/>
  <c r="G33" i="14"/>
  <c r="G37" i="14" s="1"/>
  <c r="I59" i="14" s="1"/>
  <c r="I60" i="14" s="1"/>
  <c r="I61" i="14" s="1"/>
  <c r="F33" i="14"/>
  <c r="F34" i="14"/>
  <c r="K43" i="14"/>
  <c r="K42" i="14"/>
  <c r="G62" i="14" s="1"/>
  <c r="K43" i="8"/>
  <c r="K42" i="8"/>
  <c r="I11" i="8"/>
  <c r="F3" i="8"/>
  <c r="D3" i="8"/>
  <c r="B8" i="2"/>
  <c r="B7" i="2"/>
  <c r="F32" i="7"/>
  <c r="F35" i="7"/>
  <c r="A11" i="7"/>
  <c r="A10" i="15" s="1"/>
  <c r="F3" i="7"/>
  <c r="D3" i="7"/>
  <c r="G66" i="7"/>
  <c r="F66" i="7"/>
  <c r="G65" i="7"/>
  <c r="F65" i="7"/>
  <c r="G62" i="7"/>
  <c r="F62" i="7"/>
  <c r="G61" i="7"/>
  <c r="F61" i="7"/>
  <c r="G58" i="7"/>
  <c r="F58" i="7"/>
  <c r="G57" i="7"/>
  <c r="F57" i="7"/>
  <c r="G54" i="7"/>
  <c r="F54" i="7"/>
  <c r="G51" i="7"/>
  <c r="F51" i="7"/>
  <c r="G47" i="7"/>
  <c r="F47" i="7"/>
  <c r="G46" i="7"/>
  <c r="F46" i="7"/>
  <c r="G43" i="7"/>
  <c r="F43" i="7"/>
  <c r="G42" i="7"/>
  <c r="F42" i="7"/>
  <c r="G39" i="7"/>
  <c r="F39" i="7"/>
  <c r="G38" i="7"/>
  <c r="F38" i="7"/>
  <c r="G35" i="7"/>
  <c r="G32" i="7"/>
  <c r="F41" i="5"/>
  <c r="E41" i="5"/>
  <c r="F4" i="1" s="1"/>
  <c r="F40" i="5"/>
  <c r="E40" i="5"/>
  <c r="D40" i="5"/>
  <c r="C40" i="5"/>
  <c r="C41" i="5" s="1"/>
  <c r="I4" i="1" s="1"/>
  <c r="F36" i="5"/>
  <c r="E36" i="5"/>
  <c r="D36" i="5"/>
  <c r="D41" i="5" s="1"/>
  <c r="C36" i="5"/>
  <c r="F29" i="5"/>
  <c r="E29" i="5"/>
  <c r="D29" i="5"/>
  <c r="C29" i="5"/>
  <c r="F17" i="5"/>
  <c r="E17" i="5"/>
  <c r="D17" i="5"/>
  <c r="C17" i="5"/>
  <c r="G58" i="14" l="1"/>
  <c r="D58" i="14"/>
  <c r="G68" i="14"/>
  <c r="G59" i="14"/>
  <c r="G33" i="8"/>
  <c r="G37" i="8" s="1"/>
  <c r="I59" i="8" s="1"/>
  <c r="I60" i="8" s="1"/>
  <c r="I61" i="8" s="1"/>
  <c r="F33" i="8"/>
  <c r="F34" i="8"/>
  <c r="B34" i="8"/>
  <c r="D34" i="8" s="1"/>
  <c r="I3" i="1" l="1" a="1"/>
  <c r="I3" i="1" s="1"/>
  <c r="E2" i="11" s="1"/>
  <c r="I62" i="14"/>
  <c r="D59" i="14" s="1"/>
  <c r="G68" i="8"/>
  <c r="G59" i="8"/>
  <c r="G58" i="8"/>
  <c r="D58" i="8"/>
  <c r="G62" i="8"/>
  <c r="A2" i="6"/>
  <c r="F2" i="5"/>
  <c r="A3" i="5"/>
  <c r="C2" i="5"/>
  <c r="A2" i="5"/>
  <c r="F2" i="12" l="1"/>
  <c r="G2" i="13" s="1" a="1"/>
  <c r="G2" i="13" s="1"/>
  <c r="F2" i="14"/>
  <c r="F3" i="1"/>
  <c r="I62" i="8"/>
  <c r="D59" i="8" s="1"/>
  <c r="B12" i="2"/>
  <c r="B126" i="3"/>
  <c r="C96" i="3"/>
  <c r="C90" i="3"/>
  <c r="C85" i="3"/>
  <c r="C84" i="3"/>
  <c r="C79" i="3"/>
  <c r="C78" i="3"/>
  <c r="C74" i="3"/>
  <c r="B71" i="3"/>
  <c r="C59" i="3"/>
  <c r="C41" i="3"/>
  <c r="C35" i="3"/>
  <c r="C30" i="3"/>
  <c r="C24" i="3"/>
  <c r="C29" i="3"/>
  <c r="C23" i="3"/>
  <c r="A49" i="12" l="1"/>
  <c r="A49" i="7"/>
  <c r="A42" i="15" s="1"/>
  <c r="A30" i="12"/>
  <c r="A30" i="7"/>
  <c r="A26" i="15" s="1"/>
  <c r="E2" i="2"/>
  <c r="E2" i="5"/>
  <c r="B11" i="2"/>
  <c r="B10" i="2"/>
  <c r="E2" i="3"/>
  <c r="D3" i="3"/>
  <c r="C179" i="3"/>
  <c r="E66" i="12" s="1"/>
  <c r="C175" i="3"/>
  <c r="E65" i="12" s="1"/>
  <c r="C140" i="3"/>
  <c r="C139" i="3"/>
  <c r="C134" i="3"/>
  <c r="C133" i="3"/>
  <c r="C129" i="3"/>
  <c r="C169" i="3" s="1"/>
  <c r="C124" i="3"/>
  <c r="C120" i="3"/>
  <c r="C93" i="3"/>
  <c r="C86" i="3"/>
  <c r="C80" i="3"/>
  <c r="C114" i="3"/>
  <c r="C69" i="3"/>
  <c r="C65" i="3"/>
  <c r="C38" i="3"/>
  <c r="C31" i="3"/>
  <c r="C25" i="3"/>
  <c r="C14" i="3"/>
  <c r="C10" i="3"/>
  <c r="A3" i="2"/>
  <c r="C2" i="2"/>
  <c r="A2" i="2"/>
  <c r="I20" i="1"/>
  <c r="I19" i="1"/>
  <c r="D14" i="1"/>
  <c r="E27" i="12" l="1"/>
  <c r="H27" i="12" s="1"/>
  <c r="E27" i="7"/>
  <c r="H27" i="7" s="1"/>
  <c r="E28" i="12"/>
  <c r="H28" i="12" s="1"/>
  <c r="E28" i="7"/>
  <c r="H28" i="7" s="1"/>
  <c r="E46" i="12"/>
  <c r="H46" i="12" s="1"/>
  <c r="E46" i="7"/>
  <c r="H46" i="7" s="1"/>
  <c r="E9" i="12"/>
  <c r="H9" i="12" s="1"/>
  <c r="E8" i="11" s="1"/>
  <c r="E9" i="7"/>
  <c r="E8" i="12"/>
  <c r="H8" i="12" s="1"/>
  <c r="E8" i="7"/>
  <c r="E47" i="12"/>
  <c r="H47" i="12" s="1"/>
  <c r="E47" i="7"/>
  <c r="H47" i="7" s="1"/>
  <c r="H66" i="12"/>
  <c r="H65" i="12"/>
  <c r="E32" i="12"/>
  <c r="H32" i="12" s="1"/>
  <c r="H31" i="12" s="1"/>
  <c r="E32" i="7"/>
  <c r="H32" i="7" s="1"/>
  <c r="H31" i="7" s="1"/>
  <c r="D27" i="15" s="1"/>
  <c r="E35" i="12"/>
  <c r="H35" i="12" s="1"/>
  <c r="H34" i="12" s="1"/>
  <c r="E35" i="7"/>
  <c r="H35" i="7" s="1"/>
  <c r="H34" i="7" s="1"/>
  <c r="D30" i="15" s="1"/>
  <c r="E38" i="12"/>
  <c r="H38" i="12" s="1"/>
  <c r="E38" i="7"/>
  <c r="H38" i="7" s="1"/>
  <c r="A3" i="3"/>
  <c r="A3" i="14"/>
  <c r="A3" i="13"/>
  <c r="A3" i="12"/>
  <c r="A3" i="9"/>
  <c r="A3" i="8"/>
  <c r="A3" i="7"/>
  <c r="G2" i="9"/>
  <c r="A4" i="6"/>
  <c r="E13" i="12"/>
  <c r="E13" i="7"/>
  <c r="E19" i="12"/>
  <c r="E19" i="7"/>
  <c r="C47" i="3"/>
  <c r="C52" i="3" s="1"/>
  <c r="E16" i="12"/>
  <c r="E16" i="7"/>
  <c r="D2" i="14"/>
  <c r="D2" i="12"/>
  <c r="E2" i="13"/>
  <c r="A2" i="3"/>
  <c r="A2" i="12"/>
  <c r="A2" i="14"/>
  <c r="A2" i="13"/>
  <c r="A2" i="9"/>
  <c r="A2" i="8"/>
  <c r="A2" i="7"/>
  <c r="C2" i="3"/>
  <c r="E2" i="9"/>
  <c r="D2" i="8"/>
  <c r="D2" i="7"/>
  <c r="E65" i="7"/>
  <c r="F65" i="3"/>
  <c r="E66" i="7"/>
  <c r="F69" i="3"/>
  <c r="D2" i="3"/>
  <c r="F2" i="7"/>
  <c r="F2" i="8"/>
  <c r="C10" i="1"/>
  <c r="C55" i="3"/>
  <c r="C60" i="3" s="1"/>
  <c r="C102" i="3"/>
  <c r="C11" i="1"/>
  <c r="C141" i="3"/>
  <c r="C135" i="3"/>
  <c r="C107" i="3"/>
  <c r="C110" i="3"/>
  <c r="C115" i="3" s="1"/>
  <c r="C98" i="3"/>
  <c r="C43" i="3"/>
  <c r="C145" i="3"/>
  <c r="M18" i="12" l="1"/>
  <c r="H64" i="12"/>
  <c r="H8" i="7"/>
  <c r="D7" i="11"/>
  <c r="D7" i="2"/>
  <c r="H45" i="12"/>
  <c r="E7" i="11"/>
  <c r="E6" i="11" s="1"/>
  <c r="H7" i="12"/>
  <c r="H26" i="7"/>
  <c r="D23" i="15" s="1"/>
  <c r="D8" i="2"/>
  <c r="D8" i="11"/>
  <c r="H9" i="7"/>
  <c r="H45" i="7"/>
  <c r="D39" i="15" s="1"/>
  <c r="M19" i="12"/>
  <c r="H26" i="12"/>
  <c r="H66" i="7"/>
  <c r="H65" i="7"/>
  <c r="C157" i="3"/>
  <c r="C162" i="3" s="1"/>
  <c r="F52" i="3" s="1"/>
  <c r="E54" i="12"/>
  <c r="H54" i="12" s="1"/>
  <c r="H53" i="12" s="1"/>
  <c r="E54" i="7"/>
  <c r="H54" i="7" s="1"/>
  <c r="H53" i="7" s="1"/>
  <c r="D46" i="15" s="1"/>
  <c r="F31" i="3"/>
  <c r="C12" i="1"/>
  <c r="D12" i="2" s="1"/>
  <c r="E51" i="12"/>
  <c r="H51" i="12" s="1"/>
  <c r="H50" i="12" s="1"/>
  <c r="E51" i="7"/>
  <c r="H51" i="7" s="1"/>
  <c r="H50" i="7" s="1"/>
  <c r="D43" i="15" s="1"/>
  <c r="F25" i="3"/>
  <c r="E42" i="12"/>
  <c r="H42" i="12" s="1"/>
  <c r="E42" i="7"/>
  <c r="H42" i="7" s="1"/>
  <c r="F30" i="15"/>
  <c r="E30" i="15"/>
  <c r="E39" i="12"/>
  <c r="H39" i="12" s="1"/>
  <c r="H37" i="12" s="1"/>
  <c r="E39" i="7"/>
  <c r="H39" i="7" s="1"/>
  <c r="H37" i="7" s="1"/>
  <c r="D33" i="15" s="1"/>
  <c r="E27" i="15"/>
  <c r="F27" i="15"/>
  <c r="D11" i="2"/>
  <c r="D11" i="11"/>
  <c r="E23" i="12"/>
  <c r="E23" i="7"/>
  <c r="H16" i="7"/>
  <c r="H15" i="7" s="1"/>
  <c r="H19" i="7"/>
  <c r="E20" i="12"/>
  <c r="E20" i="7"/>
  <c r="D10" i="2"/>
  <c r="D10" i="11"/>
  <c r="M13" i="12"/>
  <c r="H16" i="12"/>
  <c r="H15" i="12" s="1"/>
  <c r="H13" i="7"/>
  <c r="H12" i="7" s="1"/>
  <c r="H19" i="12"/>
  <c r="H13" i="12"/>
  <c r="H12" i="12" s="1"/>
  <c r="E24" i="12"/>
  <c r="H24" i="12" s="1"/>
  <c r="E24" i="7"/>
  <c r="E43" i="12"/>
  <c r="E43" i="7"/>
  <c r="H43" i="7" s="1"/>
  <c r="C165" i="3"/>
  <c r="C170" i="3" s="1"/>
  <c r="C148" i="3"/>
  <c r="C151" i="3"/>
  <c r="C153" i="3" s="1"/>
  <c r="H64" i="7" l="1"/>
  <c r="H41" i="7"/>
  <c r="E8" i="2"/>
  <c r="D7" i="15"/>
  <c r="F39" i="15"/>
  <c r="E39" i="15"/>
  <c r="E23" i="15"/>
  <c r="F23" i="15"/>
  <c r="C14" i="1"/>
  <c r="F3" i="11" s="1"/>
  <c r="D5" i="15"/>
  <c r="H7" i="7"/>
  <c r="C8" i="6" s="1"/>
  <c r="E7" i="2"/>
  <c r="E6" i="2" s="1"/>
  <c r="D55" i="15"/>
  <c r="D12" i="11"/>
  <c r="E43" i="15"/>
  <c r="F43" i="15"/>
  <c r="M12" i="12"/>
  <c r="E57" i="12"/>
  <c r="E57" i="7"/>
  <c r="F38" i="3"/>
  <c r="F46" i="15"/>
  <c r="E46" i="15"/>
  <c r="E58" i="12"/>
  <c r="H58" i="12" s="1"/>
  <c r="E58" i="7"/>
  <c r="H58" i="7" s="1"/>
  <c r="F43" i="3"/>
  <c r="D19" i="1"/>
  <c r="H19" i="1" s="1"/>
  <c r="E61" i="12"/>
  <c r="H61" i="12" s="1"/>
  <c r="E61" i="7"/>
  <c r="H61" i="7" s="1"/>
  <c r="E33" i="15"/>
  <c r="F33" i="15"/>
  <c r="H20" i="7"/>
  <c r="H18" i="7" s="1"/>
  <c r="H20" i="12"/>
  <c r="H18" i="12" s="1"/>
  <c r="F3" i="5"/>
  <c r="D11" i="15"/>
  <c r="H23" i="7"/>
  <c r="D14" i="15"/>
  <c r="E19" i="1"/>
  <c r="M16" i="12"/>
  <c r="H23" i="12"/>
  <c r="H22" i="12" s="1"/>
  <c r="H30" i="7"/>
  <c r="E11" i="2" s="1"/>
  <c r="D36" i="15"/>
  <c r="E62" i="12"/>
  <c r="H62" i="12" s="1"/>
  <c r="H60" i="12" s="1"/>
  <c r="E62" i="7"/>
  <c r="H62" i="7" s="1"/>
  <c r="M17" i="12"/>
  <c r="H43" i="12"/>
  <c r="H41" i="12" s="1"/>
  <c r="H30" i="12" s="1"/>
  <c r="E11" i="11" s="1"/>
  <c r="F60" i="3"/>
  <c r="H24" i="7"/>
  <c r="H22" i="7" l="1"/>
  <c r="M15" i="12"/>
  <c r="H60" i="7"/>
  <c r="D52" i="15" s="1"/>
  <c r="E52" i="15" s="1"/>
  <c r="F3" i="2"/>
  <c r="E3" i="7" s="1"/>
  <c r="F5" i="15"/>
  <c r="E5" i="15"/>
  <c r="F7" i="15"/>
  <c r="E7" i="15"/>
  <c r="F55" i="15"/>
  <c r="E55" i="15"/>
  <c r="H57" i="7"/>
  <c r="H20" i="1"/>
  <c r="H57" i="12"/>
  <c r="H56" i="12" s="1"/>
  <c r="H49" i="12" s="1"/>
  <c r="E12" i="11" s="1"/>
  <c r="M14" i="12"/>
  <c r="H11" i="12"/>
  <c r="E10" i="11" s="1"/>
  <c r="F11" i="15"/>
  <c r="E11" i="15"/>
  <c r="E3" i="3"/>
  <c r="E3" i="14"/>
  <c r="E3" i="12"/>
  <c r="F3" i="13"/>
  <c r="F3" i="9"/>
  <c r="E3" i="8"/>
  <c r="E14" i="15"/>
  <c r="F14" i="15"/>
  <c r="D17" i="15"/>
  <c r="F52" i="15"/>
  <c r="E36" i="15"/>
  <c r="F36" i="15"/>
  <c r="D20" i="15"/>
  <c r="H11" i="7"/>
  <c r="E10" i="2" s="1"/>
  <c r="E9" i="11" l="1"/>
  <c r="F14" i="11" s="1"/>
  <c r="C6" i="1" s="1"/>
  <c r="C7" i="1" s="1"/>
  <c r="H56" i="7"/>
  <c r="E17" i="15"/>
  <c r="F17" i="15"/>
  <c r="E20" i="15"/>
  <c r="F20" i="15"/>
  <c r="D49" i="15" l="1"/>
  <c r="H49" i="7"/>
  <c r="E12" i="2" s="1"/>
  <c r="E9" i="2" s="1"/>
  <c r="F14" i="2" s="1"/>
  <c r="B6" i="1" s="1"/>
  <c r="B7" i="1" s="1"/>
  <c r="C23" i="6"/>
  <c r="D8" i="6" s="1"/>
  <c r="G20" i="1" l="1"/>
  <c r="D18" i="6"/>
  <c r="D23" i="6" s="1"/>
  <c r="D11" i="6"/>
  <c r="D13" i="6"/>
  <c r="G19" i="1" s="1"/>
  <c r="D15" i="6"/>
  <c r="D21" i="6"/>
  <c r="E23" i="6"/>
  <c r="E49" i="15"/>
  <c r="F49" i="15"/>
  <c r="D58" i="15"/>
  <c r="F60" i="15" l="1"/>
  <c r="C20" i="15"/>
  <c r="C49" i="15"/>
  <c r="C17" i="15"/>
  <c r="C30" i="15"/>
  <c r="D62" i="15"/>
  <c r="C39" i="15"/>
  <c r="C52" i="15"/>
  <c r="C11" i="15"/>
  <c r="C36" i="15"/>
  <c r="C46" i="15"/>
  <c r="C14" i="15"/>
  <c r="C5" i="15"/>
  <c r="C23" i="15"/>
  <c r="C55" i="15"/>
  <c r="C33" i="15"/>
  <c r="C27" i="15"/>
  <c r="C43" i="15"/>
  <c r="C7" i="15"/>
  <c r="E60" i="15"/>
  <c r="E61" i="15" s="1"/>
  <c r="G58" i="15"/>
  <c r="E59" i="15"/>
  <c r="F59" i="15" s="1"/>
  <c r="F61" i="15" l="1"/>
  <c r="D60" i="15" s="1"/>
  <c r="C58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<sst xmlns="http://schemas.openxmlformats.org/spreadsheetml/2006/main" count="3098" uniqueCount="530">
  <si>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</si>
  <si>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</si>
  <si>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</si>
  <si>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</si>
  <si>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</si>
  <si>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</si>
  <si>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DIVERSAS</t>
  </si>
  <si>
    <t>BDI</t>
  </si>
  <si>
    <t>ZONA</t>
  </si>
  <si>
    <t xml:space="preserve">URBANA 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</si>
  <si>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</si>
  <si>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</si>
  <si>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</si>
  <si>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</si>
  <si>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</si>
  <si>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</si>
  <si>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</si>
  <si>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</si>
  <si>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</si>
  <si>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</si>
  <si>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</si>
  <si>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</si>
  <si>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</si>
  <si>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</si>
  <si>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Execução de pavimento em paralelepípedos, rejuntamento com argamassa traço 1:3 (cimento e areia)</t>
  </si>
  <si>
    <t>Assentamento de guia (meio-fio), confeccionada em concreto pré-fabricado, dimensões 100x15x13x30 (comprimento x base inferiror x base superior x altura), para vias urbanas ( m )</t>
  </si>
  <si>
    <t xml:space="preserve">PLANILHA RESUMO - SEM DESONERAÇÃO </t>
  </si>
  <si>
    <t>HORISTA: 113,33%
MENSALISTA: 71,12%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</si>
  <si>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</si>
  <si>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</si>
  <si>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</si>
  <si>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</si>
  <si>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</si>
  <si>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</si>
  <si>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</si>
  <si>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</si>
  <si>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</si>
  <si>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Placa de Obra em chapa de aço galvanizado</t>
  </si>
  <si>
    <t>Administração local da obra</t>
  </si>
  <si>
    <t>mês</t>
  </si>
  <si>
    <t>2.0</t>
  </si>
  <si>
    <t>PAVIMENTAÇÃO DE VIAS EM PARALELEPÍPEDO</t>
  </si>
  <si>
    <t>2.1</t>
  </si>
  <si>
    <t>2.2</t>
  </si>
  <si>
    <t>2.3</t>
  </si>
  <si>
    <t>TOTAL GERAL ORÇAMENTÁRIO..................................................R$</t>
  </si>
  <si>
    <t>MEMÓRIA DE CÁLCULO</t>
  </si>
  <si>
    <t>Comprimento</t>
  </si>
  <si>
    <t>m</t>
  </si>
  <si>
    <t>Largura</t>
  </si>
  <si>
    <t>Quantidade</t>
  </si>
  <si>
    <t>u n</t>
  </si>
  <si>
    <t xml:space="preserve">Área total </t>
  </si>
  <si>
    <t xml:space="preserve">Quantidade </t>
  </si>
  <si>
    <t>Quantidade (medição atual)</t>
  </si>
  <si>
    <t>Comprimento =</t>
  </si>
  <si>
    <t>Largura da rua =</t>
  </si>
  <si>
    <t xml:space="preserve">DMT Obra à Jazida </t>
  </si>
  <si>
    <t xml:space="preserve">Km </t>
  </si>
  <si>
    <t>TERRAPLENAGEM</t>
  </si>
  <si>
    <t>Regularização em superficies em terra com motoniveladora</t>
  </si>
  <si>
    <t>Área total (projeto)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</si>
  <si>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</si>
  <si>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</si>
  <si>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</si>
  <si>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</si>
  <si>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</si>
  <si>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</si>
  <si>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</si>
  <si>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und</t>
  </si>
  <si>
    <t xml:space="preserve">Contenção </t>
  </si>
  <si>
    <t>Comprimento total (projeto)</t>
  </si>
  <si>
    <t>4.2</t>
  </si>
  <si>
    <t>Execução de sarjeta de concreto usinado, moldada in loco em trecho reto, 30 cm base x 3 cm altura</t>
  </si>
  <si>
    <t>5.0</t>
  </si>
  <si>
    <t xml:space="preserve">TRANSPORTE </t>
  </si>
  <si>
    <t>5.1</t>
  </si>
  <si>
    <t>Transporte com caminhão basculante de 10 m³, em via urbana pavimentada, dmt até 30 km (unidade: txkm). af_07/2020</t>
  </si>
  <si>
    <t>Área</t>
  </si>
  <si>
    <t xml:space="preserve">Consumo </t>
  </si>
  <si>
    <t>mil/m²</t>
  </si>
  <si>
    <t xml:space="preserve">Volume </t>
  </si>
  <si>
    <t>m³/m²</t>
  </si>
  <si>
    <t xml:space="preserve">Peso Específico </t>
  </si>
  <si>
    <t>t/m³</t>
  </si>
  <si>
    <t xml:space="preserve">DMT </t>
  </si>
  <si>
    <t>Km</t>
  </si>
  <si>
    <t xml:space="preserve">Total </t>
  </si>
  <si>
    <t>txKm</t>
  </si>
  <si>
    <t>5.2</t>
  </si>
  <si>
    <t>Transporte com caminhão basculante de 10 m³, em via urbana pavimentada, adicional para dmt excedente a 30 km (unidade: txkm). af_07/2020</t>
  </si>
  <si>
    <t>6.0</t>
  </si>
  <si>
    <t xml:space="preserve">SINALIZAÇÃO </t>
  </si>
  <si>
    <t>6.1</t>
  </si>
  <si>
    <t xml:space="preserve">Placa esmaltada para identificação de nome de rua, dimensões 45 x 20 cm com tubo de aço - 2 placas </t>
  </si>
  <si>
    <t>Quantidade projeto</t>
  </si>
  <si>
    <t>Quantidade total (medição atual)</t>
  </si>
  <si>
    <t>6.2</t>
  </si>
  <si>
    <t>Fornecimento e instalação de suporte metálico galvanizado para placas de sinalização em solo, com h= de 2,5 m e diâmetro de 2''. af_03/2022</t>
  </si>
  <si>
    <t>1.2</t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</si>
  <si>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</si>
  <si>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</si>
  <si>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</si>
  <si>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</si>
  <si>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</si>
  <si>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</si>
  <si>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</si>
  <si>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</si>
  <si>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</si>
  <si>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</si>
  <si>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</si>
  <si>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</si>
  <si>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</si>
  <si>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</si>
  <si>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</si>
  <si>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</si>
  <si>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</si>
  <si>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</si>
  <si>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</si>
  <si>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</si>
  <si>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</si>
  <si>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</si>
  <si>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</si>
  <si>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</si>
  <si>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</si>
  <si>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</si>
  <si>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</si>
  <si>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</si>
  <si>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</si>
  <si>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</si>
  <si>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</si>
  <si>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</si>
  <si>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</si>
  <si>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</si>
  <si>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</si>
  <si>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</si>
  <si>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</si>
  <si>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</si>
  <si>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</si>
  <si>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</si>
  <si>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</si>
  <si>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</si>
  <si>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</si>
  <si>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</si>
  <si>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</si>
  <si>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</si>
  <si>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</si>
  <si>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</si>
  <si>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</si>
  <si>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</si>
  <si>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</si>
  <si>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</si>
  <si>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</si>
  <si>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</si>
  <si>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</si>
  <si>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</si>
  <si>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</si>
  <si>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</si>
  <si>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</si>
  <si>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</si>
  <si>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</si>
  <si>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</si>
  <si>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</si>
  <si>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</si>
  <si>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</si>
  <si>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</si>
  <si>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</si>
  <si>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</si>
  <si>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 xml:space="preserve">ENCARGOS   SOCIAIS   SOBRE   A   MÃO   DE   OBRA </t>
  </si>
  <si>
    <t xml:space="preserve">QUADRO DE COMPOSIÇÃO DO INVESTIMENTO - QCI </t>
  </si>
  <si>
    <t xml:space="preserve">DISCRIMINAÇÃO </t>
  </si>
  <si>
    <t xml:space="preserve">ITEM </t>
  </si>
  <si>
    <t>VALOR R$</t>
  </si>
  <si>
    <t xml:space="preserve">SERVIÇOS COMPLEMENTARES </t>
  </si>
  <si>
    <t>SINALIZAÇÃO</t>
  </si>
  <si>
    <t>TOTAL:</t>
  </si>
  <si>
    <t>A</t>
  </si>
  <si>
    <t>PREÇO</t>
  </si>
  <si>
    <t>UNIT. SEM BDI</t>
  </si>
  <si>
    <t>UNIT. COM BDI</t>
  </si>
  <si>
    <t>TOTAL</t>
  </si>
  <si>
    <t>103689/SINAPI PI</t>
  </si>
  <si>
    <t>COMP. SADA 01</t>
  </si>
  <si>
    <t>COMP. SADA 02</t>
  </si>
  <si>
    <t>COMP. SADA 03</t>
  </si>
  <si>
    <t>Execução de sarjeta de concreto usinado, moldada in loco em trecho reto, 30 cm base x  3 cm altura</t>
  </si>
  <si>
    <t>t.Km</t>
  </si>
  <si>
    <t>COMP. SADA 04</t>
  </si>
  <si>
    <t>COMP. SADA 05</t>
  </si>
  <si>
    <t>TIPO DE BDI</t>
  </si>
  <si>
    <t>X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</si>
  <si>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</si>
  <si>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</si>
  <si>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</si>
  <si>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</si>
  <si>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</si>
  <si>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</si>
  <si>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</si>
  <si>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</si>
  <si>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</si>
  <si>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</si>
  <si>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</si>
  <si>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</si>
  <si>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</si>
  <si>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</si>
  <si>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</si>
  <si>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</si>
  <si>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</si>
  <si>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</si>
  <si>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</si>
  <si>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</si>
  <si>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</si>
  <si>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</si>
  <si>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</si>
  <si>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</si>
  <si>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</si>
  <si>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</si>
  <si>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</si>
  <si>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</si>
  <si>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</si>
  <si>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</si>
  <si>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</si>
  <si>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</si>
  <si>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</si>
  <si>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</si>
  <si>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</si>
  <si>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</si>
  <si>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</si>
  <si>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</si>
  <si>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</si>
  <si>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</si>
  <si>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</si>
  <si>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t>BDI (BONIFICAÇÃO E DESPESAS INDIRETAS)</t>
  </si>
  <si>
    <t xml:space="preserve">PLANILHA ORÇAMENTÁRIA  - SEM DESONERAÇÃO </t>
  </si>
  <si>
    <t>Composições Principais</t>
  </si>
  <si>
    <t>Código</t>
  </si>
  <si>
    <t>Banco</t>
  </si>
  <si>
    <t>Descrição</t>
  </si>
  <si>
    <t>Und</t>
  </si>
  <si>
    <t>Quant.</t>
  </si>
  <si>
    <t>Valor Unit</t>
  </si>
  <si>
    <t xml:space="preserve"> 103689 </t>
  </si>
  <si>
    <t>SINAPI</t>
  </si>
  <si>
    <t>FORNECIMENTO E INSTALAÇÃO DE PLACA DE OBRA COM CHAPA GALVANIZADA E ESTRUTURA DE MADEIRA. AF_03/2022_PS</t>
  </si>
  <si>
    <t xml:space="preserve"> 88262 </t>
  </si>
  <si>
    <t>CARPINTEIRO DE FORMAS COM ENCARGOS COMPLEMENTARES</t>
  </si>
  <si>
    <t>H</t>
  </si>
  <si>
    <t xml:space="preserve"> 102234 </t>
  </si>
  <si>
    <t>PINTURA IMUNIZANTE PARA MADEIRA, 2 DEMÃOS. AF_01/2021</t>
  </si>
  <si>
    <t xml:space="preserve"> 88316 </t>
  </si>
  <si>
    <t>SERVENTE COM ENCARGOS COMPLEMENTARES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</si>
  <si>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</si>
  <si>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</si>
  <si>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</si>
  <si>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</si>
  <si>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</si>
  <si>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 xml:space="preserve"> 00004509 </t>
  </si>
  <si>
    <t>SARRAFO *2,5 X 10* CM EM PINUS, MISTA OU EQUIVALENTE DA REGIAO - BRUTA</t>
  </si>
  <si>
    <t>M</t>
  </si>
  <si>
    <t xml:space="preserve"> 00004813 </t>
  </si>
  <si>
    <t>PLACA DE OBRA (PARA CONSTRUCAO CIVIL) EM CHAPA GALVANIZADA *N. 22*, ADESIVADA, DE *2,4 X 1,2* M (SEM POSTES PARA FIXACAO)</t>
  </si>
  <si>
    <t>LS =&gt;</t>
  </si>
  <si>
    <t>MO com LS =&gt;</t>
  </si>
  <si>
    <t>Valor com BDI =&gt;</t>
  </si>
  <si>
    <t xml:space="preserve"> COMPOSIÇÃO SADA 02 </t>
  </si>
  <si>
    <t>Próprio</t>
  </si>
  <si>
    <t>ADMINISTRAÇÃO LOCAL DA OBRA</t>
  </si>
  <si>
    <t xml:space="preserve"> 90776 </t>
  </si>
  <si>
    <t>ENCARREGADO GERAL COM ENCARGOS COMPLEMENTARES</t>
  </si>
  <si>
    <t xml:space="preserve"> 90766 </t>
  </si>
  <si>
    <t>ALMOXARIFE COM ENCARGOS COMPLEMENTARES</t>
  </si>
  <si>
    <t xml:space="preserve"> 90777 </t>
  </si>
  <si>
    <t>ENGENHEIRO CIVIL DE OBRA JUNIOR COM ENCARGOS COMPLEMENTARES</t>
  </si>
  <si>
    <t xml:space="preserve"> 100575 </t>
  </si>
  <si>
    <t>REGULARIZAÇÃO DE SUPERFÍCIES COM MOTONIVELADORA. AF_09/2024</t>
  </si>
  <si>
    <t xml:space="preserve"> 5934 </t>
  </si>
  <si>
    <t>MOTONIVELADORA POTÊNCIA BÁSICA LÍQUIDA (PRIMEIRA MARCHA) 125 HP, PESO BRUTO 13032 KG, LARGURA DA LÂMINA DE 3,7 M - CHI DIURNO. AF_06/2014</t>
  </si>
  <si>
    <t>CHI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</si>
  <si>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</si>
  <si>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</si>
  <si>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5932 </t>
  </si>
  <si>
    <t>MOTONIVELADORA POTÊNCIA BÁSICA LÍQUIDA (PRIMEIRA MARCHA) 125 HP, PESO BRUTO 13032 KG, LARGURA DA LÂMINA DE 3,7 M - CHP DIURNO. AF_06/2014</t>
  </si>
  <si>
    <t>CHP</t>
  </si>
  <si>
    <t xml:space="preserve"> COMPOSIÇÃO SADA 08 </t>
  </si>
  <si>
    <t>REFERÊNCIA SINAPI (101169) - EXECUÇÃO DE PAVIMENTO EM PARALELEPÍPEDOS, REJUNTAMENTO COM ARGAMASSA TRAÇO 1:3 (CIMENTO E AREIA). AF_05/2020</t>
  </si>
  <si>
    <t xml:space="preserve"> 88260 </t>
  </si>
  <si>
    <t>CALCETEIRO COM ENCARGOS COMPLEMENTARES</t>
  </si>
  <si>
    <t xml:space="preserve"> 5685 </t>
  </si>
  <si>
    <t>ROLO COMPACTADOR VIBRATÓRIO DE UM CILINDRO AÇO LISO, POTÊNCIA 80 HP, PESO OPERACIONAL MÁXIMO 8,1 T, IMPACTO DINÂMICO 16,15 / 9,5 T, LARGURA DE TRABALHO 1,68 M - CHI DIURNO. AF_06/2014</t>
  </si>
  <si>
    <t xml:space="preserve"> 88628 </t>
  </si>
  <si>
    <t>ARGAMASSA TRAÇO 1:3 (EM VOLUME DE CIMENTO E AREIA MÉDIA ÚMIDA), PREPARO MECÂNICO COM BETONEIRA 400 L. AF_08/2019</t>
  </si>
  <si>
    <t>m³</t>
  </si>
  <si>
    <t xml:space="preserve"> COMPOSIÇÃO SADA 06 </t>
  </si>
  <si>
    <t>Desmonte manual de rocha de origem arenitica</t>
  </si>
  <si>
    <t>Milheiro</t>
  </si>
  <si>
    <t xml:space="preserve"> 5684 </t>
  </si>
  <si>
    <t>ROLO COMPACTADOR VIBRATÓRIO DE UM CILINDRO AÇO LISO, POTÊNCIA 80 HP, PESO OPERACIONAL MÁXIMO 8,1 T, IMPACTO DINÂMICO 16,15 / 9,5 T, LARGURA DE TRABALHO 1,68 M - CHP DIURNO. AF_06/2014</t>
  </si>
  <si>
    <t xml:space="preserve"> 00000367 </t>
  </si>
  <si>
    <t>AREIA GROSSA - POSTO JAZIDA/FORNECEDOR (RETIRADO NA JAZIDA, SEM TRANSPORTE)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</si>
  <si>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</si>
  <si>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</si>
  <si>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88309 </t>
  </si>
  <si>
    <t>PEDREIRO COM ENCARGOS COMPLEMENTARES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</si>
  <si>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</si>
  <si>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</si>
  <si>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</si>
  <si>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</si>
  <si>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00000370 </t>
  </si>
  <si>
    <t>AREIA MEDIA - POSTO JAZIDA/FORNECEDOR (RETIRADO NA JAZIDA, SEM TRANSPORTE)</t>
  </si>
  <si>
    <t xml:space="preserve"> COMPOSIÇÃO SADA 003 </t>
  </si>
  <si>
    <t xml:space="preserve"> 00034492 </t>
  </si>
  <si>
    <t>CONCRETO USINADO BOMBEAVEL, CLASSE DE RESISTENCIA C20, COM BRITA 0 E 1, SLUMP = 100 +/- 20 MM, EXCLUI SERVICO DE BOMBEAMENTO (NBR 8953)</t>
  </si>
  <si>
    <t xml:space="preserve"> 00004517 </t>
  </si>
  <si>
    <t>SARRAFO *2,5 X 7,5* CM EM PINUS, MISTA OU EQUIVALENTE DA REGIAO - BRUTA</t>
  </si>
  <si>
    <t xml:space="preserve"> 00006212 </t>
  </si>
  <si>
    <t>TABUA *2,5 X 30 CM EM PINUS, MISTA OU EQUIVALENTE DA REGIAO - BRUTA</t>
  </si>
  <si>
    <t xml:space="preserve"> 95878 </t>
  </si>
  <si>
    <t>TRANSPORTE COM CAMINHÃO BASCULANTE DE 10 M³, EM VIA URBANA PAVIMENTADA, DMT ATÉ 30 KM (UNIDADE: TXKM). AF_07/2020</t>
  </si>
  <si>
    <t>TXKM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</si>
  <si>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</si>
  <si>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</si>
  <si>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</si>
  <si>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</si>
  <si>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 xml:space="preserve"> 93596 </t>
  </si>
  <si>
    <t>TRANSPORTE COM CAMINHÃO BASCULANTE DE 10 M³, EM VIA URBANA PAVIMENTADA, ADICIONAL PARA DMT EXCEDENTE A 30 KM (UNIDADE: TXKM). AF_07/2020</t>
  </si>
  <si>
    <t xml:space="preserve"> COMPOSIÇÃO SADA 004 </t>
  </si>
  <si>
    <t>Placa esmaltada para identificação de nome de rua, dimensões 45 x 20 cm com tubo de aço - 2 placas</t>
  </si>
  <si>
    <t xml:space="preserve"> 88278 </t>
  </si>
  <si>
    <t>MONTADOR DE ESTRUTURAS METÁLICAS COM ENCARGOS COMPLEMENTARES</t>
  </si>
  <si>
    <t xml:space="preserve"> 00034723 </t>
  </si>
  <si>
    <t>PLACA DE SINALIZACAO EM CHAPA DE ACO NUM 16 COM PINTURA REFLETIVA</t>
  </si>
  <si>
    <t xml:space="preserve"> 00011927 </t>
  </si>
  <si>
    <t>ABRACADEIRA, GALVANIZADA/ZINCADA, ROSCA SEM FIM, PARAFUSO INOX, LARGURA FITA *12,6 A *14 MM, D = 2" A 2 1/2"</t>
  </si>
  <si>
    <t>UN</t>
  </si>
  <si>
    <t xml:space="preserve"> COMPOSIÇÃO SADA 005 </t>
  </si>
  <si>
    <t xml:space="preserve"> 102486 </t>
  </si>
  <si>
    <t>CONCRETO FCK = 15MPA, TRAÇO 1:3,4:3,4 (EM MASSA SECA DE CIMENTO/ AREIA MÉDIA/ SEIXO ROLADO) - PREPARO MANUAL. AF_05/2021</t>
  </si>
  <si>
    <t xml:space="preserve"> 00021148 </t>
  </si>
  <si>
    <t>TUBO ACO CARBONO SEM COSTURA 2", E= *3,91* MM, SCHEDULE 40, *5,43* KG/M</t>
  </si>
  <si>
    <t>COMPOSIÇÕES PRINCIPAIS - SEM DESONERAÇÃO</t>
  </si>
  <si>
    <t>min</t>
  </si>
  <si>
    <t>max</t>
  </si>
  <si>
    <t>LISTA DE ERROS</t>
  </si>
  <si>
    <t>HORISTA: 90,66%
MENSALISTA: 52,90%</t>
  </si>
  <si>
    <t xml:space="preserve">PLANILHA ORÇAMENTÁRIA  - COM DESONERAÇÃO </t>
  </si>
  <si>
    <t>COMPOSIÇÕES PRINCIPAIS - COM DESONERAÇÃO</t>
  </si>
  <si>
    <t>CRONOGRAMA FÍSICO-FINANCEIRO</t>
  </si>
  <si>
    <t>DISCRIMINAÇÃO DOS SERVIÇOS</t>
  </si>
  <si>
    <t>PESO                      (%)</t>
  </si>
  <si>
    <t>VALOR DAS OBRAS E SERVIÇOS  (R$)</t>
  </si>
  <si>
    <t>DIAS</t>
  </si>
  <si>
    <t>VALOR TOTAL (R$)</t>
  </si>
  <si>
    <t>TOTAL (%)</t>
  </si>
  <si>
    <t>SÃO JOÃO DA FRONTEIRA</t>
  </si>
  <si>
    <t>SINAPI 02/2026</t>
  </si>
  <si>
    <t>Pedreira no Município de Cocal</t>
  </si>
  <si>
    <t>Rua Santa Maria</t>
  </si>
  <si>
    <t>Rua Projetada 02</t>
  </si>
  <si>
    <t>Rua DT Alto Alegre</t>
  </si>
  <si>
    <t>EPI - FAMILIA SERVENTE - HORISTA (ENCARGOS COMPLEMENTARES - COLETADO CAIXA)</t>
  </si>
  <si>
    <t xml:space="preserve"> 00043491 </t>
  </si>
  <si>
    <t>EXAMES - HORISTA (COLETADO CAIXA - ENCARGOS COMPLEMENTARES)</t>
  </si>
  <si>
    <t xml:space="preserve"> 00037372 </t>
  </si>
  <si>
    <t>SERVENTE DE OBRAS (HORISTA)</t>
  </si>
  <si>
    <t xml:space="preserve"> 00006111 </t>
  </si>
  <si>
    <t>TRANSPORTE - HORISTA (COLETADO CAIXA - ENCARGOS COMPLEMENTARES)</t>
  </si>
  <si>
    <t xml:space="preserve"> 00037371 </t>
  </si>
  <si>
    <t>FERRAMENTAS - FAMILIA SERVENTE - HORISTA (ENCARGOS COMPLEMENTARES - COLETADO CAIXA)</t>
  </si>
  <si>
    <t xml:space="preserve"> 00043467 </t>
  </si>
  <si>
    <t>SEGURO - HORISTA (COLETADO CAIXA - ENCARGOS COMPLEMENTARES)</t>
  </si>
  <si>
    <t xml:space="preserve"> 00037373 </t>
  </si>
  <si>
    <t>ALIMENTACAO - HORISTA (COLETADO CAIXA - ENCARGOS COMPLEMENTARES)</t>
  </si>
  <si>
    <t xml:space="preserve"> 00037370 </t>
  </si>
  <si>
    <t>CURSO DE CAPACITAÇÃO PARA SERVENTE (ENCARGOS COMPLEMENTARES) - HORISTA</t>
  </si>
  <si>
    <t xml:space="preserve"> 95378 </t>
  </si>
  <si>
    <t>ROLO COMPACTADOR PE DE CARNEIRO VIBRATORIO, POTENCIA 80 HP, PESO OPERACIONAL SEM/COM LASTRO 7,4/8,8 T, LARGURA DE TRABALHO 1,68 M</t>
  </si>
  <si>
    <t xml:space="preserve"> 00014513 </t>
  </si>
  <si>
    <t>ROLO COMPACTADOR VIBRATÓRIO PÉ DE CARNEIRO PARA SOLOS, POTÊNCIA 80 HP, PESO OPERACIONAL SEM/COM LASTRO 7,4 / 8,8 T, LARGURA DE TRABALHO 1,68 M - JUROS. AF_02/2016</t>
  </si>
  <si>
    <t xml:space="preserve"> 73313 </t>
  </si>
  <si>
    <t>ROLO COMPACTADOR VIBRATÓRIO PÉ DE CARNEIRO PARA SOLOS, POTÊNCIA 80 HP, PESO OPERACIONAL SEM/COM LASTRO 7,4 / 8,8 T, LARGURA DE TRABALHO 1,68 M - DEPRECIAÇÃO. AF_02/2016</t>
  </si>
  <si>
    <t xml:space="preserve"> 73309 </t>
  </si>
  <si>
    <t>OPERADOR DE ROLO COMPACTADOR COM ENCARGOS COMPLEMENTARES</t>
  </si>
  <si>
    <t xml:space="preserve"> 88303 </t>
  </si>
  <si>
    <t>L</t>
  </si>
  <si>
    <t>OLEO DIESEL COMBUSTIVEL COMUM METROPOLITANO S-10 OU S-500</t>
  </si>
  <si>
    <t xml:space="preserve"> 00004221 </t>
  </si>
  <si>
    <t>ROLO COMPACTADOR VIBRATÓRIO DE UM CILINDRO AÇO LISO, POTÊNCIA 80 HP, PESO OPERACIONAL MÁXIMO 8,1 T, IMPACTO DINÂMICO 16,15 / 9,5 T, LARGURA DE TRABALHO 1,68 M - MATERIAIS NA OPERAÇÃO. AF_06/2014</t>
  </si>
  <si>
    <t xml:space="preserve"> 53788 </t>
  </si>
  <si>
    <t>ROLO COMPACTADOR VIBRATORIO DE UM CILINDRO, ACO LISO, POTENCIA 80 HP, PESO OPERACIONAL MAXIMO 8,1 T, IMPACTO DINAMICO 16,15/9,5 T, LARGURA TRABALHO 1,68 M</t>
  </si>
  <si>
    <t xml:space="preserve"> 00010646 </t>
  </si>
  <si>
    <t>ROLO COMPACTADOR VIBRATÓRIO DE UM CILINDRO AÇO LISO, POTÊNCIA 80 HP, PESO OPERACIONAL MÁXIMO 8,1 T, IMPACTO DINÂMICO 16,15 / 9,5 T, LARGURA DE TRABALHO 1,68 M - MANUTENÇÃO. AF_06/2014</t>
  </si>
  <si>
    <t xml:space="preserve"> 5674 </t>
  </si>
  <si>
    <t>ROLO COMPACTADOR VIBRATÓRIO DE UM CILINDRO AÇO LISO, POTÊNCIA 80 HP, PESO OPERACIONAL MÁXIMO 8,1 T, IMPACTO DINÂMICO 16,15 / 9,5 T, LARGURA DE TRABALHO 1,68 M - JUROS. AF_06/2014</t>
  </si>
  <si>
    <t xml:space="preserve"> 89211 </t>
  </si>
  <si>
    <t>ROLO COMPACTADOR VIBRATÓRIO DE UM CILINDRO AÇO LISO, POTÊNCIA 80 HP, PESO OPERACIONAL MÁXIMO 8,1 T, IMPACTO DINÂMICO 16,15 / 9,5 T, LARGURA DE TRABALHO 1,68 M - DEPRECIAÇÃO. AF_06/2014</t>
  </si>
  <si>
    <t xml:space="preserve"> 89210 </t>
  </si>
  <si>
    <t>IMUNIZANTE PARA MADEIRA, INCOLOR</t>
  </si>
  <si>
    <t xml:space="preserve"> 00007340 </t>
  </si>
  <si>
    <t>PINTOR COM ENCARGOS COMPLEMENTARES</t>
  </si>
  <si>
    <t xml:space="preserve"> 88310 </t>
  </si>
  <si>
    <t>FERRAMENTAS - FAMILIA PINTOR - HORISTA (ENCARGOS COMPLEMENTARES - COLETADO CAIXA)</t>
  </si>
  <si>
    <t xml:space="preserve"> 00043466 </t>
  </si>
  <si>
    <t>EPI - FAMILIA PINTOR - HORISTA (ENCARGOS COMPLEMENTARES - COLETADO CAIXA)</t>
  </si>
  <si>
    <t xml:space="preserve"> 00043490 </t>
  </si>
  <si>
    <t>PINTOR (HORISTA)</t>
  </si>
  <si>
    <t xml:space="preserve"> 00004783 </t>
  </si>
  <si>
    <t>CURSO DE CAPACITAÇÃO PARA PINTOR (ENCARGOS COMPLEMENTARES) - HORISTA</t>
  </si>
  <si>
    <t xml:space="preserve"> 95372 </t>
  </si>
  <si>
    <t>PEDREIRO (HORISTA)</t>
  </si>
  <si>
    <t xml:space="preserve"> 00004750 </t>
  </si>
  <si>
    <t>EPI - FAMILIA PEDREIRO - HORISTA (ENCARGOS COMPLEMENTARES - COLETADO CAIXA)</t>
  </si>
  <si>
    <t xml:space="preserve"> 00043489 </t>
  </si>
  <si>
    <t>FERRAMENTAS - FAMILIA PEDREIRO - HORISTA (ENCARGOS COMPLEMENTARES - COLETADO CAIXA)</t>
  </si>
  <si>
    <t xml:space="preserve"> 00043465 </t>
  </si>
  <si>
    <t>CURSO DE CAPACITAÇÃO PARA PEDREIRO (ENCARGOS COMPLEMENTARES) - HORISTA</t>
  </si>
  <si>
    <t xml:space="preserve"> 95371 </t>
  </si>
  <si>
    <t>OPERADOR DE ROLO COMPACTADOR (HORISTA)</t>
  </si>
  <si>
    <t xml:space="preserve"> 00004238 </t>
  </si>
  <si>
    <t>EPI - FAMILIA OPERADOR ESCAVADEIRA - HORISTA (ENCARGOS COMPLEMENTARES - COLETADO CAIXA)</t>
  </si>
  <si>
    <t xml:space="preserve"> 00043488 </t>
  </si>
  <si>
    <t>FERRAMENTAS - FAMILIA OPERADOR ESCAVADEIRA - HORISTA (ENCARGOS COMPLEMENTARES - COLETADO CAIXA)</t>
  </si>
  <si>
    <t xml:space="preserve"> 00043464 </t>
  </si>
  <si>
    <t>CURSO DE CAPACITAÇÃO PARA OPERADOR DE ROLO COMPACTADOR (ENCARGOS COMPLEMENTARES) - HORISTA</t>
  </si>
  <si>
    <t xml:space="preserve"> 95366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</si>
  <si>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</si>
  <si>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</si>
  <si>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</si>
  <si>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</si>
  <si>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</si>
  <si>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</si>
  <si>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</si>
  <si>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</si>
  <si>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</si>
  <si>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</si>
  <si>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</si>
  <si>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</si>
  <si>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CAMINHAO-BASCULANTE (HORISTA)</t>
  </si>
  <si>
    <t xml:space="preserve"> 00020020 </t>
  </si>
  <si>
    <t>CURSO DE CAPACITAÇÃO PARA MOTORISTA DE BASCULANTE (ENCARGOS COMPLEMENTARES) - HORISTA</t>
  </si>
  <si>
    <t xml:space="preserve"> 95346 </t>
  </si>
  <si>
    <t>MOTORISTA DE BASCULANTE COM ENCARGOS COMPLEMENTARES</t>
  </si>
  <si>
    <t xml:space="preserve"> 88281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</si>
  <si>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</si>
  <si>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</si>
  <si>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</si>
  <si>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</si>
  <si>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</si>
  <si>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</si>
  <si>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</si>
  <si>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</si>
  <si>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</si>
  <si>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</si>
  <si>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MONTADOR DE ESTRUTURAS METALICAS HORISTA</t>
  </si>
  <si>
    <t xml:space="preserve"> 00044497 </t>
  </si>
  <si>
    <t>CURSO DE CAPACITAÇÃO PARA MONTADOR DE ESTRUTURA METÁLICA (ENCARGOS COMPLEMENTARES) - HORISTA</t>
  </si>
  <si>
    <t xml:space="preserve"> 95344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</si>
  <si>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</si>
  <si>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</si>
  <si>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</si>
  <si>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</si>
  <si>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FERRAMENTAS - FAMILIA ENGENHEIRO CIVIL - HORISTA (ENCARGOS COMPLEMENTARES - COLETADO CAIXA)</t>
  </si>
  <si>
    <t xml:space="preserve"> 00043462 </t>
  </si>
  <si>
    <t>CURSO DE CAPACITAÇÃO PARA ENGENHEIRO CIVIL DE OBRA JÚNIOR (ENCARGOS COMPLEMENTARES) - HORISTA</t>
  </si>
  <si>
    <t xml:space="preserve"> 95402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</si>
  <si>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</si>
  <si>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</si>
  <si>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</si>
  <si>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</si>
  <si>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EPI - FAMILIA ENCARREGADO GERAL - HORISTA (ENCARGOS COMPLEMENTARES - COLETADO CAIXA)</t>
  </si>
  <si>
    <t xml:space="preserve"> 00043487 </t>
  </si>
  <si>
    <t>CURSO DE CAPACITAÇÃO PARA ENCARREGADO GERAL (ENCARGOS COMPLEMENTARES) - HORISTA</t>
  </si>
  <si>
    <t xml:space="preserve"> 95401 </t>
  </si>
  <si>
    <t>Indenização de jazida</t>
  </si>
  <si>
    <t xml:space="preserve"> COTAÇÃO 12 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</si>
  <si>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</si>
  <si>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</si>
  <si>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</si>
  <si>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</si>
  <si>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</si>
  <si>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</si>
  <si>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</si>
  <si>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</si>
  <si>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ALMOXARIFE (HORISTA)</t>
  </si>
  <si>
    <t xml:space="preserve"> 00000253 </t>
  </si>
  <si>
    <t>CURSO DE CAPACITAÇÃO PARA ALMOXARIFE (ENCARGOS COMPLEMENTARES) - HORISTA</t>
  </si>
  <si>
    <t xml:space="preserve"> 95392 </t>
  </si>
  <si>
    <t>SEIXO ROLADO PARA APLICACAO EM CONCRETO (POSTO PEDREIRA/FORNECEDOR, SEM FRETE)</t>
  </si>
  <si>
    <t xml:space="preserve"> 00004734 </t>
  </si>
  <si>
    <t>CIMENTO PORTLAND COMPOSTO CP II-32</t>
  </si>
  <si>
    <t xml:space="preserve"> 00001379 </t>
  </si>
  <si>
    <t>EPI - FAMILIA CARPINTEIRO DE FORMAS - HORISTA (ENCARGOS COMPLEMENTARES - COLETADO CAIXA)</t>
  </si>
  <si>
    <t xml:space="preserve"> 00043483 </t>
  </si>
  <si>
    <t>FERRAMENTAS - FAMILIA CARPINTEIRO DE FORMAS - HORISTA (ENCARGOS COMPLEMENTARES - COLETADO CAIXA)</t>
  </si>
  <si>
    <t xml:space="preserve"> 00043459 </t>
  </si>
  <si>
    <t>CAMINHÃO BASCULANTE 10 M3, TRUCADO CABINE SIMPLES, PESO BRUTO TOTAL 23.000 KG, CARGA ÚTIL MÁXIMA 15.935 KG, DISTÂNCIA ENTRE EIXOS 4,80 M, POTÊNCIA 230 CV INCLUSIVE CAÇAMBA METÁLICA - MATERIAIS NA OPERAÇÃO. AF_06/2014</t>
  </si>
  <si>
    <t xml:space="preserve"> 91384 </t>
  </si>
  <si>
    <t>CAMINHAO TRUCADO, PESO BRUTO TOTAL 23000 KG, CARGA UTIL MAXIMA 15285 KG, DISTANCIA ENTRE EIXOS 4,80 M, POTENCIA 326 CV (INCLUI CABINE E CHASSI, NAO INCLUI CARROCERIA)</t>
  </si>
  <si>
    <t xml:space="preserve"> 00037758 </t>
  </si>
  <si>
    <t>CACAMBA METALICA BASCULANTE COM CAPACIDADE DE 10 M3 (INCLUI MONTAGEM, NAO INCLUI CAMINHAO)</t>
  </si>
  <si>
    <t xml:space="preserve"> 00037734 </t>
  </si>
  <si>
    <t>CAMINHÃO BASCULANTE 10 M3, TRUCADO CABINE SIMPLES, PESO BRUTO TOTAL 23.000 KG, CARGA ÚTIL MÁXIMA 15.935 KG, DISTÂNCIA ENTRE EIXOS 4,80 M, POTÊNCIA 230 CV INCLUSIVE CAÇAMBA METÁLICA - MANUTENÇÃO. AF_06/2014</t>
  </si>
  <si>
    <t xml:space="preserve"> 91383 </t>
  </si>
  <si>
    <t>CAMINHÃO BASCULANTE 10 M3, TRUCADO CABINE SIMPLES, PESO BRUTO TOTAL 23.000 KG, CARGA ÚTIL MÁXIMA 15.935 KG, DISTÂNCIA ENTRE EIXOS 4,80 M, POTÊNCIA 230 CV INCLUSIVE CAÇAMBA METÁLICA - JUROS. AF_06/2014</t>
  </si>
  <si>
    <t xml:space="preserve"> 91381 </t>
  </si>
  <si>
    <t>CAMINHÃO BASCULANTE 10 M3, TRUCADO CABINE SIMPLES, PESO BRUTO TOTAL 23.000 KG, CARGA ÚTIL MÁXIMA 15.935 KG, DISTÂNCIA ENTRE EIXOS 4,80 M, POTÊNCIA 230 CV INCLUSIVE CAÇAMBA METÁLICA - IMPOSTOS E SEGUROS. AF_06/2014</t>
  </si>
  <si>
    <t xml:space="preserve"> 91382 </t>
  </si>
  <si>
    <t>CAMINHÃO BASCULANTE 10 M3, TRUCADO CABINE SIMPLES, PESO BRUTO TOTAL 23.000 KG, CARGA ÚTIL MÁXIMA 15.935 KG, DISTÂNCIA ENTRE EIXOS 4,80 M, POTÊNCIA 230 CV INCLUSIVE CAÇAMBA METÁLICA - DEPRECIAÇÃO. AF_06/2014</t>
  </si>
  <si>
    <t xml:space="preserve"> 91380 </t>
  </si>
  <si>
    <t>KWH</t>
  </si>
  <si>
    <t>ENERGIA ELETRICA ATE 2000 KWH INDUSTRIAL, SEM DEMANDA</t>
  </si>
  <si>
    <t xml:space="preserve"> 00002705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</si>
  <si>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</si>
  <si>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</si>
  <si>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BETONEIRA, CAPACIDADE NOMINAL 400 L, CAPACIDADE DE MISTURA 280 L, MOTOR ELETRICO TRIFASICO 220/380 V,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</si>
  <si>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</si>
  <si>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</si>
  <si>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</si>
  <si>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</si>
  <si>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</si>
  <si>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</si>
  <si>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</si>
  <si>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</si>
  <si>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</si>
  <si>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</si>
  <si>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</si>
  <si>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EPI - FAMILIA ALMOXARIFE - HORISTA (ENCARGOS COMPLEMENTARES - COLETADO CAIXA)</t>
  </si>
  <si>
    <t xml:space="preserve"> 00043482 </t>
  </si>
  <si>
    <t>FERRAMENTAS - FAMILIA ALMOXARIFE - HORISTA (ENCARGOS COMPLEMENTARES - COLETADO CAIXA)</t>
  </si>
  <si>
    <t xml:space="preserve"> 00043458 </t>
  </si>
  <si>
    <t>Composições Auxiliares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</si>
</sst>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_(* #,##0.00_);_(* \(#,##0.00\);_(* &quot;-&quot;??_);_(@_)"/>
    <numFmt numFmtId="166" formatCode="&quot;R$&quot;\ #,##0.00"/>
    <numFmt numFmtId="167" formatCode="#,##0.00;[Red]#,##0.00"/>
    <numFmt numFmtId="168" formatCode="&quot;R$&quot;\ #,##0.00;[Red]&quot;R$&quot;\ #,##0.00"/>
    <numFmt numFmtId="169" formatCode="_(* #,##0.000_);_(* \(#,##0.000\);_(* &quot;-&quot;??_);_(@_)"/>
    <numFmt numFmtId="170" formatCode="0.0000"/>
    <numFmt numFmtId="171" formatCode="0.0000%"/>
    <numFmt numFmtId="172" formatCode="#,##0.0000000"/>
    <numFmt numFmtId="173" formatCode="_(&quot;R$ &quot;* #,##0.00_);_(&quot;R$ &quot;* \(#,##0.00\);_(&quot;R$ &quot;* &quot;-&quot;??_);_(@_)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rgb="FF000000"/>
      <name val="Arial"/>
      <family val="2"/>
    </font>
    <font>
      <sz val="8"/>
      <color rgb="FF00B0F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Times New Roman"/>
      <family val="1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11" fillId="0" borderId="0"/>
    <xf numFmtId="165" fontId="9" fillId="0" borderId="0" applyFont="0" applyFill="0" applyBorder="0" applyAlignment="0" applyProtection="0"/>
  </cellStyleXfs>
  <cellXfs count="461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3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7" fontId="8" fillId="0" borderId="12" xfId="1" applyNumberFormat="1" applyFont="1" applyFill="1" applyBorder="1" applyAlignment="1">
      <alignment horizontal="center" vertical="center" wrapText="1"/>
    </xf>
    <xf numFmtId="167" fontId="8" fillId="0" borderId="11" xfId="1" applyNumberFormat="1" applyFont="1" applyFill="1" applyBorder="1" applyAlignment="1">
      <alignment horizontal="center" vertical="center" wrapText="1"/>
    </xf>
    <xf numFmtId="168" fontId="6" fillId="6" borderId="1" xfId="1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/>
    <xf numFmtId="0" fontId="5" fillId="7" borderId="17" xfId="4" applyFont="1" applyFill="1" applyBorder="1" applyAlignment="1">
      <alignment vertical="top"/>
    </xf>
    <xf numFmtId="0" fontId="5" fillId="7" borderId="0" xfId="4" applyFont="1" applyFill="1" applyBorder="1" applyAlignment="1">
      <alignment vertical="center"/>
    </xf>
    <xf numFmtId="0" fontId="4" fillId="0" borderId="0" xfId="0" applyFont="1"/>
    <xf numFmtId="165" fontId="7" fillId="0" borderId="0" xfId="4" applyNumberFormat="1" applyFont="1" applyBorder="1"/>
    <xf numFmtId="165" fontId="7" fillId="0" borderId="17" xfId="4" applyNumberFormat="1" applyFont="1" applyBorder="1" applyAlignment="1">
      <alignment horizontal="center"/>
    </xf>
    <xf numFmtId="0" fontId="7" fillId="0" borderId="0" xfId="4" applyFont="1" applyFill="1" applyBorder="1" applyAlignment="1">
      <alignment horizontal="justify" wrapText="1"/>
    </xf>
    <xf numFmtId="165" fontId="7" fillId="0" borderId="0" xfId="5" applyFont="1" applyFill="1" applyBorder="1" applyAlignment="1"/>
    <xf numFmtId="165" fontId="7" fillId="0" borderId="16" xfId="4" applyNumberFormat="1" applyFont="1" applyBorder="1" applyAlignment="1">
      <alignment horizontal="center"/>
    </xf>
    <xf numFmtId="165" fontId="7" fillId="0" borderId="0" xfId="5" applyFont="1" applyBorder="1" applyAlignment="1"/>
    <xf numFmtId="165" fontId="5" fillId="0" borderId="16" xfId="4" applyNumberFormat="1" applyFont="1" applyBorder="1" applyAlignment="1">
      <alignment horizontal="center"/>
    </xf>
    <xf numFmtId="165" fontId="5" fillId="2" borderId="1" xfId="5" applyFont="1" applyFill="1" applyBorder="1" applyAlignment="1"/>
    <xf numFmtId="165" fontId="5" fillId="2" borderId="1" xfId="4" applyNumberFormat="1" applyFont="1" applyFill="1" applyBorder="1"/>
    <xf numFmtId="165" fontId="5" fillId="0" borderId="0" xfId="5" applyFont="1" applyFill="1" applyBorder="1" applyAlignment="1"/>
    <xf numFmtId="165" fontId="12" fillId="0" borderId="0" xfId="5" applyFont="1" applyBorder="1" applyAlignment="1"/>
    <xf numFmtId="165" fontId="5" fillId="0" borderId="0" xfId="4" applyNumberFormat="1" applyFont="1" applyFill="1" applyBorder="1"/>
    <xf numFmtId="0" fontId="5" fillId="0" borderId="17" xfId="4" applyFont="1" applyBorder="1" applyAlignment="1">
      <alignment vertical="top"/>
    </xf>
    <xf numFmtId="49" fontId="7" fillId="0" borderId="0" xfId="4" applyNumberFormat="1" applyFont="1" applyBorder="1" applyAlignment="1">
      <alignment vertical="center"/>
    </xf>
    <xf numFmtId="165" fontId="7" fillId="0" borderId="0" xfId="5" applyFont="1" applyBorder="1" applyAlignment="1">
      <alignment vertical="center"/>
    </xf>
    <xf numFmtId="165" fontId="7" fillId="0" borderId="0" xfId="4" applyNumberFormat="1" applyFont="1" applyBorder="1" applyAlignment="1">
      <alignment vertical="center"/>
    </xf>
    <xf numFmtId="165" fontId="7" fillId="0" borderId="0" xfId="5" applyFont="1" applyFill="1" applyBorder="1" applyAlignment="1">
      <alignment vertical="center"/>
    </xf>
    <xf numFmtId="165" fontId="5" fillId="4" borderId="16" xfId="4" applyNumberFormat="1" applyFont="1" applyFill="1" applyBorder="1" applyAlignment="1">
      <alignment horizontal="center"/>
    </xf>
    <xf numFmtId="165" fontId="5" fillId="0" borderId="17" xfId="4" applyNumberFormat="1" applyFont="1" applyBorder="1" applyAlignment="1">
      <alignment horizontal="center" vertical="top"/>
    </xf>
    <xf numFmtId="49" fontId="5" fillId="0" borderId="0" xfId="4" applyNumberFormat="1" applyFont="1" applyBorder="1" applyAlignment="1">
      <alignment wrapText="1"/>
    </xf>
    <xf numFmtId="0" fontId="7" fillId="0" borderId="0" xfId="4" applyFont="1" applyBorder="1" applyAlignment="1">
      <alignment vertical="center"/>
    </xf>
    <xf numFmtId="165" fontId="5" fillId="0" borderId="0" xfId="4" applyNumberFormat="1" applyFont="1" applyBorder="1" applyAlignment="1">
      <alignment horizontal="center" vertical="center"/>
    </xf>
    <xf numFmtId="0" fontId="5" fillId="0" borderId="0" xfId="4" applyFont="1" applyBorder="1" applyAlignment="1">
      <alignment horizontal="justify" wrapText="1"/>
    </xf>
    <xf numFmtId="165" fontId="7" fillId="0" borderId="10" xfId="4" applyNumberFormat="1" applyFont="1" applyBorder="1" applyAlignment="1">
      <alignment horizontal="center" vertical="top"/>
    </xf>
    <xf numFmtId="49" fontId="7" fillId="0" borderId="12" xfId="4" applyNumberFormat="1" applyFont="1" applyBorder="1"/>
    <xf numFmtId="0" fontId="7" fillId="0" borderId="12" xfId="4" applyFont="1" applyFill="1" applyBorder="1"/>
    <xf numFmtId="165" fontId="7" fillId="0" borderId="12" xfId="4" applyNumberFormat="1" applyFont="1" applyFill="1" applyBorder="1"/>
    <xf numFmtId="165" fontId="7" fillId="0" borderId="11" xfId="4" applyNumberFormat="1" applyFont="1" applyFill="1" applyBorder="1" applyAlignment="1">
      <alignment horizontal="center"/>
    </xf>
    <xf numFmtId="0" fontId="7" fillId="0" borderId="0" xfId="4" applyFont="1" applyBorder="1" applyAlignment="1">
      <alignment horizontal="justify" wrapText="1"/>
    </xf>
    <xf numFmtId="165" fontId="7" fillId="0" borderId="0" xfId="4" applyNumberFormat="1" applyFont="1" applyFill="1" applyBorder="1"/>
    <xf numFmtId="165" fontId="7" fillId="0" borderId="16" xfId="4" applyNumberFormat="1" applyFont="1" applyFill="1" applyBorder="1" applyAlignment="1">
      <alignment horizontal="center"/>
    </xf>
    <xf numFmtId="165" fontId="12" fillId="0" borderId="17" xfId="4" applyNumberFormat="1" applyFont="1" applyBorder="1" applyAlignment="1">
      <alignment horizontal="center"/>
    </xf>
    <xf numFmtId="0" fontId="12" fillId="0" borderId="0" xfId="4" applyFont="1" applyBorder="1" applyAlignment="1">
      <alignment horizontal="justify" wrapText="1"/>
    </xf>
    <xf numFmtId="165" fontId="12" fillId="0" borderId="0" xfId="4" applyNumberFormat="1" applyFont="1" applyBorder="1"/>
    <xf numFmtId="165" fontId="13" fillId="0" borderId="16" xfId="4" applyNumberFormat="1" applyFont="1" applyBorder="1" applyAlignment="1">
      <alignment horizontal="center"/>
    </xf>
    <xf numFmtId="165" fontId="7" fillId="0" borderId="10" xfId="4" applyNumberFormat="1" applyFont="1" applyBorder="1" applyAlignment="1">
      <alignment horizontal="center" vertical="center"/>
    </xf>
    <xf numFmtId="0" fontId="14" fillId="0" borderId="17" xfId="6" applyFont="1" applyBorder="1" applyAlignment="1">
      <alignment horizontal="left" vertical="top"/>
    </xf>
    <xf numFmtId="0" fontId="14" fillId="0" borderId="0" xfId="6" applyFont="1" applyBorder="1" applyAlignment="1">
      <alignment horizontal="left" vertical="top"/>
    </xf>
    <xf numFmtId="0" fontId="14" fillId="0" borderId="16" xfId="6" applyFont="1" applyBorder="1" applyAlignment="1">
      <alignment horizontal="left" vertical="top"/>
    </xf>
    <xf numFmtId="169" fontId="7" fillId="0" borderId="0" xfId="5" applyNumberFormat="1" applyFont="1" applyBorder="1" applyAlignment="1"/>
    <xf numFmtId="165" fontId="16" fillId="0" borderId="16" xfId="4" applyNumberFormat="1" applyFont="1" applyBorder="1" applyAlignment="1">
      <alignment horizontal="center"/>
    </xf>
    <xf numFmtId="165" fontId="17" fillId="0" borderId="16" xfId="4" applyNumberFormat="1" applyFont="1" applyBorder="1" applyAlignment="1">
      <alignment horizontal="center"/>
    </xf>
    <xf numFmtId="165" fontId="5" fillId="0" borderId="0" xfId="4" applyNumberFormat="1" applyFont="1" applyBorder="1"/>
    <xf numFmtId="0" fontId="7" fillId="0" borderId="12" xfId="4" applyFont="1" applyBorder="1"/>
    <xf numFmtId="165" fontId="7" fillId="0" borderId="12" xfId="4" applyNumberFormat="1" applyFont="1" applyBorder="1"/>
    <xf numFmtId="165" fontId="7" fillId="0" borderId="11" xfId="4" applyNumberFormat="1" applyFont="1" applyBorder="1" applyAlignment="1">
      <alignment horizontal="center"/>
    </xf>
    <xf numFmtId="165" fontId="7" fillId="0" borderId="5" xfId="4" applyNumberFormat="1" applyFont="1" applyBorder="1" applyAlignment="1">
      <alignment horizontal="center"/>
    </xf>
    <xf numFmtId="0" fontId="7" fillId="0" borderId="14" xfId="4" applyFont="1" applyBorder="1" applyAlignment="1">
      <alignment horizontal="justify" wrapText="1"/>
    </xf>
    <xf numFmtId="165" fontId="5" fillId="0" borderId="6" xfId="4" applyNumberFormat="1" applyFont="1" applyBorder="1" applyAlignment="1">
      <alignment horizontal="center"/>
    </xf>
    <xf numFmtId="165" fontId="7" fillId="4" borderId="0" xfId="5" applyFont="1" applyFill="1" applyBorder="1" applyAlignment="1"/>
    <xf numFmtId="165" fontId="5" fillId="0" borderId="1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shrinkToFit="1"/>
    </xf>
    <xf numFmtId="44" fontId="9" fillId="0" borderId="4" xfId="0" applyNumberFormat="1" applyFont="1" applyBorder="1" applyAlignment="1">
      <alignment horizontal="center" vertical="center"/>
    </xf>
    <xf numFmtId="10" fontId="9" fillId="0" borderId="4" xfId="3" applyNumberFormat="1" applyFont="1" applyFill="1" applyBorder="1" applyAlignment="1">
      <alignment horizontal="center" vertical="center"/>
    </xf>
    <xf numFmtId="10" fontId="9" fillId="3" borderId="18" xfId="3" applyNumberFormat="1" applyFont="1" applyFill="1" applyBorder="1" applyAlignment="1">
      <alignment horizontal="center" vertical="center"/>
    </xf>
    <xf numFmtId="44" fontId="19" fillId="5" borderId="1" xfId="0" applyNumberFormat="1" applyFont="1" applyFill="1" applyBorder="1" applyAlignment="1">
      <alignment vertical="center"/>
    </xf>
    <xf numFmtId="10" fontId="19" fillId="5" borderId="1" xfId="3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justify" vertical="center"/>
    </xf>
    <xf numFmtId="10" fontId="4" fillId="0" borderId="1" xfId="0" applyNumberFormat="1" applyFont="1" applyFill="1" applyBorder="1" applyAlignment="1">
      <alignment horizontal="center" vertical="center"/>
    </xf>
    <xf numFmtId="43" fontId="5" fillId="6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7" fontId="8" fillId="0" borderId="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4" fontId="5" fillId="8" borderId="11" xfId="2" applyFont="1" applyFill="1" applyBorder="1" applyAlignment="1">
      <alignment vertical="center" wrapText="1"/>
    </xf>
    <xf numFmtId="0" fontId="5" fillId="0" borderId="0" xfId="4" applyFont="1" applyAlignment="1" applyProtection="1">
      <alignment horizontal="center" vertical="center"/>
      <protection hidden="1"/>
    </xf>
    <xf numFmtId="0" fontId="5" fillId="0" borderId="19" xfId="4" applyFont="1" applyBorder="1" applyAlignment="1" applyProtection="1">
      <alignment horizontal="center" vertical="center"/>
      <protection hidden="1"/>
    </xf>
    <xf numFmtId="0" fontId="5" fillId="0" borderId="8" xfId="4" applyFont="1" applyBorder="1" applyAlignment="1" applyProtection="1">
      <alignment horizontal="left" vertical="center"/>
      <protection hidden="1"/>
    </xf>
    <xf numFmtId="0" fontId="5" fillId="0" borderId="0" xfId="4" applyFont="1" applyAlignment="1" applyProtection="1">
      <alignment horizontal="left" vertical="center"/>
      <protection hidden="1"/>
    </xf>
    <xf numFmtId="0" fontId="5" fillId="0" borderId="8" xfId="4" applyFont="1" applyBorder="1" applyAlignment="1" applyProtection="1">
      <alignment vertical="center"/>
      <protection hidden="1"/>
    </xf>
    <xf numFmtId="0" fontId="7" fillId="0" borderId="10" xfId="4" applyFont="1" applyBorder="1" applyAlignment="1" applyProtection="1">
      <alignment vertical="center"/>
      <protection hidden="1"/>
    </xf>
    <xf numFmtId="2" fontId="5" fillId="0" borderId="1" xfId="4" applyNumberFormat="1" applyFont="1" applyBorder="1" applyAlignment="1" applyProtection="1">
      <alignment horizontal="center" vertical="center"/>
      <protection locked="0" hidden="1"/>
    </xf>
    <xf numFmtId="2" fontId="21" fillId="0" borderId="0" xfId="4" applyNumberFormat="1" applyFont="1" applyAlignment="1" applyProtection="1">
      <alignment horizontal="center" vertical="center"/>
      <protection hidden="1"/>
    </xf>
    <xf numFmtId="0" fontId="7" fillId="0" borderId="0" xfId="4" applyFont="1" applyAlignment="1" applyProtection="1">
      <alignment vertical="center"/>
      <protection hidden="1"/>
    </xf>
    <xf numFmtId="2" fontId="5" fillId="0" borderId="0" xfId="4" applyNumberFormat="1" applyFont="1" applyAlignment="1" applyProtection="1">
      <alignment horizontal="center" vertical="center"/>
      <protection locked="0" hidden="1"/>
    </xf>
    <xf numFmtId="2" fontId="21" fillId="0" borderId="19" xfId="4" applyNumberFormat="1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vertical="center" wrapText="1"/>
      <protection hidden="1"/>
    </xf>
    <xf numFmtId="0" fontId="5" fillId="0" borderId="20" xfId="4" applyFont="1" applyBorder="1" applyAlignment="1" applyProtection="1">
      <alignment horizontal="center" vertical="center"/>
      <protection hidden="1"/>
    </xf>
    <xf numFmtId="2" fontId="21" fillId="0" borderId="22" xfId="4" applyNumberFormat="1" applyFont="1" applyBorder="1" applyAlignment="1" applyProtection="1">
      <alignment horizontal="center" vertical="center"/>
      <protection hidden="1"/>
    </xf>
    <xf numFmtId="2" fontId="21" fillId="0" borderId="23" xfId="4" applyNumberFormat="1" applyFont="1" applyBorder="1" applyAlignment="1" applyProtection="1">
      <alignment horizontal="center" vertical="center"/>
      <protection hidden="1"/>
    </xf>
    <xf numFmtId="2" fontId="5" fillId="0" borderId="0" xfId="4" applyNumberFormat="1" applyFont="1" applyAlignment="1" applyProtection="1">
      <alignment horizontal="center" vertical="center"/>
      <protection hidden="1"/>
    </xf>
    <xf numFmtId="2" fontId="5" fillId="0" borderId="25" xfId="4" applyNumberFormat="1" applyFont="1" applyBorder="1" applyAlignment="1" applyProtection="1">
      <alignment horizontal="center" vertical="center"/>
      <protection hidden="1"/>
    </xf>
    <xf numFmtId="2" fontId="5" fillId="0" borderId="26" xfId="4" applyNumberFormat="1" applyFont="1" applyBorder="1" applyAlignment="1" applyProtection="1">
      <alignment horizontal="center" vertical="center"/>
      <protection hidden="1"/>
    </xf>
    <xf numFmtId="0" fontId="5" fillId="0" borderId="8" xfId="4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horizontal="right" vertical="center"/>
      <protection hidden="1"/>
    </xf>
    <xf numFmtId="0" fontId="7" fillId="0" borderId="22" xfId="4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horizontal="center" vertical="center"/>
      <protection hidden="1"/>
    </xf>
    <xf numFmtId="0" fontId="5" fillId="0" borderId="25" xfId="4" applyFont="1" applyBorder="1" applyAlignment="1" applyProtection="1">
      <alignment horizontal="center" vertical="center"/>
      <protection hidden="1"/>
    </xf>
    <xf numFmtId="2" fontId="7" fillId="0" borderId="25" xfId="4" applyNumberFormat="1" applyFont="1" applyBorder="1" applyAlignment="1" applyProtection="1">
      <alignment horizontal="center" vertical="center"/>
      <protection hidden="1"/>
    </xf>
    <xf numFmtId="2" fontId="7" fillId="0" borderId="26" xfId="4" applyNumberFormat="1" applyFont="1" applyBorder="1" applyAlignment="1" applyProtection="1">
      <alignment horizontal="center" vertical="center"/>
      <protection hidden="1"/>
    </xf>
    <xf numFmtId="0" fontId="7" fillId="0" borderId="8" xfId="4" applyFont="1" applyBorder="1" applyAlignment="1" applyProtection="1">
      <alignment horizontal="center" vertical="center"/>
      <protection hidden="1"/>
    </xf>
    <xf numFmtId="2" fontId="7" fillId="0" borderId="19" xfId="4" applyNumberFormat="1" applyFont="1" applyBorder="1" applyAlignment="1" applyProtection="1">
      <alignment horizontal="center" vertical="center"/>
      <protection hidden="1"/>
    </xf>
    <xf numFmtId="0" fontId="7" fillId="0" borderId="10" xfId="4" applyFont="1" applyBorder="1" applyAlignment="1" applyProtection="1">
      <alignment horizontal="left" vertical="center"/>
      <protection hidden="1"/>
    </xf>
    <xf numFmtId="0" fontId="7" fillId="0" borderId="12" xfId="4" applyFont="1" applyBorder="1" applyAlignment="1" applyProtection="1">
      <alignment horizontal="center" vertical="center"/>
      <protection hidden="1"/>
    </xf>
    <xf numFmtId="0" fontId="7" fillId="0" borderId="12" xfId="4" applyFont="1" applyBorder="1" applyAlignment="1" applyProtection="1">
      <alignment horizontal="right" vertical="center"/>
      <protection hidden="1"/>
    </xf>
    <xf numFmtId="10" fontId="7" fillId="0" borderId="11" xfId="4" applyNumberFormat="1" applyFont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left" vertical="center"/>
      <protection hidden="1"/>
    </xf>
    <xf numFmtId="10" fontId="7" fillId="0" borderId="0" xfId="4" applyNumberFormat="1" applyFont="1" applyAlignment="1" applyProtection="1">
      <alignment horizontal="center" vertical="center"/>
      <protection hidden="1"/>
    </xf>
    <xf numFmtId="10" fontId="7" fillId="0" borderId="11" xfId="7" applyNumberFormat="1" applyFont="1" applyFill="1" applyBorder="1" applyAlignment="1" applyProtection="1">
      <alignment horizontal="center" vertical="center"/>
      <protection locked="0"/>
    </xf>
    <xf numFmtId="170" fontId="7" fillId="0" borderId="19" xfId="7" applyNumberFormat="1" applyFont="1" applyFill="1" applyBorder="1" applyAlignment="1" applyProtection="1">
      <alignment horizontal="center" vertical="center"/>
      <protection hidden="1"/>
    </xf>
    <xf numFmtId="10" fontId="7" fillId="0" borderId="0" xfId="7" applyNumberFormat="1" applyFont="1" applyFill="1" applyBorder="1" applyAlignment="1" applyProtection="1">
      <alignment horizontal="center" vertical="center"/>
      <protection hidden="1"/>
    </xf>
    <xf numFmtId="0" fontId="7" fillId="0" borderId="2" xfId="4" applyFont="1" applyBorder="1" applyAlignment="1" applyProtection="1">
      <alignment vertical="center"/>
      <protection hidden="1"/>
    </xf>
    <xf numFmtId="0" fontId="7" fillId="0" borderId="15" xfId="4" applyFont="1" applyBorder="1" applyAlignment="1" applyProtection="1">
      <alignment horizontal="center" vertical="center"/>
      <protection hidden="1"/>
    </xf>
    <xf numFmtId="0" fontId="7" fillId="0" borderId="15" xfId="4" applyFont="1" applyBorder="1" applyAlignment="1" applyProtection="1">
      <alignment horizontal="right" vertical="center"/>
      <protection hidden="1"/>
    </xf>
    <xf numFmtId="10" fontId="7" fillId="0" borderId="3" xfId="7" applyNumberFormat="1" applyFont="1" applyFill="1" applyBorder="1" applyAlignment="1" applyProtection="1">
      <alignment horizontal="center" vertical="center"/>
      <protection hidden="1"/>
    </xf>
    <xf numFmtId="170" fontId="5" fillId="0" borderId="19" xfId="7" applyNumberFormat="1" applyFont="1" applyFill="1" applyBorder="1" applyAlignment="1" applyProtection="1">
      <alignment horizontal="center"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  <protection locked="0"/>
    </xf>
    <xf numFmtId="2" fontId="5" fillId="0" borderId="19" xfId="7" applyNumberFormat="1" applyFont="1" applyFill="1" applyBorder="1" applyAlignment="1" applyProtection="1">
      <alignment horizontal="center" vertical="center"/>
      <protection hidden="1"/>
    </xf>
    <xf numFmtId="0" fontId="7" fillId="0" borderId="5" xfId="4" applyFont="1" applyBorder="1" applyAlignment="1" applyProtection="1">
      <alignment horizontal="center" vertical="center"/>
      <protection hidden="1"/>
    </xf>
    <xf numFmtId="0" fontId="7" fillId="0" borderId="14" xfId="4" applyFont="1" applyBorder="1" applyAlignment="1" applyProtection="1">
      <alignment horizontal="center" vertical="center"/>
      <protection hidden="1"/>
    </xf>
    <xf numFmtId="0" fontId="7" fillId="0" borderId="14" xfId="4" applyFont="1" applyBorder="1" applyAlignment="1" applyProtection="1">
      <alignment horizontal="right" vertical="center"/>
      <protection hidden="1"/>
    </xf>
    <xf numFmtId="10" fontId="7" fillId="0" borderId="6" xfId="4" applyNumberFormat="1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 applyProtection="1">
      <alignment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  <protection hidden="1"/>
    </xf>
    <xf numFmtId="2" fontId="7" fillId="0" borderId="19" xfId="7" applyNumberFormat="1" applyFont="1" applyFill="1" applyBorder="1" applyAlignment="1" applyProtection="1">
      <alignment horizontal="center" vertical="center"/>
      <protection hidden="1"/>
    </xf>
    <xf numFmtId="0" fontId="7" fillId="0" borderId="17" xfId="4" applyFont="1" applyBorder="1" applyAlignment="1" applyProtection="1">
      <alignment horizontal="center"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</xf>
    <xf numFmtId="10" fontId="7" fillId="0" borderId="6" xfId="7" applyNumberFormat="1" applyFont="1" applyFill="1" applyBorder="1" applyAlignment="1" applyProtection="1">
      <alignment horizontal="center" vertical="center"/>
      <protection hidden="1"/>
    </xf>
    <xf numFmtId="0" fontId="7" fillId="0" borderId="20" xfId="4" applyFont="1" applyBorder="1" applyAlignment="1" applyProtection="1">
      <alignment horizontal="center" vertical="center"/>
      <protection hidden="1"/>
    </xf>
    <xf numFmtId="165" fontId="7" fillId="0" borderId="22" xfId="7" applyFont="1" applyFill="1" applyBorder="1" applyAlignment="1" applyProtection="1">
      <alignment horizontal="center" vertical="center"/>
      <protection hidden="1"/>
    </xf>
    <xf numFmtId="2" fontId="7" fillId="0" borderId="22" xfId="7" applyNumberFormat="1" applyFont="1" applyFill="1" applyBorder="1" applyAlignment="1" applyProtection="1">
      <alignment horizontal="center" vertical="center"/>
      <protection hidden="1"/>
    </xf>
    <xf numFmtId="2" fontId="5" fillId="0" borderId="23" xfId="7" applyNumberFormat="1" applyFont="1" applyFill="1" applyBorder="1" applyAlignment="1" applyProtection="1">
      <alignment horizontal="center" vertical="center"/>
      <protection hidden="1"/>
    </xf>
    <xf numFmtId="165" fontId="7" fillId="0" borderId="0" xfId="7" applyFont="1" applyFill="1" applyBorder="1" applyAlignment="1" applyProtection="1">
      <alignment horizontal="center" vertical="center"/>
      <protection hidden="1"/>
    </xf>
    <xf numFmtId="2" fontId="7" fillId="0" borderId="0" xfId="7" applyNumberFormat="1" applyFont="1" applyFill="1" applyBorder="1" applyAlignment="1" applyProtection="1">
      <alignment horizontal="center" vertical="center"/>
      <protection hidden="1"/>
    </xf>
    <xf numFmtId="2" fontId="5" fillId="0" borderId="0" xfId="7" applyNumberFormat="1" applyFont="1" applyFill="1" applyBorder="1" applyAlignment="1" applyProtection="1">
      <alignment horizontal="center" vertical="center"/>
      <protection hidden="1"/>
    </xf>
    <xf numFmtId="0" fontId="7" fillId="0" borderId="22" xfId="4" applyFont="1" applyBorder="1" applyAlignment="1" applyProtection="1">
      <alignment vertical="center"/>
      <protection hidden="1"/>
    </xf>
    <xf numFmtId="2" fontId="7" fillId="0" borderId="22" xfId="4" applyNumberFormat="1" applyFont="1" applyBorder="1" applyAlignment="1" applyProtection="1">
      <alignment horizontal="center" vertical="center"/>
      <protection hidden="1"/>
    </xf>
    <xf numFmtId="2" fontId="7" fillId="0" borderId="23" xfId="4" applyNumberFormat="1" applyFont="1" applyBorder="1" applyAlignment="1" applyProtection="1">
      <alignment horizontal="center" vertical="center"/>
      <protection hidden="1"/>
    </xf>
    <xf numFmtId="0" fontId="7" fillId="0" borderId="25" xfId="4" applyFont="1" applyBorder="1" applyAlignment="1" applyProtection="1">
      <alignment horizontal="center" vertical="center"/>
      <protection hidden="1"/>
    </xf>
    <xf numFmtId="0" fontId="7" fillId="0" borderId="1" xfId="4" applyFont="1" applyBorder="1" applyAlignment="1" applyProtection="1">
      <alignment horizontal="center" vertical="center"/>
      <protection hidden="1"/>
    </xf>
    <xf numFmtId="10" fontId="7" fillId="0" borderId="1" xfId="4" applyNumberFormat="1" applyFont="1" applyBorder="1" applyAlignment="1" applyProtection="1">
      <alignment horizontal="center" vertical="center"/>
      <protection hidden="1"/>
    </xf>
    <xf numFmtId="10" fontId="7" fillId="0" borderId="22" xfId="4" applyNumberFormat="1" applyFont="1" applyBorder="1" applyAlignment="1" applyProtection="1">
      <alignment horizontal="center" vertical="center"/>
      <protection hidden="1"/>
    </xf>
    <xf numFmtId="0" fontId="7" fillId="0" borderId="19" xfId="4" applyFont="1" applyBorder="1" applyAlignment="1" applyProtection="1">
      <alignment horizontal="center" vertical="center"/>
      <protection hidden="1"/>
    </xf>
    <xf numFmtId="10" fontId="5" fillId="0" borderId="28" xfId="7" applyNumberFormat="1" applyFont="1" applyFill="1" applyBorder="1" applyAlignment="1" applyProtection="1">
      <alignment horizontal="center" vertical="center"/>
      <protection hidden="1"/>
    </xf>
    <xf numFmtId="10" fontId="5" fillId="0" borderId="29" xfId="7" applyNumberFormat="1" applyFont="1" applyFill="1" applyBorder="1" applyAlignment="1" applyProtection="1">
      <alignment horizontal="center" vertical="center"/>
      <protection hidden="1"/>
    </xf>
    <xf numFmtId="10" fontId="5" fillId="0" borderId="0" xfId="7" applyNumberFormat="1" applyFont="1" applyFill="1" applyBorder="1" applyAlignment="1" applyProtection="1">
      <alignment horizontal="center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locked="0" hidden="1"/>
    </xf>
    <xf numFmtId="2" fontId="7" fillId="0" borderId="0" xfId="4" applyNumberFormat="1" applyFont="1" applyAlignment="1" applyProtection="1">
      <alignment horizontal="center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hidden="1"/>
    </xf>
    <xf numFmtId="0" fontId="7" fillId="0" borderId="10" xfId="4" applyFont="1" applyBorder="1" applyAlignment="1" applyProtection="1">
      <alignment horizontal="center" vertical="center"/>
      <protection hidden="1"/>
    </xf>
    <xf numFmtId="0" fontId="2" fillId="0" borderId="0" xfId="0" applyFont="1"/>
    <xf numFmtId="0" fontId="2" fillId="0" borderId="0" xfId="0" applyFont="1" applyFill="1"/>
    <xf numFmtId="0" fontId="16" fillId="0" borderId="0" xfId="0" applyFont="1"/>
    <xf numFmtId="43" fontId="16" fillId="0" borderId="0" xfId="0" applyNumberFormat="1" applyFont="1"/>
    <xf numFmtId="0" fontId="22" fillId="0" borderId="30" xfId="0" applyFont="1" applyFill="1" applyBorder="1" applyAlignment="1">
      <alignment horizontal="left" vertical="top" wrapText="1"/>
    </xf>
    <xf numFmtId="0" fontId="22" fillId="0" borderId="30" xfId="0" applyFont="1" applyFill="1" applyBorder="1" applyAlignment="1">
      <alignment horizontal="right" vertical="top" wrapText="1"/>
    </xf>
    <xf numFmtId="0" fontId="22" fillId="0" borderId="3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left" vertical="top" wrapText="1"/>
    </xf>
    <xf numFmtId="0" fontId="23" fillId="0" borderId="30" xfId="0" applyFont="1" applyFill="1" applyBorder="1" applyAlignment="1">
      <alignment horizontal="right" vertical="top" wrapText="1"/>
    </xf>
    <xf numFmtId="0" fontId="23" fillId="0" borderId="30" xfId="0" applyFont="1" applyFill="1" applyBorder="1" applyAlignment="1">
      <alignment horizontal="center" vertical="top" wrapText="1"/>
    </xf>
    <xf numFmtId="172" fontId="23" fillId="0" borderId="30" xfId="0" applyNumberFormat="1" applyFont="1" applyFill="1" applyBorder="1" applyAlignment="1">
      <alignment horizontal="right" vertical="top" wrapText="1"/>
    </xf>
    <xf numFmtId="4" fontId="23" fillId="0" borderId="30" xfId="0" applyNumberFormat="1" applyFont="1" applyFill="1" applyBorder="1" applyAlignment="1">
      <alignment horizontal="right" vertical="top" wrapText="1"/>
    </xf>
    <xf numFmtId="0" fontId="24" fillId="0" borderId="30" xfId="0" applyFont="1" applyFill="1" applyBorder="1" applyAlignment="1">
      <alignment horizontal="left" vertical="top" wrapText="1"/>
    </xf>
    <xf numFmtId="0" fontId="24" fillId="0" borderId="30" xfId="0" applyFont="1" applyFill="1" applyBorder="1" applyAlignment="1">
      <alignment horizontal="right" vertical="top" wrapText="1"/>
    </xf>
    <xf numFmtId="0" fontId="24" fillId="0" borderId="30" xfId="0" applyFont="1" applyFill="1" applyBorder="1" applyAlignment="1">
      <alignment horizontal="center" vertical="top" wrapText="1"/>
    </xf>
    <xf numFmtId="172" fontId="24" fillId="0" borderId="30" xfId="0" applyNumberFormat="1" applyFont="1" applyFill="1" applyBorder="1" applyAlignment="1">
      <alignment horizontal="right" vertical="top" wrapText="1"/>
    </xf>
    <xf numFmtId="4" fontId="24" fillId="0" borderId="30" xfId="0" applyNumberFormat="1" applyFont="1" applyFill="1" applyBorder="1" applyAlignment="1">
      <alignment horizontal="right" vertical="top" wrapText="1"/>
    </xf>
    <xf numFmtId="4" fontId="24" fillId="0" borderId="0" xfId="0" applyNumberFormat="1" applyFont="1" applyFill="1" applyAlignment="1">
      <alignment horizontal="right" vertical="top" wrapText="1"/>
    </xf>
    <xf numFmtId="0" fontId="23" fillId="0" borderId="31" xfId="0" applyFont="1" applyFill="1" applyBorder="1" applyAlignment="1">
      <alignment horizontal="left" vertical="top" wrapText="1"/>
    </xf>
    <xf numFmtId="2" fontId="5" fillId="0" borderId="1" xfId="0" applyNumberFormat="1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24" fillId="0" borderId="0" xfId="0" applyFont="1" applyFill="1" applyAlignment="1">
      <alignment horizontal="right" vertical="top" wrapText="1"/>
    </xf>
    <xf numFmtId="2" fontId="26" fillId="0" borderId="0" xfId="4" applyNumberFormat="1" applyFont="1" applyAlignment="1" applyProtection="1">
      <alignment horizontal="center" vertical="center"/>
      <protection hidden="1"/>
    </xf>
    <xf numFmtId="10" fontId="26" fillId="0" borderId="0" xfId="4" applyNumberFormat="1" applyFont="1" applyAlignment="1" applyProtection="1">
      <alignment horizontal="center" vertical="center"/>
      <protection hidden="1"/>
    </xf>
    <xf numFmtId="1" fontId="26" fillId="0" borderId="0" xfId="4" applyNumberFormat="1" applyFont="1" applyAlignment="1" applyProtection="1">
      <alignment horizontal="center" vertical="center"/>
      <protection hidden="1"/>
    </xf>
    <xf numFmtId="170" fontId="26" fillId="0" borderId="0" xfId="4" applyNumberFormat="1" applyFont="1" applyAlignment="1" applyProtection="1">
      <alignment horizontal="center" vertical="center"/>
      <protection hidden="1"/>
    </xf>
    <xf numFmtId="171" fontId="26" fillId="0" borderId="0" xfId="4" applyNumberFormat="1" applyFont="1" applyAlignment="1" applyProtection="1">
      <alignment horizontal="center" vertical="center"/>
      <protection hidden="1"/>
    </xf>
    <xf numFmtId="0" fontId="26" fillId="0" borderId="0" xfId="4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10" xfId="4" applyFont="1" applyFill="1" applyBorder="1" applyAlignment="1" applyProtection="1">
      <alignment vertical="center"/>
      <protection hidden="1"/>
    </xf>
    <xf numFmtId="2" fontId="5" fillId="0" borderId="1" xfId="4" applyNumberFormat="1" applyFont="1" applyFill="1" applyBorder="1" applyAlignment="1" applyProtection="1">
      <alignment horizontal="center" vertical="center"/>
      <protection locked="0" hidden="1"/>
    </xf>
    <xf numFmtId="0" fontId="5" fillId="0" borderId="0" xfId="4" applyFont="1" applyFill="1" applyAlignment="1" applyProtection="1">
      <alignment horizontal="center" vertical="center"/>
      <protection hidden="1"/>
    </xf>
    <xf numFmtId="0" fontId="5" fillId="0" borderId="22" xfId="4" applyFont="1" applyFill="1" applyBorder="1" applyAlignment="1" applyProtection="1">
      <alignment horizontal="center" vertical="center"/>
      <protection hidden="1"/>
    </xf>
    <xf numFmtId="0" fontId="7" fillId="0" borderId="22" xfId="4" applyFont="1" applyFill="1" applyBorder="1" applyAlignment="1" applyProtection="1">
      <alignment horizontal="center" vertical="center"/>
      <protection hidden="1"/>
    </xf>
    <xf numFmtId="2" fontId="5" fillId="0" borderId="21" xfId="4" applyNumberFormat="1" applyFont="1" applyFill="1" applyBorder="1" applyAlignment="1" applyProtection="1">
      <alignment horizontal="center" vertical="center"/>
      <protection hidden="1"/>
    </xf>
    <xf numFmtId="0" fontId="7" fillId="0" borderId="0" xfId="4" applyFont="1" applyFill="1" applyAlignment="1" applyProtection="1">
      <alignment horizontal="center" vertical="center"/>
      <protection hidden="1"/>
    </xf>
    <xf numFmtId="2" fontId="7" fillId="0" borderId="0" xfId="4" applyNumberFormat="1" applyFont="1" applyFill="1" applyAlignment="1" applyProtection="1">
      <alignment horizontal="center" vertical="center"/>
      <protection hidden="1"/>
    </xf>
    <xf numFmtId="165" fontId="7" fillId="4" borderId="0" xfId="5" applyFont="1" applyFill="1" applyBorder="1" applyAlignment="1">
      <alignment vertical="center"/>
    </xf>
    <xf numFmtId="0" fontId="24" fillId="0" borderId="30" xfId="0" applyFont="1" applyFill="1" applyBorder="1" applyAlignment="1">
      <alignment horizontal="left" vertical="top"/>
    </xf>
    <xf numFmtId="43" fontId="2" fillId="0" borderId="0" xfId="0" applyNumberFormat="1" applyFont="1" applyAlignment="1">
      <alignment wrapText="1"/>
    </xf>
    <xf numFmtId="167" fontId="2" fillId="0" borderId="0" xfId="0" applyNumberFormat="1" applyFont="1" applyAlignment="1">
      <alignment wrapText="1"/>
    </xf>
    <xf numFmtId="44" fontId="3" fillId="0" borderId="1" xfId="0" applyNumberFormat="1" applyFont="1" applyFill="1" applyBorder="1" applyAlignment="1">
      <alignment vertical="center"/>
    </xf>
    <xf numFmtId="1" fontId="5" fillId="6" borderId="1" xfId="1" applyNumberFormat="1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73" fontId="5" fillId="3" borderId="1" xfId="2" applyNumberFormat="1" applyFont="1" applyFill="1" applyBorder="1" applyAlignment="1">
      <alignment horizontal="center" vertical="center" wrapText="1"/>
    </xf>
    <xf numFmtId="10" fontId="5" fillId="3" borderId="1" xfId="3" applyNumberFormat="1" applyFont="1" applyFill="1" applyBorder="1" applyAlignment="1">
      <alignment horizontal="center" vertical="center" wrapText="1"/>
    </xf>
    <xf numFmtId="44" fontId="9" fillId="3" borderId="18" xfId="2" applyFont="1" applyFill="1" applyBorder="1" applyAlignment="1">
      <alignment horizontal="center" vertical="center"/>
    </xf>
    <xf numFmtId="44" fontId="0" fillId="0" borderId="0" xfId="0" applyNumberFormat="1"/>
    <xf numFmtId="0" fontId="10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/>
    </xf>
    <xf numFmtId="0" fontId="10" fillId="3" borderId="18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left" vertical="center"/>
    </xf>
    <xf numFmtId="0" fontId="20" fillId="3" borderId="1" xfId="0" quotePrefix="1" applyFont="1" applyFill="1" applyBorder="1" applyAlignment="1">
      <alignment horizontal="justify" vertical="center"/>
    </xf>
    <xf numFmtId="0" fontId="20" fillId="3" borderId="1" xfId="0" applyFont="1" applyFill="1" applyBorder="1" applyAlignment="1">
      <alignment horizontal="justify" vertical="center"/>
    </xf>
    <xf numFmtId="10" fontId="4" fillId="0" borderId="1" xfId="3" applyNumberFormat="1" applyFont="1" applyFill="1" applyBorder="1" applyAlignment="1">
      <alignment vertical="center"/>
    </xf>
    <xf numFmtId="10" fontId="7" fillId="0" borderId="1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0" fontId="0" fillId="0" borderId="0" xfId="0" applyNumberFormat="1"/>
    <xf numFmtId="43" fontId="2" fillId="0" borderId="0" xfId="0" applyNumberFormat="1" applyFont="1"/>
    <xf numFmtId="173" fontId="2" fillId="0" borderId="0" xfId="0" applyNumberFormat="1" applyFont="1"/>
    <xf numFmtId="0" fontId="4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/>
    </xf>
    <xf numFmtId="44" fontId="4" fillId="0" borderId="11" xfId="2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44" fontId="20" fillId="0" borderId="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0" fontId="20" fillId="0" borderId="4" xfId="3" applyNumberFormat="1" applyFont="1" applyFill="1" applyBorder="1" applyAlignment="1">
      <alignment horizontal="center" vertical="center"/>
    </xf>
    <xf numFmtId="10" fontId="20" fillId="0" borderId="18" xfId="3" applyNumberFormat="1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0" fontId="19" fillId="5" borderId="10" xfId="0" applyFont="1" applyFill="1" applyBorder="1" applyAlignment="1">
      <alignment horizontal="left" vertical="center"/>
    </xf>
    <xf numFmtId="0" fontId="19" fillId="5" borderId="12" xfId="0" applyFont="1" applyFill="1" applyBorder="1" applyAlignment="1">
      <alignment horizontal="left" vertical="center"/>
    </xf>
    <xf numFmtId="0" fontId="19" fillId="5" borderId="11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44" fontId="20" fillId="3" borderId="1" xfId="0" applyNumberFormat="1" applyFont="1" applyFill="1" applyBorder="1" applyAlignment="1">
      <alignment horizontal="center" vertical="center"/>
    </xf>
    <xf numFmtId="10" fontId="20" fillId="0" borderId="3" xfId="3" applyNumberFormat="1" applyFont="1" applyFill="1" applyBorder="1" applyAlignment="1">
      <alignment horizontal="center" vertical="center"/>
    </xf>
    <xf numFmtId="10" fontId="20" fillId="0" borderId="6" xfId="3" applyNumberFormat="1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right" vertical="center"/>
    </xf>
    <xf numFmtId="0" fontId="19" fillId="5" borderId="11" xfId="0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/>
    </xf>
    <xf numFmtId="44" fontId="20" fillId="3" borderId="4" xfId="0" applyNumberFormat="1" applyFont="1" applyFill="1" applyBorder="1" applyAlignment="1">
      <alignment horizontal="center" vertical="center"/>
    </xf>
    <xf numFmtId="44" fontId="20" fillId="4" borderId="7" xfId="0" applyNumberFormat="1" applyFont="1" applyFill="1" applyBorder="1" applyAlignment="1">
      <alignment horizontal="center" vertical="center"/>
    </xf>
    <xf numFmtId="10" fontId="20" fillId="3" borderId="4" xfId="3" applyNumberFormat="1" applyFont="1" applyFill="1" applyBorder="1" applyAlignment="1">
      <alignment horizontal="center" vertical="center"/>
    </xf>
    <xf numFmtId="10" fontId="20" fillId="4" borderId="7" xfId="3" applyNumberFormat="1" applyFont="1" applyFill="1" applyBorder="1" applyAlignment="1">
      <alignment horizontal="center" vertical="center"/>
    </xf>
    <xf numFmtId="44" fontId="20" fillId="3" borderId="7" xfId="0" applyNumberFormat="1" applyFont="1" applyFill="1" applyBorder="1" applyAlignment="1">
      <alignment horizontal="center" vertical="center"/>
    </xf>
    <xf numFmtId="10" fontId="20" fillId="3" borderId="7" xfId="3" applyNumberFormat="1" applyFont="1" applyFill="1" applyBorder="1" applyAlignment="1">
      <alignment horizontal="center" vertical="center"/>
    </xf>
    <xf numFmtId="167" fontId="8" fillId="0" borderId="10" xfId="1" applyNumberFormat="1" applyFont="1" applyFill="1" applyBorder="1" applyAlignment="1">
      <alignment horizontal="center" vertical="center" wrapText="1"/>
    </xf>
    <xf numFmtId="167" fontId="8" fillId="0" borderId="11" xfId="1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 wrapText="1"/>
    </xf>
    <xf numFmtId="166" fontId="6" fillId="2" borderId="1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3" fontId="5" fillId="6" borderId="4" xfId="1" applyFont="1" applyFill="1" applyBorder="1" applyAlignment="1">
      <alignment horizontal="center" vertical="center"/>
    </xf>
    <xf numFmtId="43" fontId="5" fillId="6" borderId="7" xfId="1" applyFont="1" applyFill="1" applyBorder="1" applyAlignment="1">
      <alignment horizontal="center" vertical="center"/>
    </xf>
    <xf numFmtId="43" fontId="5" fillId="6" borderId="2" xfId="1" applyFont="1" applyFill="1" applyBorder="1" applyAlignment="1">
      <alignment horizontal="center" vertical="center"/>
    </xf>
    <xf numFmtId="43" fontId="5" fillId="6" borderId="3" xfId="1" applyFont="1" applyFill="1" applyBorder="1" applyAlignment="1">
      <alignment horizontal="center" vertical="center"/>
    </xf>
    <xf numFmtId="43" fontId="5" fillId="6" borderId="5" xfId="1" applyFont="1" applyFill="1" applyBorder="1" applyAlignment="1">
      <alignment horizontal="center" vertical="center"/>
    </xf>
    <xf numFmtId="43" fontId="5" fillId="6" borderId="6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10" fontId="8" fillId="0" borderId="4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167" fontId="8" fillId="0" borderId="4" xfId="1" applyNumberFormat="1" applyFont="1" applyFill="1" applyBorder="1" applyAlignment="1">
      <alignment horizontal="center" vertical="center" wrapText="1"/>
    </xf>
    <xf numFmtId="167" fontId="8" fillId="0" borderId="7" xfId="1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0" fontId="6" fillId="0" borderId="1" xfId="3" applyNumberFormat="1" applyFont="1" applyBorder="1" applyAlignment="1">
      <alignment horizontal="center" vertical="center" wrapText="1"/>
    </xf>
    <xf numFmtId="173" fontId="6" fillId="3" borderId="1" xfId="2" applyNumberFormat="1" applyFont="1" applyFill="1" applyBorder="1" applyAlignment="1">
      <alignment horizontal="center" vertical="center" wrapText="1"/>
    </xf>
    <xf numFmtId="10" fontId="6" fillId="3" borderId="1" xfId="3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right" vertical="top" wrapText="1"/>
    </xf>
    <xf numFmtId="0" fontId="25" fillId="0" borderId="32" xfId="0" applyFont="1" applyFill="1" applyBorder="1" applyAlignment="1">
      <alignment horizontal="center" wrapText="1"/>
    </xf>
    <xf numFmtId="0" fontId="5" fillId="0" borderId="24" xfId="4" applyFont="1" applyBorder="1" applyAlignment="1" applyProtection="1">
      <alignment horizontal="left" vertical="center"/>
      <protection hidden="1"/>
    </xf>
    <xf numFmtId="0" fontId="5" fillId="0" borderId="25" xfId="4" applyFont="1" applyBorder="1" applyAlignment="1" applyProtection="1">
      <alignment horizontal="left" vertical="center"/>
      <protection hidden="1"/>
    </xf>
    <xf numFmtId="0" fontId="5" fillId="0" borderId="27" xfId="4" applyFont="1" applyBorder="1" applyAlignment="1" applyProtection="1">
      <alignment horizontal="right" vertical="center"/>
      <protection hidden="1"/>
    </xf>
    <xf numFmtId="0" fontId="5" fillId="0" borderId="28" xfId="4" applyFont="1" applyBorder="1" applyAlignment="1" applyProtection="1">
      <alignment horizontal="right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hidden="1"/>
    </xf>
    <xf numFmtId="171" fontId="7" fillId="0" borderId="12" xfId="4" applyNumberFormat="1" applyFont="1" applyBorder="1" applyAlignment="1" applyProtection="1">
      <alignment horizontal="center" vertical="center"/>
      <protection hidden="1"/>
    </xf>
    <xf numFmtId="171" fontId="7" fillId="0" borderId="11" xfId="4" applyNumberFormat="1" applyFont="1" applyBorder="1" applyAlignment="1" applyProtection="1">
      <alignment horizontal="center" vertical="center"/>
      <protection hidden="1"/>
    </xf>
    <xf numFmtId="0" fontId="5" fillId="0" borderId="25" xfId="4" applyFont="1" applyBorder="1" applyAlignment="1" applyProtection="1">
      <alignment horizontal="center" vertical="center"/>
      <protection hidden="1"/>
    </xf>
    <xf numFmtId="0" fontId="7" fillId="0" borderId="17" xfId="4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horizontal="center" vertical="center"/>
      <protection hidden="1"/>
    </xf>
    <xf numFmtId="2" fontId="7" fillId="0" borderId="0" xfId="4" applyNumberFormat="1" applyFont="1" applyAlignment="1" applyProtection="1">
      <alignment horizontal="center" vertical="center"/>
      <protection hidden="1"/>
    </xf>
    <xf numFmtId="0" fontId="5" fillId="0" borderId="8" xfId="4" applyFont="1" applyBorder="1" applyAlignment="1" applyProtection="1">
      <alignment horizontal="left" vertical="center"/>
      <protection hidden="1"/>
    </xf>
    <xf numFmtId="0" fontId="5" fillId="0" borderId="0" xfId="4" applyFont="1" applyAlignment="1" applyProtection="1">
      <alignment horizontal="left" vertical="center"/>
      <protection hidden="1"/>
    </xf>
    <xf numFmtId="0" fontId="5" fillId="0" borderId="21" xfId="4" applyFont="1" applyFill="1" applyBorder="1" applyAlignment="1" applyProtection="1">
      <alignment horizontal="left" vertical="center"/>
      <protection hidden="1"/>
    </xf>
    <xf numFmtId="0" fontId="5" fillId="0" borderId="22" xfId="4" applyFont="1" applyBorder="1" applyAlignment="1" applyProtection="1">
      <alignment horizontal="left" vertical="center"/>
      <protection hidden="1"/>
    </xf>
    <xf numFmtId="0" fontId="5" fillId="4" borderId="25" xfId="4" applyFont="1" applyFill="1" applyBorder="1" applyAlignment="1" applyProtection="1">
      <alignment horizontal="left" vertical="center"/>
      <protection hidden="1"/>
    </xf>
    <xf numFmtId="0" fontId="5" fillId="0" borderId="22" xfId="4" applyFont="1" applyFill="1" applyBorder="1" applyAlignment="1" applyProtection="1">
      <alignment horizontal="center" vertical="center"/>
      <protection hidden="1"/>
    </xf>
    <xf numFmtId="165" fontId="15" fillId="0" borderId="16" xfId="4" applyNumberFormat="1" applyFont="1" applyBorder="1" applyAlignment="1">
      <alignment horizontal="center" wrapText="1"/>
    </xf>
    <xf numFmtId="17" fontId="5" fillId="7" borderId="0" xfId="4" applyNumberFormat="1" applyFont="1" applyFill="1" applyBorder="1" applyAlignment="1">
      <alignment horizontal="left" vertical="center"/>
    </xf>
    <xf numFmtId="0" fontId="5" fillId="7" borderId="0" xfId="4" applyFont="1" applyFill="1" applyBorder="1" applyAlignment="1">
      <alignment horizontal="left" vertical="center"/>
    </xf>
    <xf numFmtId="0" fontId="5" fillId="7" borderId="16" xfId="4" applyFont="1" applyFill="1" applyBorder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 wrapText="1"/>
    </xf>
    <xf numFmtId="49" fontId="7" fillId="0" borderId="11" xfId="4" applyNumberFormat="1" applyFont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2" fontId="23" fillId="9" borderId="30" xfId="0" applyNumberFormat="1" applyFont="1" applyFill="1" applyBorder="1" applyAlignment="1">
      <alignment horizontal="right" vertical="top" wrapText="1"/>
    </xf>
    <xf numFmtId="4" fontId="23" fillId="9" borderId="30" xfId="0" applyNumberFormat="1" applyFont="1" applyFill="1" applyBorder="1" applyAlignment="1">
      <alignment horizontal="right" vertical="top" wrapText="1"/>
    </xf>
    <xf numFmtId="172" fontId="24" fillId="10" borderId="30" xfId="0" applyNumberFormat="1" applyFont="1" applyFill="1" applyBorder="1" applyAlignment="1">
      <alignment horizontal="right" vertical="top" wrapText="1"/>
    </xf>
    <xf numFmtId="4" fontId="24" fillId="10" borderId="30" xfId="0" applyNumberFormat="1" applyFont="1" applyFill="1" applyBorder="1" applyAlignment="1">
      <alignment horizontal="right" vertical="top" wrapText="1"/>
    </xf>
    <xf numFmtId="172" fontId="24" fillId="11" borderId="30" xfId="0" applyNumberFormat="1" applyFont="1" applyFill="1" applyBorder="1" applyAlignment="1">
      <alignment horizontal="right" vertical="top" wrapText="1"/>
    </xf>
    <xf numFmtId="4" fontId="24" fillId="11" borderId="30" xfId="0" applyNumberFormat="1" applyFont="1" applyFill="1" applyBorder="1" applyAlignment="1">
      <alignment horizontal="right" vertical="top" wrapText="1"/>
    </xf>
    <xf numFmtId="0" fontId="24" fillId="12" borderId="0" xfId="0" applyFont="1" applyFill="1" applyAlignment="1">
      <alignment horizontal="right" vertical="top" wrapText="1"/>
    </xf>
    <xf numFmtId="4" fontId="24" fillId="12" borderId="0" xfId="0" applyNumberFormat="1" applyFont="1" applyFill="1" applyAlignment="1">
      <alignment horizontal="right" vertical="top" wrapText="1"/>
    </xf>
    <xf numFmtId="0" fontId="24" fillId="12" borderId="0" xfId="0" applyFont="1" applyFill="1" applyAlignment="1">
      <alignment horizontal="right" vertical="top" wrapText="1"/>
    </xf>
    <xf numFmtId="0" fontId="24" fillId="0" borderId="33" xfId="0" applyFont="1" applyFill="1" applyBorder="1" applyAlignment="1">
      <alignment horizontal="right" vertical="top" wrapText="1"/>
    </xf>
    <xf numFmtId="0" fontId="24" fillId="10" borderId="30" xfId="0" applyFont="1" applyFill="1" applyBorder="1" applyAlignment="1">
      <alignment horizontal="right" vertical="top" wrapText="1"/>
    </xf>
    <xf numFmtId="0" fontId="24" fillId="10" borderId="30" xfId="0" applyFont="1" applyFill="1" applyBorder="1" applyAlignment="1">
      <alignment horizontal="left" vertical="top" wrapText="1"/>
    </xf>
    <xf numFmtId="0" fontId="23" fillId="9" borderId="30" xfId="0" applyFont="1" applyFill="1" applyBorder="1" applyAlignment="1">
      <alignment horizontal="center" vertical="top" wrapText="1"/>
    </xf>
    <xf numFmtId="0" fontId="24" fillId="10" borderId="30" xfId="0" applyFont="1" applyFill="1" applyBorder="1" applyAlignment="1">
      <alignment horizontal="center" vertical="top" wrapText="1"/>
    </xf>
    <xf numFmtId="0" fontId="24" fillId="11" borderId="30" xfId="0" applyFont="1" applyFill="1" applyBorder="1" applyAlignment="1">
      <alignment horizontal="center" vertical="top" wrapText="1"/>
    </xf>
    <xf numFmtId="0" fontId="25" fillId="12" borderId="0" xfId="0" applyFont="1" applyFill="1" applyAlignment="1">
      <alignment horizontal="right" vertical="top" wrapText="1"/>
    </xf>
    <xf numFmtId="4" fontId="25" fillId="12" borderId="0" xfId="0" applyNumberFormat="1" applyFont="1" applyFill="1" applyAlignment="1">
      <alignment horizontal="right" vertical="top" wrapText="1"/>
    </xf>
    <xf numFmtId="0" fontId="25" fillId="12" borderId="0" xfId="0" applyFont="1" applyFill="1" applyAlignment="1">
      <alignment horizontal="left" vertical="top" wrapText="1"/>
    </xf>
    <xf numFmtId="0" fontId="25" fillId="12" borderId="0" xfId="0" applyFont="1" applyFill="1" applyAlignment="1">
      <alignment horizontal="right" vertical="top" wrapText="1"/>
    </xf>
    <xf numFmtId="0" fontId="24" fillId="12" borderId="0" xfId="0" applyFont="1" applyFill="1" applyAlignment="1">
      <alignment horizontal="left" vertical="top" wrapText="1"/>
    </xf>
    <xf numFmtId="0" fontId="24" fillId="12" borderId="0" xfId="0" applyFont="1" applyFill="1" applyAlignment="1">
      <alignment horizontal="center" vertical="top" wrapText="1"/>
    </xf>
    <xf numFmtId="0" fontId="23" fillId="9" borderId="31" xfId="0" applyFont="1" applyFill="1" applyBorder="1" applyAlignment="1">
      <alignment horizontal="left" vertical="top" wrapText="1"/>
    </xf>
    <xf numFmtId="0" fontId="24" fillId="11" borderId="30" xfId="0" applyFont="1" applyFill="1" applyBorder="1" applyAlignment="1">
      <alignment horizontal="left" vertical="top" wrapText="1"/>
    </xf>
    <xf numFmtId="0" fontId="24" fillId="11" borderId="30" xfId="0" applyFont="1" applyFill="1" applyBorder="1" applyAlignment="1">
      <alignment horizontal="right" vertical="top" wrapText="1"/>
    </xf>
    <xf numFmtId="0" fontId="23" fillId="9" borderId="30" xfId="0" applyFont="1" applyFill="1" applyBorder="1" applyAlignment="1">
      <alignment horizontal="left" vertical="top" wrapText="1"/>
    </xf>
    <xf numFmtId="0" fontId="23" fillId="9" borderId="30" xfId="0" applyFont="1" applyFill="1" applyBorder="1" applyAlignment="1">
      <alignment horizontal="right" vertical="top" wrapText="1"/>
    </xf>
    <xf numFmtId="0" fontId="22" fillId="12" borderId="30" xfId="0" applyFont="1" applyFill="1" applyBorder="1" applyAlignment="1">
      <alignment horizontal="right" vertical="top" wrapText="1"/>
    </xf>
    <xf numFmtId="0" fontId="22" fillId="12" borderId="30" xfId="0" applyFont="1" applyFill="1" applyBorder="1" applyAlignment="1">
      <alignment horizontal="center" vertical="top" wrapText="1"/>
    </xf>
    <xf numFmtId="0" fontId="22" fillId="12" borderId="30" xfId="0" applyFont="1" applyFill="1" applyBorder="1" applyAlignment="1">
      <alignment horizontal="left" vertical="top" wrapText="1"/>
    </xf>
    <xf numFmtId="0" fontId="0" fillId="0" borderId="0" xfId="0"/>
    <xf numFmtId="0" fontId="22" fillId="12" borderId="0" xfId="0" applyFont="1" applyFill="1" applyAlignment="1">
      <alignment horizontal="center" wrapText="1"/>
    </xf>
  </cellXfs>
  <cellStyles count="8">
    <cellStyle name="Moeda" xfId="2" builtinId="4"/>
    <cellStyle name="Normal" xfId="0" builtinId="0"/>
    <cellStyle name="Normal 2" xfId="4" xr:uid="{769DAC47-2725-425C-8DC8-F5DEF5CF894E}"/>
    <cellStyle name="Normal 4" xfId="6" xr:uid="{6C123349-2EA0-41A2-B374-F4DC87343F57}"/>
    <cellStyle name="Porcentagem" xfId="3" builtinId="5"/>
    <cellStyle name="Separador de milhares 2" xfId="7" xr:uid="{B7C079AB-6C2C-428F-A7F4-2194D432DF4F}"/>
    <cellStyle name="Vírgula" xfId="1" builtinId="3"/>
    <cellStyle name="Vírgula 2 2" xfId="5" xr:uid="{B60CE878-2AF5-4519-ADFD-5ED57BE575B3}"/>
  </cellStyles>
  <dxfs count="6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28575</xdr:rowOff>
    </xdr:from>
    <xdr:to>
      <xdr:col>6</xdr:col>
      <xdr:colOff>110977</xdr:colOff>
      <xdr:row>45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ECD41BD-535A-4878-AC1D-84C829C7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" y="8121015"/>
          <a:ext cx="6365092" cy="836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28575</xdr:rowOff>
    </xdr:from>
    <xdr:to>
      <xdr:col>6</xdr:col>
      <xdr:colOff>110977</xdr:colOff>
      <xdr:row>45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76042A-78D4-4536-8436-68E64454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" y="9667875"/>
          <a:ext cx="7462372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ah\Desktop\SADA\PARALELEP&#205;PEDO%20-%20TERESINA%20-%203.853,00%20m&#178;\8.%20OR&#199;AMENTO\OR&#199;AMENTO%20(Recuperado%20Automaticamente).xlsx" TargetMode="External"/><Relationship Id="rId1" Type="http://schemas.openxmlformats.org/officeDocument/2006/relationships/externalLinkPath" Target="OR&#199;AMENTO%20(Recuperado%20Automaticament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RAL "/>
      <sheetName val="RESUMO SD "/>
      <sheetName val="ORÇAMENTO SD"/>
      <sheetName val="COMPOSIÇÕES UNITÁRIAS SD (2)"/>
      <sheetName val="BDI SD"/>
      <sheetName val="QCI "/>
      <sheetName val="RESUMO CD  "/>
      <sheetName val="MC"/>
      <sheetName val="ORÇAMENTO CD (2)"/>
      <sheetName val="COMPOSIÇÕES UNITÁRIAS CD "/>
      <sheetName val="CRONOGRAMA SD"/>
      <sheetName val="BDI CD"/>
      <sheetName val="EN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6">
          <cell r="D16" t="str">
            <v>m²</v>
          </cell>
        </row>
        <row r="19">
          <cell r="D19" t="str">
            <v>m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D456-DA73-40B7-A24F-1D3EAF0548F3}">
  <dimension ref="A1:J21"/>
  <sheetViews>
    <sheetView view="pageBreakPreview" topLeftCell="A3" zoomScale="120" zoomScaleNormal="100" zoomScaleSheetLayoutView="120" workbookViewId="0">
      <selection activeCell="G20" sqref="G20"/>
    </sheetView>
  </sheetViews>
  <sheetFormatPr defaultRowHeight="14.4" x14ac:dyDescent="0.3"/>
  <cols>
    <col min="1" max="1" width="13.44140625" customWidth="1"/>
    <col min="2" max="3" width="18.77734375" customWidth="1"/>
    <col min="4" max="9" width="13.77734375" customWidth="1"/>
  </cols>
  <sheetData>
    <row r="1" spans="1:10" ht="15" customHeight="1" x14ac:dyDescent="0.3">
      <c r="A1" s="1" t="s">
        <v>0</v>
      </c>
      <c r="B1" s="263" t="s">
        <v>1</v>
      </c>
      <c r="C1" s="263"/>
      <c r="D1" s="264" t="s">
        <v>2</v>
      </c>
      <c r="E1" s="265"/>
      <c r="F1" s="268" t="s">
        <v>354</v>
      </c>
      <c r="G1" s="264" t="s">
        <v>3</v>
      </c>
      <c r="H1" s="265"/>
      <c r="I1" s="268" t="s">
        <v>354</v>
      </c>
    </row>
    <row r="2" spans="1:10" ht="15" customHeight="1" x14ac:dyDescent="0.3">
      <c r="A2" s="1" t="s">
        <v>4</v>
      </c>
      <c r="B2" s="263" t="s">
        <v>353</v>
      </c>
      <c r="C2" s="263"/>
      <c r="D2" s="266"/>
      <c r="E2" s="267"/>
      <c r="F2" s="269"/>
      <c r="G2" s="266"/>
      <c r="H2" s="267"/>
      <c r="I2" s="269"/>
    </row>
    <row r="3" spans="1:10" ht="15" customHeight="1" x14ac:dyDescent="0.3">
      <c r="A3" s="1" t="s">
        <v>5</v>
      </c>
      <c r="B3" s="272" t="s">
        <v>6</v>
      </c>
      <c r="C3" s="272"/>
      <c r="D3" s="273" t="s">
        <v>7</v>
      </c>
      <c r="E3" s="273"/>
      <c r="F3" s="106">
        <f>BDI!G68</f>
        <v>0.21959999999999999</v>
      </c>
      <c r="G3" s="278" t="s">
        <v>7</v>
      </c>
      <c r="H3" s="278"/>
      <c r="I3" s="106" cm="1">
        <f t="array" ref="I3:J3">'BDI (2)'!G68:H68</f>
        <v>0.28139999999999998</v>
      </c>
      <c r="J3">
        <v>0</v>
      </c>
    </row>
    <row r="4" spans="1:10" ht="15" customHeight="1" x14ac:dyDescent="0.3">
      <c r="A4" s="1" t="s">
        <v>8</v>
      </c>
      <c r="B4" s="274" t="s">
        <v>9</v>
      </c>
      <c r="C4" s="274"/>
      <c r="D4" s="273" t="s">
        <v>10</v>
      </c>
      <c r="E4" s="273"/>
      <c r="F4" s="106">
        <f>LS!E41</f>
        <v>1.1333</v>
      </c>
      <c r="G4" s="278" t="s">
        <v>10</v>
      </c>
      <c r="H4" s="278"/>
      <c r="I4" s="106">
        <f>LS!C41</f>
        <v>0.90659999999999985</v>
      </c>
    </row>
    <row r="5" spans="1:10" ht="15" customHeight="1" x14ac:dyDescent="0.3">
      <c r="A5" s="2"/>
      <c r="B5" s="3" t="s">
        <v>11</v>
      </c>
      <c r="C5" s="3" t="s">
        <v>12</v>
      </c>
      <c r="D5" s="4"/>
      <c r="E5" s="4"/>
      <c r="F5" s="4"/>
      <c r="G5" s="4"/>
      <c r="H5" s="5"/>
    </row>
    <row r="6" spans="1:10" ht="15" customHeight="1" x14ac:dyDescent="0.3">
      <c r="A6" s="6" t="s">
        <v>13</v>
      </c>
      <c r="B6" s="242">
        <f>RES!F14</f>
        <v>1076047.3999999999</v>
      </c>
      <c r="C6" s="242">
        <f>'RES DES'!F14</f>
        <v>1095990.8599999999</v>
      </c>
      <c r="D6" s="4"/>
      <c r="E6" s="4"/>
      <c r="F6" s="4"/>
      <c r="G6" s="7"/>
    </row>
    <row r="7" spans="1:10" ht="15" customHeight="1" x14ac:dyDescent="0.3">
      <c r="A7" s="6" t="s">
        <v>14</v>
      </c>
      <c r="B7" s="242">
        <f>B6/C14</f>
        <v>154.05116678596991</v>
      </c>
      <c r="C7" s="242">
        <f>C6/C14</f>
        <v>156.90635075161057</v>
      </c>
      <c r="D7" s="4"/>
      <c r="E7" s="4"/>
      <c r="F7" s="4"/>
      <c r="G7" s="7"/>
    </row>
    <row r="8" spans="1:10" ht="15" customHeight="1" x14ac:dyDescent="0.3">
      <c r="A8" s="8"/>
      <c r="B8" s="15"/>
      <c r="C8" s="7"/>
      <c r="D8" s="4"/>
      <c r="E8" s="4"/>
      <c r="F8" s="4"/>
      <c r="G8" s="4"/>
      <c r="H8" s="7"/>
    </row>
    <row r="9" spans="1:10" ht="15" customHeight="1" x14ac:dyDescent="0.3">
      <c r="A9" s="281" t="s">
        <v>15</v>
      </c>
      <c r="B9" s="276"/>
      <c r="C9" s="275" t="s">
        <v>16</v>
      </c>
      <c r="D9" s="276"/>
      <c r="E9" s="277"/>
      <c r="F9" s="277"/>
      <c r="G9" s="4"/>
      <c r="H9" s="4"/>
    </row>
    <row r="10" spans="1:10" ht="15" customHeight="1" x14ac:dyDescent="0.3">
      <c r="A10" s="279" t="s">
        <v>356</v>
      </c>
      <c r="B10" s="280"/>
      <c r="C10" s="18">
        <f>MC!C25</f>
        <v>3185</v>
      </c>
      <c r="D10" s="9" t="s">
        <v>17</v>
      </c>
      <c r="E10" s="10"/>
      <c r="F10" s="10"/>
      <c r="G10" s="4"/>
      <c r="H10" s="7"/>
    </row>
    <row r="11" spans="1:10" ht="15" customHeight="1" x14ac:dyDescent="0.3">
      <c r="A11" s="279" t="s">
        <v>357</v>
      </c>
      <c r="B11" s="280"/>
      <c r="C11" s="18">
        <f>MC!C80</f>
        <v>1850</v>
      </c>
      <c r="D11" s="9" t="s">
        <v>17</v>
      </c>
      <c r="E11" s="10"/>
      <c r="F11" s="10"/>
      <c r="G11" s="4"/>
      <c r="H11" s="7"/>
    </row>
    <row r="12" spans="1:10" ht="23.4" customHeight="1" x14ac:dyDescent="0.3">
      <c r="A12" s="279" t="s">
        <v>358</v>
      </c>
      <c r="B12" s="280"/>
      <c r="C12" s="18">
        <f>MC!C135</f>
        <v>1950</v>
      </c>
      <c r="D12" s="9" t="s">
        <v>17</v>
      </c>
      <c r="E12" s="10"/>
      <c r="F12" s="10"/>
      <c r="G12" s="4"/>
      <c r="H12" s="7"/>
    </row>
    <row r="13" spans="1:10" ht="15" customHeight="1" x14ac:dyDescent="0.3">
      <c r="A13" s="4"/>
      <c r="B13" s="4"/>
      <c r="C13" s="11"/>
      <c r="D13" s="4"/>
      <c r="E13" s="4"/>
      <c r="F13" s="4"/>
      <c r="G13" s="7"/>
      <c r="H13" s="7"/>
    </row>
    <row r="14" spans="1:10" ht="15" customHeight="1" x14ac:dyDescent="0.3">
      <c r="A14" s="275" t="s">
        <v>18</v>
      </c>
      <c r="B14" s="276"/>
      <c r="C14" s="16">
        <f>SUM(C10:C12)</f>
        <v>6985</v>
      </c>
      <c r="D14" s="17" t="str">
        <f>D10</f>
        <v>m²</v>
      </c>
      <c r="E14" s="12"/>
      <c r="F14" s="11"/>
      <c r="G14" s="4"/>
      <c r="H14" s="4"/>
    </row>
    <row r="15" spans="1:10" ht="15" customHeight="1" x14ac:dyDescent="0.3">
      <c r="A15" s="4"/>
      <c r="B15" s="4"/>
      <c r="C15" s="4"/>
      <c r="D15" s="4"/>
      <c r="E15" s="4"/>
      <c r="F15" s="4"/>
      <c r="G15" s="4"/>
      <c r="H15" s="4"/>
    </row>
    <row r="16" spans="1:10" ht="15" customHeight="1" x14ac:dyDescent="0.3">
      <c r="A16" s="282"/>
      <c r="B16" s="282"/>
      <c r="C16" s="282"/>
      <c r="D16" s="282"/>
      <c r="E16" s="282"/>
      <c r="F16" s="282"/>
      <c r="G16" s="282"/>
      <c r="H16" s="4"/>
    </row>
    <row r="17" spans="1:9" ht="15" customHeight="1" x14ac:dyDescent="0.3">
      <c r="A17" s="283" t="s">
        <v>19</v>
      </c>
      <c r="B17" s="283"/>
      <c r="C17" s="283"/>
      <c r="D17" s="283"/>
      <c r="E17" s="283"/>
      <c r="F17" s="283"/>
      <c r="G17" s="283"/>
      <c r="H17" s="6" t="s">
        <v>20</v>
      </c>
    </row>
    <row r="18" spans="1:9" ht="15" customHeight="1" x14ac:dyDescent="0.3">
      <c r="A18" s="284" t="s">
        <v>21</v>
      </c>
      <c r="B18" s="285"/>
      <c r="C18" s="286"/>
      <c r="D18" s="13" t="s">
        <v>22</v>
      </c>
      <c r="E18" s="287" t="s">
        <v>13</v>
      </c>
      <c r="F18" s="285"/>
      <c r="G18" s="13" t="s">
        <v>23</v>
      </c>
      <c r="H18" s="14">
        <v>0.5</v>
      </c>
    </row>
    <row r="19" spans="1:9" ht="30" customHeight="1" x14ac:dyDescent="0.3">
      <c r="A19" s="288" t="s">
        <v>24</v>
      </c>
      <c r="B19" s="289"/>
      <c r="C19" s="272"/>
      <c r="D19" s="18">
        <f>ORÇ!M13</f>
        <v>6985</v>
      </c>
      <c r="E19" s="270">
        <f>QCI!C13</f>
        <v>709606.15</v>
      </c>
      <c r="F19" s="271"/>
      <c r="G19" s="257">
        <f>QCI!D13</f>
        <v>0.65945621912194563</v>
      </c>
      <c r="H19" s="18">
        <f>D19/2</f>
        <v>3492.5</v>
      </c>
      <c r="I19" s="10" t="str">
        <f>'[1]ORÇAMENTO CD (2)'!D16</f>
        <v>m²</v>
      </c>
    </row>
    <row r="20" spans="1:9" ht="30" customHeight="1" x14ac:dyDescent="0.3">
      <c r="A20" s="272" t="s">
        <v>25</v>
      </c>
      <c r="B20" s="272"/>
      <c r="C20" s="272"/>
      <c r="D20" s="18">
        <f>ORÇ!E19+ORÇ!E38+ORÇ!E57</f>
        <v>2287</v>
      </c>
      <c r="E20" s="270">
        <f>ORÇ!H19+ORÇ!H38+ORÇ!H57</f>
        <v>126333.88</v>
      </c>
      <c r="F20" s="271"/>
      <c r="G20" s="257">
        <f>E20/QCI!C23</f>
        <v>0.11740549719278165</v>
      </c>
      <c r="H20" s="18">
        <f>D20/2</f>
        <v>1143.5</v>
      </c>
      <c r="I20" s="10" t="str">
        <f>'[1]ORÇAMENTO CD (2)'!D19</f>
        <v>m</v>
      </c>
    </row>
    <row r="21" spans="1:9" x14ac:dyDescent="0.3">
      <c r="A21" s="4"/>
      <c r="B21" s="4"/>
      <c r="C21" s="4"/>
      <c r="D21" s="4"/>
      <c r="E21" s="4"/>
      <c r="F21" s="4"/>
      <c r="G21" s="4"/>
      <c r="H21" s="4"/>
    </row>
  </sheetData>
  <mergeCells count="27">
    <mergeCell ref="G3:H3"/>
    <mergeCell ref="G4:H4"/>
    <mergeCell ref="A12:B12"/>
    <mergeCell ref="A20:C20"/>
    <mergeCell ref="E20:F20"/>
    <mergeCell ref="A9:B9"/>
    <mergeCell ref="A10:B10"/>
    <mergeCell ref="A11:B11"/>
    <mergeCell ref="A14:B14"/>
    <mergeCell ref="A16:G16"/>
    <mergeCell ref="A17:G17"/>
    <mergeCell ref="A18:C18"/>
    <mergeCell ref="E18:F18"/>
    <mergeCell ref="A19:C19"/>
    <mergeCell ref="E19:F19"/>
    <mergeCell ref="B3:C3"/>
    <mergeCell ref="D3:E3"/>
    <mergeCell ref="B4:C4"/>
    <mergeCell ref="D4:E4"/>
    <mergeCell ref="C9:D9"/>
    <mergeCell ref="E9:F9"/>
    <mergeCell ref="B1:C1"/>
    <mergeCell ref="D1:E2"/>
    <mergeCell ref="F1:F2"/>
    <mergeCell ref="I1:I2"/>
    <mergeCell ref="B2:C2"/>
    <mergeCell ref="G1:H2"/>
  </mergeCells>
  <phoneticPr fontId="18" type="noConversion"/>
  <printOptions horizontalCentered="1"/>
  <pageMargins left="0.70866141732283472" right="0.51181102362204722" top="1.7716535433070868" bottom="0.78740157480314965" header="0.31496062992125984" footer="0.31496062992125984"/>
  <pageSetup paperSize="9" scale="96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E0AA-9B0A-49C0-A420-2909316B11D5}">
  <sheetPr>
    <pageSetUpPr fitToPage="1"/>
  </sheetPr>
  <dimension ref="A1:F20"/>
  <sheetViews>
    <sheetView view="pageBreakPreview" zoomScale="120" zoomScaleNormal="100" zoomScaleSheetLayoutView="120" workbookViewId="0">
      <selection activeCell="E18" sqref="E18"/>
    </sheetView>
  </sheetViews>
  <sheetFormatPr defaultRowHeight="14.4" x14ac:dyDescent="0.3"/>
  <cols>
    <col min="1" max="1" width="10.77734375" customWidth="1"/>
    <col min="2" max="2" width="50.77734375" customWidth="1"/>
    <col min="3" max="4" width="10.77734375" customWidth="1"/>
    <col min="5" max="6" width="20.77734375" customWidth="1"/>
  </cols>
  <sheetData>
    <row r="1" spans="1:6" ht="25.05" customHeight="1" x14ac:dyDescent="0.3">
      <c r="A1" s="333" t="s">
        <v>26</v>
      </c>
      <c r="B1" s="333"/>
      <c r="C1" s="333"/>
      <c r="D1" s="333"/>
      <c r="E1" s="333"/>
      <c r="F1" s="334"/>
    </row>
    <row r="2" spans="1:6" ht="19.95" customHeight="1" x14ac:dyDescent="0.3">
      <c r="A2" s="335" t="str">
        <f>CONCATENATE("PAVIMENTAÇÃO DE VIAS PÚBLICAS NO MUNÍCIO DE ",GERAL!B2," - PI")</f>
        <v>PAVIMENTAÇÃO DE VIAS PÚBLICAS NO MUNÍCIO DE SÃO JOÃO DA FRONTEIRA - PI</v>
      </c>
      <c r="B2" s="336"/>
      <c r="C2" s="337" t="str">
        <f>CONCATENATE("FONTE: ", GERAL!F1)</f>
        <v>FONTE: SINAPI 02/2026</v>
      </c>
      <c r="D2" s="337"/>
      <c r="E2" s="20" t="str">
        <f>CONCATENATE("COM DESONERAÇÃO
 BDI: ",TEXT(GERAL!I3,"0,00%"))</f>
        <v>COM DESONERAÇÃO
 BDI: 28,14%</v>
      </c>
      <c r="F2" s="117" t="s">
        <v>343</v>
      </c>
    </row>
    <row r="3" spans="1:6" ht="19.95" customHeight="1" x14ac:dyDescent="0.3">
      <c r="A3" s="338" t="str">
        <f>CONCATENATE("LOCALIDADE: ", GERAL!B3)</f>
        <v>LOCALIDADE: DIVERSAS</v>
      </c>
      <c r="B3" s="339"/>
      <c r="C3" s="339"/>
      <c r="D3" s="339"/>
      <c r="E3" s="35" t="s">
        <v>28</v>
      </c>
      <c r="F3" s="93">
        <f>GERAL!C14</f>
        <v>6985</v>
      </c>
    </row>
    <row r="4" spans="1:6" ht="15" customHeight="1" x14ac:dyDescent="0.3">
      <c r="A4" s="340" t="s">
        <v>29</v>
      </c>
      <c r="B4" s="340" t="s">
        <v>30</v>
      </c>
      <c r="C4" s="340" t="s">
        <v>31</v>
      </c>
      <c r="D4" s="342" t="s">
        <v>32</v>
      </c>
      <c r="E4" s="344" t="s">
        <v>33</v>
      </c>
      <c r="F4" s="345"/>
    </row>
    <row r="5" spans="1:6" ht="15" customHeight="1" x14ac:dyDescent="0.3">
      <c r="A5" s="341"/>
      <c r="B5" s="341"/>
      <c r="C5" s="341"/>
      <c r="D5" s="343"/>
      <c r="E5" s="346"/>
      <c r="F5" s="347"/>
    </row>
    <row r="6" spans="1:6" ht="15" customHeight="1" x14ac:dyDescent="0.3">
      <c r="A6" s="23" t="s">
        <v>34</v>
      </c>
      <c r="B6" s="348" t="s">
        <v>35</v>
      </c>
      <c r="C6" s="349"/>
      <c r="D6" s="349"/>
      <c r="E6" s="331">
        <f>SUM(E7:F8)</f>
        <v>23540.14</v>
      </c>
      <c r="F6" s="332"/>
    </row>
    <row r="7" spans="1:6" ht="15" customHeight="1" x14ac:dyDescent="0.3">
      <c r="A7" s="24" t="s">
        <v>36</v>
      </c>
      <c r="B7" s="25" t="str">
        <f>ORÇ!C8</f>
        <v>Placa de Obra em chapa de aço galvanizado</v>
      </c>
      <c r="C7" s="26" t="s">
        <v>17</v>
      </c>
      <c r="D7" s="27">
        <f>ORÇ!E8</f>
        <v>6</v>
      </c>
      <c r="E7" s="328">
        <f>'ORÇ (2)'!H8</f>
        <v>3574.14</v>
      </c>
      <c r="F7" s="329"/>
    </row>
    <row r="8" spans="1:6" ht="15" customHeight="1" x14ac:dyDescent="0.3">
      <c r="A8" s="24" t="s">
        <v>36</v>
      </c>
      <c r="B8" s="25" t="str">
        <f>ORÇ!C9</f>
        <v>Administração local da obra</v>
      </c>
      <c r="C8" s="26" t="s">
        <v>39</v>
      </c>
      <c r="D8" s="27">
        <f>ORÇ!E9</f>
        <v>2</v>
      </c>
      <c r="E8" s="328">
        <f>'ORÇ (2)'!H9</f>
        <v>19966</v>
      </c>
      <c r="F8" s="329"/>
    </row>
    <row r="9" spans="1:6" ht="15" customHeight="1" x14ac:dyDescent="0.3">
      <c r="A9" s="23" t="s">
        <v>40</v>
      </c>
      <c r="B9" s="348" t="s">
        <v>41</v>
      </c>
      <c r="C9" s="349"/>
      <c r="D9" s="349"/>
      <c r="E9" s="331">
        <f>SUM(E10:F12)</f>
        <v>1072450.72</v>
      </c>
      <c r="F9" s="332"/>
    </row>
    <row r="10" spans="1:6" ht="15" customHeight="1" x14ac:dyDescent="0.3">
      <c r="A10" s="24" t="s">
        <v>42</v>
      </c>
      <c r="B10" s="25" t="str">
        <f>GERAL!A10</f>
        <v>Rua Santa Maria</v>
      </c>
      <c r="C10" s="26" t="s">
        <v>17</v>
      </c>
      <c r="D10" s="28">
        <f>GERAL!C10</f>
        <v>3185</v>
      </c>
      <c r="E10" s="328">
        <f>'ORÇ (2)'!H11</f>
        <v>478318.04</v>
      </c>
      <c r="F10" s="329"/>
    </row>
    <row r="11" spans="1:6" ht="15" customHeight="1" x14ac:dyDescent="0.3">
      <c r="A11" s="24" t="s">
        <v>43</v>
      </c>
      <c r="B11" s="25" t="str">
        <f>GERAL!A11</f>
        <v>Rua Projetada 02</v>
      </c>
      <c r="C11" s="26" t="s">
        <v>17</v>
      </c>
      <c r="D11" s="28">
        <f>GERAL!C11</f>
        <v>1850</v>
      </c>
      <c r="E11" s="328">
        <f>'ORÇ (2)'!H30</f>
        <v>296800.3</v>
      </c>
      <c r="F11" s="329"/>
    </row>
    <row r="12" spans="1:6" ht="15" customHeight="1" x14ac:dyDescent="0.3">
      <c r="A12" s="24" t="s">
        <v>44</v>
      </c>
      <c r="B12" s="25" t="str">
        <f>GERAL!A12</f>
        <v>Rua DT Alto Alegre</v>
      </c>
      <c r="C12" s="26" t="s">
        <v>17</v>
      </c>
      <c r="D12" s="28">
        <f>GERAL!C12</f>
        <v>1950</v>
      </c>
      <c r="E12" s="328">
        <f>'ORÇ (2)'!H49</f>
        <v>297332.38</v>
      </c>
      <c r="F12" s="329"/>
    </row>
    <row r="13" spans="1:6" ht="15" customHeight="1" x14ac:dyDescent="0.3">
      <c r="A13" s="29"/>
      <c r="B13" s="30"/>
      <c r="C13" s="30"/>
      <c r="D13" s="31"/>
      <c r="E13" s="31"/>
      <c r="F13" s="32"/>
    </row>
    <row r="14" spans="1:6" ht="15" customHeight="1" x14ac:dyDescent="0.3">
      <c r="A14" s="330" t="s">
        <v>45</v>
      </c>
      <c r="B14" s="330"/>
      <c r="C14" s="330"/>
      <c r="D14" s="330"/>
      <c r="E14" s="330"/>
      <c r="F14" s="33">
        <f>E6+E9</f>
        <v>1095990.8599999999</v>
      </c>
    </row>
    <row r="15" spans="1:6" ht="15" customHeight="1" x14ac:dyDescent="0.3"/>
    <row r="16" spans="1:6" ht="15" customHeight="1" x14ac:dyDescent="0.3"/>
    <row r="17" ht="15" customHeight="1" x14ac:dyDescent="0.3"/>
    <row r="18" ht="15" customHeight="1" x14ac:dyDescent="0.3"/>
    <row r="19" ht="30" customHeight="1" x14ac:dyDescent="0.3"/>
    <row r="20" ht="30" customHeight="1" x14ac:dyDescent="0.3"/>
  </sheetData>
  <mergeCells count="19"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A14:E14"/>
    <mergeCell ref="B6:D6"/>
    <mergeCell ref="E6:F6"/>
    <mergeCell ref="E7:F7"/>
    <mergeCell ref="E8:F8"/>
    <mergeCell ref="B9:D9"/>
    <mergeCell ref="E9:F9"/>
    <mergeCell ref="E10:F10"/>
    <mergeCell ref="E11:F11"/>
    <mergeCell ref="E12:F12"/>
  </mergeCells>
  <printOptions horizontalCentered="1"/>
  <pageMargins left="1.1023622047244095" right="0.51181102362204722" top="2.1653543307086616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241E-5277-4D4F-ABBA-DB0A1F946D41}">
  <sheetPr>
    <pageSetUpPr fitToPage="1"/>
  </sheetPr>
  <dimension ref="A1:M67"/>
  <sheetViews>
    <sheetView view="pageBreakPreview" topLeftCell="A43" zoomScale="80" zoomScaleNormal="100" zoomScaleSheetLayoutView="80" workbookViewId="0">
      <selection activeCell="M63" sqref="M63"/>
    </sheetView>
  </sheetViews>
  <sheetFormatPr defaultRowHeight="14.4" x14ac:dyDescent="0.3"/>
  <cols>
    <col min="1" max="1" width="10.77734375" customWidth="1"/>
    <col min="2" max="2" width="14.88671875" customWidth="1"/>
    <col min="3" max="3" width="50.77734375" customWidth="1"/>
    <col min="4" max="4" width="14.77734375" customWidth="1"/>
    <col min="5" max="5" width="10.77734375" customWidth="1"/>
    <col min="6" max="8" width="13.77734375" customWidth="1"/>
    <col min="13" max="13" width="9.109375" bestFit="1" customWidth="1"/>
  </cols>
  <sheetData>
    <row r="1" spans="1:13" ht="25.05" customHeight="1" x14ac:dyDescent="0.3">
      <c r="A1" s="365" t="s">
        <v>344</v>
      </c>
      <c r="B1" s="366"/>
      <c r="C1" s="366"/>
      <c r="D1" s="366"/>
      <c r="E1" s="366"/>
      <c r="F1" s="366"/>
      <c r="G1" s="366"/>
      <c r="H1" s="366"/>
    </row>
    <row r="2" spans="1:13" ht="19.95" customHeight="1" x14ac:dyDescent="0.3">
      <c r="A2" s="367" t="str">
        <f>RES!A2</f>
        <v>PAVIMENTAÇÃO DE VIAS PÚBLICAS NO MUNÍCIO DE SÃO JOÃO DA FRONTEIRA - PI</v>
      </c>
      <c r="B2" s="367"/>
      <c r="C2" s="367"/>
      <c r="D2" s="364" t="str">
        <f>RES!C2</f>
        <v>FONTE: SINAPI 02/2026</v>
      </c>
      <c r="E2" s="364"/>
      <c r="F2" s="364" t="str">
        <f>'RES DES'!E2</f>
        <v>COM DESONERAÇÃO
 BDI: 28,14%</v>
      </c>
      <c r="G2" s="364"/>
      <c r="H2" s="364"/>
    </row>
    <row r="3" spans="1:13" ht="19.95" customHeight="1" x14ac:dyDescent="0.3">
      <c r="A3" s="368" t="str">
        <f>RES!A3</f>
        <v>LOCALIDADE: DIVERSAS</v>
      </c>
      <c r="B3" s="368"/>
      <c r="C3" s="368"/>
      <c r="D3" s="97" t="str">
        <f>RES!E3</f>
        <v>ÁREA TOTAL (m²):</v>
      </c>
      <c r="E3" s="119">
        <f>RES!F3</f>
        <v>6985</v>
      </c>
      <c r="F3" s="364" t="str">
        <f>'RES DES'!F2</f>
        <v>HORISTA: 90,66%
MENSALISTA: 52,90%</v>
      </c>
      <c r="G3" s="364"/>
      <c r="H3" s="364"/>
    </row>
    <row r="4" spans="1:13" ht="15" customHeight="1" x14ac:dyDescent="0.3">
      <c r="A4" s="361"/>
      <c r="B4" s="362"/>
      <c r="C4" s="362"/>
      <c r="D4" s="362"/>
      <c r="E4" s="362"/>
      <c r="F4" s="362"/>
      <c r="G4" s="362"/>
      <c r="H4" s="363"/>
    </row>
    <row r="5" spans="1:13" ht="15" customHeight="1" x14ac:dyDescent="0.3">
      <c r="A5" s="333" t="s">
        <v>29</v>
      </c>
      <c r="B5" s="359" t="s">
        <v>100</v>
      </c>
      <c r="C5" s="333" t="s">
        <v>30</v>
      </c>
      <c r="D5" s="333" t="s">
        <v>31</v>
      </c>
      <c r="E5" s="351" t="s">
        <v>32</v>
      </c>
      <c r="F5" s="351" t="s">
        <v>177</v>
      </c>
      <c r="G5" s="351"/>
      <c r="H5" s="351"/>
    </row>
    <row r="6" spans="1:13" ht="15" customHeight="1" x14ac:dyDescent="0.3">
      <c r="A6" s="333"/>
      <c r="B6" s="360"/>
      <c r="C6" s="333"/>
      <c r="D6" s="333"/>
      <c r="E6" s="351"/>
      <c r="F6" s="107" t="s">
        <v>178</v>
      </c>
      <c r="G6" s="107" t="s">
        <v>179</v>
      </c>
      <c r="H6" s="108" t="s">
        <v>180</v>
      </c>
    </row>
    <row r="7" spans="1:13" s="115" customFormat="1" ht="15" customHeight="1" x14ac:dyDescent="0.3">
      <c r="A7" s="113" t="s">
        <v>34</v>
      </c>
      <c r="B7" s="348" t="s">
        <v>35</v>
      </c>
      <c r="C7" s="349"/>
      <c r="D7" s="349"/>
      <c r="E7" s="349"/>
      <c r="F7" s="352"/>
      <c r="G7" s="352"/>
      <c r="H7" s="114">
        <f>SUM(H8:H9)</f>
        <v>23540.14</v>
      </c>
    </row>
    <row r="8" spans="1:13" s="115" customFormat="1" ht="15" customHeight="1" x14ac:dyDescent="0.3">
      <c r="A8" s="94" t="s">
        <v>36</v>
      </c>
      <c r="B8" s="94" t="s">
        <v>181</v>
      </c>
      <c r="C8" s="109" t="s">
        <v>37</v>
      </c>
      <c r="D8" s="94" t="s">
        <v>17</v>
      </c>
      <c r="E8" s="116">
        <f>MC!C10</f>
        <v>6</v>
      </c>
      <c r="F8" s="116">
        <f>'CCU (2)'!G7</f>
        <v>464.88</v>
      </c>
      <c r="G8" s="28">
        <f>'CCU (2)'!G16</f>
        <v>595.69000000000005</v>
      </c>
      <c r="H8" s="28">
        <f>ROUND(E8*G8,2)</f>
        <v>3574.14</v>
      </c>
    </row>
    <row r="9" spans="1:13" s="115" customFormat="1" ht="15" customHeight="1" x14ac:dyDescent="0.3">
      <c r="A9" s="94" t="s">
        <v>99</v>
      </c>
      <c r="B9" s="94" t="s">
        <v>182</v>
      </c>
      <c r="C9" s="109" t="s">
        <v>38</v>
      </c>
      <c r="D9" s="94" t="s">
        <v>39</v>
      </c>
      <c r="E9" s="116">
        <f>MC!C14</f>
        <v>2</v>
      </c>
      <c r="F9" s="116">
        <f>'CCU (2)'!G19</f>
        <v>7790.7</v>
      </c>
      <c r="G9" s="28">
        <f>'CCU (2)'!G24</f>
        <v>9983</v>
      </c>
      <c r="H9" s="28">
        <f>ROUND(E9*G9,2)</f>
        <v>19966</v>
      </c>
    </row>
    <row r="10" spans="1:13" s="115" customFormat="1" ht="15" customHeight="1" x14ac:dyDescent="0.3">
      <c r="A10" s="353"/>
      <c r="B10" s="354"/>
      <c r="C10" s="354"/>
      <c r="D10" s="354"/>
      <c r="E10" s="354"/>
      <c r="F10" s="354"/>
      <c r="G10" s="354"/>
      <c r="H10" s="355"/>
    </row>
    <row r="11" spans="1:13" s="115" customFormat="1" ht="15" customHeight="1" x14ac:dyDescent="0.3">
      <c r="A11" s="356" t="str">
        <f>MC!B16</f>
        <v>Rua Santa Maria</v>
      </c>
      <c r="B11" s="357"/>
      <c r="C11" s="357"/>
      <c r="D11" s="357"/>
      <c r="E11" s="357"/>
      <c r="F11" s="357"/>
      <c r="G11" s="357"/>
      <c r="H11" s="120">
        <f>SUM(H12,H15,H18,H22,H26)</f>
        <v>478318.04</v>
      </c>
    </row>
    <row r="12" spans="1:13" s="115" customFormat="1" ht="15" customHeight="1" x14ac:dyDescent="0.3">
      <c r="A12" s="113" t="s">
        <v>40</v>
      </c>
      <c r="B12" s="358" t="s">
        <v>59</v>
      </c>
      <c r="C12" s="358"/>
      <c r="D12" s="358"/>
      <c r="E12" s="358"/>
      <c r="F12" s="358"/>
      <c r="G12" s="358"/>
      <c r="H12" s="114">
        <f>H13</f>
        <v>2197.65</v>
      </c>
      <c r="M12" s="240" t="e">
        <f>E13+E32+E51+#REF!+#REF!</f>
        <v>#REF!</v>
      </c>
    </row>
    <row r="13" spans="1:13" s="115" customFormat="1" ht="15" customHeight="1" x14ac:dyDescent="0.3">
      <c r="A13" s="94" t="s">
        <v>42</v>
      </c>
      <c r="B13" s="94">
        <v>100575</v>
      </c>
      <c r="C13" s="110" t="s">
        <v>60</v>
      </c>
      <c r="D13" s="26" t="s">
        <v>17</v>
      </c>
      <c r="E13" s="116">
        <f>MC!C25</f>
        <v>3185</v>
      </c>
      <c r="F13" s="116">
        <f>'CCU (2)'!G27</f>
        <v>0.54</v>
      </c>
      <c r="G13" s="28">
        <f>'CCU (2)'!G33</f>
        <v>0.69</v>
      </c>
      <c r="H13" s="28">
        <f>ROUND(E13*G13,2)</f>
        <v>2197.65</v>
      </c>
      <c r="M13" s="241" t="e">
        <f>E16+E35+E54+#REF!+#REF!</f>
        <v>#REF!</v>
      </c>
    </row>
    <row r="14" spans="1:13" s="115" customFormat="1" ht="15" customHeight="1" x14ac:dyDescent="0.3">
      <c r="A14" s="350"/>
      <c r="B14" s="350"/>
      <c r="C14" s="350"/>
      <c r="D14" s="350"/>
      <c r="E14" s="350"/>
      <c r="F14" s="350"/>
      <c r="G14" s="350"/>
      <c r="H14" s="350"/>
      <c r="M14" s="241" t="e">
        <f>E19+E38+E57+#REF!+#REF!</f>
        <v>#REF!</v>
      </c>
    </row>
    <row r="15" spans="1:13" s="115" customFormat="1" ht="15" customHeight="1" x14ac:dyDescent="0.3">
      <c r="A15" s="113" t="s">
        <v>62</v>
      </c>
      <c r="B15" s="358" t="s">
        <v>63</v>
      </c>
      <c r="C15" s="358"/>
      <c r="D15" s="358"/>
      <c r="E15" s="358"/>
      <c r="F15" s="358"/>
      <c r="G15" s="358"/>
      <c r="H15" s="114">
        <f>SUM(H16:H16)</f>
        <v>328214.25</v>
      </c>
      <c r="M15" s="241" t="e">
        <f>E20+E39+E58+#REF!+#REF!</f>
        <v>#REF!</v>
      </c>
    </row>
    <row r="16" spans="1:13" s="115" customFormat="1" ht="25.05" customHeight="1" x14ac:dyDescent="0.3">
      <c r="A16" s="94" t="s">
        <v>64</v>
      </c>
      <c r="B16" s="94" t="s">
        <v>183</v>
      </c>
      <c r="C16" s="110" t="s">
        <v>24</v>
      </c>
      <c r="D16" s="26" t="s">
        <v>17</v>
      </c>
      <c r="E16" s="116">
        <f>MC!C31</f>
        <v>3185</v>
      </c>
      <c r="F16" s="116">
        <f>'CCU (2)'!G36</f>
        <v>80.42</v>
      </c>
      <c r="G16" s="28">
        <f>'CCU (2)'!G45</f>
        <v>103.05</v>
      </c>
      <c r="H16" s="28">
        <f>ROUND(E16*G16,2)</f>
        <v>328214.25</v>
      </c>
      <c r="M16" s="241" t="e">
        <f>E23+E42+E61+#REF!+#REF!</f>
        <v>#REF!</v>
      </c>
    </row>
    <row r="17" spans="1:13" s="115" customFormat="1" ht="15" customHeight="1" x14ac:dyDescent="0.3">
      <c r="A17" s="350"/>
      <c r="B17" s="350"/>
      <c r="C17" s="350"/>
      <c r="D17" s="350"/>
      <c r="E17" s="350"/>
      <c r="F17" s="350"/>
      <c r="G17" s="350"/>
      <c r="H17" s="350"/>
      <c r="M17" s="241" t="e">
        <f>E24+E43+E62+#REF!+#REF!</f>
        <v>#REF!</v>
      </c>
    </row>
    <row r="18" spans="1:13" s="115" customFormat="1" ht="15" customHeight="1" x14ac:dyDescent="0.3">
      <c r="A18" s="113" t="s">
        <v>65</v>
      </c>
      <c r="B18" s="358" t="s">
        <v>66</v>
      </c>
      <c r="C18" s="358"/>
      <c r="D18" s="358"/>
      <c r="E18" s="358"/>
      <c r="F18" s="358"/>
      <c r="G18" s="358"/>
      <c r="H18" s="114">
        <f>SUM(H19:H20)</f>
        <v>79560.88</v>
      </c>
      <c r="M18" s="241" t="e">
        <f>E27+E46+E65+#REF!+#REF!</f>
        <v>#REF!</v>
      </c>
    </row>
    <row r="19" spans="1:13" s="115" customFormat="1" ht="25.05" customHeight="1" x14ac:dyDescent="0.3">
      <c r="A19" s="94" t="s">
        <v>67</v>
      </c>
      <c r="B19" s="94">
        <v>94273</v>
      </c>
      <c r="C19" s="110" t="s">
        <v>68</v>
      </c>
      <c r="D19" s="26" t="s">
        <v>48</v>
      </c>
      <c r="E19" s="116">
        <f>MC!C38</f>
        <v>924</v>
      </c>
      <c r="F19" s="116">
        <f>'CCU (2)'!G48</f>
        <v>44.62</v>
      </c>
      <c r="G19" s="28">
        <f>'CCU (2)'!G55</f>
        <v>57.17</v>
      </c>
      <c r="H19" s="28">
        <f>ROUND(E19*G19,2)</f>
        <v>52825.08</v>
      </c>
      <c r="M19" s="241" t="e">
        <f>E28+E47+E66+#REF!+#REF!</f>
        <v>#REF!</v>
      </c>
    </row>
    <row r="20" spans="1:13" s="115" customFormat="1" ht="25.05" customHeight="1" x14ac:dyDescent="0.3">
      <c r="A20" s="94" t="s">
        <v>72</v>
      </c>
      <c r="B20" s="94" t="s">
        <v>184</v>
      </c>
      <c r="C20" s="110" t="s">
        <v>185</v>
      </c>
      <c r="D20" s="26" t="s">
        <v>48</v>
      </c>
      <c r="E20" s="116">
        <f>MC!C43</f>
        <v>910</v>
      </c>
      <c r="F20" s="116">
        <f>'CCU (2)'!G58</f>
        <v>22.93</v>
      </c>
      <c r="G20" s="28">
        <f>'CCU (2)'!G66</f>
        <v>29.38</v>
      </c>
      <c r="H20" s="28">
        <f>ROUND(E20*G20,2)</f>
        <v>26735.8</v>
      </c>
    </row>
    <row r="21" spans="1:13" s="115" customFormat="1" ht="15" customHeight="1" x14ac:dyDescent="0.3">
      <c r="A21" s="350"/>
      <c r="B21" s="350"/>
      <c r="C21" s="350"/>
      <c r="D21" s="350"/>
      <c r="E21" s="350"/>
      <c r="F21" s="350"/>
      <c r="G21" s="350"/>
      <c r="H21" s="350"/>
    </row>
    <row r="22" spans="1:13" s="115" customFormat="1" ht="15" customHeight="1" x14ac:dyDescent="0.3">
      <c r="A22" s="113" t="s">
        <v>74</v>
      </c>
      <c r="B22" s="358" t="s">
        <v>75</v>
      </c>
      <c r="C22" s="358"/>
      <c r="D22" s="358"/>
      <c r="E22" s="358"/>
      <c r="F22" s="358"/>
      <c r="G22" s="358"/>
      <c r="H22" s="114">
        <f>SUM(H23:H24)</f>
        <v>66998.709999999992</v>
      </c>
    </row>
    <row r="23" spans="1:13" s="115" customFormat="1" ht="25.05" customHeight="1" x14ac:dyDescent="0.3">
      <c r="A23" s="94" t="s">
        <v>76</v>
      </c>
      <c r="B23" s="94">
        <v>95878</v>
      </c>
      <c r="C23" s="110" t="s">
        <v>77</v>
      </c>
      <c r="D23" s="26" t="s">
        <v>186</v>
      </c>
      <c r="E23" s="116">
        <f>MC!C52</f>
        <v>15169.52</v>
      </c>
      <c r="F23" s="116">
        <f>'CCU (2)'!G69</f>
        <v>1.68</v>
      </c>
      <c r="G23" s="28">
        <f>'CCU (2)'!G73</f>
        <v>2.15</v>
      </c>
      <c r="H23" s="28">
        <f>ROUND(E23*G23,2)</f>
        <v>32614.47</v>
      </c>
    </row>
    <row r="24" spans="1:13" s="115" customFormat="1" ht="25.05" customHeight="1" x14ac:dyDescent="0.3">
      <c r="A24" s="94" t="s">
        <v>89</v>
      </c>
      <c r="B24" s="94">
        <v>93596</v>
      </c>
      <c r="C24" s="110" t="s">
        <v>90</v>
      </c>
      <c r="D24" s="26" t="s">
        <v>186</v>
      </c>
      <c r="E24" s="116">
        <f>MC!C60</f>
        <v>42980.3</v>
      </c>
      <c r="F24" s="116">
        <f>'CCU (2)'!G76</f>
        <v>0.63</v>
      </c>
      <c r="G24" s="28">
        <f>'CCU (2)'!G80</f>
        <v>0.8</v>
      </c>
      <c r="H24" s="28">
        <f>ROUND(E24*G24,2)</f>
        <v>34384.239999999998</v>
      </c>
    </row>
    <row r="25" spans="1:13" s="115" customFormat="1" ht="15" customHeight="1" x14ac:dyDescent="0.3">
      <c r="A25" s="350"/>
      <c r="B25" s="350"/>
      <c r="C25" s="350"/>
      <c r="D25" s="350"/>
      <c r="E25" s="350"/>
      <c r="F25" s="350"/>
      <c r="G25" s="350"/>
      <c r="H25" s="350"/>
    </row>
    <row r="26" spans="1:13" s="115" customFormat="1" ht="15" customHeight="1" x14ac:dyDescent="0.3">
      <c r="A26" s="113" t="s">
        <v>91</v>
      </c>
      <c r="B26" s="358" t="s">
        <v>174</v>
      </c>
      <c r="C26" s="358"/>
      <c r="D26" s="358"/>
      <c r="E26" s="358"/>
      <c r="F26" s="358"/>
      <c r="G26" s="358"/>
      <c r="H26" s="114">
        <f>SUM(H27:H28)</f>
        <v>1346.55</v>
      </c>
    </row>
    <row r="27" spans="1:13" s="115" customFormat="1" ht="25.05" customHeight="1" x14ac:dyDescent="0.3">
      <c r="A27" s="94" t="s">
        <v>93</v>
      </c>
      <c r="B27" s="94" t="s">
        <v>187</v>
      </c>
      <c r="C27" s="110" t="s">
        <v>94</v>
      </c>
      <c r="D27" s="26" t="s">
        <v>17</v>
      </c>
      <c r="E27" s="116">
        <f>MC!C65</f>
        <v>0.23</v>
      </c>
      <c r="F27" s="116">
        <f>'CCU (2)'!G83</f>
        <v>973.62</v>
      </c>
      <c r="G27" s="28">
        <f>'CCU (2)'!G89</f>
        <v>1247.5899999999999</v>
      </c>
      <c r="H27" s="28">
        <f>ROUND(E27*G27,2)</f>
        <v>286.95</v>
      </c>
    </row>
    <row r="28" spans="1:13" s="115" customFormat="1" ht="25.05" customHeight="1" x14ac:dyDescent="0.3">
      <c r="A28" s="94" t="s">
        <v>93</v>
      </c>
      <c r="B28" s="94" t="s">
        <v>188</v>
      </c>
      <c r="C28" s="110" t="s">
        <v>98</v>
      </c>
      <c r="D28" s="26" t="s">
        <v>69</v>
      </c>
      <c r="E28" s="116">
        <f>MC!C69</f>
        <v>2</v>
      </c>
      <c r="F28" s="116">
        <f>'CCU (2)'!G92</f>
        <v>413.46</v>
      </c>
      <c r="G28" s="28">
        <f>'CCU (2)'!G98</f>
        <v>529.79999999999995</v>
      </c>
      <c r="H28" s="28">
        <f>ROUND(E28*G28,2)</f>
        <v>1059.5999999999999</v>
      </c>
    </row>
    <row r="29" spans="1:13" s="115" customFormat="1" ht="15" customHeight="1" x14ac:dyDescent="0.3">
      <c r="A29" s="353"/>
      <c r="B29" s="354"/>
      <c r="C29" s="354"/>
      <c r="D29" s="354"/>
      <c r="E29" s="354"/>
      <c r="F29" s="354"/>
      <c r="G29" s="354"/>
      <c r="H29" s="355"/>
    </row>
    <row r="30" spans="1:13" s="115" customFormat="1" ht="15" customHeight="1" x14ac:dyDescent="0.3">
      <c r="A30" s="356" t="str">
        <f>MC!B71</f>
        <v>Rua Projetada 02</v>
      </c>
      <c r="B30" s="357"/>
      <c r="C30" s="357"/>
      <c r="D30" s="357"/>
      <c r="E30" s="357"/>
      <c r="F30" s="357"/>
      <c r="G30" s="357"/>
      <c r="H30" s="120">
        <f>SUM(H31,H34,H37,H41,H45)</f>
        <v>296800.3</v>
      </c>
    </row>
    <row r="31" spans="1:13" s="115" customFormat="1" ht="15" customHeight="1" x14ac:dyDescent="0.3">
      <c r="A31" s="113" t="s">
        <v>40</v>
      </c>
      <c r="B31" s="358" t="s">
        <v>59</v>
      </c>
      <c r="C31" s="358"/>
      <c r="D31" s="358"/>
      <c r="E31" s="358"/>
      <c r="F31" s="358"/>
      <c r="G31" s="358"/>
      <c r="H31" s="114">
        <f>H32</f>
        <v>1276.5</v>
      </c>
    </row>
    <row r="32" spans="1:13" s="115" customFormat="1" ht="15" customHeight="1" x14ac:dyDescent="0.3">
      <c r="A32" s="94" t="s">
        <v>42</v>
      </c>
      <c r="B32" s="94">
        <v>100575</v>
      </c>
      <c r="C32" s="110" t="s">
        <v>60</v>
      </c>
      <c r="D32" s="26" t="s">
        <v>17</v>
      </c>
      <c r="E32" s="116">
        <f>MC!C80</f>
        <v>1850</v>
      </c>
      <c r="F32" s="116">
        <f>F13</f>
        <v>0.54</v>
      </c>
      <c r="G32" s="28">
        <f>G13</f>
        <v>0.69</v>
      </c>
      <c r="H32" s="28">
        <f>ROUND(E32*G32,2)</f>
        <v>1276.5</v>
      </c>
    </row>
    <row r="33" spans="1:8" s="115" customFormat="1" ht="15" customHeight="1" x14ac:dyDescent="0.3">
      <c r="A33" s="350"/>
      <c r="B33" s="350"/>
      <c r="C33" s="350"/>
      <c r="D33" s="350"/>
      <c r="E33" s="350"/>
      <c r="F33" s="350"/>
      <c r="G33" s="350"/>
      <c r="H33" s="350"/>
    </row>
    <row r="34" spans="1:8" s="115" customFormat="1" ht="15" customHeight="1" x14ac:dyDescent="0.3">
      <c r="A34" s="113" t="s">
        <v>62</v>
      </c>
      <c r="B34" s="358" t="s">
        <v>63</v>
      </c>
      <c r="C34" s="358"/>
      <c r="D34" s="358"/>
      <c r="E34" s="358"/>
      <c r="F34" s="358"/>
      <c r="G34" s="358"/>
      <c r="H34" s="114">
        <f>SUM(H35:H35)</f>
        <v>190642.5</v>
      </c>
    </row>
    <row r="35" spans="1:8" s="115" customFormat="1" ht="25.05" customHeight="1" x14ac:dyDescent="0.3">
      <c r="A35" s="94" t="s">
        <v>64</v>
      </c>
      <c r="B35" s="94" t="s">
        <v>183</v>
      </c>
      <c r="C35" s="110" t="s">
        <v>24</v>
      </c>
      <c r="D35" s="26" t="s">
        <v>17</v>
      </c>
      <c r="E35" s="116">
        <f>MC!C86</f>
        <v>1850</v>
      </c>
      <c r="F35" s="116">
        <f>F16</f>
        <v>80.42</v>
      </c>
      <c r="G35" s="28">
        <f>G16</f>
        <v>103.05</v>
      </c>
      <c r="H35" s="28">
        <f>ROUND(E35*G35,2)</f>
        <v>190642.5</v>
      </c>
    </row>
    <row r="36" spans="1:8" s="115" customFormat="1" ht="15" customHeight="1" x14ac:dyDescent="0.3">
      <c r="A36" s="350"/>
      <c r="B36" s="350"/>
      <c r="C36" s="350"/>
      <c r="D36" s="350"/>
      <c r="E36" s="350"/>
      <c r="F36" s="350"/>
      <c r="G36" s="350"/>
      <c r="H36" s="350"/>
    </row>
    <row r="37" spans="1:8" s="115" customFormat="1" ht="15" customHeight="1" x14ac:dyDescent="0.3">
      <c r="A37" s="113" t="s">
        <v>65</v>
      </c>
      <c r="B37" s="358" t="s">
        <v>66</v>
      </c>
      <c r="C37" s="358"/>
      <c r="D37" s="358"/>
      <c r="E37" s="358"/>
      <c r="F37" s="358"/>
      <c r="G37" s="358"/>
      <c r="H37" s="114">
        <f>SUM(H38:H39)</f>
        <v>64618.7</v>
      </c>
    </row>
    <row r="38" spans="1:8" s="115" customFormat="1" ht="25.05" customHeight="1" x14ac:dyDescent="0.3">
      <c r="A38" s="94" t="s">
        <v>67</v>
      </c>
      <c r="B38" s="94">
        <v>94273</v>
      </c>
      <c r="C38" s="110" t="s">
        <v>68</v>
      </c>
      <c r="D38" s="26" t="s">
        <v>48</v>
      </c>
      <c r="E38" s="116">
        <f>MC!C93</f>
        <v>750</v>
      </c>
      <c r="F38" s="116">
        <f>F19</f>
        <v>44.62</v>
      </c>
      <c r="G38" s="28">
        <f>G19</f>
        <v>57.17</v>
      </c>
      <c r="H38" s="28">
        <f>ROUND(E38*G38,2)</f>
        <v>42877.5</v>
      </c>
    </row>
    <row r="39" spans="1:8" s="115" customFormat="1" ht="25.05" customHeight="1" x14ac:dyDescent="0.3">
      <c r="A39" s="94" t="s">
        <v>72</v>
      </c>
      <c r="B39" s="94" t="s">
        <v>184</v>
      </c>
      <c r="C39" s="110" t="s">
        <v>185</v>
      </c>
      <c r="D39" s="26" t="s">
        <v>48</v>
      </c>
      <c r="E39" s="116">
        <f>MC!C98</f>
        <v>740</v>
      </c>
      <c r="F39" s="116">
        <f>F20</f>
        <v>22.93</v>
      </c>
      <c r="G39" s="28">
        <f>G20</f>
        <v>29.38</v>
      </c>
      <c r="H39" s="28">
        <f>ROUND(E39*G39,2)</f>
        <v>21741.200000000001</v>
      </c>
    </row>
    <row r="40" spans="1:8" s="115" customFormat="1" ht="15" customHeight="1" x14ac:dyDescent="0.3">
      <c r="A40" s="350"/>
      <c r="B40" s="350"/>
      <c r="C40" s="350"/>
      <c r="D40" s="350"/>
      <c r="E40" s="350"/>
      <c r="F40" s="350"/>
      <c r="G40" s="350"/>
      <c r="H40" s="350"/>
    </row>
    <row r="41" spans="1:8" s="115" customFormat="1" ht="15" customHeight="1" x14ac:dyDescent="0.3">
      <c r="A41" s="113" t="s">
        <v>74</v>
      </c>
      <c r="B41" s="358" t="s">
        <v>75</v>
      </c>
      <c r="C41" s="358"/>
      <c r="D41" s="358"/>
      <c r="E41" s="358"/>
      <c r="F41" s="358"/>
      <c r="G41" s="358"/>
      <c r="H41" s="114">
        <f>SUM(H42:H43)</f>
        <v>38916.050000000003</v>
      </c>
    </row>
    <row r="42" spans="1:8" s="115" customFormat="1" ht="25.05" customHeight="1" x14ac:dyDescent="0.3">
      <c r="A42" s="94" t="s">
        <v>76</v>
      </c>
      <c r="B42" s="94">
        <v>95878</v>
      </c>
      <c r="C42" s="110" t="s">
        <v>77</v>
      </c>
      <c r="D42" s="26" t="s">
        <v>186</v>
      </c>
      <c r="E42" s="116">
        <f>MC!C107</f>
        <v>8811.18</v>
      </c>
      <c r="F42" s="116">
        <f>F23</f>
        <v>1.68</v>
      </c>
      <c r="G42" s="28">
        <f>G23</f>
        <v>2.15</v>
      </c>
      <c r="H42" s="28">
        <f>ROUND(E42*G42,2)</f>
        <v>18944.04</v>
      </c>
    </row>
    <row r="43" spans="1:8" s="115" customFormat="1" ht="25.05" customHeight="1" x14ac:dyDescent="0.3">
      <c r="A43" s="94" t="s">
        <v>89</v>
      </c>
      <c r="B43" s="94">
        <v>93596</v>
      </c>
      <c r="C43" s="110" t="s">
        <v>90</v>
      </c>
      <c r="D43" s="26" t="s">
        <v>186</v>
      </c>
      <c r="E43" s="116">
        <f>MC!C115</f>
        <v>24965.01</v>
      </c>
      <c r="F43" s="116">
        <f>F24</f>
        <v>0.63</v>
      </c>
      <c r="G43" s="28">
        <f>G24</f>
        <v>0.8</v>
      </c>
      <c r="H43" s="28">
        <f>ROUND(E43*G43,2)</f>
        <v>19972.009999999998</v>
      </c>
    </row>
    <row r="44" spans="1:8" s="115" customFormat="1" ht="15" customHeight="1" x14ac:dyDescent="0.3">
      <c r="A44" s="350"/>
      <c r="B44" s="350"/>
      <c r="C44" s="350"/>
      <c r="D44" s="350"/>
      <c r="E44" s="350"/>
      <c r="F44" s="350"/>
      <c r="G44" s="350"/>
      <c r="H44" s="350"/>
    </row>
    <row r="45" spans="1:8" s="115" customFormat="1" ht="15" customHeight="1" x14ac:dyDescent="0.3">
      <c r="A45" s="113" t="s">
        <v>91</v>
      </c>
      <c r="B45" s="358" t="s">
        <v>174</v>
      </c>
      <c r="C45" s="358"/>
      <c r="D45" s="358"/>
      <c r="E45" s="358"/>
      <c r="F45" s="358"/>
      <c r="G45" s="358"/>
      <c r="H45" s="114">
        <f>SUM(H46:H47)</f>
        <v>1346.55</v>
      </c>
    </row>
    <row r="46" spans="1:8" s="115" customFormat="1" ht="25.05" customHeight="1" x14ac:dyDescent="0.3">
      <c r="A46" s="94" t="s">
        <v>93</v>
      </c>
      <c r="B46" s="94" t="s">
        <v>187</v>
      </c>
      <c r="C46" s="110" t="s">
        <v>94</v>
      </c>
      <c r="D46" s="26" t="s">
        <v>17</v>
      </c>
      <c r="E46" s="116">
        <f>MC!C120</f>
        <v>0.23</v>
      </c>
      <c r="F46" s="116">
        <f>F27</f>
        <v>973.62</v>
      </c>
      <c r="G46" s="28">
        <f>G27</f>
        <v>1247.5899999999999</v>
      </c>
      <c r="H46" s="28">
        <f>ROUND(E46*G46,2)</f>
        <v>286.95</v>
      </c>
    </row>
    <row r="47" spans="1:8" s="115" customFormat="1" ht="25.05" customHeight="1" x14ac:dyDescent="0.3">
      <c r="A47" s="94" t="s">
        <v>93</v>
      </c>
      <c r="B47" s="94" t="s">
        <v>188</v>
      </c>
      <c r="C47" s="110" t="s">
        <v>98</v>
      </c>
      <c r="D47" s="26" t="s">
        <v>69</v>
      </c>
      <c r="E47" s="116">
        <f>MC!C124</f>
        <v>2</v>
      </c>
      <c r="F47" s="116">
        <f>F28</f>
        <v>413.46</v>
      </c>
      <c r="G47" s="28">
        <f>G28</f>
        <v>529.79999999999995</v>
      </c>
      <c r="H47" s="28">
        <f>ROUND(E47*G47,2)</f>
        <v>1059.5999999999999</v>
      </c>
    </row>
    <row r="48" spans="1:8" s="115" customFormat="1" ht="15" customHeight="1" x14ac:dyDescent="0.3">
      <c r="A48" s="353"/>
      <c r="B48" s="354"/>
      <c r="C48" s="354"/>
      <c r="D48" s="354"/>
      <c r="E48" s="354"/>
      <c r="F48" s="354"/>
      <c r="G48" s="354"/>
      <c r="H48" s="355"/>
    </row>
    <row r="49" spans="1:8" s="115" customFormat="1" ht="15" customHeight="1" x14ac:dyDescent="0.3">
      <c r="A49" s="356" t="str">
        <f>MC!B126</f>
        <v>Rua DT Alto Alegre</v>
      </c>
      <c r="B49" s="357"/>
      <c r="C49" s="357"/>
      <c r="D49" s="357"/>
      <c r="E49" s="357"/>
      <c r="F49" s="357"/>
      <c r="G49" s="357"/>
      <c r="H49" s="120">
        <f>SUM(H50,H53,H56,H60,H64)</f>
        <v>297332.38</v>
      </c>
    </row>
    <row r="50" spans="1:8" s="115" customFormat="1" ht="15" customHeight="1" x14ac:dyDescent="0.3">
      <c r="A50" s="113" t="s">
        <v>40</v>
      </c>
      <c r="B50" s="358" t="s">
        <v>59</v>
      </c>
      <c r="C50" s="358"/>
      <c r="D50" s="358"/>
      <c r="E50" s="358"/>
      <c r="F50" s="358"/>
      <c r="G50" s="358"/>
      <c r="H50" s="114">
        <f>H51</f>
        <v>1345.5</v>
      </c>
    </row>
    <row r="51" spans="1:8" s="115" customFormat="1" ht="15" customHeight="1" x14ac:dyDescent="0.3">
      <c r="A51" s="94" t="s">
        <v>42</v>
      </c>
      <c r="B51" s="94">
        <v>100575</v>
      </c>
      <c r="C51" s="110" t="s">
        <v>60</v>
      </c>
      <c r="D51" s="26" t="s">
        <v>17</v>
      </c>
      <c r="E51" s="116">
        <f>MC!C135</f>
        <v>1950</v>
      </c>
      <c r="F51" s="116">
        <f>F13</f>
        <v>0.54</v>
      </c>
      <c r="G51" s="28">
        <f>G13</f>
        <v>0.69</v>
      </c>
      <c r="H51" s="28">
        <f>ROUND(E51*G51,2)</f>
        <v>1345.5</v>
      </c>
    </row>
    <row r="52" spans="1:8" s="115" customFormat="1" ht="15" customHeight="1" x14ac:dyDescent="0.3">
      <c r="A52" s="350"/>
      <c r="B52" s="350"/>
      <c r="C52" s="350"/>
      <c r="D52" s="350"/>
      <c r="E52" s="350"/>
      <c r="F52" s="350"/>
      <c r="G52" s="350"/>
      <c r="H52" s="350"/>
    </row>
    <row r="53" spans="1:8" s="115" customFormat="1" ht="15" customHeight="1" x14ac:dyDescent="0.3">
      <c r="A53" s="113" t="s">
        <v>62</v>
      </c>
      <c r="B53" s="358" t="s">
        <v>63</v>
      </c>
      <c r="C53" s="358"/>
      <c r="D53" s="358"/>
      <c r="E53" s="358"/>
      <c r="F53" s="358"/>
      <c r="G53" s="358"/>
      <c r="H53" s="114">
        <f>SUM(H54:H54)</f>
        <v>200947.5</v>
      </c>
    </row>
    <row r="54" spans="1:8" s="115" customFormat="1" ht="25.05" customHeight="1" x14ac:dyDescent="0.3">
      <c r="A54" s="94" t="s">
        <v>64</v>
      </c>
      <c r="B54" s="94" t="s">
        <v>183</v>
      </c>
      <c r="C54" s="110" t="s">
        <v>24</v>
      </c>
      <c r="D54" s="26" t="s">
        <v>17</v>
      </c>
      <c r="E54" s="116">
        <f>MC!C141</f>
        <v>1950</v>
      </c>
      <c r="F54" s="116">
        <f>F16</f>
        <v>80.42</v>
      </c>
      <c r="G54" s="28">
        <f>G16</f>
        <v>103.05</v>
      </c>
      <c r="H54" s="28">
        <f>ROUND(E54*G54,2)</f>
        <v>200947.5</v>
      </c>
    </row>
    <row r="55" spans="1:8" s="115" customFormat="1" ht="15" customHeight="1" x14ac:dyDescent="0.3">
      <c r="A55" s="350"/>
      <c r="B55" s="350"/>
      <c r="C55" s="350"/>
      <c r="D55" s="350"/>
      <c r="E55" s="350"/>
      <c r="F55" s="350"/>
      <c r="G55" s="350"/>
      <c r="H55" s="350"/>
    </row>
    <row r="56" spans="1:8" s="115" customFormat="1" ht="15" customHeight="1" x14ac:dyDescent="0.3">
      <c r="A56" s="113" t="s">
        <v>65</v>
      </c>
      <c r="B56" s="358" t="s">
        <v>66</v>
      </c>
      <c r="C56" s="358"/>
      <c r="D56" s="358"/>
      <c r="E56" s="358"/>
      <c r="F56" s="358"/>
      <c r="G56" s="358"/>
      <c r="H56" s="114">
        <f>SUM(H57:H58)</f>
        <v>52673.21</v>
      </c>
    </row>
    <row r="57" spans="1:8" s="115" customFormat="1" ht="25.05" customHeight="1" x14ac:dyDescent="0.3">
      <c r="A57" s="94" t="s">
        <v>67</v>
      </c>
      <c r="B57" s="94">
        <v>94273</v>
      </c>
      <c r="C57" s="110" t="s">
        <v>68</v>
      </c>
      <c r="D57" s="26" t="s">
        <v>48</v>
      </c>
      <c r="E57" s="116">
        <f>MC!C148</f>
        <v>613</v>
      </c>
      <c r="F57" s="116">
        <f>F19</f>
        <v>44.62</v>
      </c>
      <c r="G57" s="28">
        <f>G19</f>
        <v>57.17</v>
      </c>
      <c r="H57" s="28">
        <f>ROUND(E57*G57,2)</f>
        <v>35045.21</v>
      </c>
    </row>
    <row r="58" spans="1:8" s="115" customFormat="1" ht="25.05" customHeight="1" x14ac:dyDescent="0.3">
      <c r="A58" s="94" t="s">
        <v>72</v>
      </c>
      <c r="B58" s="94" t="s">
        <v>184</v>
      </c>
      <c r="C58" s="110" t="s">
        <v>185</v>
      </c>
      <c r="D58" s="26" t="s">
        <v>48</v>
      </c>
      <c r="E58" s="116">
        <f>MC!C153</f>
        <v>600</v>
      </c>
      <c r="F58" s="116">
        <f>F20</f>
        <v>22.93</v>
      </c>
      <c r="G58" s="28">
        <f>G20</f>
        <v>29.38</v>
      </c>
      <c r="H58" s="28">
        <f>ROUND(E58*G58,2)</f>
        <v>17628</v>
      </c>
    </row>
    <row r="59" spans="1:8" s="115" customFormat="1" ht="15" customHeight="1" x14ac:dyDescent="0.3">
      <c r="A59" s="350"/>
      <c r="B59" s="350"/>
      <c r="C59" s="350"/>
      <c r="D59" s="350"/>
      <c r="E59" s="350"/>
      <c r="F59" s="350"/>
      <c r="G59" s="350"/>
      <c r="H59" s="350"/>
    </row>
    <row r="60" spans="1:8" s="115" customFormat="1" ht="15" customHeight="1" x14ac:dyDescent="0.3">
      <c r="A60" s="113" t="s">
        <v>74</v>
      </c>
      <c r="B60" s="358" t="s">
        <v>75</v>
      </c>
      <c r="C60" s="358"/>
      <c r="D60" s="358"/>
      <c r="E60" s="358"/>
      <c r="F60" s="358"/>
      <c r="G60" s="358"/>
      <c r="H60" s="114">
        <f>SUM(H61:H62)</f>
        <v>41019.620000000003</v>
      </c>
    </row>
    <row r="61" spans="1:8" s="115" customFormat="1" ht="25.05" customHeight="1" x14ac:dyDescent="0.3">
      <c r="A61" s="94" t="s">
        <v>76</v>
      </c>
      <c r="B61" s="94">
        <v>95878</v>
      </c>
      <c r="C61" s="110" t="s">
        <v>77</v>
      </c>
      <c r="D61" s="26" t="s">
        <v>186</v>
      </c>
      <c r="E61" s="116">
        <f>MC!C162</f>
        <v>9287.4599999999991</v>
      </c>
      <c r="F61" s="116">
        <f>F23</f>
        <v>1.68</v>
      </c>
      <c r="G61" s="28">
        <f>G23</f>
        <v>2.15</v>
      </c>
      <c r="H61" s="28">
        <f>ROUND(E61*G61,2)</f>
        <v>19968.04</v>
      </c>
    </row>
    <row r="62" spans="1:8" s="115" customFormat="1" ht="25.05" customHeight="1" x14ac:dyDescent="0.3">
      <c r="A62" s="94" t="s">
        <v>89</v>
      </c>
      <c r="B62" s="94">
        <v>93596</v>
      </c>
      <c r="C62" s="110" t="s">
        <v>90</v>
      </c>
      <c r="D62" s="26" t="s">
        <v>186</v>
      </c>
      <c r="E62" s="116">
        <f>MC!C170</f>
        <v>26314.47</v>
      </c>
      <c r="F62" s="116">
        <f>F24</f>
        <v>0.63</v>
      </c>
      <c r="G62" s="28">
        <f>G24</f>
        <v>0.8</v>
      </c>
      <c r="H62" s="28">
        <f>ROUND(E62*G62,2)</f>
        <v>21051.58</v>
      </c>
    </row>
    <row r="63" spans="1:8" s="115" customFormat="1" ht="15" customHeight="1" x14ac:dyDescent="0.3">
      <c r="A63" s="350"/>
      <c r="B63" s="350"/>
      <c r="C63" s="350"/>
      <c r="D63" s="350"/>
      <c r="E63" s="350"/>
      <c r="F63" s="350"/>
      <c r="G63" s="350"/>
      <c r="H63" s="350"/>
    </row>
    <row r="64" spans="1:8" s="115" customFormat="1" ht="15" customHeight="1" x14ac:dyDescent="0.3">
      <c r="A64" s="113" t="s">
        <v>91</v>
      </c>
      <c r="B64" s="358" t="s">
        <v>174</v>
      </c>
      <c r="C64" s="358"/>
      <c r="D64" s="358"/>
      <c r="E64" s="358"/>
      <c r="F64" s="358"/>
      <c r="G64" s="358"/>
      <c r="H64" s="114">
        <f>SUM(H65:H66)</f>
        <v>1346.55</v>
      </c>
    </row>
    <row r="65" spans="1:8" s="115" customFormat="1" ht="25.05" customHeight="1" x14ac:dyDescent="0.3">
      <c r="A65" s="94" t="s">
        <v>93</v>
      </c>
      <c r="B65" s="94" t="s">
        <v>187</v>
      </c>
      <c r="C65" s="110" t="s">
        <v>94</v>
      </c>
      <c r="D65" s="26" t="s">
        <v>17</v>
      </c>
      <c r="E65" s="116">
        <f>MC!C175</f>
        <v>0.23</v>
      </c>
      <c r="F65" s="116">
        <f>F27</f>
        <v>973.62</v>
      </c>
      <c r="G65" s="28">
        <f>G27</f>
        <v>1247.5899999999999</v>
      </c>
      <c r="H65" s="28">
        <f>ROUND(E65*G65,2)</f>
        <v>286.95</v>
      </c>
    </row>
    <row r="66" spans="1:8" s="115" customFormat="1" ht="25.05" customHeight="1" x14ac:dyDescent="0.3">
      <c r="A66" s="94" t="s">
        <v>93</v>
      </c>
      <c r="B66" s="94" t="s">
        <v>188</v>
      </c>
      <c r="C66" s="110" t="s">
        <v>98</v>
      </c>
      <c r="D66" s="26" t="s">
        <v>69</v>
      </c>
      <c r="E66" s="116">
        <f>MC!C179</f>
        <v>2</v>
      </c>
      <c r="F66" s="116">
        <f>F28</f>
        <v>413.46</v>
      </c>
      <c r="G66" s="28">
        <f>G28</f>
        <v>529.79999999999995</v>
      </c>
      <c r="H66" s="28">
        <f>ROUND(E66*G66,2)</f>
        <v>1059.5999999999999</v>
      </c>
    </row>
    <row r="67" spans="1:8" s="115" customFormat="1" ht="15" customHeight="1" x14ac:dyDescent="0.3">
      <c r="A67" s="353"/>
      <c r="B67" s="354"/>
      <c r="C67" s="354"/>
      <c r="D67" s="354"/>
      <c r="E67" s="354"/>
      <c r="F67" s="354"/>
      <c r="G67" s="354"/>
      <c r="H67" s="355"/>
    </row>
  </sheetData>
  <mergeCells count="48">
    <mergeCell ref="A1:H1"/>
    <mergeCell ref="A2:C2"/>
    <mergeCell ref="D2:E2"/>
    <mergeCell ref="F2:H2"/>
    <mergeCell ref="A3:C3"/>
    <mergeCell ref="F3:H3"/>
    <mergeCell ref="A4:H4"/>
    <mergeCell ref="A5:A6"/>
    <mergeCell ref="B5:B6"/>
    <mergeCell ref="C5:C6"/>
    <mergeCell ref="D5:D6"/>
    <mergeCell ref="E5:E6"/>
    <mergeCell ref="F5:H5"/>
    <mergeCell ref="B26:G26"/>
    <mergeCell ref="B7:G7"/>
    <mergeCell ref="A10:H10"/>
    <mergeCell ref="A11:G11"/>
    <mergeCell ref="B12:G12"/>
    <mergeCell ref="A14:H14"/>
    <mergeCell ref="B15:G15"/>
    <mergeCell ref="A17:H17"/>
    <mergeCell ref="B18:G18"/>
    <mergeCell ref="A21:H21"/>
    <mergeCell ref="B22:G22"/>
    <mergeCell ref="A25:H25"/>
    <mergeCell ref="A48:H48"/>
    <mergeCell ref="A29:H29"/>
    <mergeCell ref="A30:G30"/>
    <mergeCell ref="B31:G31"/>
    <mergeCell ref="A33:H33"/>
    <mergeCell ref="B34:G34"/>
    <mergeCell ref="A36:H36"/>
    <mergeCell ref="B37:G37"/>
    <mergeCell ref="A40:H40"/>
    <mergeCell ref="B41:G41"/>
    <mergeCell ref="A44:H44"/>
    <mergeCell ref="B45:G45"/>
    <mergeCell ref="A49:G49"/>
    <mergeCell ref="B50:G50"/>
    <mergeCell ref="A52:H52"/>
    <mergeCell ref="B53:G53"/>
    <mergeCell ref="A55:H55"/>
    <mergeCell ref="B56:G56"/>
    <mergeCell ref="A59:H59"/>
    <mergeCell ref="B60:G60"/>
    <mergeCell ref="A63:H63"/>
    <mergeCell ref="B64:G64"/>
    <mergeCell ref="A67:H67"/>
  </mergeCells>
  <printOptions horizontalCentered="1"/>
  <pageMargins left="1.1023622047244095" right="0.51181102362204722" top="1.5748031496062993" bottom="0.78740157480314965" header="0.31496062992125984" footer="0.31496062992125984"/>
  <pageSetup paperSize="9" scale="59" fitToHeight="0" orientation="portrait" r:id="rId1"/>
  <headerFooter>
    <oddHeader>&amp;C&amp;G</oddHeader>
  </headerFooter>
  <rowBreaks count="1" manualBreakCount="1">
    <brk id="4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EF7D-F4AB-4B92-8067-9952A52FF87C}">
  <sheetPr>
    <pageSetUpPr fitToPage="1"/>
  </sheetPr>
  <dimension ref="A1:I99"/>
  <sheetViews>
    <sheetView view="pageBreakPreview" zoomScale="80" zoomScaleNormal="100" zoomScaleSheetLayoutView="80" workbookViewId="0">
      <selection activeCell="M13" sqref="M13"/>
    </sheetView>
  </sheetViews>
  <sheetFormatPr defaultRowHeight="14.4" x14ac:dyDescent="0.3"/>
  <cols>
    <col min="1" max="1" width="17.21875" customWidth="1"/>
    <col min="2" max="2" width="14.88671875" customWidth="1"/>
    <col min="3" max="3" width="60.77734375" style="115" customWidth="1"/>
    <col min="4" max="4" width="13.44140625" customWidth="1"/>
    <col min="5" max="5" width="13.77734375" customWidth="1"/>
    <col min="6" max="7" width="15.77734375" customWidth="1"/>
  </cols>
  <sheetData>
    <row r="1" spans="1:9" ht="25.05" customHeight="1" x14ac:dyDescent="0.3">
      <c r="A1" s="360" t="s">
        <v>345</v>
      </c>
      <c r="B1" s="398"/>
      <c r="C1" s="398"/>
      <c r="D1" s="398"/>
      <c r="E1" s="398"/>
      <c r="F1" s="398"/>
      <c r="G1" s="398"/>
    </row>
    <row r="2" spans="1:9" ht="19.95" customHeight="1" x14ac:dyDescent="0.3">
      <c r="A2" s="335" t="str">
        <f>RES!A2</f>
        <v>PAVIMENTAÇÃO DE VIAS PÚBLICAS NO MUNÍCIO DE SÃO JOÃO DA FRONTEIRA - PI</v>
      </c>
      <c r="B2" s="336"/>
      <c r="C2" s="336"/>
      <c r="D2" s="336"/>
      <c r="E2" s="399" t="str">
        <f>RES!C2</f>
        <v>FONTE: SINAPI 02/2026</v>
      </c>
      <c r="F2" s="400"/>
      <c r="G2" s="112" t="str" cm="1">
        <f t="array" ref="G2:I2">'ORÇ (2)'!F2:H2</f>
        <v>COM DESONERAÇÃO
 BDI: 28,14%</v>
      </c>
      <c r="H2">
        <v>0</v>
      </c>
      <c r="I2">
        <v>0</v>
      </c>
    </row>
    <row r="3" spans="1:9" ht="19.95" customHeight="1" x14ac:dyDescent="0.3">
      <c r="A3" s="338" t="str">
        <f>RES!A3</f>
        <v>LOCALIDADE: DIVERSAS</v>
      </c>
      <c r="B3" s="339"/>
      <c r="C3" s="339"/>
      <c r="D3" s="339"/>
      <c r="E3" s="118" t="str">
        <f>RES!E3</f>
        <v>ÁREA TOTAL (m²):</v>
      </c>
      <c r="F3" s="215">
        <f>RES!F3</f>
        <v>6985</v>
      </c>
      <c r="G3" s="112" t="str" cm="1">
        <f t="array" ref="G3:I3">'ORÇ (2)'!F3:H3</f>
        <v>HORISTA: 90,66%
MENSALISTA: 52,90%</v>
      </c>
      <c r="H3">
        <v>0</v>
      </c>
      <c r="I3">
        <v>0</v>
      </c>
    </row>
    <row r="4" spans="1:9" ht="15" customHeight="1" x14ac:dyDescent="0.3">
      <c r="A4" s="361"/>
      <c r="B4" s="362"/>
      <c r="C4" s="362"/>
      <c r="D4" s="362"/>
      <c r="E4" s="362"/>
      <c r="F4" s="362"/>
      <c r="G4" s="363"/>
    </row>
    <row r="5" spans="1:9" s="216" customFormat="1" ht="22.95" customHeight="1" x14ac:dyDescent="0.3">
      <c r="A5" s="402" t="s">
        <v>234</v>
      </c>
      <c r="B5" s="402"/>
      <c r="C5" s="402"/>
      <c r="D5" s="402"/>
      <c r="E5" s="402"/>
      <c r="F5" s="402"/>
      <c r="G5" s="402"/>
    </row>
    <row r="6" spans="1:9" s="39" customFormat="1" ht="19.95" customHeight="1" x14ac:dyDescent="0.3">
      <c r="A6" s="201" t="s">
        <v>235</v>
      </c>
      <c r="B6" s="200" t="s">
        <v>236</v>
      </c>
      <c r="C6" s="200" t="s">
        <v>237</v>
      </c>
      <c r="D6" s="202" t="s">
        <v>238</v>
      </c>
      <c r="E6" s="201" t="s">
        <v>239</v>
      </c>
      <c r="F6" s="201" t="s">
        <v>240</v>
      </c>
      <c r="G6" s="201" t="s">
        <v>148</v>
      </c>
    </row>
    <row r="7" spans="1:9" s="39" customFormat="1" ht="27" customHeight="1" x14ac:dyDescent="0.3">
      <c r="A7" s="204" t="s">
        <v>241</v>
      </c>
      <c r="B7" s="203" t="s">
        <v>242</v>
      </c>
      <c r="C7" s="203" t="s">
        <v>243</v>
      </c>
      <c r="D7" s="205" t="s">
        <v>17</v>
      </c>
      <c r="E7" s="206">
        <v>1</v>
      </c>
      <c r="F7" s="207">
        <v>464.88</v>
      </c>
      <c r="G7" s="207">
        <v>464.88</v>
      </c>
    </row>
    <row r="8" spans="1:9" s="39" customFormat="1" x14ac:dyDescent="0.3">
      <c r="A8" s="209" t="s">
        <v>244</v>
      </c>
      <c r="B8" s="208" t="s">
        <v>242</v>
      </c>
      <c r="C8" s="208" t="s">
        <v>245</v>
      </c>
      <c r="D8" s="210" t="s">
        <v>246</v>
      </c>
      <c r="E8" s="211">
        <v>0.37290000000000001</v>
      </c>
      <c r="F8" s="212">
        <v>27.15</v>
      </c>
      <c r="G8" s="212">
        <v>10.119999999999999</v>
      </c>
    </row>
    <row r="9" spans="1:9" s="39" customFormat="1" x14ac:dyDescent="0.3">
      <c r="A9" s="209" t="s">
        <v>249</v>
      </c>
      <c r="B9" s="208" t="s">
        <v>242</v>
      </c>
      <c r="C9" s="208" t="s">
        <v>250</v>
      </c>
      <c r="D9" s="210" t="s">
        <v>246</v>
      </c>
      <c r="E9" s="211">
        <v>1.1186</v>
      </c>
      <c r="F9" s="212">
        <v>22.46</v>
      </c>
      <c r="G9" s="212">
        <v>25.12</v>
      </c>
    </row>
    <row r="10" spans="1:9" s="39" customFormat="1" x14ac:dyDescent="0.3">
      <c r="A10" s="209" t="s">
        <v>247</v>
      </c>
      <c r="B10" s="208" t="s">
        <v>242</v>
      </c>
      <c r="C10" s="239" t="s">
        <v>248</v>
      </c>
      <c r="D10" s="210" t="s">
        <v>17</v>
      </c>
      <c r="E10" s="211">
        <v>0.5</v>
      </c>
      <c r="F10" s="212">
        <v>25.63</v>
      </c>
      <c r="G10" s="212">
        <v>12.81</v>
      </c>
    </row>
    <row r="11" spans="1:9" s="39" customFormat="1" x14ac:dyDescent="0.3">
      <c r="A11" s="209" t="s">
        <v>254</v>
      </c>
      <c r="B11" s="208" t="s">
        <v>242</v>
      </c>
      <c r="C11" s="208" t="s">
        <v>255</v>
      </c>
      <c r="D11" s="210" t="s">
        <v>253</v>
      </c>
      <c r="E11" s="211">
        <v>1.32E-2</v>
      </c>
      <c r="F11" s="212">
        <v>20.74</v>
      </c>
      <c r="G11" s="212">
        <v>0.27376800000000001</v>
      </c>
    </row>
    <row r="12" spans="1:9" s="39" customFormat="1" x14ac:dyDescent="0.3">
      <c r="A12" s="209" t="s">
        <v>251</v>
      </c>
      <c r="B12" s="208" t="s">
        <v>242</v>
      </c>
      <c r="C12" s="239" t="s">
        <v>252</v>
      </c>
      <c r="D12" s="210" t="s">
        <v>253</v>
      </c>
      <c r="E12" s="211">
        <v>1.1299999999999999E-2</v>
      </c>
      <c r="F12" s="212">
        <v>38.700000000000003</v>
      </c>
      <c r="G12" s="212">
        <v>0.43730999999999998</v>
      </c>
    </row>
    <row r="13" spans="1:9" s="39" customFormat="1" ht="39.6" x14ac:dyDescent="0.3">
      <c r="A13" s="209" t="s">
        <v>259</v>
      </c>
      <c r="B13" s="208" t="s">
        <v>242</v>
      </c>
      <c r="C13" s="208" t="s">
        <v>260</v>
      </c>
      <c r="D13" s="210" t="s">
        <v>17</v>
      </c>
      <c r="E13" s="211">
        <v>1</v>
      </c>
      <c r="F13" s="212">
        <v>400</v>
      </c>
      <c r="G13" s="212">
        <v>400</v>
      </c>
    </row>
    <row r="14" spans="1:9" s="39" customFormat="1" ht="26.4" x14ac:dyDescent="0.3">
      <c r="A14" s="209" t="s">
        <v>256</v>
      </c>
      <c r="B14" s="208" t="s">
        <v>242</v>
      </c>
      <c r="C14" s="208" t="s">
        <v>257</v>
      </c>
      <c r="D14" s="210" t="s">
        <v>258</v>
      </c>
      <c r="E14" s="211">
        <v>3.2082999999999999</v>
      </c>
      <c r="F14" s="212">
        <v>5.03</v>
      </c>
      <c r="G14" s="212">
        <v>16.137748999999999</v>
      </c>
    </row>
    <row r="15" spans="1:9" s="39" customFormat="1" x14ac:dyDescent="0.3">
      <c r="A15" s="217"/>
      <c r="B15" s="217"/>
      <c r="C15" s="217"/>
      <c r="D15" s="217" t="s">
        <v>261</v>
      </c>
      <c r="E15" s="213">
        <v>0</v>
      </c>
      <c r="F15" s="217" t="s">
        <v>262</v>
      </c>
      <c r="G15" s="213">
        <v>29.09</v>
      </c>
    </row>
    <row r="16" spans="1:9" s="39" customFormat="1" ht="15" customHeight="1" thickBot="1" x14ac:dyDescent="0.35">
      <c r="A16" s="217"/>
      <c r="B16" s="217"/>
      <c r="C16" s="217"/>
      <c r="D16" s="217"/>
      <c r="E16" s="401" t="s">
        <v>263</v>
      </c>
      <c r="F16" s="401"/>
      <c r="G16" s="213">
        <v>595.69000000000005</v>
      </c>
    </row>
    <row r="17" spans="1:7" s="39" customFormat="1" ht="15" thickTop="1" x14ac:dyDescent="0.3">
      <c r="A17" s="214"/>
      <c r="B17" s="214"/>
      <c r="C17" s="214"/>
      <c r="D17" s="214"/>
      <c r="E17" s="214"/>
      <c r="F17" s="214"/>
      <c r="G17" s="214"/>
    </row>
    <row r="18" spans="1:7" s="39" customFormat="1" x14ac:dyDescent="0.3">
      <c r="A18" s="201" t="s">
        <v>235</v>
      </c>
      <c r="B18" s="200" t="s">
        <v>236</v>
      </c>
      <c r="C18" s="200" t="s">
        <v>237</v>
      </c>
      <c r="D18" s="202" t="s">
        <v>238</v>
      </c>
      <c r="E18" s="201" t="s">
        <v>239</v>
      </c>
      <c r="F18" s="201" t="s">
        <v>240</v>
      </c>
      <c r="G18" s="201" t="s">
        <v>148</v>
      </c>
    </row>
    <row r="19" spans="1:7" s="216" customFormat="1" ht="26.4" x14ac:dyDescent="0.3">
      <c r="A19" s="204" t="s">
        <v>264</v>
      </c>
      <c r="B19" s="203" t="s">
        <v>265</v>
      </c>
      <c r="C19" s="203" t="s">
        <v>266</v>
      </c>
      <c r="D19" s="205" t="s">
        <v>39</v>
      </c>
      <c r="E19" s="206">
        <v>1</v>
      </c>
      <c r="F19" s="207">
        <v>7790.7</v>
      </c>
      <c r="G19" s="207">
        <v>7790.7</v>
      </c>
    </row>
    <row r="20" spans="1:7" s="39" customFormat="1" x14ac:dyDescent="0.3">
      <c r="A20" s="209" t="s">
        <v>267</v>
      </c>
      <c r="B20" s="208" t="s">
        <v>242</v>
      </c>
      <c r="C20" s="208" t="s">
        <v>268</v>
      </c>
      <c r="D20" s="210" t="s">
        <v>246</v>
      </c>
      <c r="E20" s="211">
        <v>60</v>
      </c>
      <c r="F20" s="212">
        <v>38.54</v>
      </c>
      <c r="G20" s="212">
        <v>2312.4</v>
      </c>
    </row>
    <row r="21" spans="1:7" s="39" customFormat="1" x14ac:dyDescent="0.3">
      <c r="A21" s="209" t="s">
        <v>269</v>
      </c>
      <c r="B21" s="208" t="s">
        <v>242</v>
      </c>
      <c r="C21" s="208" t="s">
        <v>270</v>
      </c>
      <c r="D21" s="210" t="s">
        <v>246</v>
      </c>
      <c r="E21" s="211">
        <v>60</v>
      </c>
      <c r="F21" s="212">
        <v>25.81</v>
      </c>
      <c r="G21" s="212">
        <v>1548.6</v>
      </c>
    </row>
    <row r="22" spans="1:7" s="39" customFormat="1" ht="26.4" x14ac:dyDescent="0.3">
      <c r="A22" s="209" t="s">
        <v>271</v>
      </c>
      <c r="B22" s="208" t="s">
        <v>242</v>
      </c>
      <c r="C22" s="208" t="s">
        <v>272</v>
      </c>
      <c r="D22" s="210" t="s">
        <v>246</v>
      </c>
      <c r="E22" s="211">
        <v>30</v>
      </c>
      <c r="F22" s="212">
        <v>130.99</v>
      </c>
      <c r="G22" s="212">
        <v>3929.7</v>
      </c>
    </row>
    <row r="23" spans="1:7" s="39" customFormat="1" x14ac:dyDescent="0.3">
      <c r="A23" s="217"/>
      <c r="B23" s="217"/>
      <c r="C23" s="217"/>
      <c r="D23" s="217" t="s">
        <v>261</v>
      </c>
      <c r="E23" s="213">
        <v>0</v>
      </c>
      <c r="F23" s="217" t="s">
        <v>262</v>
      </c>
      <c r="G23" s="213">
        <v>6929.4</v>
      </c>
    </row>
    <row r="24" spans="1:7" s="39" customFormat="1" ht="15" customHeight="1" thickBot="1" x14ac:dyDescent="0.35">
      <c r="A24" s="217"/>
      <c r="B24" s="217"/>
      <c r="C24" s="217"/>
      <c r="D24" s="217"/>
      <c r="E24" s="401" t="s">
        <v>263</v>
      </c>
      <c r="F24" s="401"/>
      <c r="G24" s="213">
        <v>9983</v>
      </c>
    </row>
    <row r="25" spans="1:7" s="39" customFormat="1" ht="15" thickTop="1" x14ac:dyDescent="0.3">
      <c r="A25" s="214"/>
      <c r="B25" s="214"/>
      <c r="C25" s="214"/>
      <c r="D25" s="214"/>
      <c r="E25" s="214"/>
      <c r="F25" s="214"/>
      <c r="G25" s="214"/>
    </row>
    <row r="26" spans="1:7" s="39" customFormat="1" x14ac:dyDescent="0.3">
      <c r="A26" s="201" t="s">
        <v>235</v>
      </c>
      <c r="B26" s="200" t="s">
        <v>236</v>
      </c>
      <c r="C26" s="200" t="s">
        <v>237</v>
      </c>
      <c r="D26" s="202" t="s">
        <v>238</v>
      </c>
      <c r="E26" s="201" t="s">
        <v>239</v>
      </c>
      <c r="F26" s="201" t="s">
        <v>240</v>
      </c>
      <c r="G26" s="201" t="s">
        <v>148</v>
      </c>
    </row>
    <row r="27" spans="1:7" s="39" customFormat="1" ht="26.4" x14ac:dyDescent="0.3">
      <c r="A27" s="204" t="s">
        <v>273</v>
      </c>
      <c r="B27" s="203" t="s">
        <v>242</v>
      </c>
      <c r="C27" s="203" t="s">
        <v>274</v>
      </c>
      <c r="D27" s="205" t="s">
        <v>17</v>
      </c>
      <c r="E27" s="206">
        <v>1</v>
      </c>
      <c r="F27" s="207">
        <v>0.54</v>
      </c>
      <c r="G27" s="207">
        <v>0.54</v>
      </c>
    </row>
    <row r="28" spans="1:7" s="39" customFormat="1" ht="52.8" x14ac:dyDescent="0.3">
      <c r="A28" s="209" t="s">
        <v>278</v>
      </c>
      <c r="B28" s="208" t="s">
        <v>242</v>
      </c>
      <c r="C28" s="208" t="s">
        <v>279</v>
      </c>
      <c r="D28" s="210" t="s">
        <v>277</v>
      </c>
      <c r="E28" s="211">
        <v>6.0956999999999999E-3</v>
      </c>
      <c r="F28" s="212">
        <v>62.25</v>
      </c>
      <c r="G28" s="212">
        <v>0.37</v>
      </c>
    </row>
    <row r="29" spans="1:7" s="216" customFormat="1" ht="39.6" x14ac:dyDescent="0.3">
      <c r="A29" s="209" t="s">
        <v>280</v>
      </c>
      <c r="B29" s="208" t="s">
        <v>242</v>
      </c>
      <c r="C29" s="208" t="s">
        <v>281</v>
      </c>
      <c r="D29" s="210" t="s">
        <v>282</v>
      </c>
      <c r="E29" s="211">
        <v>3.0249999999999998E-4</v>
      </c>
      <c r="F29" s="212">
        <v>267.54000000000002</v>
      </c>
      <c r="G29" s="212">
        <v>0.08</v>
      </c>
    </row>
    <row r="30" spans="1:7" s="216" customFormat="1" x14ac:dyDescent="0.3">
      <c r="A30" s="209" t="s">
        <v>249</v>
      </c>
      <c r="B30" s="208" t="s">
        <v>242</v>
      </c>
      <c r="C30" s="208" t="s">
        <v>250</v>
      </c>
      <c r="D30" s="210" t="s">
        <v>246</v>
      </c>
      <c r="E30" s="211">
        <v>1.0342999999999999E-3</v>
      </c>
      <c r="F30" s="212">
        <v>22.46</v>
      </c>
      <c r="G30" s="212">
        <v>0.02</v>
      </c>
    </row>
    <row r="31" spans="1:7" s="216" customFormat="1" ht="39.6" x14ac:dyDescent="0.3">
      <c r="A31" s="209" t="s">
        <v>275</v>
      </c>
      <c r="B31" s="208" t="s">
        <v>242</v>
      </c>
      <c r="C31" s="208" t="s">
        <v>276</v>
      </c>
      <c r="D31" s="210" t="s">
        <v>277</v>
      </c>
      <c r="E31" s="211">
        <v>7.3180000000000001E-4</v>
      </c>
      <c r="F31" s="212">
        <v>107.79</v>
      </c>
      <c r="G31" s="212">
        <v>7.0000000000000007E-2</v>
      </c>
    </row>
    <row r="32" spans="1:7" s="39" customFormat="1" x14ac:dyDescent="0.3">
      <c r="A32" s="217"/>
      <c r="B32" s="217"/>
      <c r="C32" s="217"/>
      <c r="D32" s="217" t="s">
        <v>261</v>
      </c>
      <c r="E32" s="213">
        <v>0</v>
      </c>
      <c r="F32" s="217" t="s">
        <v>262</v>
      </c>
      <c r="G32" s="213">
        <v>0.15</v>
      </c>
    </row>
    <row r="33" spans="1:7" s="39" customFormat="1" ht="15" customHeight="1" thickBot="1" x14ac:dyDescent="0.35">
      <c r="A33" s="217"/>
      <c r="B33" s="217"/>
      <c r="C33" s="217"/>
      <c r="D33" s="217"/>
      <c r="E33" s="401" t="s">
        <v>263</v>
      </c>
      <c r="F33" s="401"/>
      <c r="G33" s="213">
        <v>0.69</v>
      </c>
    </row>
    <row r="34" spans="1:7" s="39" customFormat="1" ht="15" thickTop="1" x14ac:dyDescent="0.3">
      <c r="A34" s="214"/>
      <c r="B34" s="214"/>
      <c r="C34" s="214"/>
      <c r="D34" s="214"/>
      <c r="E34" s="214"/>
      <c r="F34" s="214"/>
      <c r="G34" s="214"/>
    </row>
    <row r="35" spans="1:7" s="39" customFormat="1" x14ac:dyDescent="0.3">
      <c r="A35" s="201" t="s">
        <v>235</v>
      </c>
      <c r="B35" s="200" t="s">
        <v>236</v>
      </c>
      <c r="C35" s="200" t="s">
        <v>237</v>
      </c>
      <c r="D35" s="202" t="s">
        <v>238</v>
      </c>
      <c r="E35" s="201" t="s">
        <v>239</v>
      </c>
      <c r="F35" s="201" t="s">
        <v>240</v>
      </c>
      <c r="G35" s="201" t="s">
        <v>148</v>
      </c>
    </row>
    <row r="36" spans="1:7" s="216" customFormat="1" ht="39.6" x14ac:dyDescent="0.3">
      <c r="A36" s="204" t="s">
        <v>283</v>
      </c>
      <c r="B36" s="203" t="s">
        <v>265</v>
      </c>
      <c r="C36" s="203" t="s">
        <v>284</v>
      </c>
      <c r="D36" s="205" t="s">
        <v>17</v>
      </c>
      <c r="E36" s="206">
        <v>1</v>
      </c>
      <c r="F36" s="207">
        <v>80.42</v>
      </c>
      <c r="G36" s="207">
        <v>80.42</v>
      </c>
    </row>
    <row r="37" spans="1:7" s="39" customFormat="1" x14ac:dyDescent="0.3">
      <c r="A37" s="209" t="s">
        <v>249</v>
      </c>
      <c r="B37" s="208" t="s">
        <v>242</v>
      </c>
      <c r="C37" s="208" t="s">
        <v>250</v>
      </c>
      <c r="D37" s="210" t="s">
        <v>246</v>
      </c>
      <c r="E37" s="211">
        <v>0.40210000000000001</v>
      </c>
      <c r="F37" s="212">
        <v>22.46</v>
      </c>
      <c r="G37" s="212">
        <v>9.0299999999999994</v>
      </c>
    </row>
    <row r="38" spans="1:7" s="39" customFormat="1" x14ac:dyDescent="0.3">
      <c r="A38" s="209" t="s">
        <v>285</v>
      </c>
      <c r="B38" s="208" t="s">
        <v>242</v>
      </c>
      <c r="C38" s="208" t="s">
        <v>286</v>
      </c>
      <c r="D38" s="210" t="s">
        <v>246</v>
      </c>
      <c r="E38" s="211">
        <v>0.40210000000000001</v>
      </c>
      <c r="F38" s="212">
        <v>27.63</v>
      </c>
      <c r="G38" s="212">
        <v>11.11</v>
      </c>
    </row>
    <row r="39" spans="1:7" s="216" customFormat="1" ht="52.8" x14ac:dyDescent="0.3">
      <c r="A39" s="209" t="s">
        <v>287</v>
      </c>
      <c r="B39" s="208" t="s">
        <v>242</v>
      </c>
      <c r="C39" s="208" t="s">
        <v>288</v>
      </c>
      <c r="D39" s="210" t="s">
        <v>277</v>
      </c>
      <c r="E39" s="211">
        <v>0.13089999999999999</v>
      </c>
      <c r="F39" s="212">
        <v>60.77</v>
      </c>
      <c r="G39" s="212">
        <v>7.95</v>
      </c>
    </row>
    <row r="40" spans="1:7" s="39" customFormat="1" ht="39.6" x14ac:dyDescent="0.3">
      <c r="A40" s="209" t="s">
        <v>289</v>
      </c>
      <c r="B40" s="208" t="s">
        <v>242</v>
      </c>
      <c r="C40" s="208" t="s">
        <v>290</v>
      </c>
      <c r="D40" s="210" t="s">
        <v>291</v>
      </c>
      <c r="E40" s="211">
        <v>2.0400000000000001E-2</v>
      </c>
      <c r="F40" s="212">
        <v>715.49</v>
      </c>
      <c r="G40" s="212">
        <v>14.59</v>
      </c>
    </row>
    <row r="41" spans="1:7" s="39" customFormat="1" ht="26.4" x14ac:dyDescent="0.3">
      <c r="A41" s="209" t="s">
        <v>292</v>
      </c>
      <c r="B41" s="208" t="s">
        <v>265</v>
      </c>
      <c r="C41" s="208" t="s">
        <v>293</v>
      </c>
      <c r="D41" s="210" t="s">
        <v>294</v>
      </c>
      <c r="E41" s="211">
        <v>4.2000000000000003E-2</v>
      </c>
      <c r="F41" s="212">
        <v>626.36</v>
      </c>
      <c r="G41" s="212">
        <v>26.3</v>
      </c>
    </row>
    <row r="42" spans="1:7" s="216" customFormat="1" ht="52.8" x14ac:dyDescent="0.3">
      <c r="A42" s="209" t="s">
        <v>295</v>
      </c>
      <c r="B42" s="208" t="s">
        <v>242</v>
      </c>
      <c r="C42" s="208" t="s">
        <v>296</v>
      </c>
      <c r="D42" s="210" t="s">
        <v>282</v>
      </c>
      <c r="E42" s="211">
        <v>3.0999999999999999E-3</v>
      </c>
      <c r="F42" s="212">
        <v>152.91999999999999</v>
      </c>
      <c r="G42" s="212">
        <v>0.47</v>
      </c>
    </row>
    <row r="43" spans="1:7" s="39" customFormat="1" ht="26.4" x14ac:dyDescent="0.3">
      <c r="A43" s="209" t="s">
        <v>297</v>
      </c>
      <c r="B43" s="208" t="s">
        <v>242</v>
      </c>
      <c r="C43" s="208" t="s">
        <v>298</v>
      </c>
      <c r="D43" s="210" t="s">
        <v>291</v>
      </c>
      <c r="E43" s="211">
        <v>0.114</v>
      </c>
      <c r="F43" s="212">
        <v>96.24</v>
      </c>
      <c r="G43" s="212">
        <v>10.971360000000001</v>
      </c>
    </row>
    <row r="44" spans="1:7" s="39" customFormat="1" x14ac:dyDescent="0.3">
      <c r="A44" s="217"/>
      <c r="B44" s="217"/>
      <c r="C44" s="217"/>
      <c r="D44" s="217" t="s">
        <v>261</v>
      </c>
      <c r="E44" s="213">
        <v>0</v>
      </c>
      <c r="F44" s="217" t="s">
        <v>262</v>
      </c>
      <c r="G44" s="213">
        <v>36.21</v>
      </c>
    </row>
    <row r="45" spans="1:7" s="39" customFormat="1" ht="15" customHeight="1" thickBot="1" x14ac:dyDescent="0.35">
      <c r="A45" s="217"/>
      <c r="B45" s="217"/>
      <c r="C45" s="217"/>
      <c r="D45" s="217"/>
      <c r="E45" s="401" t="s">
        <v>263</v>
      </c>
      <c r="F45" s="401"/>
      <c r="G45" s="213">
        <v>103.05</v>
      </c>
    </row>
    <row r="46" spans="1:7" s="39" customFormat="1" ht="15" thickTop="1" x14ac:dyDescent="0.3">
      <c r="A46" s="214"/>
      <c r="B46" s="214"/>
      <c r="C46" s="214"/>
      <c r="D46" s="214"/>
      <c r="E46" s="214"/>
      <c r="F46" s="214"/>
      <c r="G46" s="214"/>
    </row>
    <row r="47" spans="1:7" s="39" customFormat="1" x14ac:dyDescent="0.3">
      <c r="A47" s="201" t="s">
        <v>235</v>
      </c>
      <c r="B47" s="200" t="s">
        <v>236</v>
      </c>
      <c r="C47" s="200" t="s">
        <v>237</v>
      </c>
      <c r="D47" s="202" t="s">
        <v>238</v>
      </c>
      <c r="E47" s="201" t="s">
        <v>239</v>
      </c>
      <c r="F47" s="201" t="s">
        <v>240</v>
      </c>
      <c r="G47" s="201" t="s">
        <v>148</v>
      </c>
    </row>
    <row r="48" spans="1:7" s="216" customFormat="1" ht="52.8" x14ac:dyDescent="0.3">
      <c r="A48" s="204" t="s">
        <v>299</v>
      </c>
      <c r="B48" s="203" t="s">
        <v>242</v>
      </c>
      <c r="C48" s="203" t="s">
        <v>300</v>
      </c>
      <c r="D48" s="205" t="s">
        <v>258</v>
      </c>
      <c r="E48" s="206">
        <v>1</v>
      </c>
      <c r="F48" s="207">
        <v>44.62</v>
      </c>
      <c r="G48" s="207">
        <v>44.62</v>
      </c>
    </row>
    <row r="49" spans="1:7" s="39" customFormat="1" x14ac:dyDescent="0.3">
      <c r="A49" s="209" t="s">
        <v>249</v>
      </c>
      <c r="B49" s="208" t="s">
        <v>242</v>
      </c>
      <c r="C49" s="208" t="s">
        <v>250</v>
      </c>
      <c r="D49" s="210" t="s">
        <v>246</v>
      </c>
      <c r="E49" s="211">
        <v>0.2296</v>
      </c>
      <c r="F49" s="212">
        <v>22.46</v>
      </c>
      <c r="G49" s="212">
        <v>5.15</v>
      </c>
    </row>
    <row r="50" spans="1:7" s="39" customFormat="1" x14ac:dyDescent="0.3">
      <c r="A50" s="209" t="s">
        <v>301</v>
      </c>
      <c r="B50" s="208" t="s">
        <v>242</v>
      </c>
      <c r="C50" s="208" t="s">
        <v>302</v>
      </c>
      <c r="D50" s="210" t="s">
        <v>246</v>
      </c>
      <c r="E50" s="211">
        <v>0.2296</v>
      </c>
      <c r="F50" s="212">
        <v>27.82</v>
      </c>
      <c r="G50" s="212">
        <v>6.38</v>
      </c>
    </row>
    <row r="51" spans="1:7" s="216" customFormat="1" ht="26.4" x14ac:dyDescent="0.3">
      <c r="A51" s="209" t="s">
        <v>303</v>
      </c>
      <c r="B51" s="208" t="s">
        <v>242</v>
      </c>
      <c r="C51" s="208" t="s">
        <v>304</v>
      </c>
      <c r="D51" s="210" t="s">
        <v>291</v>
      </c>
      <c r="E51" s="211">
        <v>1.8E-3</v>
      </c>
      <c r="F51" s="212">
        <v>815.72</v>
      </c>
      <c r="G51" s="212">
        <v>1.46</v>
      </c>
    </row>
    <row r="52" spans="1:7" s="39" customFormat="1" ht="26.4" x14ac:dyDescent="0.3">
      <c r="A52" s="209" t="s">
        <v>305</v>
      </c>
      <c r="B52" s="208" t="s">
        <v>242</v>
      </c>
      <c r="C52" s="208" t="s">
        <v>306</v>
      </c>
      <c r="D52" s="210" t="s">
        <v>258</v>
      </c>
      <c r="E52" s="211">
        <v>1.0049999999999999</v>
      </c>
      <c r="F52" s="212">
        <v>30.86</v>
      </c>
      <c r="G52" s="212">
        <v>31.014299999999999</v>
      </c>
    </row>
    <row r="53" spans="1:7" s="39" customFormat="1" ht="26.4" x14ac:dyDescent="0.3">
      <c r="A53" s="209" t="s">
        <v>307</v>
      </c>
      <c r="B53" s="208" t="s">
        <v>242</v>
      </c>
      <c r="C53" s="208" t="s">
        <v>308</v>
      </c>
      <c r="D53" s="210" t="s">
        <v>291</v>
      </c>
      <c r="E53" s="211">
        <v>6.6E-3</v>
      </c>
      <c r="F53" s="212">
        <v>95</v>
      </c>
      <c r="G53" s="212">
        <v>0.627</v>
      </c>
    </row>
    <row r="54" spans="1:7" s="39" customFormat="1" x14ac:dyDescent="0.3">
      <c r="A54" s="217"/>
      <c r="B54" s="217"/>
      <c r="C54" s="217"/>
      <c r="D54" s="217" t="s">
        <v>261</v>
      </c>
      <c r="E54" s="213">
        <v>0</v>
      </c>
      <c r="F54" s="217" t="s">
        <v>262</v>
      </c>
      <c r="G54" s="213">
        <v>8.42</v>
      </c>
    </row>
    <row r="55" spans="1:7" s="39" customFormat="1" ht="15" customHeight="1" thickBot="1" x14ac:dyDescent="0.35">
      <c r="A55" s="217"/>
      <c r="B55" s="217"/>
      <c r="C55" s="217"/>
      <c r="D55" s="217"/>
      <c r="E55" s="401" t="s">
        <v>263</v>
      </c>
      <c r="F55" s="401"/>
      <c r="G55" s="213">
        <v>57.17</v>
      </c>
    </row>
    <row r="56" spans="1:7" s="39" customFormat="1" ht="15" thickTop="1" x14ac:dyDescent="0.3">
      <c r="A56" s="214"/>
      <c r="B56" s="214"/>
      <c r="C56" s="214"/>
      <c r="D56" s="214"/>
      <c r="E56" s="214"/>
      <c r="F56" s="214"/>
      <c r="G56" s="214"/>
    </row>
    <row r="57" spans="1:7" s="39" customFormat="1" x14ac:dyDescent="0.3">
      <c r="A57" s="201" t="s">
        <v>235</v>
      </c>
      <c r="B57" s="200" t="s">
        <v>236</v>
      </c>
      <c r="C57" s="200" t="s">
        <v>237</v>
      </c>
      <c r="D57" s="202" t="s">
        <v>238</v>
      </c>
      <c r="E57" s="201" t="s">
        <v>239</v>
      </c>
      <c r="F57" s="201" t="s">
        <v>240</v>
      </c>
      <c r="G57" s="201" t="s">
        <v>148</v>
      </c>
    </row>
    <row r="58" spans="1:7" s="216" customFormat="1" ht="26.4" x14ac:dyDescent="0.3">
      <c r="A58" s="204" t="s">
        <v>309</v>
      </c>
      <c r="B58" s="203" t="s">
        <v>265</v>
      </c>
      <c r="C58" s="203" t="s">
        <v>185</v>
      </c>
      <c r="D58" s="205" t="s">
        <v>48</v>
      </c>
      <c r="E58" s="206">
        <v>1</v>
      </c>
      <c r="F58" s="207">
        <v>22.93</v>
      </c>
      <c r="G58" s="207">
        <v>22.93</v>
      </c>
    </row>
    <row r="59" spans="1:7" s="39" customFormat="1" x14ac:dyDescent="0.3">
      <c r="A59" s="209" t="s">
        <v>249</v>
      </c>
      <c r="B59" s="208" t="s">
        <v>242</v>
      </c>
      <c r="C59" s="208" t="s">
        <v>250</v>
      </c>
      <c r="D59" s="210" t="s">
        <v>246</v>
      </c>
      <c r="E59" s="211">
        <v>0.2326</v>
      </c>
      <c r="F59" s="212">
        <v>22.46</v>
      </c>
      <c r="G59" s="212">
        <v>5.22</v>
      </c>
    </row>
    <row r="60" spans="1:7" s="39" customFormat="1" x14ac:dyDescent="0.3">
      <c r="A60" s="209" t="s">
        <v>301</v>
      </c>
      <c r="B60" s="208" t="s">
        <v>242</v>
      </c>
      <c r="C60" s="208" t="s">
        <v>302</v>
      </c>
      <c r="D60" s="210" t="s">
        <v>246</v>
      </c>
      <c r="E60" s="211">
        <v>0.2326</v>
      </c>
      <c r="F60" s="212">
        <v>27.82</v>
      </c>
      <c r="G60" s="212">
        <v>6.47</v>
      </c>
    </row>
    <row r="61" spans="1:7" s="216" customFormat="1" ht="39.6" x14ac:dyDescent="0.3">
      <c r="A61" s="209" t="s">
        <v>310</v>
      </c>
      <c r="B61" s="208" t="s">
        <v>242</v>
      </c>
      <c r="C61" s="208" t="s">
        <v>311</v>
      </c>
      <c r="D61" s="210" t="s">
        <v>291</v>
      </c>
      <c r="E61" s="211">
        <v>1.4999999999999999E-2</v>
      </c>
      <c r="F61" s="212">
        <v>550</v>
      </c>
      <c r="G61" s="212">
        <v>8.25</v>
      </c>
    </row>
    <row r="62" spans="1:7" s="39" customFormat="1" ht="26.4" x14ac:dyDescent="0.3">
      <c r="A62" s="209" t="s">
        <v>312</v>
      </c>
      <c r="B62" s="208" t="s">
        <v>242</v>
      </c>
      <c r="C62" s="208" t="s">
        <v>313</v>
      </c>
      <c r="D62" s="210" t="s">
        <v>258</v>
      </c>
      <c r="E62" s="211">
        <v>0.2</v>
      </c>
      <c r="F62" s="212">
        <v>3.46</v>
      </c>
      <c r="G62" s="212">
        <v>0.69199999999999995</v>
      </c>
    </row>
    <row r="63" spans="1:7" s="39" customFormat="1" ht="26.4" x14ac:dyDescent="0.3">
      <c r="A63" s="209" t="s">
        <v>314</v>
      </c>
      <c r="B63" s="208" t="s">
        <v>242</v>
      </c>
      <c r="C63" s="208" t="s">
        <v>315</v>
      </c>
      <c r="D63" s="210" t="s">
        <v>258</v>
      </c>
      <c r="E63" s="211">
        <v>8.3299999999999999E-2</v>
      </c>
      <c r="F63" s="212">
        <v>16.43</v>
      </c>
      <c r="G63" s="212">
        <v>1.368619</v>
      </c>
    </row>
    <row r="64" spans="1:7" s="39" customFormat="1" ht="26.4" x14ac:dyDescent="0.3">
      <c r="A64" s="209" t="s">
        <v>307</v>
      </c>
      <c r="B64" s="208" t="s">
        <v>242</v>
      </c>
      <c r="C64" s="208" t="s">
        <v>308</v>
      </c>
      <c r="D64" s="210" t="s">
        <v>291</v>
      </c>
      <c r="E64" s="211">
        <v>9.9000000000000008E-3</v>
      </c>
      <c r="F64" s="212">
        <v>95</v>
      </c>
      <c r="G64" s="212">
        <v>0.9405</v>
      </c>
    </row>
    <row r="65" spans="1:7" s="39" customFormat="1" x14ac:dyDescent="0.3">
      <c r="A65" s="217"/>
      <c r="B65" s="217"/>
      <c r="C65" s="217"/>
      <c r="D65" s="217" t="s">
        <v>261</v>
      </c>
      <c r="E65" s="213">
        <v>0</v>
      </c>
      <c r="F65" s="217" t="s">
        <v>262</v>
      </c>
      <c r="G65" s="213">
        <v>8.2899999999999991</v>
      </c>
    </row>
    <row r="66" spans="1:7" s="39" customFormat="1" ht="15" customHeight="1" thickBot="1" x14ac:dyDescent="0.35">
      <c r="A66" s="217"/>
      <c r="B66" s="217"/>
      <c r="C66" s="217"/>
      <c r="D66" s="217"/>
      <c r="E66" s="401" t="s">
        <v>263</v>
      </c>
      <c r="F66" s="401"/>
      <c r="G66" s="213">
        <v>29.38</v>
      </c>
    </row>
    <row r="67" spans="1:7" s="39" customFormat="1" ht="15" thickTop="1" x14ac:dyDescent="0.3">
      <c r="A67" s="214"/>
      <c r="B67" s="214"/>
      <c r="C67" s="214"/>
      <c r="D67" s="214"/>
      <c r="E67" s="214"/>
      <c r="F67" s="214"/>
      <c r="G67" s="214"/>
    </row>
    <row r="68" spans="1:7" s="39" customFormat="1" x14ac:dyDescent="0.3">
      <c r="A68" s="201" t="s">
        <v>235</v>
      </c>
      <c r="B68" s="200" t="s">
        <v>236</v>
      </c>
      <c r="C68" s="200" t="s">
        <v>237</v>
      </c>
      <c r="D68" s="202" t="s">
        <v>238</v>
      </c>
      <c r="E68" s="201" t="s">
        <v>239</v>
      </c>
      <c r="F68" s="201" t="s">
        <v>240</v>
      </c>
      <c r="G68" s="201" t="s">
        <v>148</v>
      </c>
    </row>
    <row r="69" spans="1:7" s="216" customFormat="1" ht="39.6" x14ac:dyDescent="0.3">
      <c r="A69" s="204" t="s">
        <v>316</v>
      </c>
      <c r="B69" s="203" t="s">
        <v>242</v>
      </c>
      <c r="C69" s="203" t="s">
        <v>317</v>
      </c>
      <c r="D69" s="205" t="s">
        <v>318</v>
      </c>
      <c r="E69" s="206">
        <v>1</v>
      </c>
      <c r="F69" s="207">
        <v>1.68</v>
      </c>
      <c r="G69" s="207">
        <v>1.68</v>
      </c>
    </row>
    <row r="70" spans="1:7" s="216" customFormat="1" ht="52.8" x14ac:dyDescent="0.3">
      <c r="A70" s="209" t="s">
        <v>321</v>
      </c>
      <c r="B70" s="208" t="s">
        <v>242</v>
      </c>
      <c r="C70" s="208" t="s">
        <v>322</v>
      </c>
      <c r="D70" s="210" t="s">
        <v>277</v>
      </c>
      <c r="E70" s="211">
        <v>2.1781999999999999E-3</v>
      </c>
      <c r="F70" s="212">
        <v>71.47</v>
      </c>
      <c r="G70" s="212">
        <v>0.15</v>
      </c>
    </row>
    <row r="71" spans="1:7" s="216" customFormat="1" ht="52.8" x14ac:dyDescent="0.3">
      <c r="A71" s="209" t="s">
        <v>319</v>
      </c>
      <c r="B71" s="208" t="s">
        <v>242</v>
      </c>
      <c r="C71" s="208" t="s">
        <v>320</v>
      </c>
      <c r="D71" s="210" t="s">
        <v>282</v>
      </c>
      <c r="E71" s="211">
        <v>5.7971000000000003E-3</v>
      </c>
      <c r="F71" s="212">
        <v>265.07</v>
      </c>
      <c r="G71" s="212">
        <v>1.53</v>
      </c>
    </row>
    <row r="72" spans="1:7" s="39" customFormat="1" x14ac:dyDescent="0.3">
      <c r="A72" s="217"/>
      <c r="B72" s="217"/>
      <c r="C72" s="217"/>
      <c r="D72" s="217" t="s">
        <v>261</v>
      </c>
      <c r="E72" s="213">
        <v>0</v>
      </c>
      <c r="F72" s="217" t="s">
        <v>262</v>
      </c>
      <c r="G72" s="213">
        <v>0.16</v>
      </c>
    </row>
    <row r="73" spans="1:7" s="39" customFormat="1" ht="15" customHeight="1" thickBot="1" x14ac:dyDescent="0.35">
      <c r="A73" s="217"/>
      <c r="B73" s="217"/>
      <c r="C73" s="217"/>
      <c r="D73" s="217"/>
      <c r="E73" s="401" t="s">
        <v>263</v>
      </c>
      <c r="F73" s="401"/>
      <c r="G73" s="213">
        <v>2.15</v>
      </c>
    </row>
    <row r="74" spans="1:7" s="39" customFormat="1" ht="15" thickTop="1" x14ac:dyDescent="0.3">
      <c r="A74" s="214"/>
      <c r="B74" s="214"/>
      <c r="C74" s="214"/>
      <c r="D74" s="214"/>
      <c r="E74" s="214"/>
      <c r="F74" s="214"/>
      <c r="G74" s="214"/>
    </row>
    <row r="75" spans="1:7" s="39" customFormat="1" x14ac:dyDescent="0.3">
      <c r="A75" s="201" t="s">
        <v>235</v>
      </c>
      <c r="B75" s="200" t="s">
        <v>236</v>
      </c>
      <c r="C75" s="200" t="s">
        <v>237</v>
      </c>
      <c r="D75" s="202" t="s">
        <v>238</v>
      </c>
      <c r="E75" s="201" t="s">
        <v>239</v>
      </c>
      <c r="F75" s="201" t="s">
        <v>240</v>
      </c>
      <c r="G75" s="201" t="s">
        <v>148</v>
      </c>
    </row>
    <row r="76" spans="1:7" s="216" customFormat="1" ht="39.6" x14ac:dyDescent="0.3">
      <c r="A76" s="204" t="s">
        <v>323</v>
      </c>
      <c r="B76" s="203" t="s">
        <v>242</v>
      </c>
      <c r="C76" s="203" t="s">
        <v>324</v>
      </c>
      <c r="D76" s="205" t="s">
        <v>318</v>
      </c>
      <c r="E76" s="206">
        <v>1</v>
      </c>
      <c r="F76" s="207">
        <v>0.63</v>
      </c>
      <c r="G76" s="207">
        <v>0.63</v>
      </c>
    </row>
    <row r="77" spans="1:7" s="216" customFormat="1" ht="52.8" x14ac:dyDescent="0.3">
      <c r="A77" s="209" t="s">
        <v>319</v>
      </c>
      <c r="B77" s="208" t="s">
        <v>242</v>
      </c>
      <c r="C77" s="208" t="s">
        <v>320</v>
      </c>
      <c r="D77" s="210" t="s">
        <v>282</v>
      </c>
      <c r="E77" s="211">
        <v>2.2222000000000001E-3</v>
      </c>
      <c r="F77" s="212">
        <v>265.07</v>
      </c>
      <c r="G77" s="212">
        <v>0.57999999999999996</v>
      </c>
    </row>
    <row r="78" spans="1:7" s="216" customFormat="1" ht="52.8" x14ac:dyDescent="0.3">
      <c r="A78" s="209" t="s">
        <v>321</v>
      </c>
      <c r="B78" s="208" t="s">
        <v>242</v>
      </c>
      <c r="C78" s="208" t="s">
        <v>322</v>
      </c>
      <c r="D78" s="210" t="s">
        <v>277</v>
      </c>
      <c r="E78" s="211">
        <v>8.3500000000000002E-4</v>
      </c>
      <c r="F78" s="212">
        <v>71.47</v>
      </c>
      <c r="G78" s="212">
        <v>0.05</v>
      </c>
    </row>
    <row r="79" spans="1:7" s="39" customFormat="1" x14ac:dyDescent="0.3">
      <c r="A79" s="217"/>
      <c r="B79" s="217"/>
      <c r="C79" s="217"/>
      <c r="D79" s="217" t="s">
        <v>261</v>
      </c>
      <c r="E79" s="213">
        <v>0</v>
      </c>
      <c r="F79" s="217" t="s">
        <v>262</v>
      </c>
      <c r="G79" s="213">
        <v>0.05</v>
      </c>
    </row>
    <row r="80" spans="1:7" s="39" customFormat="1" ht="15" customHeight="1" thickBot="1" x14ac:dyDescent="0.35">
      <c r="A80" s="217"/>
      <c r="B80" s="217"/>
      <c r="C80" s="217"/>
      <c r="D80" s="217"/>
      <c r="E80" s="401" t="s">
        <v>263</v>
      </c>
      <c r="F80" s="401"/>
      <c r="G80" s="213">
        <v>0.8</v>
      </c>
    </row>
    <row r="81" spans="1:7" s="39" customFormat="1" ht="15" thickTop="1" x14ac:dyDescent="0.3">
      <c r="A81" s="214"/>
      <c r="B81" s="214"/>
      <c r="C81" s="214"/>
      <c r="D81" s="214"/>
      <c r="E81" s="214"/>
      <c r="F81" s="214"/>
      <c r="G81" s="214"/>
    </row>
    <row r="82" spans="1:7" s="39" customFormat="1" x14ac:dyDescent="0.3">
      <c r="A82" s="201" t="s">
        <v>235</v>
      </c>
      <c r="B82" s="200" t="s">
        <v>236</v>
      </c>
      <c r="C82" s="200" t="s">
        <v>237</v>
      </c>
      <c r="D82" s="202" t="s">
        <v>238</v>
      </c>
      <c r="E82" s="201" t="s">
        <v>239</v>
      </c>
      <c r="F82" s="201" t="s">
        <v>240</v>
      </c>
      <c r="G82" s="201" t="s">
        <v>148</v>
      </c>
    </row>
    <row r="83" spans="1:7" s="216" customFormat="1" ht="26.4" x14ac:dyDescent="0.3">
      <c r="A83" s="204" t="s">
        <v>325</v>
      </c>
      <c r="B83" s="203" t="s">
        <v>265</v>
      </c>
      <c r="C83" s="203" t="s">
        <v>326</v>
      </c>
      <c r="D83" s="205" t="s">
        <v>17</v>
      </c>
      <c r="E83" s="206">
        <v>1</v>
      </c>
      <c r="F83" s="207">
        <v>973.62</v>
      </c>
      <c r="G83" s="207">
        <v>973.62</v>
      </c>
    </row>
    <row r="84" spans="1:7" s="39" customFormat="1" ht="26.4" x14ac:dyDescent="0.3">
      <c r="A84" s="209" t="s">
        <v>327</v>
      </c>
      <c r="B84" s="208" t="s">
        <v>242</v>
      </c>
      <c r="C84" s="208" t="s">
        <v>328</v>
      </c>
      <c r="D84" s="210" t="s">
        <v>246</v>
      </c>
      <c r="E84" s="211">
        <v>0.25269999999999998</v>
      </c>
      <c r="F84" s="212">
        <v>21.4</v>
      </c>
      <c r="G84" s="212">
        <v>5.4</v>
      </c>
    </row>
    <row r="85" spans="1:7" s="39" customFormat="1" x14ac:dyDescent="0.3">
      <c r="A85" s="209" t="s">
        <v>249</v>
      </c>
      <c r="B85" s="208" t="s">
        <v>242</v>
      </c>
      <c r="C85" s="208" t="s">
        <v>250</v>
      </c>
      <c r="D85" s="210" t="s">
        <v>246</v>
      </c>
      <c r="E85" s="211">
        <v>0.75819999999999999</v>
      </c>
      <c r="F85" s="212">
        <v>22.46</v>
      </c>
      <c r="G85" s="212">
        <v>17.02</v>
      </c>
    </row>
    <row r="86" spans="1:7" s="39" customFormat="1" ht="26.4" x14ac:dyDescent="0.3">
      <c r="A86" s="209" t="s">
        <v>329</v>
      </c>
      <c r="B86" s="208" t="s">
        <v>242</v>
      </c>
      <c r="C86" s="208" t="s">
        <v>330</v>
      </c>
      <c r="D86" s="210" t="s">
        <v>17</v>
      </c>
      <c r="E86" s="211">
        <v>1</v>
      </c>
      <c r="F86" s="212">
        <v>924</v>
      </c>
      <c r="G86" s="212">
        <v>924</v>
      </c>
    </row>
    <row r="87" spans="1:7" s="39" customFormat="1" ht="39.6" customHeight="1" x14ac:dyDescent="0.3">
      <c r="A87" s="209" t="s">
        <v>331</v>
      </c>
      <c r="B87" s="208" t="s">
        <v>242</v>
      </c>
      <c r="C87" s="208" t="s">
        <v>332</v>
      </c>
      <c r="D87" s="210" t="s">
        <v>333</v>
      </c>
      <c r="E87" s="211">
        <v>4</v>
      </c>
      <c r="F87" s="212">
        <v>6.8</v>
      </c>
      <c r="G87" s="212">
        <v>27.2</v>
      </c>
    </row>
    <row r="88" spans="1:7" s="39" customFormat="1" x14ac:dyDescent="0.3">
      <c r="A88" s="217"/>
      <c r="B88" s="217"/>
      <c r="C88" s="217"/>
      <c r="D88" s="217" t="s">
        <v>261</v>
      </c>
      <c r="E88" s="213">
        <v>0</v>
      </c>
      <c r="F88" s="217" t="s">
        <v>262</v>
      </c>
      <c r="G88" s="213">
        <v>15.39</v>
      </c>
    </row>
    <row r="89" spans="1:7" s="39" customFormat="1" ht="15" customHeight="1" thickBot="1" x14ac:dyDescent="0.35">
      <c r="A89" s="217"/>
      <c r="B89" s="217"/>
      <c r="C89" s="217"/>
      <c r="D89" s="217"/>
      <c r="E89" s="401" t="s">
        <v>263</v>
      </c>
      <c r="F89" s="401"/>
      <c r="G89" s="213">
        <v>1247.5899999999999</v>
      </c>
    </row>
    <row r="90" spans="1:7" s="39" customFormat="1" ht="15" thickTop="1" x14ac:dyDescent="0.3">
      <c r="A90" s="214"/>
      <c r="B90" s="214"/>
      <c r="C90" s="214"/>
      <c r="D90" s="214"/>
      <c r="E90" s="214"/>
      <c r="F90" s="214"/>
      <c r="G90" s="214"/>
    </row>
    <row r="91" spans="1:7" s="39" customFormat="1" x14ac:dyDescent="0.3">
      <c r="A91" s="201" t="s">
        <v>235</v>
      </c>
      <c r="B91" s="200" t="s">
        <v>236</v>
      </c>
      <c r="C91" s="200" t="s">
        <v>237</v>
      </c>
      <c r="D91" s="202" t="s">
        <v>238</v>
      </c>
      <c r="E91" s="201" t="s">
        <v>239</v>
      </c>
      <c r="F91" s="201" t="s">
        <v>240</v>
      </c>
      <c r="G91" s="201" t="s">
        <v>148</v>
      </c>
    </row>
    <row r="92" spans="1:7" s="216" customFormat="1" ht="26.4" x14ac:dyDescent="0.3">
      <c r="A92" s="204" t="s">
        <v>334</v>
      </c>
      <c r="B92" s="203" t="s">
        <v>265</v>
      </c>
      <c r="C92" s="203" t="s">
        <v>98</v>
      </c>
      <c r="D92" s="205" t="s">
        <v>69</v>
      </c>
      <c r="E92" s="206">
        <v>1</v>
      </c>
      <c r="F92" s="207">
        <v>413.46</v>
      </c>
      <c r="G92" s="207">
        <v>413.46</v>
      </c>
    </row>
    <row r="93" spans="1:7" s="39" customFormat="1" ht="39.6" x14ac:dyDescent="0.3">
      <c r="A93" s="209" t="s">
        <v>335</v>
      </c>
      <c r="B93" s="208" t="s">
        <v>242</v>
      </c>
      <c r="C93" s="208" t="s">
        <v>336</v>
      </c>
      <c r="D93" s="210" t="s">
        <v>291</v>
      </c>
      <c r="E93" s="211">
        <v>2.3699999999999999E-2</v>
      </c>
      <c r="F93" s="212">
        <v>1032.8499999999999</v>
      </c>
      <c r="G93" s="212">
        <v>24.47</v>
      </c>
    </row>
    <row r="94" spans="1:7" s="39" customFormat="1" x14ac:dyDescent="0.3">
      <c r="A94" s="209" t="s">
        <v>249</v>
      </c>
      <c r="B94" s="208" t="s">
        <v>242</v>
      </c>
      <c r="C94" s="208" t="s">
        <v>250</v>
      </c>
      <c r="D94" s="210" t="s">
        <v>246</v>
      </c>
      <c r="E94" s="211">
        <v>0.64129999999999998</v>
      </c>
      <c r="F94" s="212">
        <v>22.46</v>
      </c>
      <c r="G94" s="212">
        <v>14.4</v>
      </c>
    </row>
    <row r="95" spans="1:7" s="39" customFormat="1" ht="26.4" x14ac:dyDescent="0.3">
      <c r="A95" s="209" t="s">
        <v>327</v>
      </c>
      <c r="B95" s="208" t="s">
        <v>242</v>
      </c>
      <c r="C95" s="208" t="s">
        <v>328</v>
      </c>
      <c r="D95" s="210" t="s">
        <v>246</v>
      </c>
      <c r="E95" s="211">
        <v>0.21379999999999999</v>
      </c>
      <c r="F95" s="212">
        <v>21.4</v>
      </c>
      <c r="G95" s="212">
        <v>4.57</v>
      </c>
    </row>
    <row r="96" spans="1:7" s="39" customFormat="1" ht="26.4" x14ac:dyDescent="0.3">
      <c r="A96" s="209" t="s">
        <v>337</v>
      </c>
      <c r="B96" s="208" t="s">
        <v>242</v>
      </c>
      <c r="C96" s="208" t="s">
        <v>338</v>
      </c>
      <c r="D96" s="210" t="s">
        <v>258</v>
      </c>
      <c r="E96" s="211">
        <v>3.3</v>
      </c>
      <c r="F96" s="212">
        <v>112.13</v>
      </c>
      <c r="G96" s="212">
        <v>370.029</v>
      </c>
    </row>
    <row r="97" spans="1:7" s="39" customFormat="1" x14ac:dyDescent="0.3">
      <c r="A97" s="217"/>
      <c r="B97" s="217"/>
      <c r="C97" s="217"/>
      <c r="D97" s="217" t="s">
        <v>261</v>
      </c>
      <c r="E97" s="213">
        <v>0</v>
      </c>
      <c r="F97" s="217" t="s">
        <v>262</v>
      </c>
      <c r="G97" s="213">
        <v>15.24</v>
      </c>
    </row>
    <row r="98" spans="1:7" s="39" customFormat="1" ht="14.4" customHeight="1" x14ac:dyDescent="0.3">
      <c r="A98" s="217"/>
      <c r="B98" s="217"/>
      <c r="C98" s="217"/>
      <c r="D98" s="217"/>
      <c r="E98" s="401" t="s">
        <v>263</v>
      </c>
      <c r="F98" s="401"/>
      <c r="G98" s="213">
        <v>529.79999999999995</v>
      </c>
    </row>
    <row r="99" spans="1:7" s="39" customFormat="1" x14ac:dyDescent="0.3">
      <c r="C99" s="216"/>
    </row>
  </sheetData>
  <mergeCells count="16">
    <mergeCell ref="A5:G5"/>
    <mergeCell ref="A1:G1"/>
    <mergeCell ref="A2:D2"/>
    <mergeCell ref="E2:F2"/>
    <mergeCell ref="A3:D3"/>
    <mergeCell ref="A4:G4"/>
    <mergeCell ref="E73:F73"/>
    <mergeCell ref="E80:F80"/>
    <mergeCell ref="E89:F89"/>
    <mergeCell ref="E98:F98"/>
    <mergeCell ref="E16:F16"/>
    <mergeCell ref="E24:F24"/>
    <mergeCell ref="E33:F33"/>
    <mergeCell ref="E45:F45"/>
    <mergeCell ref="E55:F55"/>
    <mergeCell ref="E66:F66"/>
  </mergeCells>
  <printOptions horizontalCentered="1"/>
  <pageMargins left="1.1023622047244095" right="0.51181102362204722" top="1.5748031496062993" bottom="0.78740157480314965" header="0.31496062992125984" footer="0.31496062992125984"/>
  <pageSetup paperSize="9" scale="55" fitToHeight="0" orientation="portrait" r:id="rId1"/>
  <headerFooter>
    <oddHeader>&amp;C&amp;G</oddHeader>
  </headerFooter>
  <rowBreaks count="2" manualBreakCount="2">
    <brk id="45" max="6" man="1"/>
    <brk id="80" max="6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9F0E-D3A0-43AB-8466-B2F34651ED9B}">
  <sheetPr>
    <pageSetUpPr fitToPage="1"/>
  </sheetPr>
  <dimension ref="A1:Y100"/>
  <sheetViews>
    <sheetView view="pageBreakPreview" zoomScaleNormal="100" zoomScaleSheetLayoutView="100" workbookViewId="0">
      <selection activeCell="C14" sqref="C14"/>
    </sheetView>
  </sheetViews>
  <sheetFormatPr defaultRowHeight="14.4" x14ac:dyDescent="0.3"/>
  <cols>
    <col min="1" max="1" width="10.77734375" customWidth="1"/>
    <col min="2" max="2" width="17.77734375" customWidth="1"/>
    <col min="3" max="3" width="50.77734375" customWidth="1"/>
    <col min="4" max="4" width="14.77734375" customWidth="1"/>
    <col min="5" max="5" width="10.77734375" customWidth="1"/>
    <col min="6" max="8" width="13.77734375" customWidth="1"/>
  </cols>
  <sheetData>
    <row r="1" spans="1:25" ht="25.05" customHeight="1" x14ac:dyDescent="0.3">
      <c r="A1" s="365" t="s">
        <v>232</v>
      </c>
      <c r="B1" s="366"/>
      <c r="C1" s="366"/>
      <c r="D1" s="366"/>
      <c r="E1" s="366"/>
      <c r="F1" s="366"/>
      <c r="G1" s="366"/>
      <c r="H1" s="366"/>
    </row>
    <row r="2" spans="1:25" ht="19.95" customHeight="1" x14ac:dyDescent="0.3">
      <c r="A2" s="367" t="str">
        <f>RES!A2</f>
        <v>PAVIMENTAÇÃO DE VIAS PÚBLICAS NO MUNÍCIO DE SÃO JOÃO DA FRONTEIRA - PI</v>
      </c>
      <c r="B2" s="367"/>
      <c r="C2" s="367"/>
      <c r="D2" s="364" t="str">
        <f>RES!C2</f>
        <v>FONTE: SINAPI 02/2026</v>
      </c>
      <c r="E2" s="364"/>
      <c r="F2" s="364" t="str">
        <f>'RES DES'!E2</f>
        <v>COM DESONERAÇÃO
 BDI: 28,14%</v>
      </c>
      <c r="G2" s="364"/>
      <c r="H2" s="364"/>
    </row>
    <row r="3" spans="1:25" ht="19.95" customHeight="1" x14ac:dyDescent="0.3">
      <c r="A3" s="368" t="str">
        <f>RES!A3</f>
        <v>LOCALIDADE: DIVERSAS</v>
      </c>
      <c r="B3" s="368"/>
      <c r="C3" s="368"/>
      <c r="D3" s="97" t="str">
        <f>RES!E3</f>
        <v>ÁREA TOTAL (m²):</v>
      </c>
      <c r="E3" s="119">
        <f>RES!F3</f>
        <v>6985</v>
      </c>
      <c r="F3" s="364" t="str">
        <f>'ORÇ (2)'!F3</f>
        <v>HORISTA: 90,66%
MENSALISTA: 52,90%</v>
      </c>
      <c r="G3" s="364"/>
      <c r="H3" s="364"/>
    </row>
    <row r="4" spans="1:25" ht="15" customHeight="1" x14ac:dyDescent="0.3">
      <c r="A4" s="361"/>
      <c r="B4" s="362"/>
      <c r="C4" s="362"/>
      <c r="D4" s="362"/>
      <c r="E4" s="362"/>
      <c r="F4" s="362"/>
      <c r="G4" s="362"/>
      <c r="H4" s="363"/>
    </row>
    <row r="5" spans="1:25" s="115" customFormat="1" ht="15" customHeight="1" x14ac:dyDescent="0.3">
      <c r="A5" s="414" t="s">
        <v>189</v>
      </c>
      <c r="B5" s="415"/>
      <c r="C5" s="121"/>
      <c r="D5" s="121"/>
      <c r="E5" s="121"/>
      <c r="F5" s="121"/>
      <c r="G5" s="121"/>
      <c r="H5" s="122"/>
      <c r="I5" s="218"/>
      <c r="J5" s="219"/>
      <c r="K5" s="219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115" customFormat="1" ht="15" customHeight="1" x14ac:dyDescent="0.3">
      <c r="A6" s="123"/>
      <c r="B6" s="124"/>
      <c r="C6" s="121"/>
      <c r="D6" s="121"/>
      <c r="E6" s="121"/>
      <c r="F6" s="121"/>
      <c r="G6" s="121"/>
      <c r="H6" s="122"/>
      <c r="I6" s="218"/>
      <c r="J6" s="219"/>
      <c r="K6" s="219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115" customFormat="1" ht="15" customHeight="1" x14ac:dyDescent="0.3">
      <c r="A7" s="125"/>
      <c r="B7" s="230" t="s">
        <v>12</v>
      </c>
      <c r="C7" s="231" t="s">
        <v>190</v>
      </c>
      <c r="D7" s="128">
        <f>IF(C7="x",1,0)</f>
        <v>1</v>
      </c>
      <c r="E7" s="129"/>
      <c r="F7" s="130"/>
      <c r="G7" s="193"/>
      <c r="H7" s="131">
        <f>IF(F7="x",1,0)</f>
        <v>0</v>
      </c>
      <c r="I7" s="218"/>
      <c r="J7" s="219"/>
      <c r="K7" s="219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115" customFormat="1" ht="15" customHeight="1" x14ac:dyDescent="0.3">
      <c r="A8" s="125"/>
      <c r="B8" s="230" t="s">
        <v>11</v>
      </c>
      <c r="C8" s="231"/>
      <c r="D8" s="128">
        <f>IF(C8="x",1,0)</f>
        <v>0</v>
      </c>
      <c r="E8" s="132"/>
      <c r="F8" s="130"/>
      <c r="G8" s="193"/>
      <c r="H8" s="131">
        <f>IF(F8="x",1,0)</f>
        <v>0</v>
      </c>
      <c r="I8" s="218"/>
      <c r="J8" s="219"/>
      <c r="K8" s="219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115" customFormat="1" ht="15" customHeight="1" thickBot="1" x14ac:dyDescent="0.35">
      <c r="A9" s="133"/>
      <c r="B9" s="416" t="str">
        <f>IF(D9&gt;1,"SELECIONE SOMENTE UM TIPO DE BDI",IF(D9=0,"SELECIONE UM TIPO DE BDI",""))</f>
        <v/>
      </c>
      <c r="C9" s="416"/>
      <c r="D9" s="134">
        <f>SUM(D7:D8)</f>
        <v>1</v>
      </c>
      <c r="E9" s="417"/>
      <c r="F9" s="417"/>
      <c r="G9" s="417"/>
      <c r="H9" s="135">
        <f>SUM(H7:H8)</f>
        <v>0</v>
      </c>
      <c r="I9" s="218"/>
      <c r="J9" s="219"/>
      <c r="K9" s="21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115" customFormat="1" ht="15" customHeight="1" thickBot="1" x14ac:dyDescent="0.35">
      <c r="A10" s="121"/>
      <c r="B10" s="232"/>
      <c r="C10" s="232"/>
      <c r="D10" s="121"/>
      <c r="E10" s="121"/>
      <c r="F10" s="121"/>
      <c r="G10" s="136"/>
      <c r="H10" s="136"/>
      <c r="I10" s="218"/>
      <c r="J10" s="219"/>
      <c r="K10" s="219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115" customFormat="1" ht="25.05" customHeight="1" x14ac:dyDescent="0.3">
      <c r="A11" s="403"/>
      <c r="B11" s="418"/>
      <c r="C11" s="143"/>
      <c r="D11" s="143"/>
      <c r="E11" s="143"/>
      <c r="F11" s="143"/>
      <c r="G11" s="137"/>
      <c r="H11" s="138"/>
      <c r="I11" s="218">
        <f>IF(H18&lt;&gt;0,VLOOKUP("x",G12:I17,3,FALSE),0)</f>
        <v>2</v>
      </c>
      <c r="J11" s="219"/>
      <c r="K11" s="219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115" customFormat="1" ht="15" customHeight="1" x14ac:dyDescent="0.3">
      <c r="A12" s="139"/>
      <c r="B12" s="121"/>
      <c r="C12" s="121"/>
      <c r="D12" s="121"/>
      <c r="E12" s="121"/>
      <c r="F12" s="140" t="s">
        <v>191</v>
      </c>
      <c r="G12" s="127"/>
      <c r="H12" s="131">
        <f t="shared" ref="H12:H17" si="0">IF(G12="x",1,0)</f>
        <v>0</v>
      </c>
      <c r="I12" s="218">
        <v>1</v>
      </c>
      <c r="J12" s="219"/>
      <c r="K12" s="219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115" customFormat="1" ht="15" customHeight="1" x14ac:dyDescent="0.3">
      <c r="A13" s="139"/>
      <c r="B13" s="121"/>
      <c r="C13" s="121"/>
      <c r="D13" s="121"/>
      <c r="E13" s="121"/>
      <c r="F13" s="140" t="s">
        <v>192</v>
      </c>
      <c r="G13" s="127" t="s">
        <v>190</v>
      </c>
      <c r="H13" s="131">
        <f t="shared" si="0"/>
        <v>1</v>
      </c>
      <c r="I13" s="218">
        <v>2</v>
      </c>
      <c r="J13" s="219"/>
      <c r="K13" s="219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115" customFormat="1" ht="25.05" customHeight="1" x14ac:dyDescent="0.3">
      <c r="A14" s="139"/>
      <c r="B14" s="121"/>
      <c r="C14" s="121"/>
      <c r="D14" s="121"/>
      <c r="E14" s="121"/>
      <c r="F14" s="140" t="s">
        <v>193</v>
      </c>
      <c r="G14" s="127"/>
      <c r="H14" s="131">
        <f t="shared" si="0"/>
        <v>0</v>
      </c>
      <c r="I14" s="218">
        <v>3</v>
      </c>
      <c r="J14" s="219"/>
      <c r="K14" s="219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115" customFormat="1" ht="25.05" customHeight="1" x14ac:dyDescent="0.3">
      <c r="A15" s="139"/>
      <c r="B15" s="121"/>
      <c r="C15" s="121"/>
      <c r="D15" s="121"/>
      <c r="E15" s="121"/>
      <c r="F15" s="140" t="s">
        <v>194</v>
      </c>
      <c r="G15" s="127"/>
      <c r="H15" s="131">
        <f t="shared" si="0"/>
        <v>0</v>
      </c>
      <c r="I15" s="218">
        <v>4</v>
      </c>
      <c r="J15" s="219"/>
      <c r="K15" s="219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115" customFormat="1" ht="15" customHeight="1" x14ac:dyDescent="0.3">
      <c r="A16" s="139"/>
      <c r="B16" s="121"/>
      <c r="C16" s="121"/>
      <c r="D16" s="121"/>
      <c r="E16" s="121"/>
      <c r="F16" s="140" t="s">
        <v>195</v>
      </c>
      <c r="G16" s="127"/>
      <c r="H16" s="131">
        <f t="shared" si="0"/>
        <v>0</v>
      </c>
      <c r="I16" s="218">
        <v>5</v>
      </c>
      <c r="J16" s="219"/>
      <c r="K16" s="219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115" customFormat="1" ht="15" customHeight="1" x14ac:dyDescent="0.3">
      <c r="A17" s="139"/>
      <c r="B17" s="412" t="str">
        <f>IF(AND(C7="x",G17="x"),"NÃO HÁ DESONERAÇÃO PARA FORNECIMENTO DE MATERIAIS","")</f>
        <v/>
      </c>
      <c r="C17" s="412"/>
      <c r="D17" s="412"/>
      <c r="E17" s="121"/>
      <c r="F17" s="140" t="s">
        <v>196</v>
      </c>
      <c r="G17" s="127"/>
      <c r="H17" s="131">
        <f t="shared" si="0"/>
        <v>0</v>
      </c>
      <c r="I17" s="218">
        <v>6</v>
      </c>
      <c r="J17" s="219"/>
      <c r="K17" s="219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115" customFormat="1" ht="25.05" customHeight="1" thickBot="1" x14ac:dyDescent="0.35">
      <c r="A18" s="133"/>
      <c r="B18" s="419" t="str">
        <f>IF(H18&gt;1,"SELECIONE SOMENTE UM TIPO DE SERVIÇO",IF(H18=0,"SELECIONE UM TIPO DE SERVIÇO",""))</f>
        <v/>
      </c>
      <c r="C18" s="419"/>
      <c r="D18" s="233"/>
      <c r="E18" s="233"/>
      <c r="F18" s="234"/>
      <c r="G18" s="235"/>
      <c r="H18" s="135">
        <f>SUM(H12:H17)</f>
        <v>1</v>
      </c>
      <c r="I18" s="218"/>
      <c r="J18" s="219"/>
      <c r="K18" s="219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15" customFormat="1" ht="25.05" customHeight="1" thickBot="1" x14ac:dyDescent="0.35">
      <c r="A19" s="121"/>
      <c r="B19" s="232"/>
      <c r="C19" s="232"/>
      <c r="D19" s="232"/>
      <c r="E19" s="236"/>
      <c r="F19" s="236"/>
      <c r="G19" s="237"/>
      <c r="H19" s="193"/>
      <c r="I19" s="218"/>
      <c r="J19" s="219"/>
      <c r="K19" s="2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115" customFormat="1" ht="15" customHeight="1" x14ac:dyDescent="0.3">
      <c r="A20" s="403" t="s">
        <v>197</v>
      </c>
      <c r="B20" s="404"/>
      <c r="C20" s="143"/>
      <c r="D20" s="143"/>
      <c r="E20" s="410"/>
      <c r="F20" s="410"/>
      <c r="G20" s="144" t="s">
        <v>23</v>
      </c>
      <c r="H20" s="145"/>
      <c r="I20" s="218"/>
      <c r="J20" s="219"/>
      <c r="K20" s="219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115" customFormat="1" ht="15" customHeight="1" x14ac:dyDescent="0.3">
      <c r="A21" s="146"/>
      <c r="B21" s="142"/>
      <c r="C21" s="142"/>
      <c r="D21" s="142"/>
      <c r="E21" s="142"/>
      <c r="F21" s="142"/>
      <c r="G21" s="193"/>
      <c r="H21" s="147"/>
      <c r="I21" s="218"/>
      <c r="J21" s="219" t="s">
        <v>340</v>
      </c>
      <c r="K21" s="219" t="s">
        <v>341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115" customFormat="1" ht="25.05" customHeight="1" x14ac:dyDescent="0.3">
      <c r="A22" s="146"/>
      <c r="B22" s="148" t="s">
        <v>198</v>
      </c>
      <c r="C22" s="149"/>
      <c r="D22" s="149" t="str">
        <f>IF(AND(G22&gt;=J22,G22&lt;=K22),"","FORA DO LIMITE")</f>
        <v/>
      </c>
      <c r="E22" s="149"/>
      <c r="F22" s="150" t="s">
        <v>199</v>
      </c>
      <c r="G22" s="151">
        <v>3.7999999999999999E-2</v>
      </c>
      <c r="H22" s="147"/>
      <c r="I22" s="218"/>
      <c r="J22" s="219">
        <f>VLOOKUP($I$13,[2]Referências!A10:D16,2,FALSE)</f>
        <v>3.7999999999999999E-2</v>
      </c>
      <c r="K22" s="219">
        <f>VLOOKUP($I$13,[2]Referências!A10:D16,4,FALSE)</f>
        <v>4.6699999999999998E-2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115" customFormat="1" ht="25.05" customHeight="1" x14ac:dyDescent="0.3">
      <c r="A23" s="146"/>
      <c r="B23" s="152"/>
      <c r="C23" s="142"/>
      <c r="D23" s="142"/>
      <c r="E23" s="142"/>
      <c r="F23" s="140"/>
      <c r="G23" s="153"/>
      <c r="H23" s="147"/>
      <c r="I23" s="218"/>
      <c r="J23" s="219"/>
      <c r="K23" s="219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115" customFormat="1" ht="15" customHeight="1" x14ac:dyDescent="0.3">
      <c r="A24" s="146"/>
      <c r="B24" s="148" t="s">
        <v>200</v>
      </c>
      <c r="C24" s="149"/>
      <c r="D24" s="149" t="str">
        <f>IF(AND(G24&gt;=J24,G24&lt;=K24),"","FORA DO LIMITE")</f>
        <v/>
      </c>
      <c r="E24" s="149"/>
      <c r="F24" s="150" t="s">
        <v>201</v>
      </c>
      <c r="G24" s="154">
        <v>1.0200000000000001E-2</v>
      </c>
      <c r="H24" s="155"/>
      <c r="I24" s="218"/>
      <c r="J24" s="219">
        <f>VLOOKUP($I$13,[2]Referências!A37:D43,2,FALSE)</f>
        <v>1.0200000000000001E-2</v>
      </c>
      <c r="K24" s="219">
        <f>VLOOKUP($I$13,[2]Referências!A37:D43,4,FALSE)</f>
        <v>1.21E-2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15" customFormat="1" ht="15" customHeight="1" x14ac:dyDescent="0.3">
      <c r="A25" s="146"/>
      <c r="B25" s="152"/>
      <c r="C25" s="142"/>
      <c r="D25" s="142"/>
      <c r="E25" s="142"/>
      <c r="F25" s="140"/>
      <c r="G25" s="156"/>
      <c r="H25" s="155"/>
      <c r="I25" s="218"/>
      <c r="J25" s="219"/>
      <c r="K25" s="219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115" customFormat="1" ht="15" customHeight="1" x14ac:dyDescent="0.3">
      <c r="A26" s="146"/>
      <c r="B26" s="157" t="s">
        <v>202</v>
      </c>
      <c r="C26" s="158"/>
      <c r="D26" s="158"/>
      <c r="E26" s="158"/>
      <c r="F26" s="159"/>
      <c r="G26" s="160"/>
      <c r="H26" s="161"/>
      <c r="I26" s="218"/>
      <c r="J26" s="219"/>
      <c r="K26" s="219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115" customFormat="1" ht="15" customHeight="1" x14ac:dyDescent="0.3">
      <c r="A27" s="146"/>
      <c r="B27" s="171"/>
      <c r="C27" s="142"/>
      <c r="D27" s="142" t="str">
        <f>IF(AND(G27&gt;=J27,G27&lt;=K27),"","FORA DO LIMITE")</f>
        <v/>
      </c>
      <c r="E27" s="142"/>
      <c r="F27" s="140" t="s">
        <v>203</v>
      </c>
      <c r="G27" s="162">
        <v>3.2000000000000002E-3</v>
      </c>
      <c r="H27" s="163"/>
      <c r="I27" s="218"/>
      <c r="J27" s="219">
        <f>VLOOKUP($I$13,[2]Referências!A19:D25,2,FALSE)</f>
        <v>3.2000000000000002E-3</v>
      </c>
      <c r="K27" s="219">
        <f>VLOOKUP($I$13,[2]Referências!A19:D25,4,FALSE)</f>
        <v>7.4000000000000003E-3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115" customFormat="1" ht="15" customHeight="1" x14ac:dyDescent="0.3">
      <c r="A28" s="146"/>
      <c r="B28" s="164"/>
      <c r="C28" s="165"/>
      <c r="D28" s="165" t="str">
        <f>IF(AND(G28&gt;=J28,G28&lt;=K28),"","FORA DO LIMITE")</f>
        <v/>
      </c>
      <c r="E28" s="165"/>
      <c r="F28" s="166" t="s">
        <v>204</v>
      </c>
      <c r="G28" s="167">
        <v>7.1999999999999998E-3</v>
      </c>
      <c r="H28" s="147"/>
      <c r="I28" s="218"/>
      <c r="J28" s="219">
        <f>VLOOKUP($I$13,[2]Referências!A28:D34,2,FALSE)</f>
        <v>5.0000000000000001E-3</v>
      </c>
      <c r="K28" s="219">
        <f>VLOOKUP($I$13,[2]Referências!A28:D34,4,FALSE)</f>
        <v>9.7000000000000003E-3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115" customFormat="1" ht="15" customHeight="1" x14ac:dyDescent="0.3">
      <c r="A29" s="146"/>
      <c r="B29" s="142"/>
      <c r="C29" s="142"/>
      <c r="D29" s="142"/>
      <c r="E29" s="142"/>
      <c r="F29" s="140"/>
      <c r="G29" s="156"/>
      <c r="H29" s="163"/>
      <c r="I29" s="218"/>
      <c r="J29" s="219"/>
      <c r="K29" s="21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115" customFormat="1" ht="25.05" customHeight="1" x14ac:dyDescent="0.3">
      <c r="A30" s="146"/>
      <c r="B30" s="126" t="s">
        <v>205</v>
      </c>
      <c r="C30" s="149"/>
      <c r="D30" s="149" t="str">
        <f>IF(AND(G30&gt;=J30,G30&lt;=K30),"","FORA DO LIMITE")</f>
        <v/>
      </c>
      <c r="E30" s="149"/>
      <c r="F30" s="150" t="s">
        <v>206</v>
      </c>
      <c r="G30" s="154">
        <v>7.4999999999999997E-2</v>
      </c>
      <c r="H30" s="163"/>
      <c r="I30" s="218"/>
      <c r="J30" s="219">
        <f>VLOOKUP($I$13,[2]Referências!A46:D52,2,FALSE)</f>
        <v>6.6400000000000001E-2</v>
      </c>
      <c r="K30" s="219">
        <f>VLOOKUP($I$13,[2]Referências!A46:D52,4,FALSE)</f>
        <v>8.6900000000000005E-2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115" customFormat="1" ht="15" customHeight="1" x14ac:dyDescent="0.3">
      <c r="A31" s="146"/>
      <c r="B31" s="142"/>
      <c r="C31" s="142"/>
      <c r="D31" s="142"/>
      <c r="E31" s="142"/>
      <c r="F31" s="140"/>
      <c r="G31" s="156"/>
      <c r="H31" s="163"/>
      <c r="I31" s="218"/>
      <c r="J31" s="219"/>
      <c r="K31" s="219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115" customFormat="1" ht="15" customHeight="1" x14ac:dyDescent="0.3">
      <c r="A32" s="146"/>
      <c r="B32" s="157" t="s">
        <v>207</v>
      </c>
      <c r="C32" s="158"/>
      <c r="D32" s="158"/>
      <c r="E32" s="158"/>
      <c r="F32" s="159"/>
      <c r="G32" s="160"/>
      <c r="H32" s="163"/>
      <c r="I32" s="218"/>
      <c r="J32" s="219"/>
      <c r="K32" s="219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115" customFormat="1" ht="25.05" customHeight="1" x14ac:dyDescent="0.3">
      <c r="A33" s="146"/>
      <c r="B33" s="168"/>
      <c r="C33" s="142"/>
      <c r="D33" s="142"/>
      <c r="E33" s="142"/>
      <c r="F33" s="140" t="str">
        <f>IF(AND(C7="X",C7&lt;&gt;C8,I11&lt;&gt;6,F8&lt;&gt;"X"),"INSS =","")</f>
        <v>INSS =</v>
      </c>
      <c r="G33" s="169">
        <f>IF(AND(C7="x",I11&lt;&gt;6,B9&lt;&gt;"SELECIONE SOMENTE UM TIPO DE BDI"),K33,"")</f>
        <v>4.4999999999999998E-2</v>
      </c>
      <c r="H33" s="170"/>
      <c r="I33" s="218"/>
      <c r="J33" s="219">
        <v>0</v>
      </c>
      <c r="K33" s="219">
        <v>4.4999999999999998E-2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115" customFormat="1" ht="25.05" customHeight="1" x14ac:dyDescent="0.3">
      <c r="A34" s="146"/>
      <c r="B34" s="411" t="str">
        <f>IF(AND(G34&lt;&gt;"",I11=6),"APAGUE O PERCENTUAL DESTA LINHA","")</f>
        <v/>
      </c>
      <c r="C34" s="412"/>
      <c r="D34" s="142" t="str">
        <f>IF(B34="APAGUE O PERCENTUAL DESTA LINHA","",IF(AND(G34&gt;=J34,G34&lt;=K34),"","FORA DO LIMITE"))</f>
        <v/>
      </c>
      <c r="E34" s="142"/>
      <c r="F34" s="140" t="str">
        <f>IF(I11=6,"","ISSQN =")</f>
        <v>ISSQN =</v>
      </c>
      <c r="G34" s="162">
        <v>0.03</v>
      </c>
      <c r="H34" s="170"/>
      <c r="I34" s="218"/>
      <c r="J34" s="219">
        <v>1.2E-2</v>
      </c>
      <c r="K34" s="219">
        <v>0.03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s="115" customFormat="1" ht="15" customHeight="1" x14ac:dyDescent="0.3">
      <c r="A35" s="146"/>
      <c r="B35" s="171"/>
      <c r="C35" s="142"/>
      <c r="D35" s="142" t="str">
        <f>IF(AND(G35&gt;=J35,G35&lt;=K35),"","FORA DO LIMITE")</f>
        <v/>
      </c>
      <c r="E35" s="142"/>
      <c r="F35" s="140" t="s">
        <v>208</v>
      </c>
      <c r="G35" s="172">
        <v>6.4999999999999997E-3</v>
      </c>
      <c r="H35" s="170"/>
      <c r="I35" s="218"/>
      <c r="J35" s="219">
        <v>6.4999999999999997E-3</v>
      </c>
      <c r="K35" s="219">
        <v>6.4999999999999997E-3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s="115" customFormat="1" ht="15" customHeight="1" x14ac:dyDescent="0.3">
      <c r="A36" s="146"/>
      <c r="B36" s="171"/>
      <c r="C36" s="142"/>
      <c r="D36" s="142" t="str">
        <f>IF(AND(G36&gt;=J36,G36&lt;=K36),"","FORA DO LIMITE")</f>
        <v/>
      </c>
      <c r="E36" s="142"/>
      <c r="F36" s="140" t="s">
        <v>209</v>
      </c>
      <c r="G36" s="172">
        <v>0.03</v>
      </c>
      <c r="H36" s="170"/>
      <c r="I36" s="218"/>
      <c r="J36" s="219">
        <v>0.03</v>
      </c>
      <c r="K36" s="219">
        <v>0.03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s="115" customFormat="1" ht="25.05" customHeight="1" x14ac:dyDescent="0.3">
      <c r="A37" s="146"/>
      <c r="B37" s="164"/>
      <c r="C37" s="165"/>
      <c r="D37" s="165"/>
      <c r="E37" s="165"/>
      <c r="F37" s="166" t="s">
        <v>210</v>
      </c>
      <c r="G37" s="173">
        <f>SUM(G33:G36)</f>
        <v>0.1115</v>
      </c>
      <c r="H37" s="163"/>
      <c r="I37" s="218"/>
      <c r="J37" s="219"/>
      <c r="K37" s="219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s="115" customFormat="1" ht="25.05" customHeight="1" thickBot="1" x14ac:dyDescent="0.35">
      <c r="A38" s="174"/>
      <c r="B38" s="141"/>
      <c r="C38" s="141"/>
      <c r="D38" s="141"/>
      <c r="E38" s="141"/>
      <c r="F38" s="175"/>
      <c r="G38" s="176"/>
      <c r="H38" s="177"/>
      <c r="I38" s="218"/>
      <c r="J38" s="219"/>
      <c r="K38" s="219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s="115" customFormat="1" ht="15" customHeight="1" thickBot="1" x14ac:dyDescent="0.35">
      <c r="A39" s="142"/>
      <c r="B39" s="142"/>
      <c r="C39" s="142"/>
      <c r="D39" s="142"/>
      <c r="E39" s="142"/>
      <c r="F39" s="178"/>
      <c r="G39" s="179"/>
      <c r="H39" s="180"/>
      <c r="I39" s="218"/>
      <c r="J39" s="219"/>
      <c r="K39" s="21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s="115" customFormat="1" ht="15" customHeight="1" x14ac:dyDescent="0.3">
      <c r="A40" s="403" t="s">
        <v>211</v>
      </c>
      <c r="B40" s="404"/>
      <c r="C40" s="143"/>
      <c r="D40" s="143"/>
      <c r="E40" s="143"/>
      <c r="F40" s="143"/>
      <c r="G40" s="144"/>
      <c r="H40" s="145"/>
      <c r="I40" s="218"/>
      <c r="J40" s="219" t="s">
        <v>342</v>
      </c>
      <c r="K40" s="219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115" customFormat="1" ht="25.05" customHeight="1" x14ac:dyDescent="0.3">
      <c r="A41" s="146"/>
      <c r="B41" s="142"/>
      <c r="C41" s="142"/>
      <c r="D41" s="142"/>
      <c r="E41" s="142"/>
      <c r="F41" s="142"/>
      <c r="G41" s="193"/>
      <c r="H41" s="147"/>
      <c r="I41" s="218"/>
      <c r="J41" s="220">
        <v>1</v>
      </c>
      <c r="K41" s="219" t="str">
        <f>IF(OR(B9="SELECIONE UM TIPO DE BDI",B9="SELECIONE SOMENTE UM TIPO DE BDI"),"VER TIPO DE BDI","OK")</f>
        <v>OK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115" customFormat="1" ht="25.05" customHeight="1" x14ac:dyDescent="0.3">
      <c r="A42" s="146"/>
      <c r="B42" s="142"/>
      <c r="C42" s="142"/>
      <c r="D42" s="142"/>
      <c r="E42" s="142"/>
      <c r="F42" s="142"/>
      <c r="G42" s="193"/>
      <c r="H42" s="147"/>
      <c r="I42" s="218"/>
      <c r="J42" s="220">
        <v>2</v>
      </c>
      <c r="K42" s="219" t="str">
        <f>IF(OR(B18="SELECIONE SOMENTE UM TIPO DE SERVIÇO",B18="SELECIONE UM TIPO DE SERVIÇO",B17="NÃO HÁ DESONERAÇÃO PARA FORNECIMENTO DE MATERIAIS"),"VER TIPO DE SERVIÇO","OK")</f>
        <v>OK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115" customFormat="1" ht="15" customHeight="1" x14ac:dyDescent="0.3">
      <c r="A43" s="146"/>
      <c r="B43" s="142"/>
      <c r="C43" s="142"/>
      <c r="D43" s="142"/>
      <c r="E43" s="142"/>
      <c r="F43" s="142"/>
      <c r="G43" s="193"/>
      <c r="H43" s="147"/>
      <c r="I43" s="218"/>
      <c r="J43" s="220">
        <v>3</v>
      </c>
      <c r="K43" s="219" t="str">
        <f>IF(OR(B19="SELECIONE SOMENTE UM TIPO DE SERVIÇO",B19="SELECIONE UM TIPO DE SERVIÇO",B18="NÃO HÁ DESONERAÇÃO PARA FORNECIMENTO DE MATERIAIS"),"VER TIPO DE SERVIÇO","OK")</f>
        <v>OK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115" customFormat="1" ht="15" customHeight="1" x14ac:dyDescent="0.3">
      <c r="A44" s="146"/>
      <c r="B44" s="142"/>
      <c r="C44" s="142"/>
      <c r="D44" s="142"/>
      <c r="E44" s="142"/>
      <c r="F44" s="142"/>
      <c r="G44" s="193"/>
      <c r="H44" s="147"/>
      <c r="I44" s="218"/>
      <c r="J44" s="220">
        <v>4</v>
      </c>
      <c r="K44" s="219" t="str">
        <f>IF(OR(B20="SELECIONE SOMENTE UM TIPO DE SERVIÇO",B20="SELECIONE UM TIPO DE SERVIÇO",B19="NÃO HÁ DESONERAÇÃO PARA FORNECIMENTO DE MATERIAIS"),"VER TIPO DE SERVIÇO","OK")</f>
        <v>OK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s="115" customFormat="1" ht="15" customHeight="1" x14ac:dyDescent="0.3">
      <c r="A45" s="146"/>
      <c r="B45" s="142"/>
      <c r="C45" s="142"/>
      <c r="D45" s="142"/>
      <c r="E45" s="142"/>
      <c r="F45" s="142"/>
      <c r="G45" s="193"/>
      <c r="H45" s="147"/>
      <c r="I45" s="218"/>
      <c r="J45" s="220"/>
      <c r="K45" s="219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s="115" customFormat="1" ht="15" customHeight="1" x14ac:dyDescent="0.3">
      <c r="A46" s="146"/>
      <c r="B46" s="142"/>
      <c r="C46" s="142"/>
      <c r="D46" s="142"/>
      <c r="E46" s="142"/>
      <c r="F46" s="142"/>
      <c r="G46" s="193"/>
      <c r="H46" s="147"/>
      <c r="I46" s="218"/>
      <c r="J46" s="219"/>
      <c r="K46" s="219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s="115" customFormat="1" ht="15" customHeight="1" x14ac:dyDescent="0.3">
      <c r="A47" s="146"/>
      <c r="B47" s="142"/>
      <c r="C47" s="142"/>
      <c r="D47" s="142"/>
      <c r="E47" s="142"/>
      <c r="F47" s="142"/>
      <c r="G47" s="193"/>
      <c r="H47" s="147"/>
      <c r="I47" s="218"/>
      <c r="J47" s="219"/>
      <c r="K47" s="219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s="115" customFormat="1" ht="15" customHeight="1" x14ac:dyDescent="0.3">
      <c r="A48" s="146" t="s">
        <v>212</v>
      </c>
      <c r="B48" s="129" t="s">
        <v>213</v>
      </c>
      <c r="C48" s="142"/>
      <c r="D48" s="142"/>
      <c r="E48" s="142"/>
      <c r="F48" s="142"/>
      <c r="G48" s="193"/>
      <c r="H48" s="147"/>
      <c r="I48" s="218"/>
      <c r="J48" s="219"/>
      <c r="K48" s="219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115" customFormat="1" ht="25.05" customHeight="1" x14ac:dyDescent="0.3">
      <c r="A49" s="146" t="s">
        <v>214</v>
      </c>
      <c r="B49" s="129" t="s">
        <v>215</v>
      </c>
      <c r="C49" s="142"/>
      <c r="D49" s="142"/>
      <c r="E49" s="142"/>
      <c r="F49" s="142"/>
      <c r="G49" s="193"/>
      <c r="H49" s="147"/>
      <c r="I49" s="218"/>
      <c r="J49" s="219"/>
      <c r="K49" s="21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115" customFormat="1" ht="15" customHeight="1" x14ac:dyDescent="0.3">
      <c r="A50" s="146" t="s">
        <v>216</v>
      </c>
      <c r="B50" s="129" t="s">
        <v>217</v>
      </c>
      <c r="C50" s="142"/>
      <c r="D50" s="142"/>
      <c r="E50" s="142"/>
      <c r="F50" s="142"/>
      <c r="G50" s="193"/>
      <c r="H50" s="147"/>
      <c r="I50" s="218"/>
      <c r="J50" s="219"/>
      <c r="K50" s="219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115" customFormat="1" ht="15" customHeight="1" x14ac:dyDescent="0.3">
      <c r="A51" s="146" t="s">
        <v>201</v>
      </c>
      <c r="B51" s="129" t="s">
        <v>218</v>
      </c>
      <c r="C51" s="142"/>
      <c r="D51" s="142"/>
      <c r="E51" s="142"/>
      <c r="F51" s="142"/>
      <c r="G51" s="193"/>
      <c r="H51" s="147"/>
      <c r="I51" s="218"/>
      <c r="J51" s="219"/>
      <c r="K51" s="219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115" customFormat="1" ht="25.05" customHeight="1" x14ac:dyDescent="0.3">
      <c r="A52" s="146" t="s">
        <v>206</v>
      </c>
      <c r="B52" s="129" t="s">
        <v>219</v>
      </c>
      <c r="C52" s="142"/>
      <c r="D52" s="142"/>
      <c r="E52" s="142"/>
      <c r="F52" s="142"/>
      <c r="G52" s="193"/>
      <c r="H52" s="147"/>
      <c r="I52" s="218"/>
      <c r="J52" s="219"/>
      <c r="K52" s="219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s="115" customFormat="1" ht="25.05" customHeight="1" x14ac:dyDescent="0.3">
      <c r="A53" s="146" t="s">
        <v>220</v>
      </c>
      <c r="B53" s="129" t="s">
        <v>221</v>
      </c>
      <c r="C53" s="142"/>
      <c r="D53" s="142"/>
      <c r="E53" s="142"/>
      <c r="F53" s="142"/>
      <c r="G53" s="193"/>
      <c r="H53" s="147"/>
      <c r="I53" s="218"/>
      <c r="J53" s="219"/>
      <c r="K53" s="219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s="115" customFormat="1" ht="15" customHeight="1" thickBot="1" x14ac:dyDescent="0.35">
      <c r="A54" s="174"/>
      <c r="B54" s="181"/>
      <c r="C54" s="141"/>
      <c r="D54" s="141"/>
      <c r="E54" s="141"/>
      <c r="F54" s="141"/>
      <c r="G54" s="182"/>
      <c r="H54" s="183"/>
      <c r="I54" s="218"/>
      <c r="J54" s="219"/>
      <c r="K54" s="219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s="115" customFormat="1" ht="15" customHeight="1" thickBot="1" x14ac:dyDescent="0.35">
      <c r="A55" s="142"/>
      <c r="B55" s="129"/>
      <c r="C55" s="142"/>
      <c r="D55" s="142"/>
      <c r="E55" s="142"/>
      <c r="F55" s="142"/>
      <c r="G55" s="193"/>
      <c r="H55" s="193"/>
      <c r="I55" s="218"/>
      <c r="J55" s="219"/>
      <c r="K55" s="219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s="115" customFormat="1" ht="25.05" customHeight="1" x14ac:dyDescent="0.3">
      <c r="A56" s="403" t="s">
        <v>222</v>
      </c>
      <c r="B56" s="404"/>
      <c r="C56" s="184"/>
      <c r="D56" s="184"/>
      <c r="E56" s="404" t="s">
        <v>223</v>
      </c>
      <c r="F56" s="404"/>
      <c r="G56" s="144"/>
      <c r="H56" s="145"/>
      <c r="I56" s="221">
        <f>SUM(1+G22,G27,G28)</f>
        <v>1.0484000000000002</v>
      </c>
      <c r="J56" s="219"/>
      <c r="K56" s="219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s="115" customFormat="1" ht="25.05" customHeight="1" x14ac:dyDescent="0.3">
      <c r="A57" s="123"/>
      <c r="B57" s="124"/>
      <c r="C57" s="142"/>
      <c r="D57" s="142"/>
      <c r="E57" s="142"/>
      <c r="F57" s="142"/>
      <c r="G57" s="193"/>
      <c r="H57" s="147"/>
      <c r="I57" s="218">
        <f>1+G24</f>
        <v>1.0102</v>
      </c>
      <c r="J57" s="219"/>
      <c r="K57" s="219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s="115" customFormat="1" ht="15" customHeight="1" x14ac:dyDescent="0.3">
      <c r="A58" s="146"/>
      <c r="B58" s="185" t="s">
        <v>224</v>
      </c>
      <c r="C58" s="186">
        <v>0.19600000000000001</v>
      </c>
      <c r="D58" s="152" t="str">
        <f>IF(AND(C58&gt;I61,C8="X"),"BDI ABAIXO","")</f>
        <v/>
      </c>
      <c r="E58" s="185" t="s">
        <v>224</v>
      </c>
      <c r="F58" s="186">
        <v>0.25600000000000001</v>
      </c>
      <c r="G58" s="152" t="str">
        <f>IF(AND(F58&gt;I61,C7="X"),"BDI ABAIXO","")</f>
        <v/>
      </c>
      <c r="H58" s="147"/>
      <c r="I58" s="218">
        <f>1+G30</f>
        <v>1.075</v>
      </c>
      <c r="J58" s="219"/>
      <c r="K58" s="219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s="115" customFormat="1" ht="15" customHeight="1" x14ac:dyDescent="0.3">
      <c r="A59" s="146"/>
      <c r="B59" s="185" t="s">
        <v>225</v>
      </c>
      <c r="C59" s="186">
        <v>0.24229999999999999</v>
      </c>
      <c r="D59" s="152" t="str">
        <f>IF(AND(C59&lt;I62,C8="X"),"BDI ACIMA","")</f>
        <v/>
      </c>
      <c r="E59" s="185" t="s">
        <v>225</v>
      </c>
      <c r="F59" s="186">
        <v>0.30520000000000003</v>
      </c>
      <c r="G59" s="152" t="str">
        <f>IF(AND(F59&lt;I61,C7="X"),"BDI ACIMA","")</f>
        <v/>
      </c>
      <c r="H59" s="147"/>
      <c r="I59" s="218">
        <f>1-G37</f>
        <v>0.88849999999999996</v>
      </c>
      <c r="J59" s="219"/>
      <c r="K59" s="21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s="115" customFormat="1" ht="25.05" customHeight="1" thickBot="1" x14ac:dyDescent="0.35">
      <c r="A60" s="174"/>
      <c r="B60" s="181"/>
      <c r="C60" s="141"/>
      <c r="D60" s="187"/>
      <c r="E60" s="141"/>
      <c r="F60" s="187"/>
      <c r="G60" s="182"/>
      <c r="H60" s="183"/>
      <c r="I60" s="218">
        <f>I56*I57*I58/I59</f>
        <v>1.2814020326392799</v>
      </c>
      <c r="J60" s="219"/>
      <c r="K60" s="219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s="115" customFormat="1" ht="25.05" customHeight="1" thickBot="1" x14ac:dyDescent="0.35">
      <c r="A61" s="142"/>
      <c r="B61" s="142"/>
      <c r="C61" s="142"/>
      <c r="D61" s="142"/>
      <c r="E61" s="142"/>
      <c r="F61" s="142"/>
      <c r="G61" s="193"/>
      <c r="H61" s="193"/>
      <c r="I61" s="218">
        <f>ROUND(I60-1,4)</f>
        <v>0.28139999999999998</v>
      </c>
      <c r="J61" s="219"/>
      <c r="K61" s="219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s="115" customFormat="1" ht="15" customHeight="1" thickBot="1" x14ac:dyDescent="0.35">
      <c r="A62" s="142"/>
      <c r="B62" s="142"/>
      <c r="C62" s="142"/>
      <c r="D62" s="188"/>
      <c r="E62" s="405" t="s">
        <v>226</v>
      </c>
      <c r="F62" s="406"/>
      <c r="G62" s="189">
        <f>IF(AND(K41="OK",K42="OK",K43="OK",K44="OK"),I61,IF(K41="VER TIPO DE BDI","VER TIPO DE BDI",IF(K42="VER TIPO DE SERVIÇO","VER TIPO DE SERVIÇO",IF(K43="VER PERCENTUAIS","VER PERCENTUAIS",IF(K44="BDI FORA DO LIMITE","BDI FORA DO LIMITE","VÁRIOS ERROS")))))</f>
        <v>0.28139999999999998</v>
      </c>
      <c r="H62" s="190" t="str">
        <f>IF(AND(M62&gt;=P62,M62&lt;=Q62),"","FORA DO LIMITE")</f>
        <v/>
      </c>
      <c r="I62" s="222">
        <f>G68</f>
        <v>0.28139999999999998</v>
      </c>
      <c r="J62" s="219"/>
      <c r="K62" s="219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s="115" customFormat="1" ht="15" customHeight="1" x14ac:dyDescent="0.3">
      <c r="A63" s="142"/>
      <c r="B63" s="142"/>
      <c r="C63" s="142"/>
      <c r="D63" s="142"/>
      <c r="E63" s="121"/>
      <c r="F63" s="121"/>
      <c r="G63" s="191"/>
      <c r="H63" s="191"/>
      <c r="I63" s="223"/>
      <c r="J63" s="219"/>
      <c r="K63" s="219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s="115" customFormat="1" ht="15" customHeight="1" x14ac:dyDescent="0.3">
      <c r="A64" s="121"/>
      <c r="B64" s="124" t="s">
        <v>227</v>
      </c>
      <c r="C64" s="121"/>
      <c r="D64" s="121"/>
      <c r="E64" s="142"/>
      <c r="F64" s="142"/>
      <c r="G64" s="142"/>
      <c r="H64" s="142"/>
      <c r="I64" s="223"/>
      <c r="J64" s="219"/>
      <c r="K64" s="219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s="115" customFormat="1" ht="15" customHeight="1" x14ac:dyDescent="0.3">
      <c r="A65" s="129"/>
      <c r="B65" s="11" t="s">
        <v>228</v>
      </c>
      <c r="C65" s="11"/>
      <c r="D65" s="11"/>
      <c r="E65" s="142"/>
      <c r="F65" s="142"/>
      <c r="G65" s="407"/>
      <c r="H65" s="407"/>
      <c r="I65" s="218"/>
      <c r="J65" s="219"/>
      <c r="K65" s="219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s="115" customFormat="1" ht="15" customHeight="1" x14ac:dyDescent="0.3">
      <c r="A66" s="142"/>
      <c r="B66" s="11" t="s">
        <v>229</v>
      </c>
      <c r="C66" s="192"/>
      <c r="D66" s="142"/>
      <c r="E66" s="142"/>
      <c r="F66" s="142"/>
      <c r="G66" s="413"/>
      <c r="H66" s="413"/>
      <c r="I66" s="218"/>
      <c r="J66" s="219"/>
      <c r="K66" s="219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s="115" customFormat="1" ht="15" customHeight="1" x14ac:dyDescent="0.3">
      <c r="A67" s="142"/>
      <c r="B67" s="11" t="s">
        <v>230</v>
      </c>
      <c r="C67" s="142"/>
      <c r="D67" s="142"/>
      <c r="E67" s="142"/>
      <c r="F67" s="194"/>
      <c r="G67" s="193"/>
      <c r="H67" s="193"/>
      <c r="I67" s="218"/>
      <c r="J67" s="219"/>
      <c r="K67" s="219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s="115" customFormat="1" ht="25.05" customHeight="1" x14ac:dyDescent="0.3">
      <c r="A68" s="142"/>
      <c r="B68" s="142"/>
      <c r="C68" s="142"/>
      <c r="D68" s="142"/>
      <c r="E68" s="142"/>
      <c r="F68" s="195" t="s">
        <v>231</v>
      </c>
      <c r="G68" s="408">
        <f>I61</f>
        <v>0.28139999999999998</v>
      </c>
      <c r="H68" s="409"/>
      <c r="I68" s="218"/>
      <c r="J68" s="219"/>
      <c r="K68" s="219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s="115" customFormat="1" ht="15" customHeight="1" x14ac:dyDescent="0.3">
      <c r="A69" s="224"/>
      <c r="B69" s="224"/>
      <c r="C69" s="225"/>
      <c r="D69" s="226"/>
      <c r="E69" s="225"/>
      <c r="F69" s="225"/>
      <c r="G69" s="226"/>
      <c r="H69" s="226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s="115" customFormat="1" ht="15" customHeight="1" x14ac:dyDescent="0.3">
      <c r="A70" s="224"/>
      <c r="B70" s="224"/>
      <c r="C70" s="225"/>
      <c r="D70" s="226"/>
      <c r="E70" s="225"/>
      <c r="F70" s="225"/>
      <c r="G70" s="226"/>
      <c r="H70" s="226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s="115" customFormat="1" ht="25.05" customHeight="1" x14ac:dyDescent="0.3">
      <c r="A71" s="227"/>
      <c r="B71" s="227"/>
      <c r="C71" s="228"/>
      <c r="D71" s="229"/>
      <c r="E71" s="228"/>
      <c r="F71" s="228"/>
      <c r="G71" s="229"/>
      <c r="H71" s="229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s="115" customFormat="1" ht="25.05" customHeight="1" x14ac:dyDescent="0.3">
      <c r="A72" s="227"/>
      <c r="B72" s="227"/>
      <c r="C72" s="228"/>
      <c r="D72" s="229"/>
      <c r="E72" s="228"/>
      <c r="F72" s="228"/>
      <c r="G72" s="229"/>
      <c r="H72" s="229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s="115" customFormat="1" ht="15" customHeight="1" x14ac:dyDescent="0.3">
      <c r="A73" s="227"/>
      <c r="B73" s="227"/>
      <c r="C73" s="228"/>
      <c r="D73" s="229"/>
      <c r="E73" s="228"/>
      <c r="F73" s="228"/>
      <c r="G73" s="229"/>
      <c r="H73" s="22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s="115" customFormat="1" ht="15" customHeight="1" x14ac:dyDescent="0.3">
      <c r="A74" s="227"/>
      <c r="B74" s="227"/>
      <c r="C74" s="228"/>
      <c r="D74" s="229"/>
      <c r="E74" s="228"/>
      <c r="F74" s="228"/>
      <c r="G74" s="229"/>
      <c r="H74" s="229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s="115" customFormat="1" ht="25.05" customHeight="1" x14ac:dyDescent="0.3">
      <c r="A75" s="227"/>
      <c r="B75" s="227"/>
      <c r="C75" s="228"/>
      <c r="D75" s="229"/>
      <c r="E75" s="228"/>
      <c r="F75" s="228"/>
      <c r="G75" s="229"/>
      <c r="H75" s="229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s="115" customFormat="1" ht="25.05" customHeight="1" x14ac:dyDescent="0.3">
      <c r="A76" s="227"/>
      <c r="B76" s="227"/>
      <c r="C76" s="228"/>
      <c r="D76" s="229"/>
      <c r="E76" s="228"/>
      <c r="F76" s="228"/>
      <c r="G76" s="229"/>
      <c r="H76" s="229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s="115" customFormat="1" ht="15" customHeight="1" x14ac:dyDescent="0.3">
      <c r="A77" s="227"/>
      <c r="B77" s="227"/>
      <c r="C77" s="228"/>
      <c r="D77" s="229"/>
      <c r="E77" s="228"/>
      <c r="F77" s="228"/>
      <c r="G77" s="229"/>
      <c r="H77" s="229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s="115" customFormat="1" ht="15" customHeight="1" x14ac:dyDescent="0.3">
      <c r="A78" s="227"/>
      <c r="B78" s="227"/>
      <c r="C78" s="228"/>
      <c r="D78" s="229"/>
      <c r="E78" s="228"/>
      <c r="F78" s="228"/>
      <c r="G78" s="229"/>
      <c r="H78" s="229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s="115" customFormat="1" ht="25.05" customHeight="1" x14ac:dyDescent="0.3"/>
    <row r="80" spans="1:25" s="115" customFormat="1" ht="25.05" customHeight="1" x14ac:dyDescent="0.3"/>
    <row r="81" s="115" customFormat="1" ht="15" customHeight="1" x14ac:dyDescent="0.3"/>
    <row r="82" s="115" customFormat="1" ht="15" customHeight="1" x14ac:dyDescent="0.3"/>
    <row r="83" s="115" customFormat="1" ht="15" customHeight="1" x14ac:dyDescent="0.3"/>
    <row r="84" s="115" customFormat="1" ht="15" customHeight="1" x14ac:dyDescent="0.3"/>
    <row r="85" s="115" customFormat="1" ht="15" customHeight="1" x14ac:dyDescent="0.3"/>
    <row r="86" s="115" customFormat="1" ht="15" customHeight="1" x14ac:dyDescent="0.3"/>
    <row r="87" s="115" customFormat="1" ht="25.05" customHeight="1" x14ac:dyDescent="0.3"/>
    <row r="88" s="115" customFormat="1" ht="15" customHeight="1" x14ac:dyDescent="0.3"/>
    <row r="89" s="115" customFormat="1" ht="15" customHeight="1" x14ac:dyDescent="0.3"/>
    <row r="90" s="115" customFormat="1" ht="25.05" customHeight="1" x14ac:dyDescent="0.3"/>
    <row r="91" s="115" customFormat="1" ht="25.05" customHeight="1" x14ac:dyDescent="0.3"/>
    <row r="92" s="115" customFormat="1" ht="15" customHeight="1" x14ac:dyDescent="0.3"/>
    <row r="93" s="115" customFormat="1" ht="15" customHeight="1" x14ac:dyDescent="0.3"/>
    <row r="94" s="115" customFormat="1" ht="25.05" customHeight="1" x14ac:dyDescent="0.3"/>
    <row r="95" s="115" customFormat="1" ht="25.05" customHeight="1" x14ac:dyDescent="0.3"/>
    <row r="96" s="115" customFormat="1" ht="15" customHeight="1" x14ac:dyDescent="0.3"/>
    <row r="97" s="115" customFormat="1" ht="15" customHeight="1" x14ac:dyDescent="0.3"/>
    <row r="98" s="115" customFormat="1" ht="25.05" customHeight="1" x14ac:dyDescent="0.3"/>
    <row r="99" s="115" customFormat="1" ht="25.05" customHeight="1" x14ac:dyDescent="0.3"/>
    <row r="100" s="115" customFormat="1" ht="15" customHeight="1" x14ac:dyDescent="0.3"/>
  </sheetData>
  <mergeCells count="23">
    <mergeCell ref="B17:D17"/>
    <mergeCell ref="A1:H1"/>
    <mergeCell ref="A2:C2"/>
    <mergeCell ref="D2:E2"/>
    <mergeCell ref="F2:H2"/>
    <mergeCell ref="A3:C3"/>
    <mergeCell ref="F3:H3"/>
    <mergeCell ref="A4:H4"/>
    <mergeCell ref="A5:B5"/>
    <mergeCell ref="B9:C9"/>
    <mergeCell ref="E9:G9"/>
    <mergeCell ref="A11:B11"/>
    <mergeCell ref="E62:F62"/>
    <mergeCell ref="G65:H65"/>
    <mergeCell ref="G66:H66"/>
    <mergeCell ref="G68:H68"/>
    <mergeCell ref="B18:C18"/>
    <mergeCell ref="A20:B20"/>
    <mergeCell ref="E20:F20"/>
    <mergeCell ref="B34:C34"/>
    <mergeCell ref="A40:B40"/>
    <mergeCell ref="A56:B56"/>
    <mergeCell ref="E56:F56"/>
  </mergeCells>
  <conditionalFormatting sqref="B9">
    <cfRule type="cellIs" dxfId="23" priority="19" operator="equal">
      <formula>"SELECIONE SOMENTE UM TIPO DE BDI"</formula>
    </cfRule>
  </conditionalFormatting>
  <conditionalFormatting sqref="B17">
    <cfRule type="cellIs" dxfId="22" priority="6" operator="equal">
      <formula>"NÃO HÁ DESONERAÇÃO PARA FORNECIMENTO DE MATERIAIS"</formula>
    </cfRule>
  </conditionalFormatting>
  <conditionalFormatting sqref="B18">
    <cfRule type="cellIs" dxfId="21" priority="24" operator="equal">
      <formula>"SELECIONE SOMENTE UM TIPO DE SERVIÇO"</formula>
    </cfRule>
  </conditionalFormatting>
  <conditionalFormatting sqref="B9:C9 E9:G9">
    <cfRule type="cellIs" dxfId="20" priority="9" operator="equal">
      <formula>"SELECIONE UM TIPO DE BDI"</formula>
    </cfRule>
  </conditionalFormatting>
  <conditionalFormatting sqref="B18:C18">
    <cfRule type="cellIs" dxfId="19" priority="8" operator="equal">
      <formula>"SELECIONE UM TIPO DE SERVIÇO"</formula>
    </cfRule>
  </conditionalFormatting>
  <conditionalFormatting sqref="B34:C34">
    <cfRule type="cellIs" dxfId="18" priority="18" operator="equal">
      <formula>"APAGUE O PERCENTUAL DESTA LINHA"</formula>
    </cfRule>
  </conditionalFormatting>
  <conditionalFormatting sqref="C7:C8 G12:G17 G22 G24 G27:G28 G30">
    <cfRule type="cellIs" dxfId="17" priority="16" operator="equal">
      <formula>0</formula>
    </cfRule>
  </conditionalFormatting>
  <conditionalFormatting sqref="D22 D34:D36">
    <cfRule type="cellIs" dxfId="16" priority="23" operator="equal">
      <formula>"FORA DO LIMITE"</formula>
    </cfRule>
  </conditionalFormatting>
  <conditionalFormatting sqref="D24">
    <cfRule type="cellIs" dxfId="15" priority="22" operator="equal">
      <formula>"FORA DO LIMITE"</formula>
    </cfRule>
  </conditionalFormatting>
  <conditionalFormatting sqref="D27:D28">
    <cfRule type="cellIs" dxfId="14" priority="21" operator="equal">
      <formula>"FORA DO LIMITE"</formula>
    </cfRule>
  </conditionalFormatting>
  <conditionalFormatting sqref="D30">
    <cfRule type="cellIs" dxfId="13" priority="20" operator="equal">
      <formula>"FORA DO LIMITE"</formula>
    </cfRule>
  </conditionalFormatting>
  <conditionalFormatting sqref="D58">
    <cfRule type="cellIs" dxfId="12" priority="5" operator="equal">
      <formula>"BDI ABAIXO"</formula>
    </cfRule>
  </conditionalFormatting>
  <conditionalFormatting sqref="D59">
    <cfRule type="cellIs" dxfId="11" priority="4" operator="equal">
      <formula>"BDI ACIMA"</formula>
    </cfRule>
  </conditionalFormatting>
  <conditionalFormatting sqref="E9">
    <cfRule type="cellIs" dxfId="10" priority="12" operator="equal">
      <formula>"SELECIONE SOMENTE UM TIPO DE BDI"</formula>
    </cfRule>
  </conditionalFormatting>
  <conditionalFormatting sqref="E9:G9">
    <cfRule type="cellIs" dxfId="9" priority="7" operator="equal">
      <formula>"SOMENTE HÁ DESONERAÇÃO PARA OBRAS"</formula>
    </cfRule>
    <cfRule type="cellIs" dxfId="8" priority="11" operator="equal">
      <formula>"NÃO HÁ PROJETO PARA FORNECIMENTO"</formula>
    </cfRule>
  </conditionalFormatting>
  <conditionalFormatting sqref="G34:G36">
    <cfRule type="cellIs" dxfId="7" priority="10" operator="equal">
      <formula>0</formula>
    </cfRule>
  </conditionalFormatting>
  <conditionalFormatting sqref="G58">
    <cfRule type="cellIs" dxfId="6" priority="3" operator="equal">
      <formula>"BDI ABAIXO"</formula>
    </cfRule>
  </conditionalFormatting>
  <conditionalFormatting sqref="G59">
    <cfRule type="cellIs" dxfId="5" priority="2" operator="equal">
      <formula>"BDI ACIMA"</formula>
    </cfRule>
  </conditionalFormatting>
  <conditionalFormatting sqref="G62:H63">
    <cfRule type="cellIs" dxfId="4" priority="1" operator="equal">
      <formula>"VER PERCENTUAIS"</formula>
    </cfRule>
    <cfRule type="cellIs" dxfId="3" priority="13" operator="equal">
      <formula>"VÁRIOS ERROS"</formula>
    </cfRule>
    <cfRule type="cellIs" dxfId="2" priority="14" operator="equal">
      <formula>"BDI FORA DO LIMITE"</formula>
    </cfRule>
    <cfRule type="cellIs" dxfId="1" priority="15" operator="equal">
      <formula>"VER TIPO DE BDI"</formula>
    </cfRule>
    <cfRule type="cellIs" dxfId="0" priority="17" operator="equal">
      <formula>"VER TIPO DE SERVIÇO"</formula>
    </cfRule>
  </conditionalFormatting>
  <dataValidations count="3">
    <dataValidation type="list" allowBlank="1" showInputMessage="1" showErrorMessage="1" promptTitle="Alerta" prompt="Digite somente 'X'" sqref="G12:G17 C7:C8" xr:uid="{80040150-BBD9-4672-B2B5-AFDB05191965}">
      <formula1>"x,X"</formula1>
    </dataValidation>
    <dataValidation type="decimal" allowBlank="1" showInputMessage="1" showErrorMessage="1" sqref="G34:G37 G22:G32" xr:uid="{F0806D78-3BE8-4BA9-9019-27542DF81D70}">
      <formula1>0</formula1>
      <formula2>100</formula2>
    </dataValidation>
    <dataValidation allowBlank="1" promptTitle="Alerta" prompt="Digite somente 'X'" sqref="F7:F8" xr:uid="{5DD7E078-4EBC-4E63-8B07-E31EF3E8E50B}"/>
  </dataValidations>
  <printOptions horizontalCentered="1"/>
  <pageMargins left="1.1023622047244095" right="0.51181102362204722" top="1.5748031496062993" bottom="0.78740157480314965" header="0.31496062992125984" footer="0.31496062992125984"/>
  <pageSetup paperSize="9" scale="48" fitToWidth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723F-79DB-4ACB-89C6-193442CEDB17}">
  <sheetPr>
    <pageSetUpPr fitToPage="1"/>
  </sheetPr>
  <dimension ref="A1:E23"/>
  <sheetViews>
    <sheetView view="pageBreakPreview" zoomScale="70" zoomScaleNormal="100" zoomScaleSheetLayoutView="70" workbookViewId="0">
      <selection activeCell="G15" sqref="G15"/>
    </sheetView>
  </sheetViews>
  <sheetFormatPr defaultRowHeight="14.4" x14ac:dyDescent="0.3"/>
  <cols>
    <col min="1" max="1" width="20.21875" customWidth="1"/>
    <col min="2" max="2" width="59.5546875" customWidth="1"/>
    <col min="3" max="4" width="22.77734375" customWidth="1"/>
    <col min="5" max="5" width="20.77734375" customWidth="1"/>
  </cols>
  <sheetData>
    <row r="1" spans="1:4" x14ac:dyDescent="0.3">
      <c r="A1" s="296" t="s">
        <v>169</v>
      </c>
      <c r="B1" s="297"/>
      <c r="C1" s="297"/>
      <c r="D1" s="298"/>
    </row>
    <row r="2" spans="1:4" ht="14.4" customHeight="1" x14ac:dyDescent="0.3">
      <c r="A2" s="299" t="str">
        <f>CONCATENATE("OBRA: ",GERAL!B1, "NO MUNICÍPIO DE", GERAL!B2)</f>
        <v>OBRA: PAVIMENTAÇÃO EM PARALELEPÍPEDO DE VIAS NO MUNICÍPIO DESÃO JOÃO DA FRONTEIRA</v>
      </c>
      <c r="B2" s="300"/>
      <c r="C2" s="300"/>
      <c r="D2" s="301"/>
    </row>
    <row r="3" spans="1:4" ht="14.4" customHeight="1" x14ac:dyDescent="0.3">
      <c r="A3" s="299" t="str">
        <f>CONCATENATE("BASE DE PREÇO: ",GERAL!F1)</f>
        <v>BASE DE PREÇO: SINAPI 02/2026</v>
      </c>
      <c r="B3" s="300"/>
      <c r="C3" s="300"/>
      <c r="D3" s="301"/>
    </row>
    <row r="4" spans="1:4" x14ac:dyDescent="0.3">
      <c r="A4" s="296" t="str">
        <f>RES!E2</f>
        <v>SEM DESONERAÇÃO
 BDI: 21,96%</v>
      </c>
      <c r="B4" s="297"/>
      <c r="C4" s="297"/>
      <c r="D4" s="298"/>
    </row>
    <row r="5" spans="1:4" x14ac:dyDescent="0.3">
      <c r="A5" s="302"/>
      <c r="B5" s="303"/>
      <c r="C5" s="303"/>
      <c r="D5" s="304"/>
    </row>
    <row r="6" spans="1:4" x14ac:dyDescent="0.3">
      <c r="A6" s="305" t="s">
        <v>170</v>
      </c>
      <c r="B6" s="305" t="s">
        <v>171</v>
      </c>
      <c r="C6" s="305" t="s">
        <v>172</v>
      </c>
      <c r="D6" s="306" t="s">
        <v>23</v>
      </c>
    </row>
    <row r="7" spans="1:4" x14ac:dyDescent="0.3">
      <c r="A7" s="305"/>
      <c r="B7" s="305"/>
      <c r="C7" s="305"/>
      <c r="D7" s="307"/>
    </row>
    <row r="8" spans="1:4" x14ac:dyDescent="0.3">
      <c r="A8" s="290" t="str">
        <f>ORÇ!B7</f>
        <v>SERVIÇOS PRELIMINARES</v>
      </c>
      <c r="B8" s="105" t="s">
        <v>37</v>
      </c>
      <c r="C8" s="292">
        <f>ORÇ!H7</f>
        <v>23772.639999999999</v>
      </c>
      <c r="D8" s="294">
        <f>C8/C23</f>
        <v>2.209255837614588E-2</v>
      </c>
    </row>
    <row r="9" spans="1:4" x14ac:dyDescent="0.3">
      <c r="A9" s="291"/>
      <c r="B9" s="105" t="s">
        <v>38</v>
      </c>
      <c r="C9" s="293"/>
      <c r="D9" s="295"/>
    </row>
    <row r="10" spans="1:4" x14ac:dyDescent="0.3">
      <c r="A10" s="308"/>
      <c r="B10" s="309"/>
      <c r="C10" s="309"/>
      <c r="D10" s="310"/>
    </row>
    <row r="11" spans="1:4" x14ac:dyDescent="0.3">
      <c r="A11" s="251" t="str">
        <f>ORÇ!B12</f>
        <v>TERRAPLENAGEM</v>
      </c>
      <c r="B11" s="252" t="s">
        <v>60</v>
      </c>
      <c r="C11" s="100">
        <f>ORÇ!H12+ORÇ!H31+ORÇ!H50</f>
        <v>4749.8</v>
      </c>
      <c r="D11" s="101">
        <f>C11/C23</f>
        <v>4.4141178167430165E-3</v>
      </c>
    </row>
    <row r="12" spans="1:4" x14ac:dyDescent="0.3">
      <c r="A12" s="311"/>
      <c r="B12" s="312"/>
      <c r="C12" s="312"/>
      <c r="D12" s="313"/>
    </row>
    <row r="13" spans="1:4" x14ac:dyDescent="0.3">
      <c r="A13" s="253" t="str">
        <f>ORÇ!B15</f>
        <v>PAVIMENTAÇÃO</v>
      </c>
      <c r="B13" s="254" t="str">
        <f>ORÇ!C16</f>
        <v>Execução de pavimento em paralelepípedos, rejuntamento com argamassa traço 1:3 (cimento e areia)</v>
      </c>
      <c r="C13" s="249">
        <f>ORÇ!H15+ORÇ!H34+ORÇ!H53</f>
        <v>709606.15</v>
      </c>
      <c r="D13" s="102">
        <f>C13/C23</f>
        <v>0.65945621912194563</v>
      </c>
    </row>
    <row r="14" spans="1:4" x14ac:dyDescent="0.3">
      <c r="A14" s="311"/>
      <c r="B14" s="312"/>
      <c r="C14" s="312"/>
      <c r="D14" s="313"/>
    </row>
    <row r="15" spans="1:4" ht="39.6" x14ac:dyDescent="0.3">
      <c r="A15" s="314" t="s">
        <v>173</v>
      </c>
      <c r="B15" s="255" t="str">
        <f>ORÇ!C19</f>
        <v>Assentamento de guia (meio-fio), confeccionada em concreto pré-fabricado, dimensões 100x15x13x30 (comprimento x base inferiror x base superior x altura), para vias urbanas</v>
      </c>
      <c r="C15" s="316">
        <f>ORÇ!H18+ORÇ!H37+ORÇ!H56</f>
        <v>191066.38</v>
      </c>
      <c r="D15" s="317">
        <f>C15/C23</f>
        <v>0.17756316310972917</v>
      </c>
    </row>
    <row r="16" spans="1:4" ht="26.4" x14ac:dyDescent="0.3">
      <c r="A16" s="315"/>
      <c r="B16" s="255" t="str">
        <f>ORÇ!C20</f>
        <v>Execução de sarjeta de concreto usinado, moldada in loco em trecho reto, 30 cm base x  3 cm altura</v>
      </c>
      <c r="C16" s="316"/>
      <c r="D16" s="318"/>
    </row>
    <row r="17" spans="1:5" x14ac:dyDescent="0.3">
      <c r="A17" s="311"/>
      <c r="B17" s="312"/>
      <c r="C17" s="312"/>
      <c r="D17" s="313"/>
    </row>
    <row r="18" spans="1:5" ht="26.4" x14ac:dyDescent="0.3">
      <c r="A18" s="321" t="s">
        <v>75</v>
      </c>
      <c r="B18" s="256" t="str">
        <f>ORÇ!C23</f>
        <v>Transporte com caminhão basculante de 10 m³, em via urbana pavimentada, dmt até 30 km (unidade: txkm). af_07/2020</v>
      </c>
      <c r="C18" s="322">
        <f>ORÇ!H22+ORÇ!H41+ORÇ!H60</f>
        <v>142997.64000000001</v>
      </c>
      <c r="D18" s="324">
        <f>C18/C23</f>
        <v>0.13289158079839233</v>
      </c>
    </row>
    <row r="19" spans="1:5" ht="39.6" x14ac:dyDescent="0.3">
      <c r="A19" s="321"/>
      <c r="B19" s="256" t="str">
        <f>ORÇ!C24</f>
        <v>Transporte com caminhão basculante de 10 m³, em via urbana pavimentada, adicional para dmt excedente a 30 km (unidade: txkm). af_07/2020</v>
      </c>
      <c r="C19" s="323"/>
      <c r="D19" s="325"/>
    </row>
    <row r="20" spans="1:5" x14ac:dyDescent="0.3">
      <c r="A20" s="311"/>
      <c r="B20" s="312"/>
      <c r="C20" s="312"/>
      <c r="D20" s="313"/>
    </row>
    <row r="21" spans="1:5" ht="26.4" x14ac:dyDescent="0.3">
      <c r="A21" s="321" t="s">
        <v>174</v>
      </c>
      <c r="B21" s="256" t="str">
        <f>ORÇ!C27</f>
        <v xml:space="preserve">Placa esmaltada para identificação de nome de rua, dimensões 45 x 20 cm com tubo de aço - 2 placas </v>
      </c>
      <c r="C21" s="322">
        <f>ORÇ!H26+ORÇ!H45+ORÇ!H64</f>
        <v>3854.79</v>
      </c>
      <c r="D21" s="324">
        <f>C21/C23</f>
        <v>3.5823607770438361E-3</v>
      </c>
    </row>
    <row r="22" spans="1:5" ht="39.6" x14ac:dyDescent="0.3">
      <c r="A22" s="321"/>
      <c r="B22" s="256" t="str">
        <f>ORÇ!C28</f>
        <v>Fornecimento e instalação de suporte metálico galvanizado para placas de sinalização em solo, com h= de 2,5 m e diâmetro de 2''. af_03/2022</v>
      </c>
      <c r="C22" s="326"/>
      <c r="D22" s="327"/>
    </row>
    <row r="23" spans="1:5" x14ac:dyDescent="0.3">
      <c r="A23" s="319" t="s">
        <v>175</v>
      </c>
      <c r="B23" s="320"/>
      <c r="C23" s="103">
        <f>SUM(C18,C15,C13,C11,C8,C21)</f>
        <v>1076047.4000000001</v>
      </c>
      <c r="D23" s="104">
        <f>SUM(D18,D15,D13,D11,D8,D21,)</f>
        <v>0.99999999999999989</v>
      </c>
      <c r="E23" s="250">
        <f>C23-RES!F14</f>
        <v>0</v>
      </c>
    </row>
  </sheetData>
  <mergeCells count="27">
    <mergeCell ref="A23:B23"/>
    <mergeCell ref="A17:D17"/>
    <mergeCell ref="A18:A19"/>
    <mergeCell ref="C18:C19"/>
    <mergeCell ref="D18:D19"/>
    <mergeCell ref="A20:D20"/>
    <mergeCell ref="A21:A22"/>
    <mergeCell ref="C21:C22"/>
    <mergeCell ref="D21:D22"/>
    <mergeCell ref="A10:D10"/>
    <mergeCell ref="A12:D12"/>
    <mergeCell ref="A14:D14"/>
    <mergeCell ref="A15:A16"/>
    <mergeCell ref="C15:C16"/>
    <mergeCell ref="D15:D16"/>
    <mergeCell ref="A8:A9"/>
    <mergeCell ref="C8:C9"/>
    <mergeCell ref="D8:D9"/>
    <mergeCell ref="A1:D1"/>
    <mergeCell ref="A2:D2"/>
    <mergeCell ref="A3:D3"/>
    <mergeCell ref="A4:D4"/>
    <mergeCell ref="A5:D5"/>
    <mergeCell ref="A6:A7"/>
    <mergeCell ref="B6:B7"/>
    <mergeCell ref="C6:C7"/>
    <mergeCell ref="D6:D7"/>
  </mergeCells>
  <printOptions horizontalCentered="1"/>
  <pageMargins left="1.1023622047244095" right="0.51181102362204722" top="1.5748031496062993" bottom="0.78740157480314965" header="0.31496062992125984" footer="0.31496062992125984"/>
  <pageSetup paperSize="9" scale="67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35C4-C23F-4D1C-A09F-0D041EAC2793}">
  <sheetPr>
    <pageSetUpPr fitToPage="1"/>
  </sheetPr>
  <dimension ref="A1:F20"/>
  <sheetViews>
    <sheetView view="pageBreakPreview" zoomScale="120" zoomScaleNormal="100" zoomScaleSheetLayoutView="120" workbookViewId="0">
      <selection activeCell="E17" sqref="E17"/>
    </sheetView>
  </sheetViews>
  <sheetFormatPr defaultRowHeight="14.4" x14ac:dyDescent="0.3"/>
  <cols>
    <col min="1" max="1" width="10.77734375" customWidth="1"/>
    <col min="2" max="2" width="50.77734375" customWidth="1"/>
    <col min="3" max="4" width="10.77734375" customWidth="1"/>
    <col min="5" max="6" width="20.77734375" customWidth="1"/>
  </cols>
  <sheetData>
    <row r="1" spans="1:6" ht="25.05" customHeight="1" x14ac:dyDescent="0.3">
      <c r="A1" s="333" t="s">
        <v>26</v>
      </c>
      <c r="B1" s="333"/>
      <c r="C1" s="333"/>
      <c r="D1" s="333"/>
      <c r="E1" s="333"/>
      <c r="F1" s="334"/>
    </row>
    <row r="2" spans="1:6" ht="19.95" customHeight="1" x14ac:dyDescent="0.3">
      <c r="A2" s="335" t="str">
        <f>CONCATENATE("PAVIMENTAÇÃO DE VIAS PÚBLICAS NO MUNÍCIO DE ",GERAL!B2," - PI")</f>
        <v>PAVIMENTAÇÃO DE VIAS PÚBLICAS NO MUNÍCIO DE SÃO JOÃO DA FRONTEIRA - PI</v>
      </c>
      <c r="B2" s="336"/>
      <c r="C2" s="337" t="str">
        <f>CONCATENATE("FONTE: ", GERAL!F1)</f>
        <v>FONTE: SINAPI 02/2026</v>
      </c>
      <c r="D2" s="337"/>
      <c r="E2" s="20" t="str">
        <f>CONCATENATE("SEM DESONERAÇÃO
 BDI: ",TEXT(GERAL!F3,"0,00%"))</f>
        <v>SEM DESONERAÇÃO
 BDI: 21,96%</v>
      </c>
      <c r="F2" s="21" t="s">
        <v>27</v>
      </c>
    </row>
    <row r="3" spans="1:6" ht="19.95" customHeight="1" x14ac:dyDescent="0.3">
      <c r="A3" s="338" t="str">
        <f>CONCATENATE("LOCALIDADE: ", GERAL!B3)</f>
        <v>LOCALIDADE: DIVERSAS</v>
      </c>
      <c r="B3" s="339"/>
      <c r="C3" s="339"/>
      <c r="D3" s="339"/>
      <c r="E3" s="22" t="s">
        <v>28</v>
      </c>
      <c r="F3" s="93">
        <f>GERAL!C14</f>
        <v>6985</v>
      </c>
    </row>
    <row r="4" spans="1:6" ht="15" customHeight="1" x14ac:dyDescent="0.3">
      <c r="A4" s="340" t="s">
        <v>29</v>
      </c>
      <c r="B4" s="340" t="s">
        <v>30</v>
      </c>
      <c r="C4" s="340" t="s">
        <v>31</v>
      </c>
      <c r="D4" s="342" t="s">
        <v>32</v>
      </c>
      <c r="E4" s="344" t="s">
        <v>33</v>
      </c>
      <c r="F4" s="345"/>
    </row>
    <row r="5" spans="1:6" ht="15" customHeight="1" x14ac:dyDescent="0.3">
      <c r="A5" s="341"/>
      <c r="B5" s="341"/>
      <c r="C5" s="341"/>
      <c r="D5" s="343"/>
      <c r="E5" s="346"/>
      <c r="F5" s="347"/>
    </row>
    <row r="6" spans="1:6" ht="15" customHeight="1" x14ac:dyDescent="0.3">
      <c r="A6" s="23" t="s">
        <v>34</v>
      </c>
      <c r="B6" s="348" t="s">
        <v>35</v>
      </c>
      <c r="C6" s="349"/>
      <c r="D6" s="349"/>
      <c r="E6" s="331">
        <f>SUM(E7:F8)</f>
        <v>23772.639999999999</v>
      </c>
      <c r="F6" s="332"/>
    </row>
    <row r="7" spans="1:6" ht="15" customHeight="1" x14ac:dyDescent="0.3">
      <c r="A7" s="24" t="s">
        <v>36</v>
      </c>
      <c r="B7" s="25" t="str">
        <f>ORÇ!C8</f>
        <v>Placa de Obra em chapa de aço galvanizado</v>
      </c>
      <c r="C7" s="26" t="s">
        <v>17</v>
      </c>
      <c r="D7" s="27">
        <f>ORÇ!E8</f>
        <v>6</v>
      </c>
      <c r="E7" s="328">
        <f>ORÇ!H8</f>
        <v>3418.74</v>
      </c>
      <c r="F7" s="329"/>
    </row>
    <row r="8" spans="1:6" ht="15" customHeight="1" x14ac:dyDescent="0.3">
      <c r="A8" s="24" t="s">
        <v>36</v>
      </c>
      <c r="B8" s="25" t="str">
        <f>ORÇ!C9</f>
        <v>Administração local da obra</v>
      </c>
      <c r="C8" s="26" t="s">
        <v>39</v>
      </c>
      <c r="D8" s="27">
        <f>ORÇ!E9</f>
        <v>2</v>
      </c>
      <c r="E8" s="328">
        <f>ORÇ!H9</f>
        <v>20353.900000000001</v>
      </c>
      <c r="F8" s="329"/>
    </row>
    <row r="9" spans="1:6" ht="15" customHeight="1" x14ac:dyDescent="0.3">
      <c r="A9" s="23" t="s">
        <v>40</v>
      </c>
      <c r="B9" s="348" t="s">
        <v>41</v>
      </c>
      <c r="C9" s="349"/>
      <c r="D9" s="349"/>
      <c r="E9" s="331">
        <f>SUM(E10:F12)</f>
        <v>1052274.76</v>
      </c>
      <c r="F9" s="332"/>
    </row>
    <row r="10" spans="1:6" ht="15" customHeight="1" x14ac:dyDescent="0.3">
      <c r="A10" s="24" t="s">
        <v>42</v>
      </c>
      <c r="B10" s="25" t="str">
        <f>GERAL!A10</f>
        <v>Rua Santa Maria</v>
      </c>
      <c r="C10" s="26" t="s">
        <v>17</v>
      </c>
      <c r="D10" s="28">
        <f>GERAL!C10</f>
        <v>3185</v>
      </c>
      <c r="E10" s="328">
        <f>ORÇ!H11</f>
        <v>469440.99000000005</v>
      </c>
      <c r="F10" s="329"/>
    </row>
    <row r="11" spans="1:6" ht="15" customHeight="1" x14ac:dyDescent="0.3">
      <c r="A11" s="24" t="s">
        <v>43</v>
      </c>
      <c r="B11" s="25" t="str">
        <f>GERAL!A11</f>
        <v>Rua Projetada 02</v>
      </c>
      <c r="C11" s="26" t="s">
        <v>17</v>
      </c>
      <c r="D11" s="28">
        <f>GERAL!C11</f>
        <v>1850</v>
      </c>
      <c r="E11" s="328">
        <f>ORÇ!H30</f>
        <v>291077.62</v>
      </c>
      <c r="F11" s="329"/>
    </row>
    <row r="12" spans="1:6" ht="15" customHeight="1" x14ac:dyDescent="0.3">
      <c r="A12" s="24" t="s">
        <v>44</v>
      </c>
      <c r="B12" s="25" t="str">
        <f>GERAL!A12</f>
        <v>Rua DT Alto Alegre</v>
      </c>
      <c r="C12" s="26" t="s">
        <v>17</v>
      </c>
      <c r="D12" s="28">
        <f>GERAL!C12</f>
        <v>1950</v>
      </c>
      <c r="E12" s="328">
        <f>ORÇ!H49</f>
        <v>291756.14999999997</v>
      </c>
      <c r="F12" s="329"/>
    </row>
    <row r="13" spans="1:6" ht="15" customHeight="1" x14ac:dyDescent="0.3">
      <c r="A13" s="29"/>
      <c r="B13" s="30"/>
      <c r="C13" s="30"/>
      <c r="D13" s="31"/>
      <c r="E13" s="31"/>
      <c r="F13" s="32"/>
    </row>
    <row r="14" spans="1:6" ht="15" customHeight="1" x14ac:dyDescent="0.3">
      <c r="A14" s="330" t="s">
        <v>45</v>
      </c>
      <c r="B14" s="330"/>
      <c r="C14" s="330"/>
      <c r="D14" s="330"/>
      <c r="E14" s="330"/>
      <c r="F14" s="33">
        <f>E6+E9</f>
        <v>1076047.3999999999</v>
      </c>
    </row>
    <row r="15" spans="1:6" ht="15" customHeight="1" x14ac:dyDescent="0.3"/>
    <row r="16" spans="1:6" ht="15" customHeight="1" x14ac:dyDescent="0.3"/>
    <row r="17" ht="15" customHeight="1" x14ac:dyDescent="0.3"/>
    <row r="18" ht="15" customHeight="1" x14ac:dyDescent="0.3"/>
    <row r="19" ht="30" customHeight="1" x14ac:dyDescent="0.3"/>
    <row r="20" ht="30" customHeight="1" x14ac:dyDescent="0.3"/>
  </sheetData>
  <mergeCells count="19">
    <mergeCell ref="B6:D6"/>
    <mergeCell ref="E6:F6"/>
    <mergeCell ref="E7:F7"/>
    <mergeCell ref="E8:F8"/>
    <mergeCell ref="B9:D9"/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A14:E14"/>
    <mergeCell ref="E9:F9"/>
    <mergeCell ref="E11:F11"/>
    <mergeCell ref="E12:F12"/>
    <mergeCell ref="E10:F10"/>
  </mergeCells>
  <phoneticPr fontId="18" type="noConversion"/>
  <printOptions horizontalCentered="1"/>
  <pageMargins left="1.1023622047244095" right="0.51181102362204722" top="2.1653543307086616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D322-488B-44BB-9F0F-7D1BBBD562A8}">
  <sheetPr>
    <pageSetUpPr fitToPage="1"/>
  </sheetPr>
  <dimension ref="A1:M67"/>
  <sheetViews>
    <sheetView view="pageBreakPreview" zoomScale="80" zoomScaleNormal="100" zoomScaleSheetLayoutView="80" workbookViewId="0">
      <selection activeCell="M14" sqref="M14"/>
    </sheetView>
  </sheetViews>
  <sheetFormatPr defaultRowHeight="14.4" x14ac:dyDescent="0.3"/>
  <cols>
    <col min="1" max="1" width="10.77734375" customWidth="1"/>
    <col min="2" max="2" width="14.88671875" customWidth="1"/>
    <col min="3" max="3" width="50.77734375" customWidth="1"/>
    <col min="4" max="4" width="14.77734375" customWidth="1"/>
    <col min="5" max="5" width="10.77734375" customWidth="1"/>
    <col min="6" max="8" width="13.77734375" customWidth="1"/>
    <col min="13" max="13" width="9.109375" bestFit="1" customWidth="1"/>
  </cols>
  <sheetData>
    <row r="1" spans="1:13" ht="25.05" customHeight="1" x14ac:dyDescent="0.3">
      <c r="A1" s="365" t="s">
        <v>233</v>
      </c>
      <c r="B1" s="366"/>
      <c r="C1" s="366"/>
      <c r="D1" s="366"/>
      <c r="E1" s="366"/>
      <c r="F1" s="366"/>
      <c r="G1" s="366"/>
      <c r="H1" s="366"/>
    </row>
    <row r="2" spans="1:13" ht="19.95" customHeight="1" x14ac:dyDescent="0.3">
      <c r="A2" s="367" t="str">
        <f>RES!A2</f>
        <v>PAVIMENTAÇÃO DE VIAS PÚBLICAS NO MUNÍCIO DE SÃO JOÃO DA FRONTEIRA - PI</v>
      </c>
      <c r="B2" s="367"/>
      <c r="C2" s="367"/>
      <c r="D2" s="364" t="str">
        <f>RES!C2</f>
        <v>FONTE: SINAPI 02/2026</v>
      </c>
      <c r="E2" s="364"/>
      <c r="F2" s="364" t="str">
        <f>RES!E2</f>
        <v>SEM DESONERAÇÃO
 BDI: 21,96%</v>
      </c>
      <c r="G2" s="364"/>
      <c r="H2" s="364"/>
    </row>
    <row r="3" spans="1:13" ht="19.95" customHeight="1" x14ac:dyDescent="0.3">
      <c r="A3" s="368" t="str">
        <f>RES!A3</f>
        <v>LOCALIDADE: DIVERSAS</v>
      </c>
      <c r="B3" s="368"/>
      <c r="C3" s="368"/>
      <c r="D3" s="97" t="str">
        <f>RES!E3</f>
        <v>ÁREA TOTAL (m²):</v>
      </c>
      <c r="E3" s="119">
        <f>RES!F3</f>
        <v>6985</v>
      </c>
      <c r="F3" s="364" t="str">
        <f>RES!F2</f>
        <v>HORISTA: 113,33%
MENSALISTA: 71,12%</v>
      </c>
      <c r="G3" s="364"/>
      <c r="H3" s="364"/>
    </row>
    <row r="4" spans="1:13" ht="15" customHeight="1" x14ac:dyDescent="0.3">
      <c r="A4" s="361"/>
      <c r="B4" s="362"/>
      <c r="C4" s="362"/>
      <c r="D4" s="362"/>
      <c r="E4" s="362"/>
      <c r="F4" s="362"/>
      <c r="G4" s="362"/>
      <c r="H4" s="363"/>
    </row>
    <row r="5" spans="1:13" ht="15" customHeight="1" x14ac:dyDescent="0.3">
      <c r="A5" s="333" t="s">
        <v>29</v>
      </c>
      <c r="B5" s="359" t="s">
        <v>100</v>
      </c>
      <c r="C5" s="333" t="s">
        <v>30</v>
      </c>
      <c r="D5" s="333" t="s">
        <v>31</v>
      </c>
      <c r="E5" s="351" t="s">
        <v>32</v>
      </c>
      <c r="F5" s="351" t="s">
        <v>177</v>
      </c>
      <c r="G5" s="351"/>
      <c r="H5" s="351"/>
    </row>
    <row r="6" spans="1:13" ht="15" customHeight="1" x14ac:dyDescent="0.3">
      <c r="A6" s="333"/>
      <c r="B6" s="360"/>
      <c r="C6" s="333"/>
      <c r="D6" s="333"/>
      <c r="E6" s="351"/>
      <c r="F6" s="107" t="s">
        <v>178</v>
      </c>
      <c r="G6" s="107" t="s">
        <v>179</v>
      </c>
      <c r="H6" s="108" t="s">
        <v>180</v>
      </c>
    </row>
    <row r="7" spans="1:13" s="115" customFormat="1" ht="15" customHeight="1" x14ac:dyDescent="0.3">
      <c r="A7" s="113" t="s">
        <v>34</v>
      </c>
      <c r="B7" s="348" t="s">
        <v>35</v>
      </c>
      <c r="C7" s="349"/>
      <c r="D7" s="349"/>
      <c r="E7" s="349"/>
      <c r="F7" s="352"/>
      <c r="G7" s="352"/>
      <c r="H7" s="114">
        <f>SUM(H8:H9)</f>
        <v>23772.639999999999</v>
      </c>
    </row>
    <row r="8" spans="1:13" s="115" customFormat="1" ht="15" customHeight="1" x14ac:dyDescent="0.3">
      <c r="A8" s="94" t="s">
        <v>36</v>
      </c>
      <c r="B8" s="94" t="s">
        <v>181</v>
      </c>
      <c r="C8" s="109" t="s">
        <v>37</v>
      </c>
      <c r="D8" s="94" t="s">
        <v>17</v>
      </c>
      <c r="E8" s="116">
        <f>MC!C10</f>
        <v>6</v>
      </c>
      <c r="F8" s="116">
        <f>CCU!G7</f>
        <v>467.2</v>
      </c>
      <c r="G8" s="28">
        <f>CCU!G16</f>
        <v>569.79</v>
      </c>
      <c r="H8" s="28">
        <f>ROUND(E8*G8,2)</f>
        <v>3418.74</v>
      </c>
    </row>
    <row r="9" spans="1:13" s="115" customFormat="1" ht="15" customHeight="1" x14ac:dyDescent="0.3">
      <c r="A9" s="94" t="s">
        <v>99</v>
      </c>
      <c r="B9" s="94" t="s">
        <v>182</v>
      </c>
      <c r="C9" s="109" t="s">
        <v>38</v>
      </c>
      <c r="D9" s="94" t="s">
        <v>39</v>
      </c>
      <c r="E9" s="116">
        <f>MC!C14</f>
        <v>2</v>
      </c>
      <c r="F9" s="116">
        <f>CCU!G19</f>
        <v>8344.5</v>
      </c>
      <c r="G9" s="28">
        <f>CCU!G24</f>
        <v>10176.950000000001</v>
      </c>
      <c r="H9" s="28">
        <f>ROUND(E9*G9,2)</f>
        <v>20353.900000000001</v>
      </c>
    </row>
    <row r="10" spans="1:13" s="115" customFormat="1" ht="15" customHeight="1" x14ac:dyDescent="0.3">
      <c r="A10" s="353"/>
      <c r="B10" s="354"/>
      <c r="C10" s="354"/>
      <c r="D10" s="354"/>
      <c r="E10" s="354"/>
      <c r="F10" s="354"/>
      <c r="G10" s="354"/>
      <c r="H10" s="355"/>
    </row>
    <row r="11" spans="1:13" s="115" customFormat="1" ht="15" customHeight="1" x14ac:dyDescent="0.3">
      <c r="A11" s="356" t="str">
        <f>MC!B16</f>
        <v>Rua Santa Maria</v>
      </c>
      <c r="B11" s="357"/>
      <c r="C11" s="357"/>
      <c r="D11" s="357"/>
      <c r="E11" s="357"/>
      <c r="F11" s="357"/>
      <c r="G11" s="357"/>
      <c r="H11" s="120">
        <f>SUM(H12,H15,H18,H22,H26)</f>
        <v>469440.99000000005</v>
      </c>
    </row>
    <row r="12" spans="1:13" s="115" customFormat="1" ht="15" customHeight="1" x14ac:dyDescent="0.3">
      <c r="A12" s="113" t="s">
        <v>40</v>
      </c>
      <c r="B12" s="358" t="s">
        <v>59</v>
      </c>
      <c r="C12" s="358"/>
      <c r="D12" s="358"/>
      <c r="E12" s="358"/>
      <c r="F12" s="358"/>
      <c r="G12" s="358"/>
      <c r="H12" s="114">
        <f>H13</f>
        <v>2165.8000000000002</v>
      </c>
      <c r="M12" s="240">
        <f>E13+E32+E51</f>
        <v>6985</v>
      </c>
    </row>
    <row r="13" spans="1:13" s="115" customFormat="1" ht="15" customHeight="1" x14ac:dyDescent="0.3">
      <c r="A13" s="94" t="s">
        <v>42</v>
      </c>
      <c r="B13" s="94">
        <v>100575</v>
      </c>
      <c r="C13" s="110" t="s">
        <v>60</v>
      </c>
      <c r="D13" s="26" t="s">
        <v>17</v>
      </c>
      <c r="E13" s="116">
        <f>MC!C25</f>
        <v>3185</v>
      </c>
      <c r="F13" s="116">
        <f>CCU!G27</f>
        <v>0.56000000000000005</v>
      </c>
      <c r="G13" s="28">
        <f>CCU!G33</f>
        <v>0.68</v>
      </c>
      <c r="H13" s="28">
        <f>ROUND(E13*G13,2)</f>
        <v>2165.8000000000002</v>
      </c>
      <c r="M13" s="241">
        <f>E16+E35+E54</f>
        <v>6985</v>
      </c>
    </row>
    <row r="14" spans="1:13" s="115" customFormat="1" ht="15" customHeight="1" x14ac:dyDescent="0.3">
      <c r="A14" s="350"/>
      <c r="B14" s="350"/>
      <c r="C14" s="350"/>
      <c r="D14" s="350"/>
      <c r="E14" s="350"/>
      <c r="F14" s="350"/>
      <c r="G14" s="350"/>
      <c r="H14" s="350"/>
      <c r="M14" s="241">
        <f>E19+E38+E57</f>
        <v>2287</v>
      </c>
    </row>
    <row r="15" spans="1:13" s="115" customFormat="1" ht="15" customHeight="1" x14ac:dyDescent="0.3">
      <c r="A15" s="113" t="s">
        <v>62</v>
      </c>
      <c r="B15" s="358" t="s">
        <v>63</v>
      </c>
      <c r="C15" s="358"/>
      <c r="D15" s="358"/>
      <c r="E15" s="358"/>
      <c r="F15" s="358"/>
      <c r="G15" s="358"/>
      <c r="H15" s="114">
        <f>SUM(H16:H16)</f>
        <v>323564.15000000002</v>
      </c>
      <c r="M15" s="241">
        <f>E20+E39+E58</f>
        <v>2250</v>
      </c>
    </row>
    <row r="16" spans="1:13" s="115" customFormat="1" ht="25.05" customHeight="1" x14ac:dyDescent="0.3">
      <c r="A16" s="94" t="s">
        <v>64</v>
      </c>
      <c r="B16" s="94" t="s">
        <v>183</v>
      </c>
      <c r="C16" s="110" t="s">
        <v>24</v>
      </c>
      <c r="D16" s="26" t="s">
        <v>17</v>
      </c>
      <c r="E16" s="116">
        <f>MC!C31</f>
        <v>3185</v>
      </c>
      <c r="F16" s="116">
        <f>CCU!G36</f>
        <v>83.3</v>
      </c>
      <c r="G16" s="28">
        <f>CCU!G45</f>
        <v>101.59</v>
      </c>
      <c r="H16" s="28">
        <f>ROUND(E16*G16,2)</f>
        <v>323564.15000000002</v>
      </c>
      <c r="M16" s="241">
        <f>E23+E42+E61</f>
        <v>33268.160000000003</v>
      </c>
    </row>
    <row r="17" spans="1:13" s="115" customFormat="1" ht="15" customHeight="1" x14ac:dyDescent="0.3">
      <c r="A17" s="350"/>
      <c r="B17" s="350"/>
      <c r="C17" s="350"/>
      <c r="D17" s="350"/>
      <c r="E17" s="350"/>
      <c r="F17" s="350"/>
      <c r="G17" s="350"/>
      <c r="H17" s="350"/>
      <c r="M17" s="241">
        <f>E24+E43+E62</f>
        <v>94259.78</v>
      </c>
    </row>
    <row r="18" spans="1:13" s="115" customFormat="1" ht="15" customHeight="1" x14ac:dyDescent="0.3">
      <c r="A18" s="113" t="s">
        <v>65</v>
      </c>
      <c r="B18" s="358" t="s">
        <v>66</v>
      </c>
      <c r="C18" s="358"/>
      <c r="D18" s="358"/>
      <c r="E18" s="358"/>
      <c r="F18" s="358"/>
      <c r="G18" s="358"/>
      <c r="H18" s="114">
        <f>SUM(H19:H20)</f>
        <v>77222.460000000006</v>
      </c>
      <c r="M18" s="241">
        <f>E27+E46+E65</f>
        <v>0.69000000000000006</v>
      </c>
    </row>
    <row r="19" spans="1:13" s="115" customFormat="1" ht="25.05" customHeight="1" x14ac:dyDescent="0.3">
      <c r="A19" s="94" t="s">
        <v>67</v>
      </c>
      <c r="B19" s="94">
        <v>94273</v>
      </c>
      <c r="C19" s="110" t="s">
        <v>68</v>
      </c>
      <c r="D19" s="26" t="s">
        <v>48</v>
      </c>
      <c r="E19" s="116">
        <f>MC!C38</f>
        <v>924</v>
      </c>
      <c r="F19" s="116">
        <f>CCU!G48</f>
        <v>45.3</v>
      </c>
      <c r="G19" s="28">
        <f>CCU!G55</f>
        <v>55.24</v>
      </c>
      <c r="H19" s="28">
        <f>ROUND(E19*G19,2)</f>
        <v>51041.760000000002</v>
      </c>
      <c r="M19" s="241">
        <f>E28+E47+E66</f>
        <v>6</v>
      </c>
    </row>
    <row r="20" spans="1:13" s="115" customFormat="1" ht="25.05" customHeight="1" x14ac:dyDescent="0.3">
      <c r="A20" s="94" t="s">
        <v>72</v>
      </c>
      <c r="B20" s="94" t="s">
        <v>184</v>
      </c>
      <c r="C20" s="110" t="s">
        <v>185</v>
      </c>
      <c r="D20" s="26" t="s">
        <v>48</v>
      </c>
      <c r="E20" s="116">
        <f>MC!C43</f>
        <v>910</v>
      </c>
      <c r="F20" s="116">
        <f>CCU!G58</f>
        <v>23.59</v>
      </c>
      <c r="G20" s="28">
        <f>CCU!G66</f>
        <v>28.77</v>
      </c>
      <c r="H20" s="28">
        <f>ROUND(E20*G20,2)</f>
        <v>26180.7</v>
      </c>
    </row>
    <row r="21" spans="1:13" s="115" customFormat="1" ht="15" customHeight="1" x14ac:dyDescent="0.3">
      <c r="A21" s="350"/>
      <c r="B21" s="350"/>
      <c r="C21" s="350"/>
      <c r="D21" s="350"/>
      <c r="E21" s="350"/>
      <c r="F21" s="350"/>
      <c r="G21" s="350"/>
      <c r="H21" s="350"/>
    </row>
    <row r="22" spans="1:13" s="115" customFormat="1" ht="15" customHeight="1" x14ac:dyDescent="0.3">
      <c r="A22" s="113" t="s">
        <v>74</v>
      </c>
      <c r="B22" s="358" t="s">
        <v>75</v>
      </c>
      <c r="C22" s="358"/>
      <c r="D22" s="358"/>
      <c r="E22" s="358"/>
      <c r="F22" s="358"/>
      <c r="G22" s="358"/>
      <c r="H22" s="114">
        <f>SUM(H23:H24)</f>
        <v>65203.65</v>
      </c>
    </row>
    <row r="23" spans="1:13" s="115" customFormat="1" ht="25.05" customHeight="1" x14ac:dyDescent="0.3">
      <c r="A23" s="94" t="s">
        <v>76</v>
      </c>
      <c r="B23" s="94">
        <v>95878</v>
      </c>
      <c r="C23" s="110" t="s">
        <v>77</v>
      </c>
      <c r="D23" s="26" t="s">
        <v>186</v>
      </c>
      <c r="E23" s="116">
        <f>MC!C52</f>
        <v>15169.52</v>
      </c>
      <c r="F23" s="116">
        <f>CCU!G69</f>
        <v>1.69</v>
      </c>
      <c r="G23" s="28">
        <f>CCU!G73</f>
        <v>2.06</v>
      </c>
      <c r="H23" s="28">
        <f>ROUND(E23*G23,2)</f>
        <v>31249.21</v>
      </c>
    </row>
    <row r="24" spans="1:13" s="115" customFormat="1" ht="25.05" customHeight="1" x14ac:dyDescent="0.3">
      <c r="A24" s="94" t="s">
        <v>89</v>
      </c>
      <c r="B24" s="94">
        <v>93596</v>
      </c>
      <c r="C24" s="110" t="s">
        <v>90</v>
      </c>
      <c r="D24" s="26" t="s">
        <v>186</v>
      </c>
      <c r="E24" s="116">
        <f>MC!C60</f>
        <v>42980.3</v>
      </c>
      <c r="F24" s="116">
        <f>CCU!G76</f>
        <v>0.65</v>
      </c>
      <c r="G24" s="28">
        <f>CCU!G80</f>
        <v>0.79</v>
      </c>
      <c r="H24" s="28">
        <f>ROUND(E24*G24,2)</f>
        <v>33954.44</v>
      </c>
    </row>
    <row r="25" spans="1:13" s="115" customFormat="1" ht="15" customHeight="1" x14ac:dyDescent="0.3">
      <c r="A25" s="350"/>
      <c r="B25" s="350"/>
      <c r="C25" s="350"/>
      <c r="D25" s="350"/>
      <c r="E25" s="350"/>
      <c r="F25" s="350"/>
      <c r="G25" s="350"/>
      <c r="H25" s="350"/>
    </row>
    <row r="26" spans="1:13" s="115" customFormat="1" ht="15" customHeight="1" x14ac:dyDescent="0.3">
      <c r="A26" s="113" t="s">
        <v>91</v>
      </c>
      <c r="B26" s="358" t="s">
        <v>174</v>
      </c>
      <c r="C26" s="358"/>
      <c r="D26" s="358"/>
      <c r="E26" s="358"/>
      <c r="F26" s="358"/>
      <c r="G26" s="358"/>
      <c r="H26" s="114">
        <f>SUM(H27:H28)</f>
        <v>1284.93</v>
      </c>
    </row>
    <row r="27" spans="1:13" s="115" customFormat="1" ht="25.05" customHeight="1" x14ac:dyDescent="0.3">
      <c r="A27" s="94" t="s">
        <v>93</v>
      </c>
      <c r="B27" s="94" t="s">
        <v>187</v>
      </c>
      <c r="C27" s="110" t="s">
        <v>94</v>
      </c>
      <c r="D27" s="26" t="s">
        <v>17</v>
      </c>
      <c r="E27" s="116">
        <f>MC!C65</f>
        <v>0.23</v>
      </c>
      <c r="F27" s="116">
        <f>CCU!G83</f>
        <v>974.85</v>
      </c>
      <c r="G27" s="28">
        <f>CCU!G89</f>
        <v>1188.92</v>
      </c>
      <c r="H27" s="28">
        <f>ROUND(E27*G27,2)</f>
        <v>273.45</v>
      </c>
    </row>
    <row r="28" spans="1:13" s="115" customFormat="1" ht="25.05" customHeight="1" x14ac:dyDescent="0.3">
      <c r="A28" s="94" t="s">
        <v>93</v>
      </c>
      <c r="B28" s="94" t="s">
        <v>188</v>
      </c>
      <c r="C28" s="110" t="s">
        <v>98</v>
      </c>
      <c r="D28" s="26" t="s">
        <v>69</v>
      </c>
      <c r="E28" s="116">
        <f>MC!C69</f>
        <v>2</v>
      </c>
      <c r="F28" s="116">
        <f>CCU!G92</f>
        <v>414.68</v>
      </c>
      <c r="G28" s="28">
        <f>CCU!G98</f>
        <v>505.74</v>
      </c>
      <c r="H28" s="28">
        <f>ROUND(E28*G28,2)</f>
        <v>1011.48</v>
      </c>
    </row>
    <row r="29" spans="1:13" s="115" customFormat="1" ht="15" customHeight="1" x14ac:dyDescent="0.3">
      <c r="A29" s="353"/>
      <c r="B29" s="354"/>
      <c r="C29" s="354"/>
      <c r="D29" s="354"/>
      <c r="E29" s="354"/>
      <c r="F29" s="354"/>
      <c r="G29" s="354"/>
      <c r="H29" s="355"/>
    </row>
    <row r="30" spans="1:13" s="115" customFormat="1" ht="15" customHeight="1" x14ac:dyDescent="0.3">
      <c r="A30" s="356" t="str">
        <f>MC!B71</f>
        <v>Rua Projetada 02</v>
      </c>
      <c r="B30" s="357"/>
      <c r="C30" s="357"/>
      <c r="D30" s="357"/>
      <c r="E30" s="357"/>
      <c r="F30" s="357"/>
      <c r="G30" s="357"/>
      <c r="H30" s="120">
        <f>SUM(H31,H34,H37,H41,H45)</f>
        <v>291077.62</v>
      </c>
    </row>
    <row r="31" spans="1:13" s="115" customFormat="1" ht="15" customHeight="1" x14ac:dyDescent="0.3">
      <c r="A31" s="113" t="s">
        <v>40</v>
      </c>
      <c r="B31" s="358" t="s">
        <v>59</v>
      </c>
      <c r="C31" s="358"/>
      <c r="D31" s="358"/>
      <c r="E31" s="358"/>
      <c r="F31" s="358"/>
      <c r="G31" s="358"/>
      <c r="H31" s="114">
        <f>H32</f>
        <v>1258</v>
      </c>
    </row>
    <row r="32" spans="1:13" s="115" customFormat="1" ht="15" customHeight="1" x14ac:dyDescent="0.3">
      <c r="A32" s="94" t="s">
        <v>42</v>
      </c>
      <c r="B32" s="94">
        <v>100575</v>
      </c>
      <c r="C32" s="110" t="s">
        <v>60</v>
      </c>
      <c r="D32" s="26" t="s">
        <v>17</v>
      </c>
      <c r="E32" s="116">
        <f>MC!C80</f>
        <v>1850</v>
      </c>
      <c r="F32" s="116">
        <f>F13</f>
        <v>0.56000000000000005</v>
      </c>
      <c r="G32" s="28">
        <f>G13</f>
        <v>0.68</v>
      </c>
      <c r="H32" s="28">
        <f>ROUND(E32*G32,2)</f>
        <v>1258</v>
      </c>
    </row>
    <row r="33" spans="1:8" s="115" customFormat="1" ht="15" customHeight="1" x14ac:dyDescent="0.3">
      <c r="A33" s="350"/>
      <c r="B33" s="350"/>
      <c r="C33" s="350"/>
      <c r="D33" s="350"/>
      <c r="E33" s="350"/>
      <c r="F33" s="350"/>
      <c r="G33" s="350"/>
      <c r="H33" s="350"/>
    </row>
    <row r="34" spans="1:8" s="115" customFormat="1" ht="15" customHeight="1" x14ac:dyDescent="0.3">
      <c r="A34" s="113" t="s">
        <v>62</v>
      </c>
      <c r="B34" s="358" t="s">
        <v>63</v>
      </c>
      <c r="C34" s="358"/>
      <c r="D34" s="358"/>
      <c r="E34" s="358"/>
      <c r="F34" s="358"/>
      <c r="G34" s="358"/>
      <c r="H34" s="114">
        <f>SUM(H35:H35)</f>
        <v>187941.5</v>
      </c>
    </row>
    <row r="35" spans="1:8" s="115" customFormat="1" ht="25.05" customHeight="1" x14ac:dyDescent="0.3">
      <c r="A35" s="94" t="s">
        <v>64</v>
      </c>
      <c r="B35" s="94" t="s">
        <v>183</v>
      </c>
      <c r="C35" s="110" t="s">
        <v>24</v>
      </c>
      <c r="D35" s="26" t="s">
        <v>17</v>
      </c>
      <c r="E35" s="116">
        <f>MC!C86</f>
        <v>1850</v>
      </c>
      <c r="F35" s="116">
        <f>F16</f>
        <v>83.3</v>
      </c>
      <c r="G35" s="28">
        <f>G16</f>
        <v>101.59</v>
      </c>
      <c r="H35" s="28">
        <f>ROUND(E35*G35,2)</f>
        <v>187941.5</v>
      </c>
    </row>
    <row r="36" spans="1:8" s="115" customFormat="1" ht="15" customHeight="1" x14ac:dyDescent="0.3">
      <c r="A36" s="350"/>
      <c r="B36" s="350"/>
      <c r="C36" s="350"/>
      <c r="D36" s="350"/>
      <c r="E36" s="350"/>
      <c r="F36" s="350"/>
      <c r="G36" s="350"/>
      <c r="H36" s="350"/>
    </row>
    <row r="37" spans="1:8" s="115" customFormat="1" ht="15" customHeight="1" x14ac:dyDescent="0.3">
      <c r="A37" s="113" t="s">
        <v>65</v>
      </c>
      <c r="B37" s="358" t="s">
        <v>66</v>
      </c>
      <c r="C37" s="358"/>
      <c r="D37" s="358"/>
      <c r="E37" s="358"/>
      <c r="F37" s="358"/>
      <c r="G37" s="358"/>
      <c r="H37" s="114">
        <f>SUM(H38:H39)</f>
        <v>62719.8</v>
      </c>
    </row>
    <row r="38" spans="1:8" s="115" customFormat="1" ht="25.05" customHeight="1" x14ac:dyDescent="0.3">
      <c r="A38" s="94" t="s">
        <v>67</v>
      </c>
      <c r="B38" s="94">
        <v>94273</v>
      </c>
      <c r="C38" s="110" t="s">
        <v>68</v>
      </c>
      <c r="D38" s="26" t="s">
        <v>48</v>
      </c>
      <c r="E38" s="116">
        <f>MC!C93</f>
        <v>750</v>
      </c>
      <c r="F38" s="116">
        <f>F19</f>
        <v>45.3</v>
      </c>
      <c r="G38" s="28">
        <f>G19</f>
        <v>55.24</v>
      </c>
      <c r="H38" s="28">
        <f>ROUND(E38*G38,2)</f>
        <v>41430</v>
      </c>
    </row>
    <row r="39" spans="1:8" s="115" customFormat="1" ht="25.05" customHeight="1" x14ac:dyDescent="0.3">
      <c r="A39" s="94" t="s">
        <v>72</v>
      </c>
      <c r="B39" s="94" t="s">
        <v>184</v>
      </c>
      <c r="C39" s="110" t="s">
        <v>185</v>
      </c>
      <c r="D39" s="26" t="s">
        <v>48</v>
      </c>
      <c r="E39" s="116">
        <f>MC!C98</f>
        <v>740</v>
      </c>
      <c r="F39" s="116">
        <f>F20</f>
        <v>23.59</v>
      </c>
      <c r="G39" s="28">
        <f>G20</f>
        <v>28.77</v>
      </c>
      <c r="H39" s="28">
        <f>ROUND(E39*G39,2)</f>
        <v>21289.8</v>
      </c>
    </row>
    <row r="40" spans="1:8" s="115" customFormat="1" ht="15" customHeight="1" x14ac:dyDescent="0.3">
      <c r="A40" s="350"/>
      <c r="B40" s="350"/>
      <c r="C40" s="350"/>
      <c r="D40" s="350"/>
      <c r="E40" s="350"/>
      <c r="F40" s="350"/>
      <c r="G40" s="350"/>
      <c r="H40" s="350"/>
    </row>
    <row r="41" spans="1:8" s="115" customFormat="1" ht="15" customHeight="1" x14ac:dyDescent="0.3">
      <c r="A41" s="113" t="s">
        <v>74</v>
      </c>
      <c r="B41" s="358" t="s">
        <v>75</v>
      </c>
      <c r="C41" s="358"/>
      <c r="D41" s="358"/>
      <c r="E41" s="358"/>
      <c r="F41" s="358"/>
      <c r="G41" s="358"/>
      <c r="H41" s="114">
        <f>SUM(H42:H43)</f>
        <v>37873.39</v>
      </c>
    </row>
    <row r="42" spans="1:8" s="115" customFormat="1" ht="25.05" customHeight="1" x14ac:dyDescent="0.3">
      <c r="A42" s="94" t="s">
        <v>76</v>
      </c>
      <c r="B42" s="94">
        <v>95878</v>
      </c>
      <c r="C42" s="110" t="s">
        <v>77</v>
      </c>
      <c r="D42" s="26" t="s">
        <v>186</v>
      </c>
      <c r="E42" s="116">
        <f>MC!C107</f>
        <v>8811.18</v>
      </c>
      <c r="F42" s="116">
        <f>F23</f>
        <v>1.69</v>
      </c>
      <c r="G42" s="28">
        <f>G23</f>
        <v>2.06</v>
      </c>
      <c r="H42" s="28">
        <f>ROUND(E42*G42,2)</f>
        <v>18151.03</v>
      </c>
    </row>
    <row r="43" spans="1:8" s="115" customFormat="1" ht="25.05" customHeight="1" x14ac:dyDescent="0.3">
      <c r="A43" s="94" t="s">
        <v>89</v>
      </c>
      <c r="B43" s="94">
        <v>93596</v>
      </c>
      <c r="C43" s="110" t="s">
        <v>90</v>
      </c>
      <c r="D43" s="26" t="s">
        <v>186</v>
      </c>
      <c r="E43" s="116">
        <f>MC!C115</f>
        <v>24965.01</v>
      </c>
      <c r="F43" s="116">
        <f>F24</f>
        <v>0.65</v>
      </c>
      <c r="G43" s="28">
        <f>G24</f>
        <v>0.79</v>
      </c>
      <c r="H43" s="28">
        <f>ROUND(E43*G43,2)</f>
        <v>19722.36</v>
      </c>
    </row>
    <row r="44" spans="1:8" s="115" customFormat="1" ht="15" customHeight="1" x14ac:dyDescent="0.3">
      <c r="A44" s="350"/>
      <c r="B44" s="350"/>
      <c r="C44" s="350"/>
      <c r="D44" s="350"/>
      <c r="E44" s="350"/>
      <c r="F44" s="350"/>
      <c r="G44" s="350"/>
      <c r="H44" s="350"/>
    </row>
    <row r="45" spans="1:8" s="115" customFormat="1" ht="15" customHeight="1" x14ac:dyDescent="0.3">
      <c r="A45" s="113" t="s">
        <v>91</v>
      </c>
      <c r="B45" s="358" t="s">
        <v>174</v>
      </c>
      <c r="C45" s="358"/>
      <c r="D45" s="358"/>
      <c r="E45" s="358"/>
      <c r="F45" s="358"/>
      <c r="G45" s="358"/>
      <c r="H45" s="114">
        <f>SUM(H46:H47)</f>
        <v>1284.93</v>
      </c>
    </row>
    <row r="46" spans="1:8" s="115" customFormat="1" ht="25.05" customHeight="1" x14ac:dyDescent="0.3">
      <c r="A46" s="94" t="s">
        <v>93</v>
      </c>
      <c r="B46" s="94" t="s">
        <v>187</v>
      </c>
      <c r="C46" s="110" t="s">
        <v>94</v>
      </c>
      <c r="D46" s="26" t="s">
        <v>17</v>
      </c>
      <c r="E46" s="116">
        <f>MC!C120</f>
        <v>0.23</v>
      </c>
      <c r="F46" s="116">
        <f>F27</f>
        <v>974.85</v>
      </c>
      <c r="G46" s="28">
        <f>G27</f>
        <v>1188.92</v>
      </c>
      <c r="H46" s="28">
        <f>ROUND(E46*G46,2)</f>
        <v>273.45</v>
      </c>
    </row>
    <row r="47" spans="1:8" s="115" customFormat="1" ht="25.05" customHeight="1" x14ac:dyDescent="0.3">
      <c r="A47" s="94" t="s">
        <v>93</v>
      </c>
      <c r="B47" s="94" t="s">
        <v>188</v>
      </c>
      <c r="C47" s="110" t="s">
        <v>98</v>
      </c>
      <c r="D47" s="26" t="s">
        <v>69</v>
      </c>
      <c r="E47" s="116">
        <f>MC!C124</f>
        <v>2</v>
      </c>
      <c r="F47" s="116">
        <f>F28</f>
        <v>414.68</v>
      </c>
      <c r="G47" s="28">
        <f>G28</f>
        <v>505.74</v>
      </c>
      <c r="H47" s="28">
        <f>ROUND(E47*G47,2)</f>
        <v>1011.48</v>
      </c>
    </row>
    <row r="48" spans="1:8" s="115" customFormat="1" ht="15" customHeight="1" x14ac:dyDescent="0.3">
      <c r="A48" s="353"/>
      <c r="B48" s="354"/>
      <c r="C48" s="354"/>
      <c r="D48" s="354"/>
      <c r="E48" s="354"/>
      <c r="F48" s="354"/>
      <c r="G48" s="354"/>
      <c r="H48" s="355"/>
    </row>
    <row r="49" spans="1:8" s="115" customFormat="1" ht="15" customHeight="1" x14ac:dyDescent="0.3">
      <c r="A49" s="356" t="str">
        <f>MC!B126</f>
        <v>Rua DT Alto Alegre</v>
      </c>
      <c r="B49" s="357"/>
      <c r="C49" s="357"/>
      <c r="D49" s="357"/>
      <c r="E49" s="357"/>
      <c r="F49" s="357"/>
      <c r="G49" s="357"/>
      <c r="H49" s="120">
        <f>SUM(H50,H53,H56,H60,H64)</f>
        <v>291756.14999999997</v>
      </c>
    </row>
    <row r="50" spans="1:8" s="115" customFormat="1" ht="15" customHeight="1" x14ac:dyDescent="0.3">
      <c r="A50" s="113" t="s">
        <v>40</v>
      </c>
      <c r="B50" s="358" t="s">
        <v>59</v>
      </c>
      <c r="C50" s="358"/>
      <c r="D50" s="358"/>
      <c r="E50" s="358"/>
      <c r="F50" s="358"/>
      <c r="G50" s="358"/>
      <c r="H50" s="114">
        <f>H51</f>
        <v>1326</v>
      </c>
    </row>
    <row r="51" spans="1:8" s="115" customFormat="1" ht="15" customHeight="1" x14ac:dyDescent="0.3">
      <c r="A51" s="94" t="s">
        <v>42</v>
      </c>
      <c r="B51" s="94">
        <v>100575</v>
      </c>
      <c r="C51" s="110" t="s">
        <v>60</v>
      </c>
      <c r="D51" s="26" t="s">
        <v>17</v>
      </c>
      <c r="E51" s="116">
        <f>MC!C135</f>
        <v>1950</v>
      </c>
      <c r="F51" s="116">
        <f>F13</f>
        <v>0.56000000000000005</v>
      </c>
      <c r="G51" s="28">
        <f>G13</f>
        <v>0.68</v>
      </c>
      <c r="H51" s="28">
        <f>ROUND(E51*G51,2)</f>
        <v>1326</v>
      </c>
    </row>
    <row r="52" spans="1:8" s="115" customFormat="1" ht="15" customHeight="1" x14ac:dyDescent="0.3">
      <c r="A52" s="350"/>
      <c r="B52" s="350"/>
      <c r="C52" s="350"/>
      <c r="D52" s="350"/>
      <c r="E52" s="350"/>
      <c r="F52" s="350"/>
      <c r="G52" s="350"/>
      <c r="H52" s="350"/>
    </row>
    <row r="53" spans="1:8" s="115" customFormat="1" ht="15" customHeight="1" x14ac:dyDescent="0.3">
      <c r="A53" s="113" t="s">
        <v>62</v>
      </c>
      <c r="B53" s="358" t="s">
        <v>63</v>
      </c>
      <c r="C53" s="358"/>
      <c r="D53" s="358"/>
      <c r="E53" s="358"/>
      <c r="F53" s="358"/>
      <c r="G53" s="358"/>
      <c r="H53" s="114">
        <f>SUM(H54:H54)</f>
        <v>198100.5</v>
      </c>
    </row>
    <row r="54" spans="1:8" s="115" customFormat="1" ht="25.05" customHeight="1" x14ac:dyDescent="0.3">
      <c r="A54" s="94" t="s">
        <v>64</v>
      </c>
      <c r="B54" s="94" t="s">
        <v>183</v>
      </c>
      <c r="C54" s="110" t="s">
        <v>24</v>
      </c>
      <c r="D54" s="26" t="s">
        <v>17</v>
      </c>
      <c r="E54" s="116">
        <f>MC!C141</f>
        <v>1950</v>
      </c>
      <c r="F54" s="116">
        <f>F16</f>
        <v>83.3</v>
      </c>
      <c r="G54" s="28">
        <f>G16</f>
        <v>101.59</v>
      </c>
      <c r="H54" s="28">
        <f>ROUND(E54*G54,2)</f>
        <v>198100.5</v>
      </c>
    </row>
    <row r="55" spans="1:8" s="115" customFormat="1" ht="15" customHeight="1" x14ac:dyDescent="0.3">
      <c r="A55" s="350"/>
      <c r="B55" s="350"/>
      <c r="C55" s="350"/>
      <c r="D55" s="350"/>
      <c r="E55" s="350"/>
      <c r="F55" s="350"/>
      <c r="G55" s="350"/>
      <c r="H55" s="350"/>
    </row>
    <row r="56" spans="1:8" s="115" customFormat="1" ht="15" customHeight="1" x14ac:dyDescent="0.3">
      <c r="A56" s="113" t="s">
        <v>65</v>
      </c>
      <c r="B56" s="358" t="s">
        <v>66</v>
      </c>
      <c r="C56" s="358"/>
      <c r="D56" s="358"/>
      <c r="E56" s="358"/>
      <c r="F56" s="358"/>
      <c r="G56" s="358"/>
      <c r="H56" s="114">
        <f>SUM(H57:H58)</f>
        <v>51124.12</v>
      </c>
    </row>
    <row r="57" spans="1:8" s="115" customFormat="1" ht="25.05" customHeight="1" x14ac:dyDescent="0.3">
      <c r="A57" s="94" t="s">
        <v>67</v>
      </c>
      <c r="B57" s="94">
        <v>94273</v>
      </c>
      <c r="C57" s="110" t="s">
        <v>68</v>
      </c>
      <c r="D57" s="26" t="s">
        <v>48</v>
      </c>
      <c r="E57" s="116">
        <f>MC!C148</f>
        <v>613</v>
      </c>
      <c r="F57" s="116">
        <f>F19</f>
        <v>45.3</v>
      </c>
      <c r="G57" s="28">
        <f>G19</f>
        <v>55.24</v>
      </c>
      <c r="H57" s="28">
        <f>ROUND(E57*G57,2)</f>
        <v>33862.120000000003</v>
      </c>
    </row>
    <row r="58" spans="1:8" s="115" customFormat="1" ht="25.05" customHeight="1" x14ac:dyDescent="0.3">
      <c r="A58" s="94" t="s">
        <v>72</v>
      </c>
      <c r="B58" s="94" t="s">
        <v>184</v>
      </c>
      <c r="C58" s="110" t="s">
        <v>185</v>
      </c>
      <c r="D58" s="26" t="s">
        <v>48</v>
      </c>
      <c r="E58" s="116">
        <f>MC!C153</f>
        <v>600</v>
      </c>
      <c r="F58" s="116">
        <f>F20</f>
        <v>23.59</v>
      </c>
      <c r="G58" s="28">
        <f>G20</f>
        <v>28.77</v>
      </c>
      <c r="H58" s="28">
        <f>ROUND(E58*G58,2)</f>
        <v>17262</v>
      </c>
    </row>
    <row r="59" spans="1:8" s="115" customFormat="1" ht="15" customHeight="1" x14ac:dyDescent="0.3">
      <c r="A59" s="350"/>
      <c r="B59" s="350"/>
      <c r="C59" s="350"/>
      <c r="D59" s="350"/>
      <c r="E59" s="350"/>
      <c r="F59" s="350"/>
      <c r="G59" s="350"/>
      <c r="H59" s="350"/>
    </row>
    <row r="60" spans="1:8" s="115" customFormat="1" ht="15" customHeight="1" x14ac:dyDescent="0.3">
      <c r="A60" s="113" t="s">
        <v>74</v>
      </c>
      <c r="B60" s="358" t="s">
        <v>75</v>
      </c>
      <c r="C60" s="358"/>
      <c r="D60" s="358"/>
      <c r="E60" s="358"/>
      <c r="F60" s="358"/>
      <c r="G60" s="358"/>
      <c r="H60" s="114">
        <f>SUM(H61:H62)</f>
        <v>39920.6</v>
      </c>
    </row>
    <row r="61" spans="1:8" s="115" customFormat="1" ht="25.05" customHeight="1" x14ac:dyDescent="0.3">
      <c r="A61" s="94" t="s">
        <v>76</v>
      </c>
      <c r="B61" s="94">
        <v>95878</v>
      </c>
      <c r="C61" s="110" t="s">
        <v>77</v>
      </c>
      <c r="D61" s="26" t="s">
        <v>186</v>
      </c>
      <c r="E61" s="116">
        <f>MC!C162</f>
        <v>9287.4599999999991</v>
      </c>
      <c r="F61" s="116">
        <f>F23</f>
        <v>1.69</v>
      </c>
      <c r="G61" s="28">
        <f>G23</f>
        <v>2.06</v>
      </c>
      <c r="H61" s="28">
        <f>ROUND(E61*G61,2)</f>
        <v>19132.169999999998</v>
      </c>
    </row>
    <row r="62" spans="1:8" s="115" customFormat="1" ht="25.05" customHeight="1" x14ac:dyDescent="0.3">
      <c r="A62" s="94" t="s">
        <v>89</v>
      </c>
      <c r="B62" s="94">
        <v>93596</v>
      </c>
      <c r="C62" s="110" t="s">
        <v>90</v>
      </c>
      <c r="D62" s="26" t="s">
        <v>186</v>
      </c>
      <c r="E62" s="116">
        <f>MC!C170</f>
        <v>26314.47</v>
      </c>
      <c r="F62" s="116">
        <f>F24</f>
        <v>0.65</v>
      </c>
      <c r="G62" s="28">
        <f>G24</f>
        <v>0.79</v>
      </c>
      <c r="H62" s="28">
        <f>ROUND(E62*G62,2)</f>
        <v>20788.43</v>
      </c>
    </row>
    <row r="63" spans="1:8" s="115" customFormat="1" ht="15" customHeight="1" x14ac:dyDescent="0.3">
      <c r="A63" s="350"/>
      <c r="B63" s="350"/>
      <c r="C63" s="350"/>
      <c r="D63" s="350"/>
      <c r="E63" s="350"/>
      <c r="F63" s="350"/>
      <c r="G63" s="350"/>
      <c r="H63" s="350"/>
    </row>
    <row r="64" spans="1:8" s="115" customFormat="1" ht="15" customHeight="1" x14ac:dyDescent="0.3">
      <c r="A64" s="113" t="s">
        <v>91</v>
      </c>
      <c r="B64" s="358" t="s">
        <v>174</v>
      </c>
      <c r="C64" s="358"/>
      <c r="D64" s="358"/>
      <c r="E64" s="358"/>
      <c r="F64" s="358"/>
      <c r="G64" s="358"/>
      <c r="H64" s="114">
        <f>SUM(H65:H66)</f>
        <v>1284.93</v>
      </c>
    </row>
    <row r="65" spans="1:8" s="115" customFormat="1" ht="25.05" customHeight="1" x14ac:dyDescent="0.3">
      <c r="A65" s="94" t="s">
        <v>93</v>
      </c>
      <c r="B65" s="94" t="s">
        <v>187</v>
      </c>
      <c r="C65" s="110" t="s">
        <v>94</v>
      </c>
      <c r="D65" s="26" t="s">
        <v>17</v>
      </c>
      <c r="E65" s="116">
        <f>MC!C175</f>
        <v>0.23</v>
      </c>
      <c r="F65" s="116">
        <f>F27</f>
        <v>974.85</v>
      </c>
      <c r="G65" s="28">
        <f>G27</f>
        <v>1188.92</v>
      </c>
      <c r="H65" s="28">
        <f>ROUND(E65*G65,2)</f>
        <v>273.45</v>
      </c>
    </row>
    <row r="66" spans="1:8" s="115" customFormat="1" ht="25.05" customHeight="1" x14ac:dyDescent="0.3">
      <c r="A66" s="94" t="s">
        <v>93</v>
      </c>
      <c r="B66" s="94" t="s">
        <v>188</v>
      </c>
      <c r="C66" s="110" t="s">
        <v>98</v>
      </c>
      <c r="D66" s="26" t="s">
        <v>69</v>
      </c>
      <c r="E66" s="116">
        <f>MC!C179</f>
        <v>2</v>
      </c>
      <c r="F66" s="116">
        <f>F28</f>
        <v>414.68</v>
      </c>
      <c r="G66" s="28">
        <f>G28</f>
        <v>505.74</v>
      </c>
      <c r="H66" s="28">
        <f>ROUND(E66*G66,2)</f>
        <v>1011.48</v>
      </c>
    </row>
    <row r="67" spans="1:8" s="115" customFormat="1" ht="15" customHeight="1" x14ac:dyDescent="0.3">
      <c r="A67" s="353"/>
      <c r="B67" s="354"/>
      <c r="C67" s="354"/>
      <c r="D67" s="354"/>
      <c r="E67" s="354"/>
      <c r="F67" s="354"/>
      <c r="G67" s="354"/>
      <c r="H67" s="355"/>
    </row>
  </sheetData>
  <mergeCells count="48">
    <mergeCell ref="A4:H4"/>
    <mergeCell ref="F2:H2"/>
    <mergeCell ref="F3:H3"/>
    <mergeCell ref="A1:H1"/>
    <mergeCell ref="D2:E2"/>
    <mergeCell ref="A2:C2"/>
    <mergeCell ref="A3:C3"/>
    <mergeCell ref="A67:H67"/>
    <mergeCell ref="A48:H48"/>
    <mergeCell ref="A49:G49"/>
    <mergeCell ref="B50:G50"/>
    <mergeCell ref="A52:H52"/>
    <mergeCell ref="B53:G53"/>
    <mergeCell ref="A55:H55"/>
    <mergeCell ref="B56:G56"/>
    <mergeCell ref="A59:H59"/>
    <mergeCell ref="B60:G60"/>
    <mergeCell ref="A63:H63"/>
    <mergeCell ref="B64:G64"/>
    <mergeCell ref="B22:G22"/>
    <mergeCell ref="B45:G45"/>
    <mergeCell ref="B26:G26"/>
    <mergeCell ref="A29:H29"/>
    <mergeCell ref="A30:G30"/>
    <mergeCell ref="B31:G31"/>
    <mergeCell ref="A33:H33"/>
    <mergeCell ref="B34:G34"/>
    <mergeCell ref="A36:H36"/>
    <mergeCell ref="B37:G37"/>
    <mergeCell ref="A40:H40"/>
    <mergeCell ref="B41:G41"/>
    <mergeCell ref="A44:H44"/>
    <mergeCell ref="A25:H25"/>
    <mergeCell ref="F5:H5"/>
    <mergeCell ref="B7:G7"/>
    <mergeCell ref="A10:H10"/>
    <mergeCell ref="A11:G11"/>
    <mergeCell ref="B12:G12"/>
    <mergeCell ref="A14:H14"/>
    <mergeCell ref="A5:A6"/>
    <mergeCell ref="B5:B6"/>
    <mergeCell ref="C5:C6"/>
    <mergeCell ref="D5:D6"/>
    <mergeCell ref="E5:E6"/>
    <mergeCell ref="B15:G15"/>
    <mergeCell ref="A17:H17"/>
    <mergeCell ref="B18:G18"/>
    <mergeCell ref="A21:H21"/>
  </mergeCells>
  <printOptions horizontalCentered="1"/>
  <pageMargins left="1.1023622047244095" right="0.51181102362204722" top="1.5748031496062993" bottom="0.78740157480314965" header="0.31496062992125984" footer="0.31496062992125984"/>
  <pageSetup paperSize="9" scale="59" fitToHeight="0" orientation="portrait" r:id="rId1"/>
  <headerFooter>
    <oddHeader>&amp;C&amp;G</oddHeader>
  </headerFooter>
  <rowBreaks count="1" manualBreakCount="1">
    <brk id="47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371C-F2C5-4E57-931D-C4FEAEBFB5B0}">
  <sheetPr>
    <pageSetUpPr fitToPage="1"/>
  </sheetPr>
  <dimension ref="A1:G62"/>
  <sheetViews>
    <sheetView tabSelected="1" view="pageBreakPreview" topLeftCell="A47" zoomScale="120" zoomScaleNormal="100" zoomScaleSheetLayoutView="120" workbookViewId="0">
      <selection activeCell="H56" sqref="H56"/>
    </sheetView>
  </sheetViews>
  <sheetFormatPr defaultRowHeight="14.4" x14ac:dyDescent="0.3"/>
  <cols>
    <col min="1" max="1" width="10.77734375" customWidth="1"/>
    <col min="2" max="2" width="50.77734375" customWidth="1"/>
    <col min="3" max="3" width="10.77734375" customWidth="1"/>
    <col min="4" max="4" width="14" customWidth="1"/>
    <col min="5" max="6" width="20.77734375" customWidth="1"/>
    <col min="7" max="7" width="14" bestFit="1" customWidth="1"/>
  </cols>
  <sheetData>
    <row r="1" spans="1:6" ht="19.95" customHeight="1" x14ac:dyDescent="0.3">
      <c r="A1" s="333" t="s">
        <v>346</v>
      </c>
      <c r="B1" s="333"/>
      <c r="C1" s="333"/>
      <c r="D1" s="333"/>
      <c r="E1" s="333"/>
      <c r="F1" s="334"/>
    </row>
    <row r="2" spans="1:6" ht="15" customHeight="1" x14ac:dyDescent="0.3">
      <c r="A2" s="333" t="s">
        <v>29</v>
      </c>
      <c r="B2" s="333" t="s">
        <v>347</v>
      </c>
      <c r="C2" s="396" t="s">
        <v>348</v>
      </c>
      <c r="D2" s="397" t="s">
        <v>349</v>
      </c>
      <c r="E2" s="391" t="s">
        <v>350</v>
      </c>
      <c r="F2" s="391"/>
    </row>
    <row r="3" spans="1:6" ht="15" customHeight="1" x14ac:dyDescent="0.3">
      <c r="A3" s="333"/>
      <c r="B3" s="333"/>
      <c r="C3" s="396"/>
      <c r="D3" s="397"/>
      <c r="E3" s="243">
        <v>30</v>
      </c>
      <c r="F3" s="243">
        <v>60</v>
      </c>
    </row>
    <row r="4" spans="1:6" ht="15" customHeight="1" x14ac:dyDescent="0.3">
      <c r="A4" s="19" t="s">
        <v>34</v>
      </c>
      <c r="B4" s="330" t="str">
        <f>ORÇ!B7</f>
        <v>SERVIÇOS PRELIMINARES</v>
      </c>
      <c r="C4" s="330"/>
      <c r="D4" s="330"/>
      <c r="E4" s="330"/>
      <c r="F4" s="330"/>
    </row>
    <row r="5" spans="1:6" ht="15" customHeight="1" x14ac:dyDescent="0.3">
      <c r="A5" s="392" t="s">
        <v>36</v>
      </c>
      <c r="B5" s="393" t="str">
        <f>ORÇ!C8</f>
        <v>Placa de Obra em chapa de aço galvanizado</v>
      </c>
      <c r="C5" s="394">
        <f>D5/$D$58</f>
        <v>3.1771276990214367E-3</v>
      </c>
      <c r="D5" s="395">
        <f>ORÇ!H8</f>
        <v>3418.74</v>
      </c>
      <c r="E5" s="244">
        <f>$D$5*E6</f>
        <v>3418.74</v>
      </c>
      <c r="F5" s="244">
        <f>$D$5*F6</f>
        <v>0</v>
      </c>
    </row>
    <row r="6" spans="1:6" ht="15" customHeight="1" x14ac:dyDescent="0.3">
      <c r="A6" s="392"/>
      <c r="B6" s="393"/>
      <c r="C6" s="394"/>
      <c r="D6" s="375"/>
      <c r="E6" s="245">
        <v>1</v>
      </c>
      <c r="F6" s="245"/>
    </row>
    <row r="7" spans="1:6" ht="15" customHeight="1" x14ac:dyDescent="0.3">
      <c r="A7" s="392" t="s">
        <v>99</v>
      </c>
      <c r="B7" s="393" t="str">
        <f>ORÇ!C9</f>
        <v>Administração local da obra</v>
      </c>
      <c r="C7" s="394">
        <f>D7/$D$58</f>
        <v>1.8915430677124444E-2</v>
      </c>
      <c r="D7" s="395">
        <f>ORÇ!H9</f>
        <v>20353.900000000001</v>
      </c>
      <c r="E7" s="244">
        <f>$D$7*E8</f>
        <v>10176.950000000001</v>
      </c>
      <c r="F7" s="244">
        <f>$D$7*F8</f>
        <v>10176.950000000001</v>
      </c>
    </row>
    <row r="8" spans="1:6" ht="15" customHeight="1" x14ac:dyDescent="0.3">
      <c r="A8" s="392"/>
      <c r="B8" s="393"/>
      <c r="C8" s="394"/>
      <c r="D8" s="375"/>
      <c r="E8" s="245">
        <v>0.5</v>
      </c>
      <c r="F8" s="245">
        <v>0.5</v>
      </c>
    </row>
    <row r="9" spans="1:6" ht="15" customHeight="1" x14ac:dyDescent="0.3">
      <c r="A9" s="388"/>
      <c r="B9" s="389"/>
      <c r="C9" s="389"/>
      <c r="D9" s="389"/>
      <c r="E9" s="389"/>
      <c r="F9" s="390"/>
    </row>
    <row r="10" spans="1:6" ht="15" customHeight="1" x14ac:dyDescent="0.3">
      <c r="A10" s="330" t="str">
        <f>ORÇ!A11</f>
        <v>Rua Santa Maria</v>
      </c>
      <c r="B10" s="383"/>
      <c r="C10" s="330"/>
      <c r="D10" s="330"/>
      <c r="E10" s="330"/>
      <c r="F10" s="330"/>
    </row>
    <row r="11" spans="1:6" s="115" customFormat="1" ht="15" customHeight="1" x14ac:dyDescent="0.3">
      <c r="A11" s="381" t="s">
        <v>40</v>
      </c>
      <c r="B11" s="382" t="str">
        <f>ORÇ!B12</f>
        <v>TERRAPLENAGEM</v>
      </c>
      <c r="C11" s="380">
        <f>D11/$D$58</f>
        <v>2.0127366136473168E-3</v>
      </c>
      <c r="D11" s="376">
        <f>ORÇ!H12</f>
        <v>2165.8000000000002</v>
      </c>
      <c r="E11" s="244">
        <f>$D$11*E12</f>
        <v>1082.9000000000001</v>
      </c>
      <c r="F11" s="244">
        <f>$D$11*F12</f>
        <v>1082.9000000000001</v>
      </c>
    </row>
    <row r="12" spans="1:6" s="115" customFormat="1" ht="15" customHeight="1" x14ac:dyDescent="0.3">
      <c r="A12" s="381"/>
      <c r="B12" s="382"/>
      <c r="C12" s="380"/>
      <c r="D12" s="376"/>
      <c r="E12" s="245">
        <v>0.5</v>
      </c>
      <c r="F12" s="245">
        <v>0.5</v>
      </c>
    </row>
    <row r="13" spans="1:6" s="115" customFormat="1" ht="15" customHeight="1" x14ac:dyDescent="0.3">
      <c r="A13" s="258"/>
      <c r="B13" s="258"/>
      <c r="C13" s="258"/>
      <c r="D13" s="258"/>
      <c r="E13" s="258"/>
      <c r="F13" s="258"/>
    </row>
    <row r="14" spans="1:6" s="115" customFormat="1" ht="15" customHeight="1" x14ac:dyDescent="0.3">
      <c r="A14" s="381" t="s">
        <v>62</v>
      </c>
      <c r="B14" s="379" t="str">
        <f>ORÇ!B15</f>
        <v>PAVIMENTAÇÃO</v>
      </c>
      <c r="C14" s="380">
        <f>D14/$D$58</f>
        <v>0.30069693026533961</v>
      </c>
      <c r="D14" s="376">
        <f>ORÇ!H15</f>
        <v>323564.15000000002</v>
      </c>
      <c r="E14" s="244">
        <f>$D$14*E15</f>
        <v>161782.07500000001</v>
      </c>
      <c r="F14" s="244">
        <f>$D$14*F15</f>
        <v>161782.07500000001</v>
      </c>
    </row>
    <row r="15" spans="1:6" s="115" customFormat="1" ht="15" customHeight="1" x14ac:dyDescent="0.3">
      <c r="A15" s="381"/>
      <c r="B15" s="379"/>
      <c r="C15" s="380"/>
      <c r="D15" s="376"/>
      <c r="E15" s="245">
        <v>0.5</v>
      </c>
      <c r="F15" s="245">
        <v>0.5</v>
      </c>
    </row>
    <row r="16" spans="1:6" s="115" customFormat="1" ht="15" customHeight="1" x14ac:dyDescent="0.3">
      <c r="A16" s="258"/>
      <c r="B16" s="258"/>
      <c r="C16" s="258"/>
      <c r="D16" s="258"/>
      <c r="E16" s="258"/>
      <c r="F16" s="258"/>
    </row>
    <row r="17" spans="1:6" s="115" customFormat="1" ht="15" customHeight="1" x14ac:dyDescent="0.3">
      <c r="A17" s="377" t="s">
        <v>65</v>
      </c>
      <c r="B17" s="379" t="str">
        <f>ORÇ!B18</f>
        <v>SERVIÇOS COMPLEMENTARES</v>
      </c>
      <c r="C17" s="375">
        <f>D17/$D$58</f>
        <v>7.1764924110220424E-2</v>
      </c>
      <c r="D17" s="376">
        <f>ORÇ!H18</f>
        <v>77222.460000000006</v>
      </c>
      <c r="E17" s="244">
        <f>$D$17*E18</f>
        <v>38611.230000000003</v>
      </c>
      <c r="F17" s="244">
        <f>$D$17*F18</f>
        <v>38611.230000000003</v>
      </c>
    </row>
    <row r="18" spans="1:6" s="115" customFormat="1" ht="15" customHeight="1" x14ac:dyDescent="0.3">
      <c r="A18" s="378"/>
      <c r="B18" s="379"/>
      <c r="C18" s="375"/>
      <c r="D18" s="376"/>
      <c r="E18" s="245">
        <v>0.5</v>
      </c>
      <c r="F18" s="245">
        <v>0.5</v>
      </c>
    </row>
    <row r="19" spans="1:6" s="115" customFormat="1" ht="15" customHeight="1" x14ac:dyDescent="0.3">
      <c r="A19" s="258"/>
      <c r="B19" s="258"/>
      <c r="C19" s="258"/>
      <c r="D19" s="258"/>
      <c r="E19" s="258"/>
      <c r="F19" s="258"/>
    </row>
    <row r="20" spans="1:6" s="115" customFormat="1" ht="15" customHeight="1" x14ac:dyDescent="0.3">
      <c r="A20" s="377" t="s">
        <v>74</v>
      </c>
      <c r="B20" s="379" t="str">
        <f>ORÇ!B22</f>
        <v xml:space="preserve">TRANSPORTE </v>
      </c>
      <c r="C20" s="380">
        <f>D20/$D$58</f>
        <v>6.0595518375863362E-2</v>
      </c>
      <c r="D20" s="376">
        <f>ORÇ!H22</f>
        <v>65203.65</v>
      </c>
      <c r="E20" s="244">
        <f>$D$20*E21</f>
        <v>32601.825000000001</v>
      </c>
      <c r="F20" s="244">
        <f>$D$20*F21</f>
        <v>32601.825000000001</v>
      </c>
    </row>
    <row r="21" spans="1:6" s="115" customFormat="1" ht="15" customHeight="1" x14ac:dyDescent="0.3">
      <c r="A21" s="378"/>
      <c r="B21" s="379"/>
      <c r="C21" s="380"/>
      <c r="D21" s="376"/>
      <c r="E21" s="245">
        <v>0.5</v>
      </c>
      <c r="F21" s="245">
        <v>0.5</v>
      </c>
    </row>
    <row r="22" spans="1:6" s="115" customFormat="1" ht="15" customHeight="1" x14ac:dyDescent="0.3">
      <c r="A22" s="259"/>
      <c r="B22" s="25"/>
      <c r="C22" s="246"/>
      <c r="D22" s="116"/>
      <c r="E22" s="245"/>
      <c r="F22" s="245"/>
    </row>
    <row r="23" spans="1:6" s="115" customFormat="1" ht="15" customHeight="1" x14ac:dyDescent="0.3">
      <c r="A23" s="377" t="s">
        <v>91</v>
      </c>
      <c r="B23" s="369" t="str">
        <f>ORÇ!B26</f>
        <v>SINALIZAÇÃO</v>
      </c>
      <c r="C23" s="371">
        <f>D23/$D$58</f>
        <v>1.1941202590146122E-3</v>
      </c>
      <c r="D23" s="373">
        <f>ORÇ!H26</f>
        <v>1284.93</v>
      </c>
      <c r="E23" s="244">
        <f>$D$23*E24</f>
        <v>642.46500000000003</v>
      </c>
      <c r="F23" s="244">
        <f>$D$23*F24</f>
        <v>642.46500000000003</v>
      </c>
    </row>
    <row r="24" spans="1:6" s="115" customFormat="1" ht="15" customHeight="1" x14ac:dyDescent="0.3">
      <c r="A24" s="378"/>
      <c r="B24" s="370"/>
      <c r="C24" s="372"/>
      <c r="D24" s="374"/>
      <c r="E24" s="245">
        <v>0.5</v>
      </c>
      <c r="F24" s="245">
        <v>0.5</v>
      </c>
    </row>
    <row r="25" spans="1:6" s="115" customFormat="1" ht="15" customHeight="1" x14ac:dyDescent="0.3">
      <c r="A25" s="353"/>
      <c r="B25" s="354"/>
      <c r="C25" s="354"/>
      <c r="D25" s="354"/>
      <c r="E25" s="354"/>
      <c r="F25" s="355"/>
    </row>
    <row r="26" spans="1:6" x14ac:dyDescent="0.3">
      <c r="A26" s="330" t="str">
        <f>ORÇ!A30</f>
        <v>Rua Projetada 02</v>
      </c>
      <c r="B26" s="383"/>
      <c r="C26" s="330"/>
      <c r="D26" s="330"/>
      <c r="E26" s="330"/>
      <c r="F26" s="330"/>
    </row>
    <row r="27" spans="1:6" x14ac:dyDescent="0.3">
      <c r="A27" s="381" t="s">
        <v>40</v>
      </c>
      <c r="B27" s="382" t="str">
        <f>B11</f>
        <v>TERRAPLENAGEM</v>
      </c>
      <c r="C27" s="380">
        <f>D27/$D$58</f>
        <v>1.1690934804544854E-3</v>
      </c>
      <c r="D27" s="376">
        <f>ORÇ!H31</f>
        <v>1258</v>
      </c>
      <c r="E27" s="244">
        <f>$D$27*E28</f>
        <v>629</v>
      </c>
      <c r="F27" s="244">
        <f>$D$27*F28</f>
        <v>629</v>
      </c>
    </row>
    <row r="28" spans="1:6" x14ac:dyDescent="0.3">
      <c r="A28" s="381"/>
      <c r="B28" s="382"/>
      <c r="C28" s="380"/>
      <c r="D28" s="376"/>
      <c r="E28" s="245">
        <v>0.5</v>
      </c>
      <c r="F28" s="245">
        <v>0.5</v>
      </c>
    </row>
    <row r="29" spans="1:6" x14ac:dyDescent="0.3">
      <c r="A29" s="258"/>
      <c r="B29" s="258"/>
      <c r="C29" s="258"/>
      <c r="D29" s="258"/>
      <c r="E29" s="258"/>
      <c r="F29" s="258"/>
    </row>
    <row r="30" spans="1:6" x14ac:dyDescent="0.3">
      <c r="A30" s="381" t="s">
        <v>62</v>
      </c>
      <c r="B30" s="379" t="str">
        <f>B14</f>
        <v>PAVIMENTAÇÃO</v>
      </c>
      <c r="C30" s="380">
        <f>D30/$D$58</f>
        <v>0.1746591274696635</v>
      </c>
      <c r="D30" s="376">
        <f>ORÇ!H34</f>
        <v>187941.5</v>
      </c>
      <c r="E30" s="244">
        <f>$D$30*E31</f>
        <v>93970.75</v>
      </c>
      <c r="F30" s="244">
        <f>$D$30*F31</f>
        <v>93970.75</v>
      </c>
    </row>
    <row r="31" spans="1:6" x14ac:dyDescent="0.3">
      <c r="A31" s="381"/>
      <c r="B31" s="379"/>
      <c r="C31" s="380"/>
      <c r="D31" s="376"/>
      <c r="E31" s="245">
        <v>0.5</v>
      </c>
      <c r="F31" s="245">
        <v>0.5</v>
      </c>
    </row>
    <row r="32" spans="1:6" x14ac:dyDescent="0.3">
      <c r="A32" s="258"/>
      <c r="B32" s="258"/>
      <c r="C32" s="258"/>
      <c r="D32" s="258"/>
      <c r="E32" s="258"/>
      <c r="F32" s="258"/>
    </row>
    <row r="33" spans="1:6" x14ac:dyDescent="0.3">
      <c r="A33" s="377" t="s">
        <v>65</v>
      </c>
      <c r="B33" s="379" t="str">
        <f>B17</f>
        <v>SERVIÇOS COMPLEMENTARES</v>
      </c>
      <c r="C33" s="375">
        <f>D33/$D$58</f>
        <v>5.8287209280929439E-2</v>
      </c>
      <c r="D33" s="376">
        <f>ORÇ!H37</f>
        <v>62719.8</v>
      </c>
      <c r="E33" s="244">
        <f>$D$33*E34</f>
        <v>31359.9</v>
      </c>
      <c r="F33" s="244">
        <f>$D$33*F34</f>
        <v>31359.9</v>
      </c>
    </row>
    <row r="34" spans="1:6" x14ac:dyDescent="0.3">
      <c r="A34" s="378"/>
      <c r="B34" s="379"/>
      <c r="C34" s="375"/>
      <c r="D34" s="376"/>
      <c r="E34" s="245">
        <v>0.5</v>
      </c>
      <c r="F34" s="245">
        <v>0.5</v>
      </c>
    </row>
    <row r="35" spans="1:6" x14ac:dyDescent="0.3">
      <c r="A35" s="258"/>
      <c r="B35" s="258"/>
      <c r="C35" s="258"/>
      <c r="D35" s="258"/>
      <c r="E35" s="258"/>
      <c r="F35" s="258"/>
    </row>
    <row r="36" spans="1:6" x14ac:dyDescent="0.3">
      <c r="A36" s="377" t="s">
        <v>74</v>
      </c>
      <c r="B36" s="379" t="str">
        <f>B20</f>
        <v xml:space="preserve">TRANSPORTE </v>
      </c>
      <c r="C36" s="380">
        <f>D36/$D$58</f>
        <v>3.5196767354300558E-2</v>
      </c>
      <c r="D36" s="376">
        <f>ORÇ!H41</f>
        <v>37873.39</v>
      </c>
      <c r="E36" s="244">
        <f>$D$36*E37</f>
        <v>18936.695</v>
      </c>
      <c r="F36" s="244">
        <f>$D$36*F37</f>
        <v>18936.695</v>
      </c>
    </row>
    <row r="37" spans="1:6" x14ac:dyDescent="0.3">
      <c r="A37" s="378"/>
      <c r="B37" s="379"/>
      <c r="C37" s="380"/>
      <c r="D37" s="376"/>
      <c r="E37" s="245">
        <v>0.5</v>
      </c>
      <c r="F37" s="245">
        <v>0.5</v>
      </c>
    </row>
    <row r="38" spans="1:6" x14ac:dyDescent="0.3">
      <c r="A38" s="259"/>
      <c r="B38" s="25"/>
      <c r="C38" s="246"/>
      <c r="D38" s="116"/>
      <c r="E38" s="245"/>
      <c r="F38" s="245"/>
    </row>
    <row r="39" spans="1:6" x14ac:dyDescent="0.3">
      <c r="A39" s="377" t="s">
        <v>91</v>
      </c>
      <c r="B39" s="369" t="str">
        <f>B23</f>
        <v>SINALIZAÇÃO</v>
      </c>
      <c r="C39" s="371">
        <f>D39/$D$58</f>
        <v>1.1941202590146122E-3</v>
      </c>
      <c r="D39" s="373">
        <f>ORÇ!H45</f>
        <v>1284.93</v>
      </c>
      <c r="E39" s="244">
        <f>$D$39*E40</f>
        <v>642.46500000000003</v>
      </c>
      <c r="F39" s="244">
        <f>$D$39*F40</f>
        <v>642.46500000000003</v>
      </c>
    </row>
    <row r="40" spans="1:6" x14ac:dyDescent="0.3">
      <c r="A40" s="378"/>
      <c r="B40" s="370"/>
      <c r="C40" s="372"/>
      <c r="D40" s="374"/>
      <c r="E40" s="245">
        <v>0.5</v>
      </c>
      <c r="F40" s="245">
        <v>0.5</v>
      </c>
    </row>
    <row r="41" spans="1:6" x14ac:dyDescent="0.3">
      <c r="A41" s="353"/>
      <c r="B41" s="354"/>
      <c r="C41" s="354"/>
      <c r="D41" s="354"/>
      <c r="E41" s="354"/>
      <c r="F41" s="355"/>
    </row>
    <row r="42" spans="1:6" x14ac:dyDescent="0.3">
      <c r="A42" s="330" t="str">
        <f>ORÇ!A49</f>
        <v>Rua DT Alto Alegre</v>
      </c>
      <c r="B42" s="383"/>
      <c r="C42" s="330"/>
      <c r="D42" s="330"/>
      <c r="E42" s="330"/>
      <c r="F42" s="330"/>
    </row>
    <row r="43" spans="1:6" x14ac:dyDescent="0.3">
      <c r="A43" s="381" t="s">
        <v>40</v>
      </c>
      <c r="B43" s="382" t="str">
        <f>B27</f>
        <v>TERRAPLENAGEM</v>
      </c>
      <c r="C43" s="380">
        <f>D43/$D$58</f>
        <v>1.2322877226412143E-3</v>
      </c>
      <c r="D43" s="376">
        <f>ORÇ!H50</f>
        <v>1326</v>
      </c>
      <c r="E43" s="244">
        <f>$D$43*E44</f>
        <v>663</v>
      </c>
      <c r="F43" s="244">
        <f>$D$43*F44</f>
        <v>663</v>
      </c>
    </row>
    <row r="44" spans="1:6" x14ac:dyDescent="0.3">
      <c r="A44" s="381"/>
      <c r="B44" s="382"/>
      <c r="C44" s="380"/>
      <c r="D44" s="376"/>
      <c r="E44" s="245">
        <v>0.5</v>
      </c>
      <c r="F44" s="245">
        <v>0.5</v>
      </c>
    </row>
    <row r="45" spans="1:6" x14ac:dyDescent="0.3">
      <c r="A45" s="258"/>
      <c r="B45" s="258"/>
      <c r="C45" s="258"/>
      <c r="D45" s="258"/>
      <c r="E45" s="258"/>
      <c r="F45" s="258"/>
    </row>
    <row r="46" spans="1:6" x14ac:dyDescent="0.3">
      <c r="A46" s="381" t="s">
        <v>62</v>
      </c>
      <c r="B46" s="379" t="str">
        <f>B30</f>
        <v>PAVIMENTAÇÃO</v>
      </c>
      <c r="C46" s="380">
        <f>D46/$D$58</f>
        <v>0.1841001613869426</v>
      </c>
      <c r="D46" s="376">
        <f>ORÇ!H53</f>
        <v>198100.5</v>
      </c>
      <c r="E46" s="244">
        <f>$D$46*E47</f>
        <v>99050.25</v>
      </c>
      <c r="F46" s="244">
        <f>$D$46*F47</f>
        <v>99050.25</v>
      </c>
    </row>
    <row r="47" spans="1:6" x14ac:dyDescent="0.3">
      <c r="A47" s="381"/>
      <c r="B47" s="379"/>
      <c r="C47" s="380"/>
      <c r="D47" s="376"/>
      <c r="E47" s="245">
        <v>0.5</v>
      </c>
      <c r="F47" s="245">
        <v>0.5</v>
      </c>
    </row>
    <row r="48" spans="1:6" x14ac:dyDescent="0.3">
      <c r="A48" s="258"/>
      <c r="B48" s="258"/>
      <c r="C48" s="258"/>
      <c r="D48" s="258"/>
      <c r="E48" s="258"/>
      <c r="F48" s="258"/>
    </row>
    <row r="49" spans="1:7" x14ac:dyDescent="0.3">
      <c r="A49" s="377" t="s">
        <v>65</v>
      </c>
      <c r="B49" s="379" t="str">
        <f>B33</f>
        <v>SERVIÇOS COMPLEMENTARES</v>
      </c>
      <c r="C49" s="375">
        <f>D49/$D$58</f>
        <v>4.751102971857931E-2</v>
      </c>
      <c r="D49" s="376">
        <f>ORÇ!H56</f>
        <v>51124.12</v>
      </c>
      <c r="E49" s="244">
        <f>$D$49*E50</f>
        <v>25562.06</v>
      </c>
      <c r="F49" s="244">
        <f>$D$49*F50</f>
        <v>25562.06</v>
      </c>
    </row>
    <row r="50" spans="1:7" x14ac:dyDescent="0.3">
      <c r="A50" s="378"/>
      <c r="B50" s="379"/>
      <c r="C50" s="375"/>
      <c r="D50" s="376"/>
      <c r="E50" s="245">
        <v>0.5</v>
      </c>
      <c r="F50" s="245">
        <v>0.5</v>
      </c>
    </row>
    <row r="51" spans="1:7" x14ac:dyDescent="0.3">
      <c r="A51" s="258"/>
      <c r="B51" s="258"/>
      <c r="C51" s="258"/>
      <c r="D51" s="258"/>
      <c r="E51" s="258"/>
      <c r="F51" s="258"/>
    </row>
    <row r="52" spans="1:7" x14ac:dyDescent="0.3">
      <c r="A52" s="377" t="s">
        <v>74</v>
      </c>
      <c r="B52" s="379" t="str">
        <f>B36</f>
        <v xml:space="preserve">TRANSPORTE </v>
      </c>
      <c r="C52" s="380">
        <f>D52/$D$58</f>
        <v>3.70992950682284E-2</v>
      </c>
      <c r="D52" s="376">
        <f>ORÇ!H60</f>
        <v>39920.6</v>
      </c>
      <c r="E52" s="244">
        <f>$D$52*E53</f>
        <v>19960.3</v>
      </c>
      <c r="F52" s="244">
        <f>$D$52*F53</f>
        <v>19960.3</v>
      </c>
    </row>
    <row r="53" spans="1:7" x14ac:dyDescent="0.3">
      <c r="A53" s="378"/>
      <c r="B53" s="379"/>
      <c r="C53" s="380"/>
      <c r="D53" s="376"/>
      <c r="E53" s="245">
        <v>0.5</v>
      </c>
      <c r="F53" s="245">
        <v>0.5</v>
      </c>
    </row>
    <row r="54" spans="1:7" x14ac:dyDescent="0.3">
      <c r="A54" s="259"/>
      <c r="B54" s="25"/>
      <c r="C54" s="246"/>
      <c r="D54" s="116"/>
      <c r="E54" s="245"/>
      <c r="F54" s="245"/>
    </row>
    <row r="55" spans="1:7" x14ac:dyDescent="0.3">
      <c r="A55" s="377" t="s">
        <v>91</v>
      </c>
      <c r="B55" s="369" t="str">
        <f>B39</f>
        <v>SINALIZAÇÃO</v>
      </c>
      <c r="C55" s="371">
        <f>D55/$D$58</f>
        <v>1.1941202590146122E-3</v>
      </c>
      <c r="D55" s="373">
        <f>ORÇ!H64</f>
        <v>1284.93</v>
      </c>
      <c r="E55" s="244">
        <f>$D$55*E56</f>
        <v>642.46500000000003</v>
      </c>
      <c r="F55" s="244">
        <f>$D$55*F56</f>
        <v>642.46500000000003</v>
      </c>
    </row>
    <row r="56" spans="1:7" x14ac:dyDescent="0.3">
      <c r="A56" s="378"/>
      <c r="B56" s="370"/>
      <c r="C56" s="372"/>
      <c r="D56" s="374"/>
      <c r="E56" s="245">
        <v>0.5</v>
      </c>
      <c r="F56" s="245">
        <v>0.5</v>
      </c>
    </row>
    <row r="57" spans="1:7" x14ac:dyDescent="0.3">
      <c r="A57" s="353"/>
      <c r="B57" s="354"/>
      <c r="C57" s="354"/>
      <c r="D57" s="354"/>
      <c r="E57" s="354"/>
      <c r="F57" s="355"/>
    </row>
    <row r="58" spans="1:7" x14ac:dyDescent="0.3">
      <c r="A58" s="384" t="s">
        <v>351</v>
      </c>
      <c r="B58" s="384"/>
      <c r="C58" s="385">
        <f>SUM(C5:C57)</f>
        <v>1</v>
      </c>
      <c r="D58" s="386">
        <f>SUM(D5:D57)</f>
        <v>1076047.4000000001</v>
      </c>
      <c r="E58" s="247">
        <f>SUM(E5,E7,E11,E14,E20,E23,E27,E30,E33,E36,E39,E43,E46,E49,E52,E55,E17)</f>
        <v>539733.07000000007</v>
      </c>
      <c r="F58" s="247">
        <f>SUM(F5,F7,F11,F14,F20,F23,F27,F30,F33,F36,F39,F43,F46,F49,F52,F55,F17)</f>
        <v>536314.33000000007</v>
      </c>
      <c r="G58" s="262">
        <f>SUM(E58:F58)-D58</f>
        <v>0</v>
      </c>
    </row>
    <row r="59" spans="1:7" x14ac:dyDescent="0.3">
      <c r="A59" s="384"/>
      <c r="B59" s="384"/>
      <c r="C59" s="385"/>
      <c r="D59" s="386"/>
      <c r="E59" s="247">
        <f>E58</f>
        <v>539733.07000000007</v>
      </c>
      <c r="F59" s="247">
        <f>F58+E59</f>
        <v>1076047.4000000001</v>
      </c>
    </row>
    <row r="60" spans="1:7" x14ac:dyDescent="0.3">
      <c r="A60" s="384" t="s">
        <v>352</v>
      </c>
      <c r="B60" s="384"/>
      <c r="C60" s="385"/>
      <c r="D60" s="387">
        <f>F61</f>
        <v>1</v>
      </c>
      <c r="E60" s="248">
        <f>E58/$D$58</f>
        <v>0.50158856384951067</v>
      </c>
      <c r="F60" s="248">
        <f>F58/$D$58</f>
        <v>0.49841143615048927</v>
      </c>
      <c r="G60" s="260"/>
    </row>
    <row r="61" spans="1:7" x14ac:dyDescent="0.3">
      <c r="A61" s="384"/>
      <c r="B61" s="384"/>
      <c r="C61" s="385"/>
      <c r="D61" s="387"/>
      <c r="E61" s="248">
        <f>E60</f>
        <v>0.50158856384951067</v>
      </c>
      <c r="F61" s="248">
        <f>E61+F60</f>
        <v>1</v>
      </c>
    </row>
    <row r="62" spans="1:7" x14ac:dyDescent="0.3">
      <c r="D62" s="261">
        <f>D58-RES!F14</f>
        <v>0</v>
      </c>
    </row>
  </sheetData>
  <mergeCells count="87">
    <mergeCell ref="A1:F1"/>
    <mergeCell ref="E2:F2"/>
    <mergeCell ref="B4:F4"/>
    <mergeCell ref="A5:A6"/>
    <mergeCell ref="B5:B6"/>
    <mergeCell ref="C5:C6"/>
    <mergeCell ref="D5:D6"/>
    <mergeCell ref="A7:A8"/>
    <mergeCell ref="B7:B8"/>
    <mergeCell ref="C7:C8"/>
    <mergeCell ref="D7:D8"/>
    <mergeCell ref="A2:A3"/>
    <mergeCell ref="B2:B3"/>
    <mergeCell ref="C2:C3"/>
    <mergeCell ref="D2:D3"/>
    <mergeCell ref="A14:A15"/>
    <mergeCell ref="B14:B15"/>
    <mergeCell ref="C14:C15"/>
    <mergeCell ref="D14:D15"/>
    <mergeCell ref="B17:B18"/>
    <mergeCell ref="C17:C18"/>
    <mergeCell ref="D17:D18"/>
    <mergeCell ref="A10:F10"/>
    <mergeCell ref="A11:A12"/>
    <mergeCell ref="B11:B12"/>
    <mergeCell ref="C11:C12"/>
    <mergeCell ref="D11:D12"/>
    <mergeCell ref="A30:A31"/>
    <mergeCell ref="B30:B31"/>
    <mergeCell ref="C30:C31"/>
    <mergeCell ref="D30:D31"/>
    <mergeCell ref="A33:A34"/>
    <mergeCell ref="B33:B34"/>
    <mergeCell ref="C33:C34"/>
    <mergeCell ref="D33:D34"/>
    <mergeCell ref="B20:B21"/>
    <mergeCell ref="C20:C21"/>
    <mergeCell ref="D20:D21"/>
    <mergeCell ref="A26:F26"/>
    <mergeCell ref="A27:A28"/>
    <mergeCell ref="B27:B28"/>
    <mergeCell ref="C27:C28"/>
    <mergeCell ref="D27:D28"/>
    <mergeCell ref="B23:B24"/>
    <mergeCell ref="B43:B44"/>
    <mergeCell ref="C43:C44"/>
    <mergeCell ref="D43:D44"/>
    <mergeCell ref="A46:A47"/>
    <mergeCell ref="B46:B47"/>
    <mergeCell ref="C46:C47"/>
    <mergeCell ref="D46:D47"/>
    <mergeCell ref="A36:A37"/>
    <mergeCell ref="B36:B37"/>
    <mergeCell ref="C36:C37"/>
    <mergeCell ref="D36:D37"/>
    <mergeCell ref="A39:A40"/>
    <mergeCell ref="B39:B40"/>
    <mergeCell ref="C39:C40"/>
    <mergeCell ref="D39:D40"/>
    <mergeCell ref="A58:B59"/>
    <mergeCell ref="C58:C61"/>
    <mergeCell ref="D58:D59"/>
    <mergeCell ref="A60:B61"/>
    <mergeCell ref="D60:D61"/>
    <mergeCell ref="A9:F9"/>
    <mergeCell ref="A25:F25"/>
    <mergeCell ref="A17:A18"/>
    <mergeCell ref="A20:A21"/>
    <mergeCell ref="A23:A24"/>
    <mergeCell ref="A55:A56"/>
    <mergeCell ref="B55:B56"/>
    <mergeCell ref="C55:C56"/>
    <mergeCell ref="D55:D56"/>
    <mergeCell ref="A57:F57"/>
    <mergeCell ref="D23:D24"/>
    <mergeCell ref="C23:C24"/>
    <mergeCell ref="A41:F41"/>
    <mergeCell ref="A49:A50"/>
    <mergeCell ref="B49:B50"/>
    <mergeCell ref="C49:C50"/>
    <mergeCell ref="D49:D50"/>
    <mergeCell ref="A52:A53"/>
    <mergeCell ref="B52:B53"/>
    <mergeCell ref="C52:C53"/>
    <mergeCell ref="D52:D53"/>
    <mergeCell ref="A42:F42"/>
    <mergeCell ref="A43:A44"/>
  </mergeCells>
  <phoneticPr fontId="18" type="noConversion"/>
  <conditionalFormatting sqref="E13:F13">
    <cfRule type="expression" dxfId="62" priority="36" stopIfTrue="1">
      <formula>LEN(TRIM(E13))&gt;0</formula>
    </cfRule>
  </conditionalFormatting>
  <conditionalFormatting sqref="E16:F16">
    <cfRule type="expression" dxfId="61" priority="13" stopIfTrue="1">
      <formula>LEN(TRIM(E16))&gt;0</formula>
    </cfRule>
  </conditionalFormatting>
  <conditionalFormatting sqref="E19:F19">
    <cfRule type="expression" dxfId="60" priority="35" stopIfTrue="1">
      <formula>LEN(TRIM(E19))&gt;0</formula>
    </cfRule>
  </conditionalFormatting>
  <conditionalFormatting sqref="E29:F29">
    <cfRule type="expression" dxfId="59" priority="12" stopIfTrue="1">
      <formula>LEN(TRIM(E29))&gt;0</formula>
    </cfRule>
  </conditionalFormatting>
  <conditionalFormatting sqref="E32:F32">
    <cfRule type="expression" dxfId="58" priority="10" stopIfTrue="1">
      <formula>LEN(TRIM(E32))&gt;0</formula>
    </cfRule>
  </conditionalFormatting>
  <conditionalFormatting sqref="E35:F35">
    <cfRule type="expression" dxfId="57" priority="11" stopIfTrue="1">
      <formula>LEN(TRIM(E35))&gt;0</formula>
    </cfRule>
  </conditionalFormatting>
  <conditionalFormatting sqref="E45:F45">
    <cfRule type="expression" dxfId="56" priority="9" stopIfTrue="1">
      <formula>LEN(TRIM(E45))&gt;0</formula>
    </cfRule>
  </conditionalFormatting>
  <conditionalFormatting sqref="E48:F48">
    <cfRule type="expression" dxfId="55" priority="7" stopIfTrue="1">
      <formula>LEN(TRIM(E48))&gt;0</formula>
    </cfRule>
  </conditionalFormatting>
  <conditionalFormatting sqref="E51:F51">
    <cfRule type="expression" dxfId="54" priority="8" stopIfTrue="1">
      <formula>LEN(TRIM(E51))&gt;0</formula>
    </cfRule>
  </conditionalFormatting>
  <printOptions horizontalCentered="1"/>
  <pageMargins left="1.1023622047244095" right="0.51181102362204722" top="2.1653543307086616" bottom="0.78740157480314965" header="0.31496062992125984" footer="0.31496062992125984"/>
  <pageSetup paperSize="9" scale="66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3F14-B912-49C9-8A02-8CEC1D8C58B0}">
  <sheetPr>
    <pageSetUpPr fitToPage="1"/>
  </sheetPr>
  <dimension ref="A1:J590"/>
  <sheetViews>
    <sheetView view="pageBreakPreview" zoomScale="80" zoomScaleNormal="100" zoomScaleSheetLayoutView="80" workbookViewId="0">
      <selection activeCell="P7" sqref="P7"/>
    </sheetView>
  </sheetViews>
  <sheetFormatPr defaultRowHeight="14.4" x14ac:dyDescent="0.3"/>
  <cols>
    <col min="1" max="1" width="17.21875" customWidth="1"/>
    <col min="2" max="2" width="14.88671875" customWidth="1"/>
    <col min="3" max="3" width="60.77734375" style="115" customWidth="1"/>
    <col min="4" max="4" width="13.44140625" customWidth="1"/>
    <col min="5" max="5" width="13.77734375" customWidth="1"/>
    <col min="6" max="7" width="15.77734375" customWidth="1"/>
  </cols>
  <sheetData>
    <row r="1" spans="1:7" ht="25.05" customHeight="1" x14ac:dyDescent="0.3">
      <c r="A1" s="360" t="s">
        <v>339</v>
      </c>
      <c r="B1" s="398"/>
      <c r="C1" s="398"/>
      <c r="D1" s="398"/>
      <c r="E1" s="398"/>
      <c r="F1" s="398"/>
      <c r="G1" s="398"/>
    </row>
    <row r="2" spans="1:7" ht="19.95" customHeight="1" x14ac:dyDescent="0.3">
      <c r="A2" s="335" t="str">
        <f>RES!A2</f>
        <v>PAVIMENTAÇÃO DE VIAS PÚBLICAS NO MUNÍCIO DE SÃO JOÃO DA FRONTEIRA - PI</v>
      </c>
      <c r="B2" s="336"/>
      <c r="C2" s="336"/>
      <c r="D2" s="336"/>
      <c r="E2" s="399" t="str">
        <f>RES!C2</f>
        <v>FONTE: SINAPI 02/2026</v>
      </c>
      <c r="F2" s="400"/>
      <c r="G2" s="111" t="str">
        <f>RES!E2</f>
        <v>SEM DESONERAÇÃO
 BDI: 21,96%</v>
      </c>
    </row>
    <row r="3" spans="1:7" ht="19.95" customHeight="1" x14ac:dyDescent="0.3">
      <c r="A3" s="338" t="str">
        <f>RES!A3</f>
        <v>LOCALIDADE: DIVERSAS</v>
      </c>
      <c r="B3" s="339"/>
      <c r="C3" s="339"/>
      <c r="D3" s="339"/>
      <c r="E3" s="118" t="str">
        <f>RES!E3</f>
        <v>ÁREA TOTAL (m²):</v>
      </c>
      <c r="F3" s="215">
        <f>RES!F3</f>
        <v>6985</v>
      </c>
      <c r="G3" s="111" t="str">
        <f>RES!F2</f>
        <v>HORISTA: 113,33%
MENSALISTA: 71,12%</v>
      </c>
    </row>
    <row r="4" spans="1:7" ht="15" customHeight="1" x14ac:dyDescent="0.3">
      <c r="A4" s="361"/>
      <c r="B4" s="362"/>
      <c r="C4" s="362"/>
      <c r="D4" s="362"/>
      <c r="E4" s="362"/>
      <c r="F4" s="362"/>
      <c r="G4" s="363"/>
    </row>
    <row r="5" spans="1:7" s="216" customFormat="1" ht="22.95" customHeight="1" x14ac:dyDescent="0.3">
      <c r="A5" s="402" t="s">
        <v>234</v>
      </c>
      <c r="B5" s="402"/>
      <c r="C5" s="402"/>
      <c r="D5" s="402"/>
      <c r="E5" s="402"/>
      <c r="F5" s="402"/>
      <c r="G5" s="402"/>
    </row>
    <row r="6" spans="1:7" s="39" customFormat="1" ht="19.95" customHeight="1" x14ac:dyDescent="0.3">
      <c r="A6" s="201" t="s">
        <v>235</v>
      </c>
      <c r="B6" s="200" t="s">
        <v>236</v>
      </c>
      <c r="C6" s="200" t="s">
        <v>237</v>
      </c>
      <c r="D6" s="202" t="s">
        <v>238</v>
      </c>
      <c r="E6" s="201" t="s">
        <v>239</v>
      </c>
      <c r="F6" s="201" t="s">
        <v>240</v>
      </c>
      <c r="G6" s="201" t="s">
        <v>148</v>
      </c>
    </row>
    <row r="7" spans="1:7" s="39" customFormat="1" ht="27" customHeight="1" x14ac:dyDescent="0.3">
      <c r="A7" s="204" t="s">
        <v>241</v>
      </c>
      <c r="B7" s="203" t="s">
        <v>242</v>
      </c>
      <c r="C7" s="203" t="s">
        <v>243</v>
      </c>
      <c r="D7" s="205" t="s">
        <v>17</v>
      </c>
      <c r="E7" s="206">
        <v>1</v>
      </c>
      <c r="F7" s="207">
        <v>467.2</v>
      </c>
      <c r="G7" s="207">
        <v>467.2</v>
      </c>
    </row>
    <row r="8" spans="1:7" x14ac:dyDescent="0.3">
      <c r="A8" s="209" t="s">
        <v>244</v>
      </c>
      <c r="B8" s="208" t="s">
        <v>242</v>
      </c>
      <c r="C8" s="208" t="s">
        <v>245</v>
      </c>
      <c r="D8" s="210" t="s">
        <v>246</v>
      </c>
      <c r="E8" s="211">
        <v>0.37290000000000001</v>
      </c>
      <c r="F8" s="212">
        <v>28.78</v>
      </c>
      <c r="G8" s="212">
        <v>10.73</v>
      </c>
    </row>
    <row r="9" spans="1:7" x14ac:dyDescent="0.3">
      <c r="A9" s="209" t="s">
        <v>249</v>
      </c>
      <c r="B9" s="208" t="s">
        <v>242</v>
      </c>
      <c r="C9" s="208" t="s">
        <v>250</v>
      </c>
      <c r="D9" s="210" t="s">
        <v>246</v>
      </c>
      <c r="E9" s="211">
        <v>1.1186</v>
      </c>
      <c r="F9" s="212">
        <v>23.66</v>
      </c>
      <c r="G9" s="212">
        <v>26.46</v>
      </c>
    </row>
    <row r="10" spans="1:7" x14ac:dyDescent="0.3">
      <c r="A10" s="209" t="s">
        <v>247</v>
      </c>
      <c r="B10" s="208" t="s">
        <v>242</v>
      </c>
      <c r="C10" s="239" t="s">
        <v>248</v>
      </c>
      <c r="D10" s="210" t="s">
        <v>17</v>
      </c>
      <c r="E10" s="211">
        <v>0.5</v>
      </c>
      <c r="F10" s="212">
        <v>26.37</v>
      </c>
      <c r="G10" s="212">
        <v>13.18</v>
      </c>
    </row>
    <row r="11" spans="1:7" x14ac:dyDescent="0.3">
      <c r="A11" s="209" t="s">
        <v>254</v>
      </c>
      <c r="B11" s="208" t="s">
        <v>242</v>
      </c>
      <c r="C11" s="208" t="s">
        <v>255</v>
      </c>
      <c r="D11" s="210" t="s">
        <v>253</v>
      </c>
      <c r="E11" s="211">
        <v>1.32E-2</v>
      </c>
      <c r="F11" s="212">
        <v>20.74</v>
      </c>
      <c r="G11" s="212">
        <v>0.27376800000000001</v>
      </c>
    </row>
    <row r="12" spans="1:7" x14ac:dyDescent="0.3">
      <c r="A12" s="209" t="s">
        <v>251</v>
      </c>
      <c r="B12" s="208" t="s">
        <v>242</v>
      </c>
      <c r="C12" s="239" t="s">
        <v>252</v>
      </c>
      <c r="D12" s="210" t="s">
        <v>253</v>
      </c>
      <c r="E12" s="211">
        <v>1.1299999999999999E-2</v>
      </c>
      <c r="F12" s="212">
        <v>38.700000000000003</v>
      </c>
      <c r="G12" s="212">
        <v>0.43730999999999998</v>
      </c>
    </row>
    <row r="13" spans="1:7" ht="39.6" x14ac:dyDescent="0.3">
      <c r="A13" s="209" t="s">
        <v>259</v>
      </c>
      <c r="B13" s="208" t="s">
        <v>242</v>
      </c>
      <c r="C13" s="208" t="s">
        <v>260</v>
      </c>
      <c r="D13" s="210" t="s">
        <v>17</v>
      </c>
      <c r="E13" s="211">
        <v>1</v>
      </c>
      <c r="F13" s="212">
        <v>400</v>
      </c>
      <c r="G13" s="212">
        <v>400</v>
      </c>
    </row>
    <row r="14" spans="1:7" ht="26.4" x14ac:dyDescent="0.3">
      <c r="A14" s="209" t="s">
        <v>256</v>
      </c>
      <c r="B14" s="208" t="s">
        <v>242</v>
      </c>
      <c r="C14" s="208" t="s">
        <v>257</v>
      </c>
      <c r="D14" s="210" t="s">
        <v>258</v>
      </c>
      <c r="E14" s="211">
        <v>3.2082999999999999</v>
      </c>
      <c r="F14" s="212">
        <v>5.03</v>
      </c>
      <c r="G14" s="212">
        <v>16.137748999999999</v>
      </c>
    </row>
    <row r="15" spans="1:7" x14ac:dyDescent="0.3">
      <c r="A15" s="217"/>
      <c r="B15" s="217"/>
      <c r="C15" s="217"/>
      <c r="D15" s="217" t="s">
        <v>261</v>
      </c>
      <c r="E15" s="213">
        <v>0</v>
      </c>
      <c r="F15" s="217" t="s">
        <v>262</v>
      </c>
      <c r="G15" s="213">
        <v>31.41</v>
      </c>
    </row>
    <row r="16" spans="1:7" ht="15" customHeight="1" thickBot="1" x14ac:dyDescent="0.35">
      <c r="A16" s="217"/>
      <c r="B16" s="217"/>
      <c r="C16" s="217"/>
      <c r="D16" s="217"/>
      <c r="E16" s="401" t="s">
        <v>263</v>
      </c>
      <c r="F16" s="401"/>
      <c r="G16" s="213">
        <v>569.79</v>
      </c>
    </row>
    <row r="17" spans="1:7" ht="15" thickTop="1" x14ac:dyDescent="0.3">
      <c r="A17" s="214"/>
      <c r="B17" s="214"/>
      <c r="C17" s="214"/>
      <c r="D17" s="214"/>
      <c r="E17" s="214"/>
      <c r="F17" s="214"/>
      <c r="G17" s="214"/>
    </row>
    <row r="18" spans="1:7" x14ac:dyDescent="0.3">
      <c r="A18" s="201" t="s">
        <v>235</v>
      </c>
      <c r="B18" s="200" t="s">
        <v>236</v>
      </c>
      <c r="C18" s="200" t="s">
        <v>237</v>
      </c>
      <c r="D18" s="202" t="s">
        <v>238</v>
      </c>
      <c r="E18" s="201" t="s">
        <v>239</v>
      </c>
      <c r="F18" s="201" t="s">
        <v>240</v>
      </c>
      <c r="G18" s="201" t="s">
        <v>148</v>
      </c>
    </row>
    <row r="19" spans="1:7" s="115" customFormat="1" ht="26.4" x14ac:dyDescent="0.3">
      <c r="A19" s="204" t="s">
        <v>264</v>
      </c>
      <c r="B19" s="203" t="s">
        <v>265</v>
      </c>
      <c r="C19" s="203" t="s">
        <v>266</v>
      </c>
      <c r="D19" s="205" t="s">
        <v>39</v>
      </c>
      <c r="E19" s="206">
        <v>1</v>
      </c>
      <c r="F19" s="207">
        <v>8344.5</v>
      </c>
      <c r="G19" s="207">
        <v>8344.5</v>
      </c>
    </row>
    <row r="20" spans="1:7" x14ac:dyDescent="0.3">
      <c r="A20" s="209" t="s">
        <v>267</v>
      </c>
      <c r="B20" s="208" t="s">
        <v>242</v>
      </c>
      <c r="C20" s="208" t="s">
        <v>268</v>
      </c>
      <c r="D20" s="210" t="s">
        <v>246</v>
      </c>
      <c r="E20" s="211">
        <v>60</v>
      </c>
      <c r="F20" s="212">
        <v>41.12</v>
      </c>
      <c r="G20" s="212">
        <v>2467.1999999999998</v>
      </c>
    </row>
    <row r="21" spans="1:7" x14ac:dyDescent="0.3">
      <c r="A21" s="209" t="s">
        <v>269</v>
      </c>
      <c r="B21" s="208" t="s">
        <v>242</v>
      </c>
      <c r="C21" s="208" t="s">
        <v>270</v>
      </c>
      <c r="D21" s="210" t="s">
        <v>246</v>
      </c>
      <c r="E21" s="211">
        <v>60</v>
      </c>
      <c r="F21" s="212">
        <v>27.43</v>
      </c>
      <c r="G21" s="212">
        <v>1645.8</v>
      </c>
    </row>
    <row r="22" spans="1:7" ht="26.4" x14ac:dyDescent="0.3">
      <c r="A22" s="209" t="s">
        <v>271</v>
      </c>
      <c r="B22" s="208" t="s">
        <v>242</v>
      </c>
      <c r="C22" s="208" t="s">
        <v>272</v>
      </c>
      <c r="D22" s="210" t="s">
        <v>246</v>
      </c>
      <c r="E22" s="211">
        <v>30</v>
      </c>
      <c r="F22" s="212">
        <v>141.05000000000001</v>
      </c>
      <c r="G22" s="212">
        <v>4231.5</v>
      </c>
    </row>
    <row r="23" spans="1:7" x14ac:dyDescent="0.3">
      <c r="A23" s="217"/>
      <c r="B23" s="217"/>
      <c r="C23" s="217"/>
      <c r="D23" s="217" t="s">
        <v>261</v>
      </c>
      <c r="E23" s="213">
        <v>0</v>
      </c>
      <c r="F23" s="217" t="s">
        <v>262</v>
      </c>
      <c r="G23" s="213">
        <v>7483.2</v>
      </c>
    </row>
    <row r="24" spans="1:7" ht="15" customHeight="1" thickBot="1" x14ac:dyDescent="0.35">
      <c r="A24" s="217"/>
      <c r="B24" s="217"/>
      <c r="C24" s="217"/>
      <c r="D24" s="217"/>
      <c r="E24" s="401" t="s">
        <v>263</v>
      </c>
      <c r="F24" s="401"/>
      <c r="G24" s="213">
        <v>10176.950000000001</v>
      </c>
    </row>
    <row r="25" spans="1:7" ht="15" thickTop="1" x14ac:dyDescent="0.3">
      <c r="A25" s="214"/>
      <c r="B25" s="214"/>
      <c r="C25" s="214"/>
      <c r="D25" s="214"/>
      <c r="E25" s="214"/>
      <c r="F25" s="214"/>
      <c r="G25" s="214"/>
    </row>
    <row r="26" spans="1:7" x14ac:dyDescent="0.3">
      <c r="A26" s="201" t="s">
        <v>235</v>
      </c>
      <c r="B26" s="200" t="s">
        <v>236</v>
      </c>
      <c r="C26" s="200" t="s">
        <v>237</v>
      </c>
      <c r="D26" s="202" t="s">
        <v>238</v>
      </c>
      <c r="E26" s="201" t="s">
        <v>239</v>
      </c>
      <c r="F26" s="201" t="s">
        <v>240</v>
      </c>
      <c r="G26" s="201" t="s">
        <v>148</v>
      </c>
    </row>
    <row r="27" spans="1:7" ht="26.4" x14ac:dyDescent="0.3">
      <c r="A27" s="204" t="s">
        <v>273</v>
      </c>
      <c r="B27" s="203" t="s">
        <v>242</v>
      </c>
      <c r="C27" s="203" t="s">
        <v>274</v>
      </c>
      <c r="D27" s="205" t="s">
        <v>17</v>
      </c>
      <c r="E27" s="206">
        <v>1</v>
      </c>
      <c r="F27" s="207">
        <v>0.56000000000000005</v>
      </c>
      <c r="G27" s="207">
        <v>0.56000000000000005</v>
      </c>
    </row>
    <row r="28" spans="1:7" ht="52.8" x14ac:dyDescent="0.3">
      <c r="A28" s="209" t="s">
        <v>278</v>
      </c>
      <c r="B28" s="208" t="s">
        <v>242</v>
      </c>
      <c r="C28" s="208" t="s">
        <v>279</v>
      </c>
      <c r="D28" s="210" t="s">
        <v>277</v>
      </c>
      <c r="E28" s="211">
        <v>6.0956999999999999E-3</v>
      </c>
      <c r="F28" s="212">
        <v>63.8</v>
      </c>
      <c r="G28" s="212">
        <v>0.38</v>
      </c>
    </row>
    <row r="29" spans="1:7" s="115" customFormat="1" ht="39.6" x14ac:dyDescent="0.3">
      <c r="A29" s="209" t="s">
        <v>280</v>
      </c>
      <c r="B29" s="208" t="s">
        <v>242</v>
      </c>
      <c r="C29" s="208" t="s">
        <v>281</v>
      </c>
      <c r="D29" s="210" t="s">
        <v>282</v>
      </c>
      <c r="E29" s="211">
        <v>3.0249999999999998E-4</v>
      </c>
      <c r="F29" s="212">
        <v>270.55</v>
      </c>
      <c r="G29" s="212">
        <v>0.08</v>
      </c>
    </row>
    <row r="30" spans="1:7" s="115" customFormat="1" x14ac:dyDescent="0.3">
      <c r="A30" s="209" t="s">
        <v>249</v>
      </c>
      <c r="B30" s="208" t="s">
        <v>242</v>
      </c>
      <c r="C30" s="208" t="s">
        <v>250</v>
      </c>
      <c r="D30" s="210" t="s">
        <v>246</v>
      </c>
      <c r="E30" s="211">
        <v>1.0342999999999999E-3</v>
      </c>
      <c r="F30" s="212">
        <v>23.66</v>
      </c>
      <c r="G30" s="212">
        <v>0.02</v>
      </c>
    </row>
    <row r="31" spans="1:7" s="115" customFormat="1" ht="39.6" x14ac:dyDescent="0.3">
      <c r="A31" s="209" t="s">
        <v>275</v>
      </c>
      <c r="B31" s="208" t="s">
        <v>242</v>
      </c>
      <c r="C31" s="208" t="s">
        <v>276</v>
      </c>
      <c r="D31" s="210" t="s">
        <v>277</v>
      </c>
      <c r="E31" s="211">
        <v>7.3180000000000001E-4</v>
      </c>
      <c r="F31" s="212">
        <v>110.8</v>
      </c>
      <c r="G31" s="212">
        <v>0.08</v>
      </c>
    </row>
    <row r="32" spans="1:7" x14ac:dyDescent="0.3">
      <c r="A32" s="217"/>
      <c r="B32" s="217"/>
      <c r="C32" s="217"/>
      <c r="D32" s="217" t="s">
        <v>261</v>
      </c>
      <c r="E32" s="213">
        <v>0</v>
      </c>
      <c r="F32" s="217" t="s">
        <v>262</v>
      </c>
      <c r="G32" s="213">
        <v>0.16</v>
      </c>
    </row>
    <row r="33" spans="1:7" ht="15" customHeight="1" thickBot="1" x14ac:dyDescent="0.35">
      <c r="A33" s="217"/>
      <c r="B33" s="217"/>
      <c r="C33" s="217"/>
      <c r="D33" s="217"/>
      <c r="E33" s="401" t="s">
        <v>263</v>
      </c>
      <c r="F33" s="401"/>
      <c r="G33" s="213">
        <v>0.68</v>
      </c>
    </row>
    <row r="34" spans="1:7" ht="15" thickTop="1" x14ac:dyDescent="0.3">
      <c r="A34" s="214"/>
      <c r="B34" s="214"/>
      <c r="C34" s="214"/>
      <c r="D34" s="214"/>
      <c r="E34" s="214"/>
      <c r="F34" s="214"/>
      <c r="G34" s="214"/>
    </row>
    <row r="35" spans="1:7" x14ac:dyDescent="0.3">
      <c r="A35" s="201" t="s">
        <v>235</v>
      </c>
      <c r="B35" s="200" t="s">
        <v>236</v>
      </c>
      <c r="C35" s="200" t="s">
        <v>237</v>
      </c>
      <c r="D35" s="202" t="s">
        <v>238</v>
      </c>
      <c r="E35" s="201" t="s">
        <v>239</v>
      </c>
      <c r="F35" s="201" t="s">
        <v>240</v>
      </c>
      <c r="G35" s="201" t="s">
        <v>148</v>
      </c>
    </row>
    <row r="36" spans="1:7" s="115" customFormat="1" ht="39.6" x14ac:dyDescent="0.3">
      <c r="A36" s="204" t="s">
        <v>283</v>
      </c>
      <c r="B36" s="203" t="s">
        <v>265</v>
      </c>
      <c r="C36" s="203" t="s">
        <v>284</v>
      </c>
      <c r="D36" s="205" t="s">
        <v>17</v>
      </c>
      <c r="E36" s="206">
        <v>1</v>
      </c>
      <c r="F36" s="207">
        <v>83.3</v>
      </c>
      <c r="G36" s="207">
        <v>83.3</v>
      </c>
    </row>
    <row r="37" spans="1:7" x14ac:dyDescent="0.3">
      <c r="A37" s="209" t="s">
        <v>249</v>
      </c>
      <c r="B37" s="208" t="s">
        <v>242</v>
      </c>
      <c r="C37" s="208" t="s">
        <v>250</v>
      </c>
      <c r="D37" s="210" t="s">
        <v>246</v>
      </c>
      <c r="E37" s="211">
        <v>0.40210000000000001</v>
      </c>
      <c r="F37" s="212">
        <v>23.66</v>
      </c>
      <c r="G37" s="212">
        <v>9.51</v>
      </c>
    </row>
    <row r="38" spans="1:7" x14ac:dyDescent="0.3">
      <c r="A38" s="209" t="s">
        <v>285</v>
      </c>
      <c r="B38" s="208" t="s">
        <v>242</v>
      </c>
      <c r="C38" s="208" t="s">
        <v>286</v>
      </c>
      <c r="D38" s="210" t="s">
        <v>246</v>
      </c>
      <c r="E38" s="211">
        <v>0.40210000000000001</v>
      </c>
      <c r="F38" s="212">
        <v>29.26</v>
      </c>
      <c r="G38" s="212">
        <v>11.76</v>
      </c>
    </row>
    <row r="39" spans="1:7" s="115" customFormat="1" ht="52.8" x14ac:dyDescent="0.3">
      <c r="A39" s="209" t="s">
        <v>287</v>
      </c>
      <c r="B39" s="208" t="s">
        <v>242</v>
      </c>
      <c r="C39" s="208" t="s">
        <v>288</v>
      </c>
      <c r="D39" s="210" t="s">
        <v>277</v>
      </c>
      <c r="E39" s="211">
        <v>0.13089999999999999</v>
      </c>
      <c r="F39" s="212">
        <v>62.32</v>
      </c>
      <c r="G39" s="212">
        <v>8.15</v>
      </c>
    </row>
    <row r="40" spans="1:7" ht="39.6" x14ac:dyDescent="0.3">
      <c r="A40" s="209" t="s">
        <v>289</v>
      </c>
      <c r="B40" s="208" t="s">
        <v>242</v>
      </c>
      <c r="C40" s="208" t="s">
        <v>290</v>
      </c>
      <c r="D40" s="210" t="s">
        <v>291</v>
      </c>
      <c r="E40" s="211">
        <v>2.0400000000000001E-2</v>
      </c>
      <c r="F40" s="212">
        <v>720.96</v>
      </c>
      <c r="G40" s="212">
        <v>14.7</v>
      </c>
    </row>
    <row r="41" spans="1:7" ht="26.4" x14ac:dyDescent="0.3">
      <c r="A41" s="209" t="s">
        <v>292</v>
      </c>
      <c r="B41" s="208" t="s">
        <v>265</v>
      </c>
      <c r="C41" s="208" t="s">
        <v>293</v>
      </c>
      <c r="D41" s="210" t="s">
        <v>294</v>
      </c>
      <c r="E41" s="211">
        <v>4.2000000000000003E-2</v>
      </c>
      <c r="F41" s="212">
        <v>660.56</v>
      </c>
      <c r="G41" s="212">
        <v>27.74</v>
      </c>
    </row>
    <row r="42" spans="1:7" s="115" customFormat="1" ht="52.8" x14ac:dyDescent="0.3">
      <c r="A42" s="209" t="s">
        <v>295</v>
      </c>
      <c r="B42" s="208" t="s">
        <v>242</v>
      </c>
      <c r="C42" s="208" t="s">
        <v>296</v>
      </c>
      <c r="D42" s="210" t="s">
        <v>282</v>
      </c>
      <c r="E42" s="211">
        <v>3.0999999999999999E-3</v>
      </c>
      <c r="F42" s="212">
        <v>154.47</v>
      </c>
      <c r="G42" s="212">
        <v>0.47</v>
      </c>
    </row>
    <row r="43" spans="1:7" ht="26.4" x14ac:dyDescent="0.3">
      <c r="A43" s="209" t="s">
        <v>297</v>
      </c>
      <c r="B43" s="208" t="s">
        <v>242</v>
      </c>
      <c r="C43" s="208" t="s">
        <v>298</v>
      </c>
      <c r="D43" s="210" t="s">
        <v>291</v>
      </c>
      <c r="E43" s="211">
        <v>0.114</v>
      </c>
      <c r="F43" s="212">
        <v>96.24</v>
      </c>
      <c r="G43" s="212">
        <v>10.971360000000001</v>
      </c>
    </row>
    <row r="44" spans="1:7" x14ac:dyDescent="0.3">
      <c r="A44" s="217"/>
      <c r="B44" s="217"/>
      <c r="C44" s="217"/>
      <c r="D44" s="217" t="s">
        <v>261</v>
      </c>
      <c r="E44" s="213">
        <v>0</v>
      </c>
      <c r="F44" s="217" t="s">
        <v>262</v>
      </c>
      <c r="G44" s="213">
        <v>39.1</v>
      </c>
    </row>
    <row r="45" spans="1:7" ht="15" customHeight="1" thickBot="1" x14ac:dyDescent="0.35">
      <c r="A45" s="217"/>
      <c r="B45" s="217"/>
      <c r="C45" s="217"/>
      <c r="D45" s="217"/>
      <c r="E45" s="401" t="s">
        <v>263</v>
      </c>
      <c r="F45" s="401"/>
      <c r="G45" s="213">
        <v>101.59</v>
      </c>
    </row>
    <row r="46" spans="1:7" ht="15" thickTop="1" x14ac:dyDescent="0.3">
      <c r="A46" s="214"/>
      <c r="B46" s="214"/>
      <c r="C46" s="214"/>
      <c r="D46" s="214"/>
      <c r="E46" s="214"/>
      <c r="F46" s="214"/>
      <c r="G46" s="214"/>
    </row>
    <row r="47" spans="1:7" x14ac:dyDescent="0.3">
      <c r="A47" s="201" t="s">
        <v>235</v>
      </c>
      <c r="B47" s="200" t="s">
        <v>236</v>
      </c>
      <c r="C47" s="200" t="s">
        <v>237</v>
      </c>
      <c r="D47" s="202" t="s">
        <v>238</v>
      </c>
      <c r="E47" s="201" t="s">
        <v>239</v>
      </c>
      <c r="F47" s="201" t="s">
        <v>240</v>
      </c>
      <c r="G47" s="201" t="s">
        <v>148</v>
      </c>
    </row>
    <row r="48" spans="1:7" s="115" customFormat="1" ht="52.8" x14ac:dyDescent="0.3">
      <c r="A48" s="204" t="s">
        <v>299</v>
      </c>
      <c r="B48" s="203" t="s">
        <v>242</v>
      </c>
      <c r="C48" s="203" t="s">
        <v>300</v>
      </c>
      <c r="D48" s="205" t="s">
        <v>258</v>
      </c>
      <c r="E48" s="206">
        <v>1</v>
      </c>
      <c r="F48" s="207">
        <v>45.3</v>
      </c>
      <c r="G48" s="207">
        <v>45.3</v>
      </c>
    </row>
    <row r="49" spans="1:7" x14ac:dyDescent="0.3">
      <c r="A49" s="209" t="s">
        <v>249</v>
      </c>
      <c r="B49" s="208" t="s">
        <v>242</v>
      </c>
      <c r="C49" s="208" t="s">
        <v>250</v>
      </c>
      <c r="D49" s="210" t="s">
        <v>246</v>
      </c>
      <c r="E49" s="211">
        <v>0.2296</v>
      </c>
      <c r="F49" s="212">
        <v>23.66</v>
      </c>
      <c r="G49" s="212">
        <v>5.43</v>
      </c>
    </row>
    <row r="50" spans="1:7" x14ac:dyDescent="0.3">
      <c r="A50" s="209" t="s">
        <v>301</v>
      </c>
      <c r="B50" s="208" t="s">
        <v>242</v>
      </c>
      <c r="C50" s="208" t="s">
        <v>302</v>
      </c>
      <c r="D50" s="210" t="s">
        <v>246</v>
      </c>
      <c r="E50" s="211">
        <v>0.2296</v>
      </c>
      <c r="F50" s="212">
        <v>29.47</v>
      </c>
      <c r="G50" s="212">
        <v>6.76</v>
      </c>
    </row>
    <row r="51" spans="1:7" s="115" customFormat="1" ht="26.4" x14ac:dyDescent="0.3">
      <c r="A51" s="209" t="s">
        <v>303</v>
      </c>
      <c r="B51" s="208" t="s">
        <v>242</v>
      </c>
      <c r="C51" s="208" t="s">
        <v>304</v>
      </c>
      <c r="D51" s="210" t="s">
        <v>291</v>
      </c>
      <c r="E51" s="211">
        <v>1.8E-3</v>
      </c>
      <c r="F51" s="212">
        <v>826</v>
      </c>
      <c r="G51" s="212">
        <v>1.48</v>
      </c>
    </row>
    <row r="52" spans="1:7" ht="26.4" x14ac:dyDescent="0.3">
      <c r="A52" s="209" t="s">
        <v>305</v>
      </c>
      <c r="B52" s="208" t="s">
        <v>242</v>
      </c>
      <c r="C52" s="208" t="s">
        <v>306</v>
      </c>
      <c r="D52" s="210" t="s">
        <v>258</v>
      </c>
      <c r="E52" s="211">
        <v>1.0049999999999999</v>
      </c>
      <c r="F52" s="212">
        <v>30.86</v>
      </c>
      <c r="G52" s="212">
        <v>31.014299999999999</v>
      </c>
    </row>
    <row r="53" spans="1:7" ht="26.4" x14ac:dyDescent="0.3">
      <c r="A53" s="209" t="s">
        <v>307</v>
      </c>
      <c r="B53" s="208" t="s">
        <v>242</v>
      </c>
      <c r="C53" s="208" t="s">
        <v>308</v>
      </c>
      <c r="D53" s="210" t="s">
        <v>291</v>
      </c>
      <c r="E53" s="211">
        <v>6.6E-3</v>
      </c>
      <c r="F53" s="212">
        <v>95</v>
      </c>
      <c r="G53" s="212">
        <v>0.627</v>
      </c>
    </row>
    <row r="54" spans="1:7" x14ac:dyDescent="0.3">
      <c r="A54" s="217"/>
      <c r="B54" s="217"/>
      <c r="C54" s="217"/>
      <c r="D54" s="217" t="s">
        <v>261</v>
      </c>
      <c r="E54" s="213">
        <v>0</v>
      </c>
      <c r="F54" s="217" t="s">
        <v>262</v>
      </c>
      <c r="G54" s="213">
        <v>9.09</v>
      </c>
    </row>
    <row r="55" spans="1:7" ht="15" customHeight="1" thickBot="1" x14ac:dyDescent="0.35">
      <c r="A55" s="217"/>
      <c r="B55" s="217"/>
      <c r="C55" s="217"/>
      <c r="D55" s="217"/>
      <c r="E55" s="401" t="s">
        <v>263</v>
      </c>
      <c r="F55" s="401"/>
      <c r="G55" s="213">
        <v>55.24</v>
      </c>
    </row>
    <row r="56" spans="1:7" ht="15" thickTop="1" x14ac:dyDescent="0.3">
      <c r="A56" s="214"/>
      <c r="B56" s="214"/>
      <c r="C56" s="214"/>
      <c r="D56" s="214"/>
      <c r="E56" s="214"/>
      <c r="F56" s="214"/>
      <c r="G56" s="214"/>
    </row>
    <row r="57" spans="1:7" x14ac:dyDescent="0.3">
      <c r="A57" s="201" t="s">
        <v>235</v>
      </c>
      <c r="B57" s="200" t="s">
        <v>236</v>
      </c>
      <c r="C57" s="200" t="s">
        <v>237</v>
      </c>
      <c r="D57" s="202" t="s">
        <v>238</v>
      </c>
      <c r="E57" s="201" t="s">
        <v>239</v>
      </c>
      <c r="F57" s="201" t="s">
        <v>240</v>
      </c>
      <c r="G57" s="201" t="s">
        <v>148</v>
      </c>
    </row>
    <row r="58" spans="1:7" s="115" customFormat="1" ht="26.4" x14ac:dyDescent="0.3">
      <c r="A58" s="204" t="s">
        <v>309</v>
      </c>
      <c r="B58" s="203" t="s">
        <v>265</v>
      </c>
      <c r="C58" s="203" t="s">
        <v>185</v>
      </c>
      <c r="D58" s="205" t="s">
        <v>48</v>
      </c>
      <c r="E58" s="206">
        <v>1</v>
      </c>
      <c r="F58" s="207">
        <v>23.59</v>
      </c>
      <c r="G58" s="207">
        <v>23.59</v>
      </c>
    </row>
    <row r="59" spans="1:7" x14ac:dyDescent="0.3">
      <c r="A59" s="209" t="s">
        <v>249</v>
      </c>
      <c r="B59" s="208" t="s">
        <v>242</v>
      </c>
      <c r="C59" s="208" t="s">
        <v>250</v>
      </c>
      <c r="D59" s="210" t="s">
        <v>246</v>
      </c>
      <c r="E59" s="211">
        <v>0.2326</v>
      </c>
      <c r="F59" s="212">
        <v>23.66</v>
      </c>
      <c r="G59" s="212">
        <v>5.5</v>
      </c>
    </row>
    <row r="60" spans="1:7" x14ac:dyDescent="0.3">
      <c r="A60" s="209" t="s">
        <v>301</v>
      </c>
      <c r="B60" s="208" t="s">
        <v>242</v>
      </c>
      <c r="C60" s="208" t="s">
        <v>302</v>
      </c>
      <c r="D60" s="210" t="s">
        <v>246</v>
      </c>
      <c r="E60" s="211">
        <v>0.2326</v>
      </c>
      <c r="F60" s="212">
        <v>29.47</v>
      </c>
      <c r="G60" s="212">
        <v>6.85</v>
      </c>
    </row>
    <row r="61" spans="1:7" s="115" customFormat="1" ht="39.6" x14ac:dyDescent="0.3">
      <c r="A61" s="209" t="s">
        <v>310</v>
      </c>
      <c r="B61" s="208" t="s">
        <v>242</v>
      </c>
      <c r="C61" s="208" t="s">
        <v>311</v>
      </c>
      <c r="D61" s="210" t="s">
        <v>291</v>
      </c>
      <c r="E61" s="211">
        <v>1.4999999999999999E-2</v>
      </c>
      <c r="F61" s="212">
        <v>550</v>
      </c>
      <c r="G61" s="212">
        <v>8.25</v>
      </c>
    </row>
    <row r="62" spans="1:7" ht="26.4" x14ac:dyDescent="0.3">
      <c r="A62" s="209" t="s">
        <v>312</v>
      </c>
      <c r="B62" s="208" t="s">
        <v>242</v>
      </c>
      <c r="C62" s="208" t="s">
        <v>313</v>
      </c>
      <c r="D62" s="210" t="s">
        <v>258</v>
      </c>
      <c r="E62" s="211">
        <v>0.2</v>
      </c>
      <c r="F62" s="212">
        <v>3.46</v>
      </c>
      <c r="G62" s="212">
        <v>0.69199999999999995</v>
      </c>
    </row>
    <row r="63" spans="1:7" ht="26.4" x14ac:dyDescent="0.3">
      <c r="A63" s="209" t="s">
        <v>314</v>
      </c>
      <c r="B63" s="208" t="s">
        <v>242</v>
      </c>
      <c r="C63" s="208" t="s">
        <v>315</v>
      </c>
      <c r="D63" s="210" t="s">
        <v>258</v>
      </c>
      <c r="E63" s="211">
        <v>8.3299999999999999E-2</v>
      </c>
      <c r="F63" s="212">
        <v>16.43</v>
      </c>
      <c r="G63" s="212">
        <v>1.368619</v>
      </c>
    </row>
    <row r="64" spans="1:7" ht="26.4" x14ac:dyDescent="0.3">
      <c r="A64" s="209" t="s">
        <v>307</v>
      </c>
      <c r="B64" s="208" t="s">
        <v>242</v>
      </c>
      <c r="C64" s="208" t="s">
        <v>308</v>
      </c>
      <c r="D64" s="210" t="s">
        <v>291</v>
      </c>
      <c r="E64" s="211">
        <v>9.9000000000000008E-3</v>
      </c>
      <c r="F64" s="212">
        <v>95</v>
      </c>
      <c r="G64" s="212">
        <v>0.9405</v>
      </c>
    </row>
    <row r="65" spans="1:7" x14ac:dyDescent="0.3">
      <c r="A65" s="217"/>
      <c r="B65" s="217"/>
      <c r="C65" s="217"/>
      <c r="D65" s="217" t="s">
        <v>261</v>
      </c>
      <c r="E65" s="213">
        <v>0</v>
      </c>
      <c r="F65" s="217" t="s">
        <v>262</v>
      </c>
      <c r="G65" s="213">
        <v>8.9499999999999993</v>
      </c>
    </row>
    <row r="66" spans="1:7" ht="15" customHeight="1" thickBot="1" x14ac:dyDescent="0.35">
      <c r="A66" s="217"/>
      <c r="B66" s="217"/>
      <c r="C66" s="217"/>
      <c r="D66" s="217"/>
      <c r="E66" s="401" t="s">
        <v>263</v>
      </c>
      <c r="F66" s="401"/>
      <c r="G66" s="213">
        <v>28.77</v>
      </c>
    </row>
    <row r="67" spans="1:7" ht="15" thickTop="1" x14ac:dyDescent="0.3">
      <c r="A67" s="214"/>
      <c r="B67" s="214"/>
      <c r="C67" s="214"/>
      <c r="D67" s="214"/>
      <c r="E67" s="214"/>
      <c r="F67" s="214"/>
      <c r="G67" s="214"/>
    </row>
    <row r="68" spans="1:7" x14ac:dyDescent="0.3">
      <c r="A68" s="201" t="s">
        <v>235</v>
      </c>
      <c r="B68" s="200" t="s">
        <v>236</v>
      </c>
      <c r="C68" s="200" t="s">
        <v>237</v>
      </c>
      <c r="D68" s="202" t="s">
        <v>238</v>
      </c>
      <c r="E68" s="201" t="s">
        <v>239</v>
      </c>
      <c r="F68" s="201" t="s">
        <v>240</v>
      </c>
      <c r="G68" s="201" t="s">
        <v>148</v>
      </c>
    </row>
    <row r="69" spans="1:7" s="115" customFormat="1" ht="39.6" x14ac:dyDescent="0.3">
      <c r="A69" s="204" t="s">
        <v>316</v>
      </c>
      <c r="B69" s="203" t="s">
        <v>242</v>
      </c>
      <c r="C69" s="203" t="s">
        <v>317</v>
      </c>
      <c r="D69" s="205" t="s">
        <v>318</v>
      </c>
      <c r="E69" s="206">
        <v>1</v>
      </c>
      <c r="F69" s="207">
        <v>1.69</v>
      </c>
      <c r="G69" s="207">
        <v>1.69</v>
      </c>
    </row>
    <row r="70" spans="1:7" s="115" customFormat="1" ht="52.8" x14ac:dyDescent="0.3">
      <c r="A70" s="209" t="s">
        <v>321</v>
      </c>
      <c r="B70" s="208" t="s">
        <v>242</v>
      </c>
      <c r="C70" s="208" t="s">
        <v>322</v>
      </c>
      <c r="D70" s="210" t="s">
        <v>277</v>
      </c>
      <c r="E70" s="211">
        <v>2.1781999999999999E-3</v>
      </c>
      <c r="F70" s="212">
        <v>73.150000000000006</v>
      </c>
      <c r="G70" s="212">
        <v>0.15</v>
      </c>
    </row>
    <row r="71" spans="1:7" s="115" customFormat="1" ht="52.8" x14ac:dyDescent="0.3">
      <c r="A71" s="209" t="s">
        <v>319</v>
      </c>
      <c r="B71" s="208" t="s">
        <v>242</v>
      </c>
      <c r="C71" s="208" t="s">
        <v>320</v>
      </c>
      <c r="D71" s="210" t="s">
        <v>282</v>
      </c>
      <c r="E71" s="211">
        <v>5.7971000000000003E-3</v>
      </c>
      <c r="F71" s="212">
        <v>266.75</v>
      </c>
      <c r="G71" s="212">
        <v>1.54</v>
      </c>
    </row>
    <row r="72" spans="1:7" x14ac:dyDescent="0.3">
      <c r="A72" s="217"/>
      <c r="B72" s="217"/>
      <c r="C72" s="217"/>
      <c r="D72" s="217" t="s">
        <v>261</v>
      </c>
      <c r="E72" s="213">
        <v>0</v>
      </c>
      <c r="F72" s="217" t="s">
        <v>262</v>
      </c>
      <c r="G72" s="213">
        <v>0.17</v>
      </c>
    </row>
    <row r="73" spans="1:7" ht="15" customHeight="1" thickBot="1" x14ac:dyDescent="0.35">
      <c r="A73" s="217"/>
      <c r="B73" s="217"/>
      <c r="C73" s="217"/>
      <c r="D73" s="217"/>
      <c r="E73" s="439" t="s">
        <v>263</v>
      </c>
      <c r="F73" s="439"/>
      <c r="G73" s="213">
        <v>2.06</v>
      </c>
    </row>
    <row r="74" spans="1:7" ht="15" thickTop="1" x14ac:dyDescent="0.3">
      <c r="A74" s="214"/>
      <c r="B74" s="214"/>
      <c r="C74" s="214"/>
      <c r="D74" s="214"/>
      <c r="E74" s="214"/>
      <c r="F74" s="214"/>
      <c r="G74" s="214"/>
    </row>
    <row r="75" spans="1:7" x14ac:dyDescent="0.3">
      <c r="A75" s="201" t="s">
        <v>235</v>
      </c>
      <c r="B75" s="200" t="s">
        <v>236</v>
      </c>
      <c r="C75" s="200" t="s">
        <v>237</v>
      </c>
      <c r="D75" s="202" t="s">
        <v>238</v>
      </c>
      <c r="E75" s="201" t="s">
        <v>239</v>
      </c>
      <c r="F75" s="201" t="s">
        <v>240</v>
      </c>
      <c r="G75" s="201" t="s">
        <v>148</v>
      </c>
    </row>
    <row r="76" spans="1:7" s="115" customFormat="1" ht="39.6" x14ac:dyDescent="0.3">
      <c r="A76" s="204" t="s">
        <v>323</v>
      </c>
      <c r="B76" s="203" t="s">
        <v>242</v>
      </c>
      <c r="C76" s="203" t="s">
        <v>324</v>
      </c>
      <c r="D76" s="205" t="s">
        <v>318</v>
      </c>
      <c r="E76" s="206">
        <v>1</v>
      </c>
      <c r="F76" s="207">
        <v>0.65</v>
      </c>
      <c r="G76" s="207">
        <v>0.65</v>
      </c>
    </row>
    <row r="77" spans="1:7" s="115" customFormat="1" ht="52.8" x14ac:dyDescent="0.3">
      <c r="A77" s="209" t="s">
        <v>319</v>
      </c>
      <c r="B77" s="208" t="s">
        <v>242</v>
      </c>
      <c r="C77" s="208" t="s">
        <v>320</v>
      </c>
      <c r="D77" s="210" t="s">
        <v>282</v>
      </c>
      <c r="E77" s="211">
        <v>2.2222000000000001E-3</v>
      </c>
      <c r="F77" s="212">
        <v>266.75</v>
      </c>
      <c r="G77" s="212">
        <v>0.59</v>
      </c>
    </row>
    <row r="78" spans="1:7" s="115" customFormat="1" ht="52.8" x14ac:dyDescent="0.3">
      <c r="A78" s="209" t="s">
        <v>321</v>
      </c>
      <c r="B78" s="208" t="s">
        <v>242</v>
      </c>
      <c r="C78" s="208" t="s">
        <v>322</v>
      </c>
      <c r="D78" s="210" t="s">
        <v>277</v>
      </c>
      <c r="E78" s="211">
        <v>8.3500000000000002E-4</v>
      </c>
      <c r="F78" s="212">
        <v>73.150000000000006</v>
      </c>
      <c r="G78" s="212">
        <v>0.06</v>
      </c>
    </row>
    <row r="79" spans="1:7" x14ac:dyDescent="0.3">
      <c r="A79" s="217"/>
      <c r="B79" s="217"/>
      <c r="C79" s="217"/>
      <c r="D79" s="217" t="s">
        <v>261</v>
      </c>
      <c r="E79" s="213">
        <v>0</v>
      </c>
      <c r="F79" s="217" t="s">
        <v>262</v>
      </c>
      <c r="G79" s="213">
        <v>0.06</v>
      </c>
    </row>
    <row r="80" spans="1:7" ht="15" customHeight="1" thickBot="1" x14ac:dyDescent="0.35">
      <c r="A80" s="217"/>
      <c r="B80" s="217"/>
      <c r="C80" s="217"/>
      <c r="D80" s="217"/>
      <c r="E80" s="401" t="s">
        <v>263</v>
      </c>
      <c r="F80" s="401"/>
      <c r="G80" s="213">
        <v>0.79</v>
      </c>
    </row>
    <row r="81" spans="1:7" ht="15" thickTop="1" x14ac:dyDescent="0.3">
      <c r="A81" s="214"/>
      <c r="B81" s="214"/>
      <c r="C81" s="214"/>
      <c r="D81" s="214"/>
      <c r="E81" s="214"/>
      <c r="F81" s="214"/>
      <c r="G81" s="214"/>
    </row>
    <row r="82" spans="1:7" x14ac:dyDescent="0.3">
      <c r="A82" s="201" t="s">
        <v>235</v>
      </c>
      <c r="B82" s="200" t="s">
        <v>236</v>
      </c>
      <c r="C82" s="200" t="s">
        <v>237</v>
      </c>
      <c r="D82" s="202" t="s">
        <v>238</v>
      </c>
      <c r="E82" s="201" t="s">
        <v>239</v>
      </c>
      <c r="F82" s="201" t="s">
        <v>240</v>
      </c>
      <c r="G82" s="201" t="s">
        <v>148</v>
      </c>
    </row>
    <row r="83" spans="1:7" s="115" customFormat="1" ht="26.4" x14ac:dyDescent="0.3">
      <c r="A83" s="204" t="s">
        <v>325</v>
      </c>
      <c r="B83" s="203" t="s">
        <v>265</v>
      </c>
      <c r="C83" s="203" t="s">
        <v>326</v>
      </c>
      <c r="D83" s="205" t="s">
        <v>17</v>
      </c>
      <c r="E83" s="206">
        <v>1</v>
      </c>
      <c r="F83" s="207">
        <v>974.85</v>
      </c>
      <c r="G83" s="207">
        <v>974.85</v>
      </c>
    </row>
    <row r="84" spans="1:7" ht="26.4" x14ac:dyDescent="0.3">
      <c r="A84" s="209" t="s">
        <v>327</v>
      </c>
      <c r="B84" s="208" t="s">
        <v>242</v>
      </c>
      <c r="C84" s="208" t="s">
        <v>328</v>
      </c>
      <c r="D84" s="210" t="s">
        <v>246</v>
      </c>
      <c r="E84" s="211">
        <v>0.25269999999999998</v>
      </c>
      <c r="F84" s="212">
        <v>22.67</v>
      </c>
      <c r="G84" s="212">
        <v>5.72</v>
      </c>
    </row>
    <row r="85" spans="1:7" x14ac:dyDescent="0.3">
      <c r="A85" s="209" t="s">
        <v>249</v>
      </c>
      <c r="B85" s="208" t="s">
        <v>242</v>
      </c>
      <c r="C85" s="208" t="s">
        <v>250</v>
      </c>
      <c r="D85" s="210" t="s">
        <v>246</v>
      </c>
      <c r="E85" s="211">
        <v>0.75819999999999999</v>
      </c>
      <c r="F85" s="212">
        <v>23.66</v>
      </c>
      <c r="G85" s="212">
        <v>17.93</v>
      </c>
    </row>
    <row r="86" spans="1:7" ht="26.4" x14ac:dyDescent="0.3">
      <c r="A86" s="209" t="s">
        <v>329</v>
      </c>
      <c r="B86" s="208" t="s">
        <v>242</v>
      </c>
      <c r="C86" s="208" t="s">
        <v>330</v>
      </c>
      <c r="D86" s="210" t="s">
        <v>17</v>
      </c>
      <c r="E86" s="211">
        <v>1</v>
      </c>
      <c r="F86" s="212">
        <v>924</v>
      </c>
      <c r="G86" s="212">
        <v>924</v>
      </c>
    </row>
    <row r="87" spans="1:7" ht="39.6" customHeight="1" x14ac:dyDescent="0.3">
      <c r="A87" s="209" t="s">
        <v>331</v>
      </c>
      <c r="B87" s="208" t="s">
        <v>242</v>
      </c>
      <c r="C87" s="208" t="s">
        <v>332</v>
      </c>
      <c r="D87" s="210" t="s">
        <v>333</v>
      </c>
      <c r="E87" s="211">
        <v>4</v>
      </c>
      <c r="F87" s="212">
        <v>6.8</v>
      </c>
      <c r="G87" s="212">
        <v>27.2</v>
      </c>
    </row>
    <row r="88" spans="1:7" x14ac:dyDescent="0.3">
      <c r="A88" s="217"/>
      <c r="B88" s="217"/>
      <c r="C88" s="217"/>
      <c r="D88" s="217" t="s">
        <v>261</v>
      </c>
      <c r="E88" s="213">
        <v>0</v>
      </c>
      <c r="F88" s="217" t="s">
        <v>262</v>
      </c>
      <c r="G88" s="213">
        <v>16.62</v>
      </c>
    </row>
    <row r="89" spans="1:7" ht="15" customHeight="1" thickBot="1" x14ac:dyDescent="0.35">
      <c r="A89" s="217"/>
      <c r="B89" s="217"/>
      <c r="C89" s="217"/>
      <c r="D89" s="217"/>
      <c r="E89" s="401" t="s">
        <v>263</v>
      </c>
      <c r="F89" s="401"/>
      <c r="G89" s="213">
        <v>1188.92</v>
      </c>
    </row>
    <row r="90" spans="1:7" ht="15" thickTop="1" x14ac:dyDescent="0.3">
      <c r="A90" s="214"/>
      <c r="B90" s="214"/>
      <c r="C90" s="214"/>
      <c r="D90" s="214"/>
      <c r="E90" s="214"/>
      <c r="F90" s="214"/>
      <c r="G90" s="214"/>
    </row>
    <row r="91" spans="1:7" x14ac:dyDescent="0.3">
      <c r="A91" s="201" t="s">
        <v>235</v>
      </c>
      <c r="B91" s="200" t="s">
        <v>236</v>
      </c>
      <c r="C91" s="200" t="s">
        <v>237</v>
      </c>
      <c r="D91" s="202" t="s">
        <v>238</v>
      </c>
      <c r="E91" s="201" t="s">
        <v>239</v>
      </c>
      <c r="F91" s="201" t="s">
        <v>240</v>
      </c>
      <c r="G91" s="201" t="s">
        <v>148</v>
      </c>
    </row>
    <row r="92" spans="1:7" s="115" customFormat="1" ht="26.4" x14ac:dyDescent="0.3">
      <c r="A92" s="204" t="s">
        <v>334</v>
      </c>
      <c r="B92" s="203" t="s">
        <v>265</v>
      </c>
      <c r="C92" s="203" t="s">
        <v>98</v>
      </c>
      <c r="D92" s="205" t="s">
        <v>69</v>
      </c>
      <c r="E92" s="206">
        <v>1</v>
      </c>
      <c r="F92" s="207">
        <v>414.68</v>
      </c>
      <c r="G92" s="207">
        <v>414.68</v>
      </c>
    </row>
    <row r="93" spans="1:7" ht="39.6" x14ac:dyDescent="0.3">
      <c r="A93" s="209" t="s">
        <v>335</v>
      </c>
      <c r="B93" s="208" t="s">
        <v>242</v>
      </c>
      <c r="C93" s="208" t="s">
        <v>336</v>
      </c>
      <c r="D93" s="210" t="s">
        <v>291</v>
      </c>
      <c r="E93" s="211">
        <v>2.3699999999999999E-2</v>
      </c>
      <c r="F93" s="212">
        <v>1040.33</v>
      </c>
      <c r="G93" s="212">
        <v>24.65</v>
      </c>
    </row>
    <row r="94" spans="1:7" x14ac:dyDescent="0.3">
      <c r="A94" s="209" t="s">
        <v>249</v>
      </c>
      <c r="B94" s="208" t="s">
        <v>242</v>
      </c>
      <c r="C94" s="208" t="s">
        <v>250</v>
      </c>
      <c r="D94" s="210" t="s">
        <v>246</v>
      </c>
      <c r="E94" s="211">
        <v>0.64129999999999998</v>
      </c>
      <c r="F94" s="212">
        <v>23.66</v>
      </c>
      <c r="G94" s="212">
        <v>15.17</v>
      </c>
    </row>
    <row r="95" spans="1:7" ht="26.4" x14ac:dyDescent="0.3">
      <c r="A95" s="209" t="s">
        <v>327</v>
      </c>
      <c r="B95" s="208" t="s">
        <v>242</v>
      </c>
      <c r="C95" s="208" t="s">
        <v>328</v>
      </c>
      <c r="D95" s="210" t="s">
        <v>246</v>
      </c>
      <c r="E95" s="211">
        <v>0.21379999999999999</v>
      </c>
      <c r="F95" s="212">
        <v>22.67</v>
      </c>
      <c r="G95" s="212">
        <v>4.84</v>
      </c>
    </row>
    <row r="96" spans="1:7" ht="26.4" x14ac:dyDescent="0.3">
      <c r="A96" s="209" t="s">
        <v>337</v>
      </c>
      <c r="B96" s="208" t="s">
        <v>242</v>
      </c>
      <c r="C96" s="208" t="s">
        <v>338</v>
      </c>
      <c r="D96" s="210" t="s">
        <v>258</v>
      </c>
      <c r="E96" s="211">
        <v>3.3</v>
      </c>
      <c r="F96" s="212">
        <v>112.13</v>
      </c>
      <c r="G96" s="212">
        <v>370.029</v>
      </c>
    </row>
    <row r="97" spans="1:10" x14ac:dyDescent="0.3">
      <c r="A97" s="217"/>
      <c r="B97" s="217"/>
      <c r="C97" s="217"/>
      <c r="D97" s="217" t="s">
        <v>261</v>
      </c>
      <c r="E97" s="213">
        <v>0</v>
      </c>
      <c r="F97" s="217" t="s">
        <v>262</v>
      </c>
      <c r="G97" s="213">
        <v>16.46</v>
      </c>
    </row>
    <row r="98" spans="1:10" ht="14.4" customHeight="1" x14ac:dyDescent="0.3">
      <c r="A98" s="217"/>
      <c r="B98" s="217"/>
      <c r="C98" s="217"/>
      <c r="D98" s="217"/>
      <c r="E98" s="401" t="s">
        <v>263</v>
      </c>
      <c r="F98" s="401"/>
      <c r="G98" s="213">
        <v>505.74</v>
      </c>
    </row>
    <row r="99" spans="1:10" x14ac:dyDescent="0.3">
      <c r="A99" s="39"/>
      <c r="B99" s="39"/>
      <c r="C99" s="216"/>
      <c r="D99" s="39"/>
      <c r="E99" s="39"/>
      <c r="F99" s="39"/>
      <c r="G99" s="39"/>
    </row>
    <row r="100" spans="1:10" x14ac:dyDescent="0.3">
      <c r="A100" s="460" t="s">
        <v>529</v>
      </c>
      <c r="B100" s="459"/>
      <c r="C100" s="459"/>
      <c r="D100" s="459"/>
      <c r="E100" s="459"/>
      <c r="F100" s="459"/>
      <c r="G100" s="459"/>
      <c r="H100" s="459"/>
      <c r="I100" s="459"/>
      <c r="J100" s="459"/>
    </row>
    <row r="101" spans="1:10" x14ac:dyDescent="0.3">
      <c r="A101" s="456" t="s">
        <v>235</v>
      </c>
      <c r="B101" s="458" t="s">
        <v>236</v>
      </c>
      <c r="C101" s="458" t="s">
        <v>237</v>
      </c>
      <c r="D101" s="457" t="s">
        <v>238</v>
      </c>
      <c r="E101" s="456" t="s">
        <v>239</v>
      </c>
      <c r="F101" s="456" t="s">
        <v>240</v>
      </c>
      <c r="G101" s="456" t="s">
        <v>148</v>
      </c>
    </row>
    <row r="102" spans="1:10" x14ac:dyDescent="0.3">
      <c r="A102" s="455" t="s">
        <v>269</v>
      </c>
      <c r="B102" s="454" t="s">
        <v>242</v>
      </c>
      <c r="C102" s="454" t="s">
        <v>270</v>
      </c>
      <c r="D102" s="442" t="s">
        <v>246</v>
      </c>
      <c r="E102" s="430">
        <v>1</v>
      </c>
      <c r="F102" s="431">
        <v>27.43</v>
      </c>
      <c r="G102" s="431">
        <v>27.43</v>
      </c>
    </row>
    <row r="103" spans="1:10" ht="26.4" x14ac:dyDescent="0.3">
      <c r="A103" s="440" t="s">
        <v>485</v>
      </c>
      <c r="B103" s="441" t="s">
        <v>242</v>
      </c>
      <c r="C103" s="441" t="s">
        <v>484</v>
      </c>
      <c r="D103" s="443" t="s">
        <v>246</v>
      </c>
      <c r="E103" s="432">
        <v>1</v>
      </c>
      <c r="F103" s="433">
        <v>0.11</v>
      </c>
      <c r="G103" s="433">
        <v>0.11</v>
      </c>
    </row>
    <row r="104" spans="1:10" ht="26.4" x14ac:dyDescent="0.3">
      <c r="A104" s="453" t="s">
        <v>528</v>
      </c>
      <c r="B104" s="452" t="s">
        <v>242</v>
      </c>
      <c r="C104" s="452" t="s">
        <v>527</v>
      </c>
      <c r="D104" s="444" t="s">
        <v>246</v>
      </c>
      <c r="E104" s="434">
        <v>1</v>
      </c>
      <c r="F104" s="435">
        <v>0.1</v>
      </c>
      <c r="G104" s="435">
        <v>0.1</v>
      </c>
    </row>
    <row r="105" spans="1:10" ht="26.4" x14ac:dyDescent="0.3">
      <c r="A105" s="453" t="s">
        <v>372</v>
      </c>
      <c r="B105" s="452" t="s">
        <v>242</v>
      </c>
      <c r="C105" s="452" t="s">
        <v>371</v>
      </c>
      <c r="D105" s="444" t="s">
        <v>246</v>
      </c>
      <c r="E105" s="434">
        <v>1</v>
      </c>
      <c r="F105" s="435">
        <v>2.4900000000000002</v>
      </c>
      <c r="G105" s="435">
        <v>2.4900000000000002</v>
      </c>
    </row>
    <row r="106" spans="1:10" ht="26.4" x14ac:dyDescent="0.3">
      <c r="A106" s="453" t="s">
        <v>366</v>
      </c>
      <c r="B106" s="452" t="s">
        <v>242</v>
      </c>
      <c r="C106" s="452" t="s">
        <v>365</v>
      </c>
      <c r="D106" s="444" t="s">
        <v>246</v>
      </c>
      <c r="E106" s="434">
        <v>1</v>
      </c>
      <c r="F106" s="435">
        <v>0.48</v>
      </c>
      <c r="G106" s="435">
        <v>0.48</v>
      </c>
    </row>
    <row r="107" spans="1:10" x14ac:dyDescent="0.3">
      <c r="A107" s="453" t="s">
        <v>483</v>
      </c>
      <c r="B107" s="452" t="s">
        <v>242</v>
      </c>
      <c r="C107" s="452" t="s">
        <v>482</v>
      </c>
      <c r="D107" s="444" t="s">
        <v>246</v>
      </c>
      <c r="E107" s="434">
        <v>1</v>
      </c>
      <c r="F107" s="435">
        <v>21.8</v>
      </c>
      <c r="G107" s="435">
        <v>21.8</v>
      </c>
    </row>
    <row r="108" spans="1:10" ht="26.4" x14ac:dyDescent="0.3">
      <c r="A108" s="453" t="s">
        <v>526</v>
      </c>
      <c r="B108" s="452" t="s">
        <v>242</v>
      </c>
      <c r="C108" s="452" t="s">
        <v>525</v>
      </c>
      <c r="D108" s="444" t="s">
        <v>246</v>
      </c>
      <c r="E108" s="434">
        <v>1</v>
      </c>
      <c r="F108" s="435">
        <v>0.92</v>
      </c>
      <c r="G108" s="435">
        <v>0.92</v>
      </c>
    </row>
    <row r="109" spans="1:10" ht="26.4" x14ac:dyDescent="0.3">
      <c r="A109" s="453" t="s">
        <v>362</v>
      </c>
      <c r="B109" s="452" t="s">
        <v>242</v>
      </c>
      <c r="C109" s="452" t="s">
        <v>361</v>
      </c>
      <c r="D109" s="444" t="s">
        <v>246</v>
      </c>
      <c r="E109" s="434">
        <v>1</v>
      </c>
      <c r="F109" s="435">
        <v>1.42</v>
      </c>
      <c r="G109" s="435">
        <v>1.42</v>
      </c>
    </row>
    <row r="110" spans="1:10" ht="26.4" x14ac:dyDescent="0.3">
      <c r="A110" s="453" t="s">
        <v>370</v>
      </c>
      <c r="B110" s="452" t="s">
        <v>242</v>
      </c>
      <c r="C110" s="452" t="s">
        <v>369</v>
      </c>
      <c r="D110" s="444" t="s">
        <v>246</v>
      </c>
      <c r="E110" s="434">
        <v>1</v>
      </c>
      <c r="F110" s="435">
        <v>0.11</v>
      </c>
      <c r="G110" s="435">
        <v>0.11</v>
      </c>
    </row>
    <row r="111" spans="1:10" x14ac:dyDescent="0.3">
      <c r="A111" s="436"/>
      <c r="B111" s="436"/>
      <c r="C111" s="436"/>
      <c r="D111" s="436" t="s">
        <v>261</v>
      </c>
      <c r="E111" s="437">
        <v>0</v>
      </c>
      <c r="F111" s="436" t="s">
        <v>262</v>
      </c>
      <c r="G111" s="437">
        <v>21.91</v>
      </c>
    </row>
    <row r="112" spans="1:10" ht="15" thickBot="1" x14ac:dyDescent="0.35">
      <c r="A112" s="436"/>
      <c r="B112" s="436"/>
      <c r="C112" s="436"/>
      <c r="D112" s="436"/>
      <c r="E112" s="438" t="s">
        <v>263</v>
      </c>
      <c r="F112" s="438"/>
      <c r="G112" s="437">
        <v>33.450000000000003</v>
      </c>
    </row>
    <row r="113" spans="1:7" ht="15" thickTop="1" x14ac:dyDescent="0.3">
      <c r="A113" s="451"/>
      <c r="B113" s="451"/>
      <c r="C113" s="451"/>
      <c r="D113" s="451"/>
      <c r="E113" s="451"/>
      <c r="F113" s="451"/>
      <c r="G113" s="451"/>
    </row>
    <row r="114" spans="1:7" x14ac:dyDescent="0.3">
      <c r="A114" s="456" t="s">
        <v>235</v>
      </c>
      <c r="B114" s="458" t="s">
        <v>236</v>
      </c>
      <c r="C114" s="458" t="s">
        <v>237</v>
      </c>
      <c r="D114" s="457" t="s">
        <v>238</v>
      </c>
      <c r="E114" s="456" t="s">
        <v>239</v>
      </c>
      <c r="F114" s="456" t="s">
        <v>240</v>
      </c>
      <c r="G114" s="456" t="s">
        <v>148</v>
      </c>
    </row>
    <row r="115" spans="1:7" ht="26.4" x14ac:dyDescent="0.3">
      <c r="A115" s="455" t="s">
        <v>303</v>
      </c>
      <c r="B115" s="454" t="s">
        <v>242</v>
      </c>
      <c r="C115" s="454" t="s">
        <v>304</v>
      </c>
      <c r="D115" s="442" t="s">
        <v>291</v>
      </c>
      <c r="E115" s="430">
        <v>1</v>
      </c>
      <c r="F115" s="431">
        <v>826</v>
      </c>
      <c r="G115" s="431">
        <v>826</v>
      </c>
    </row>
    <row r="116" spans="1:7" x14ac:dyDescent="0.3">
      <c r="A116" s="440" t="s">
        <v>249</v>
      </c>
      <c r="B116" s="441" t="s">
        <v>242</v>
      </c>
      <c r="C116" s="441" t="s">
        <v>250</v>
      </c>
      <c r="D116" s="443" t="s">
        <v>246</v>
      </c>
      <c r="E116" s="432">
        <v>8.57</v>
      </c>
      <c r="F116" s="433">
        <v>23.66</v>
      </c>
      <c r="G116" s="433">
        <v>202.76</v>
      </c>
    </row>
    <row r="117" spans="1:7" ht="26.4" x14ac:dyDescent="0.3">
      <c r="A117" s="453" t="s">
        <v>307</v>
      </c>
      <c r="B117" s="452" t="s">
        <v>242</v>
      </c>
      <c r="C117" s="452" t="s">
        <v>308</v>
      </c>
      <c r="D117" s="444" t="s">
        <v>291</v>
      </c>
      <c r="E117" s="434">
        <v>1.07</v>
      </c>
      <c r="F117" s="435">
        <v>95</v>
      </c>
      <c r="G117" s="435">
        <v>101.65</v>
      </c>
    </row>
    <row r="118" spans="1:7" x14ac:dyDescent="0.3">
      <c r="A118" s="453" t="s">
        <v>489</v>
      </c>
      <c r="B118" s="452" t="s">
        <v>242</v>
      </c>
      <c r="C118" s="452" t="s">
        <v>488</v>
      </c>
      <c r="D118" s="444" t="s">
        <v>253</v>
      </c>
      <c r="E118" s="434">
        <v>482.96</v>
      </c>
      <c r="F118" s="435">
        <v>1.08</v>
      </c>
      <c r="G118" s="435">
        <v>521.59680000000003</v>
      </c>
    </row>
    <row r="119" spans="1:7" x14ac:dyDescent="0.3">
      <c r="A119" s="436"/>
      <c r="B119" s="436"/>
      <c r="C119" s="436"/>
      <c r="D119" s="436" t="s">
        <v>261</v>
      </c>
      <c r="E119" s="437">
        <v>0</v>
      </c>
      <c r="F119" s="436" t="s">
        <v>262</v>
      </c>
      <c r="G119" s="437">
        <v>139.43</v>
      </c>
    </row>
    <row r="120" spans="1:7" ht="15" thickBot="1" x14ac:dyDescent="0.35">
      <c r="A120" s="436"/>
      <c r="B120" s="436"/>
      <c r="C120" s="436"/>
      <c r="D120" s="436"/>
      <c r="E120" s="438" t="s">
        <v>263</v>
      </c>
      <c r="F120" s="438"/>
      <c r="G120" s="437">
        <v>1007.38</v>
      </c>
    </row>
    <row r="121" spans="1:7" ht="15" thickTop="1" x14ac:dyDescent="0.3">
      <c r="A121" s="451"/>
      <c r="B121" s="451"/>
      <c r="C121" s="451"/>
      <c r="D121" s="451"/>
      <c r="E121" s="451"/>
      <c r="F121" s="451"/>
      <c r="G121" s="451"/>
    </row>
    <row r="122" spans="1:7" x14ac:dyDescent="0.3">
      <c r="A122" s="456" t="s">
        <v>235</v>
      </c>
      <c r="B122" s="458" t="s">
        <v>236</v>
      </c>
      <c r="C122" s="458" t="s">
        <v>237</v>
      </c>
      <c r="D122" s="457" t="s">
        <v>238</v>
      </c>
      <c r="E122" s="456" t="s">
        <v>239</v>
      </c>
      <c r="F122" s="456" t="s">
        <v>240</v>
      </c>
      <c r="G122" s="456" t="s">
        <v>148</v>
      </c>
    </row>
    <row r="123" spans="1:7" ht="39.6" x14ac:dyDescent="0.3">
      <c r="A123" s="455" t="s">
        <v>289</v>
      </c>
      <c r="B123" s="454" t="s">
        <v>242</v>
      </c>
      <c r="C123" s="454" t="s">
        <v>290</v>
      </c>
      <c r="D123" s="442" t="s">
        <v>291</v>
      </c>
      <c r="E123" s="430">
        <v>1</v>
      </c>
      <c r="F123" s="431">
        <v>720.96</v>
      </c>
      <c r="G123" s="431">
        <v>720.96</v>
      </c>
    </row>
    <row r="124" spans="1:7" ht="39.6" x14ac:dyDescent="0.3">
      <c r="A124" s="440" t="s">
        <v>524</v>
      </c>
      <c r="B124" s="441" t="s">
        <v>242</v>
      </c>
      <c r="C124" s="441" t="s">
        <v>523</v>
      </c>
      <c r="D124" s="443" t="s">
        <v>277</v>
      </c>
      <c r="E124" s="432">
        <v>2.62</v>
      </c>
      <c r="F124" s="433">
        <v>0.54</v>
      </c>
      <c r="G124" s="433">
        <v>1.41</v>
      </c>
    </row>
    <row r="125" spans="1:7" ht="39.6" x14ac:dyDescent="0.3">
      <c r="A125" s="440" t="s">
        <v>522</v>
      </c>
      <c r="B125" s="441" t="s">
        <v>242</v>
      </c>
      <c r="C125" s="441" t="s">
        <v>521</v>
      </c>
      <c r="D125" s="443" t="s">
        <v>282</v>
      </c>
      <c r="E125" s="432">
        <v>0.8</v>
      </c>
      <c r="F125" s="433">
        <v>2.39</v>
      </c>
      <c r="G125" s="433">
        <v>1.91</v>
      </c>
    </row>
    <row r="126" spans="1:7" ht="26.4" x14ac:dyDescent="0.3">
      <c r="A126" s="440" t="s">
        <v>435</v>
      </c>
      <c r="B126" s="441" t="s">
        <v>242</v>
      </c>
      <c r="C126" s="441" t="s">
        <v>434</v>
      </c>
      <c r="D126" s="443" t="s">
        <v>246</v>
      </c>
      <c r="E126" s="432">
        <v>3.42</v>
      </c>
      <c r="F126" s="433">
        <v>27.37</v>
      </c>
      <c r="G126" s="433">
        <v>93.6</v>
      </c>
    </row>
    <row r="127" spans="1:7" ht="26.4" x14ac:dyDescent="0.3">
      <c r="A127" s="453" t="s">
        <v>307</v>
      </c>
      <c r="B127" s="452" t="s">
        <v>242</v>
      </c>
      <c r="C127" s="452" t="s">
        <v>308</v>
      </c>
      <c r="D127" s="444" t="s">
        <v>291</v>
      </c>
      <c r="E127" s="434">
        <v>1.07</v>
      </c>
      <c r="F127" s="435">
        <v>95</v>
      </c>
      <c r="G127" s="435">
        <v>101.65</v>
      </c>
    </row>
    <row r="128" spans="1:7" x14ac:dyDescent="0.3">
      <c r="A128" s="453" t="s">
        <v>489</v>
      </c>
      <c r="B128" s="452" t="s">
        <v>242</v>
      </c>
      <c r="C128" s="452" t="s">
        <v>488</v>
      </c>
      <c r="D128" s="444" t="s">
        <v>253</v>
      </c>
      <c r="E128" s="434">
        <v>483.7</v>
      </c>
      <c r="F128" s="435">
        <v>1.08</v>
      </c>
      <c r="G128" s="435">
        <v>522.39599999999996</v>
      </c>
    </row>
    <row r="129" spans="1:7" x14ac:dyDescent="0.3">
      <c r="A129" s="436"/>
      <c r="B129" s="436"/>
      <c r="C129" s="436"/>
      <c r="D129" s="436" t="s">
        <v>261</v>
      </c>
      <c r="E129" s="437">
        <v>0</v>
      </c>
      <c r="F129" s="436" t="s">
        <v>262</v>
      </c>
      <c r="G129" s="437">
        <v>74.17</v>
      </c>
    </row>
    <row r="130" spans="1:7" ht="15" thickBot="1" x14ac:dyDescent="0.35">
      <c r="A130" s="436"/>
      <c r="B130" s="436"/>
      <c r="C130" s="436"/>
      <c r="D130" s="436"/>
      <c r="E130" s="438" t="s">
        <v>263</v>
      </c>
      <c r="F130" s="438"/>
      <c r="G130" s="437">
        <v>879.28</v>
      </c>
    </row>
    <row r="131" spans="1:7" ht="15" thickTop="1" x14ac:dyDescent="0.3">
      <c r="A131" s="451"/>
      <c r="B131" s="451"/>
      <c r="C131" s="451"/>
      <c r="D131" s="451"/>
      <c r="E131" s="451"/>
      <c r="F131" s="451"/>
      <c r="G131" s="451"/>
    </row>
    <row r="132" spans="1:7" x14ac:dyDescent="0.3">
      <c r="A132" s="456" t="s">
        <v>235</v>
      </c>
      <c r="B132" s="458" t="s">
        <v>236</v>
      </c>
      <c r="C132" s="458" t="s">
        <v>237</v>
      </c>
      <c r="D132" s="457" t="s">
        <v>238</v>
      </c>
      <c r="E132" s="456" t="s">
        <v>239</v>
      </c>
      <c r="F132" s="456" t="s">
        <v>240</v>
      </c>
      <c r="G132" s="456" t="s">
        <v>148</v>
      </c>
    </row>
    <row r="133" spans="1:7" ht="39.6" x14ac:dyDescent="0.3">
      <c r="A133" s="455" t="s">
        <v>524</v>
      </c>
      <c r="B133" s="454" t="s">
        <v>242</v>
      </c>
      <c r="C133" s="454" t="s">
        <v>523</v>
      </c>
      <c r="D133" s="442" t="s">
        <v>277</v>
      </c>
      <c r="E133" s="430">
        <v>1</v>
      </c>
      <c r="F133" s="431">
        <v>0.54</v>
      </c>
      <c r="G133" s="431">
        <v>0.54</v>
      </c>
    </row>
    <row r="134" spans="1:7" ht="39.6" x14ac:dyDescent="0.3">
      <c r="A134" s="440" t="s">
        <v>520</v>
      </c>
      <c r="B134" s="441" t="s">
        <v>242</v>
      </c>
      <c r="C134" s="441" t="s">
        <v>519</v>
      </c>
      <c r="D134" s="443" t="s">
        <v>246</v>
      </c>
      <c r="E134" s="432">
        <v>1</v>
      </c>
      <c r="F134" s="433">
        <v>0.44</v>
      </c>
      <c r="G134" s="433">
        <v>0.44</v>
      </c>
    </row>
    <row r="135" spans="1:7" ht="39.6" x14ac:dyDescent="0.3">
      <c r="A135" s="440" t="s">
        <v>518</v>
      </c>
      <c r="B135" s="441" t="s">
        <v>242</v>
      </c>
      <c r="C135" s="441" t="s">
        <v>517</v>
      </c>
      <c r="D135" s="443" t="s">
        <v>246</v>
      </c>
      <c r="E135" s="432">
        <v>1</v>
      </c>
      <c r="F135" s="433">
        <v>0.1</v>
      </c>
      <c r="G135" s="433">
        <v>0.1</v>
      </c>
    </row>
    <row r="136" spans="1:7" x14ac:dyDescent="0.3">
      <c r="A136" s="436"/>
      <c r="B136" s="436"/>
      <c r="C136" s="436"/>
      <c r="D136" s="436" t="s">
        <v>261</v>
      </c>
      <c r="E136" s="437">
        <v>0</v>
      </c>
      <c r="F136" s="436" t="s">
        <v>262</v>
      </c>
      <c r="G136" s="437">
        <v>0</v>
      </c>
    </row>
    <row r="137" spans="1:7" ht="15" thickBot="1" x14ac:dyDescent="0.35">
      <c r="A137" s="436"/>
      <c r="B137" s="436"/>
      <c r="C137" s="436"/>
      <c r="D137" s="436"/>
      <c r="E137" s="438" t="s">
        <v>263</v>
      </c>
      <c r="F137" s="438"/>
      <c r="G137" s="437">
        <v>0.65</v>
      </c>
    </row>
    <row r="138" spans="1:7" ht="15" thickTop="1" x14ac:dyDescent="0.3">
      <c r="A138" s="451"/>
      <c r="B138" s="451"/>
      <c r="C138" s="451"/>
      <c r="D138" s="451"/>
      <c r="E138" s="451"/>
      <c r="F138" s="451"/>
      <c r="G138" s="451"/>
    </row>
    <row r="139" spans="1:7" x14ac:dyDescent="0.3">
      <c r="A139" s="456" t="s">
        <v>235</v>
      </c>
      <c r="B139" s="458" t="s">
        <v>236</v>
      </c>
      <c r="C139" s="458" t="s">
        <v>237</v>
      </c>
      <c r="D139" s="457" t="s">
        <v>238</v>
      </c>
      <c r="E139" s="456" t="s">
        <v>239</v>
      </c>
      <c r="F139" s="456" t="s">
        <v>240</v>
      </c>
      <c r="G139" s="456" t="s">
        <v>148</v>
      </c>
    </row>
    <row r="140" spans="1:7" ht="39.6" x14ac:dyDescent="0.3">
      <c r="A140" s="455" t="s">
        <v>522</v>
      </c>
      <c r="B140" s="454" t="s">
        <v>242</v>
      </c>
      <c r="C140" s="454" t="s">
        <v>521</v>
      </c>
      <c r="D140" s="442" t="s">
        <v>282</v>
      </c>
      <c r="E140" s="430">
        <v>1</v>
      </c>
      <c r="F140" s="431">
        <v>2.39</v>
      </c>
      <c r="G140" s="431">
        <v>2.39</v>
      </c>
    </row>
    <row r="141" spans="1:7" ht="39.6" x14ac:dyDescent="0.3">
      <c r="A141" s="440" t="s">
        <v>512</v>
      </c>
      <c r="B141" s="441" t="s">
        <v>242</v>
      </c>
      <c r="C141" s="441" t="s">
        <v>511</v>
      </c>
      <c r="D141" s="443" t="s">
        <v>246</v>
      </c>
      <c r="E141" s="432">
        <v>1</v>
      </c>
      <c r="F141" s="433">
        <v>1.37</v>
      </c>
      <c r="G141" s="433">
        <v>1.37</v>
      </c>
    </row>
    <row r="142" spans="1:7" ht="39.6" x14ac:dyDescent="0.3">
      <c r="A142" s="440" t="s">
        <v>520</v>
      </c>
      <c r="B142" s="441" t="s">
        <v>242</v>
      </c>
      <c r="C142" s="441" t="s">
        <v>519</v>
      </c>
      <c r="D142" s="443" t="s">
        <v>246</v>
      </c>
      <c r="E142" s="432">
        <v>1</v>
      </c>
      <c r="F142" s="433">
        <v>0.44</v>
      </c>
      <c r="G142" s="433">
        <v>0.44</v>
      </c>
    </row>
    <row r="143" spans="1:7" ht="39.6" x14ac:dyDescent="0.3">
      <c r="A143" s="440" t="s">
        <v>516</v>
      </c>
      <c r="B143" s="441" t="s">
        <v>242</v>
      </c>
      <c r="C143" s="441" t="s">
        <v>515</v>
      </c>
      <c r="D143" s="443" t="s">
        <v>246</v>
      </c>
      <c r="E143" s="432">
        <v>1</v>
      </c>
      <c r="F143" s="433">
        <v>0.48</v>
      </c>
      <c r="G143" s="433">
        <v>0.48</v>
      </c>
    </row>
    <row r="144" spans="1:7" ht="39.6" x14ac:dyDescent="0.3">
      <c r="A144" s="440" t="s">
        <v>518</v>
      </c>
      <c r="B144" s="441" t="s">
        <v>242</v>
      </c>
      <c r="C144" s="441" t="s">
        <v>517</v>
      </c>
      <c r="D144" s="443" t="s">
        <v>246</v>
      </c>
      <c r="E144" s="432">
        <v>1</v>
      </c>
      <c r="F144" s="433">
        <v>0.1</v>
      </c>
      <c r="G144" s="433">
        <v>0.1</v>
      </c>
    </row>
    <row r="145" spans="1:7" x14ac:dyDescent="0.3">
      <c r="A145" s="436"/>
      <c r="B145" s="436"/>
      <c r="C145" s="436"/>
      <c r="D145" s="436" t="s">
        <v>261</v>
      </c>
      <c r="E145" s="437">
        <v>0</v>
      </c>
      <c r="F145" s="436" t="s">
        <v>262</v>
      </c>
      <c r="G145" s="437">
        <v>0</v>
      </c>
    </row>
    <row r="146" spans="1:7" ht="15" thickBot="1" x14ac:dyDescent="0.35">
      <c r="A146" s="436"/>
      <c r="B146" s="436"/>
      <c r="C146" s="436"/>
      <c r="D146" s="436"/>
      <c r="E146" s="438" t="s">
        <v>263</v>
      </c>
      <c r="F146" s="438"/>
      <c r="G146" s="437">
        <v>2.91</v>
      </c>
    </row>
    <row r="147" spans="1:7" ht="15" thickTop="1" x14ac:dyDescent="0.3">
      <c r="A147" s="451"/>
      <c r="B147" s="451"/>
      <c r="C147" s="451"/>
      <c r="D147" s="451"/>
      <c r="E147" s="451"/>
      <c r="F147" s="451"/>
      <c r="G147" s="451"/>
    </row>
    <row r="148" spans="1:7" x14ac:dyDescent="0.3">
      <c r="A148" s="456" t="s">
        <v>235</v>
      </c>
      <c r="B148" s="458" t="s">
        <v>236</v>
      </c>
      <c r="C148" s="458" t="s">
        <v>237</v>
      </c>
      <c r="D148" s="457" t="s">
        <v>238</v>
      </c>
      <c r="E148" s="456" t="s">
        <v>239</v>
      </c>
      <c r="F148" s="456" t="s">
        <v>240</v>
      </c>
      <c r="G148" s="456" t="s">
        <v>148</v>
      </c>
    </row>
    <row r="149" spans="1:7" ht="39.6" x14ac:dyDescent="0.3">
      <c r="A149" s="455" t="s">
        <v>520</v>
      </c>
      <c r="B149" s="454" t="s">
        <v>242</v>
      </c>
      <c r="C149" s="454" t="s">
        <v>519</v>
      </c>
      <c r="D149" s="442" t="s">
        <v>246</v>
      </c>
      <c r="E149" s="430">
        <v>1</v>
      </c>
      <c r="F149" s="431">
        <v>0.44</v>
      </c>
      <c r="G149" s="431">
        <v>0.44</v>
      </c>
    </row>
    <row r="150" spans="1:7" ht="39.6" x14ac:dyDescent="0.3">
      <c r="A150" s="453" t="s">
        <v>514</v>
      </c>
      <c r="B150" s="452" t="s">
        <v>242</v>
      </c>
      <c r="C150" s="452" t="s">
        <v>513</v>
      </c>
      <c r="D150" s="444" t="s">
        <v>333</v>
      </c>
      <c r="E150" s="434">
        <v>6.3999999999999997E-5</v>
      </c>
      <c r="F150" s="435">
        <v>6880.24</v>
      </c>
      <c r="G150" s="435">
        <v>0.44033539999999999</v>
      </c>
    </row>
    <row r="151" spans="1:7" x14ac:dyDescent="0.3">
      <c r="A151" s="436"/>
      <c r="B151" s="436"/>
      <c r="C151" s="436"/>
      <c r="D151" s="436" t="s">
        <v>261</v>
      </c>
      <c r="E151" s="437">
        <v>0</v>
      </c>
      <c r="F151" s="436" t="s">
        <v>262</v>
      </c>
      <c r="G151" s="437">
        <v>0</v>
      </c>
    </row>
    <row r="152" spans="1:7" ht="15" thickBot="1" x14ac:dyDescent="0.35">
      <c r="A152" s="436"/>
      <c r="B152" s="436"/>
      <c r="C152" s="436"/>
      <c r="D152" s="436"/>
      <c r="E152" s="438" t="s">
        <v>263</v>
      </c>
      <c r="F152" s="438"/>
      <c r="G152" s="437">
        <v>0.53</v>
      </c>
    </row>
    <row r="153" spans="1:7" ht="15" thickTop="1" x14ac:dyDescent="0.3">
      <c r="A153" s="451"/>
      <c r="B153" s="451"/>
      <c r="C153" s="451"/>
      <c r="D153" s="451"/>
      <c r="E153" s="451"/>
      <c r="F153" s="451"/>
      <c r="G153" s="451"/>
    </row>
    <row r="154" spans="1:7" x14ac:dyDescent="0.3">
      <c r="A154" s="456" t="s">
        <v>235</v>
      </c>
      <c r="B154" s="458" t="s">
        <v>236</v>
      </c>
      <c r="C154" s="458" t="s">
        <v>237</v>
      </c>
      <c r="D154" s="457" t="s">
        <v>238</v>
      </c>
      <c r="E154" s="456" t="s">
        <v>239</v>
      </c>
      <c r="F154" s="456" t="s">
        <v>240</v>
      </c>
      <c r="G154" s="456" t="s">
        <v>148</v>
      </c>
    </row>
    <row r="155" spans="1:7" ht="39.6" x14ac:dyDescent="0.3">
      <c r="A155" s="455" t="s">
        <v>518</v>
      </c>
      <c r="B155" s="454" t="s">
        <v>242</v>
      </c>
      <c r="C155" s="454" t="s">
        <v>517</v>
      </c>
      <c r="D155" s="442" t="s">
        <v>246</v>
      </c>
      <c r="E155" s="430">
        <v>1</v>
      </c>
      <c r="F155" s="431">
        <v>0.1</v>
      </c>
      <c r="G155" s="431">
        <v>0.1</v>
      </c>
    </row>
    <row r="156" spans="1:7" ht="39.6" x14ac:dyDescent="0.3">
      <c r="A156" s="453" t="s">
        <v>514</v>
      </c>
      <c r="B156" s="452" t="s">
        <v>242</v>
      </c>
      <c r="C156" s="452" t="s">
        <v>513</v>
      </c>
      <c r="D156" s="444" t="s">
        <v>333</v>
      </c>
      <c r="E156" s="434">
        <v>1.4800000000000001E-5</v>
      </c>
      <c r="F156" s="435">
        <v>6880.24</v>
      </c>
      <c r="G156" s="435">
        <v>0.1018276</v>
      </c>
    </row>
    <row r="157" spans="1:7" x14ac:dyDescent="0.3">
      <c r="A157" s="436"/>
      <c r="B157" s="436"/>
      <c r="C157" s="436"/>
      <c r="D157" s="436" t="s">
        <v>261</v>
      </c>
      <c r="E157" s="437">
        <v>0</v>
      </c>
      <c r="F157" s="436" t="s">
        <v>262</v>
      </c>
      <c r="G157" s="437">
        <v>0</v>
      </c>
    </row>
    <row r="158" spans="1:7" ht="15" thickBot="1" x14ac:dyDescent="0.35">
      <c r="A158" s="436"/>
      <c r="B158" s="436"/>
      <c r="C158" s="436"/>
      <c r="D158" s="436"/>
      <c r="E158" s="438" t="s">
        <v>263</v>
      </c>
      <c r="F158" s="438"/>
      <c r="G158" s="437">
        <v>0.12</v>
      </c>
    </row>
    <row r="159" spans="1:7" ht="15" thickTop="1" x14ac:dyDescent="0.3">
      <c r="A159" s="451"/>
      <c r="B159" s="451"/>
      <c r="C159" s="451"/>
      <c r="D159" s="451"/>
      <c r="E159" s="451"/>
      <c r="F159" s="451"/>
      <c r="G159" s="451"/>
    </row>
    <row r="160" spans="1:7" x14ac:dyDescent="0.3">
      <c r="A160" s="456" t="s">
        <v>235</v>
      </c>
      <c r="B160" s="458" t="s">
        <v>236</v>
      </c>
      <c r="C160" s="458" t="s">
        <v>237</v>
      </c>
      <c r="D160" s="457" t="s">
        <v>238</v>
      </c>
      <c r="E160" s="456" t="s">
        <v>239</v>
      </c>
      <c r="F160" s="456" t="s">
        <v>240</v>
      </c>
      <c r="G160" s="456" t="s">
        <v>148</v>
      </c>
    </row>
    <row r="161" spans="1:7" ht="39.6" x14ac:dyDescent="0.3">
      <c r="A161" s="455" t="s">
        <v>516</v>
      </c>
      <c r="B161" s="454" t="s">
        <v>242</v>
      </c>
      <c r="C161" s="454" t="s">
        <v>515</v>
      </c>
      <c r="D161" s="442" t="s">
        <v>246</v>
      </c>
      <c r="E161" s="430">
        <v>1</v>
      </c>
      <c r="F161" s="431">
        <v>0.48</v>
      </c>
      <c r="G161" s="431">
        <v>0.48</v>
      </c>
    </row>
    <row r="162" spans="1:7" ht="39.6" x14ac:dyDescent="0.3">
      <c r="A162" s="453" t="s">
        <v>514</v>
      </c>
      <c r="B162" s="452" t="s">
        <v>242</v>
      </c>
      <c r="C162" s="452" t="s">
        <v>513</v>
      </c>
      <c r="D162" s="444" t="s">
        <v>333</v>
      </c>
      <c r="E162" s="434">
        <v>6.9999999999999994E-5</v>
      </c>
      <c r="F162" s="435">
        <v>6880.24</v>
      </c>
      <c r="G162" s="435">
        <v>0.48161680000000001</v>
      </c>
    </row>
    <row r="163" spans="1:7" x14ac:dyDescent="0.3">
      <c r="A163" s="436"/>
      <c r="B163" s="436"/>
      <c r="C163" s="436"/>
      <c r="D163" s="436" t="s">
        <v>261</v>
      </c>
      <c r="E163" s="437">
        <v>0</v>
      </c>
      <c r="F163" s="436" t="s">
        <v>262</v>
      </c>
      <c r="G163" s="437">
        <v>0</v>
      </c>
    </row>
    <row r="164" spans="1:7" ht="15" thickBot="1" x14ac:dyDescent="0.35">
      <c r="A164" s="436"/>
      <c r="B164" s="436"/>
      <c r="C164" s="436"/>
      <c r="D164" s="436"/>
      <c r="E164" s="438" t="s">
        <v>263</v>
      </c>
      <c r="F164" s="438"/>
      <c r="G164" s="437">
        <v>0.57999999999999996</v>
      </c>
    </row>
    <row r="165" spans="1:7" ht="15" thickTop="1" x14ac:dyDescent="0.3">
      <c r="A165" s="451"/>
      <c r="B165" s="451"/>
      <c r="C165" s="451"/>
      <c r="D165" s="451"/>
      <c r="E165" s="451"/>
      <c r="F165" s="451"/>
      <c r="G165" s="451"/>
    </row>
    <row r="166" spans="1:7" x14ac:dyDescent="0.3">
      <c r="A166" s="456" t="s">
        <v>235</v>
      </c>
      <c r="B166" s="458" t="s">
        <v>236</v>
      </c>
      <c r="C166" s="458" t="s">
        <v>237</v>
      </c>
      <c r="D166" s="457" t="s">
        <v>238</v>
      </c>
      <c r="E166" s="456" t="s">
        <v>239</v>
      </c>
      <c r="F166" s="456" t="s">
        <v>240</v>
      </c>
      <c r="G166" s="456" t="s">
        <v>148</v>
      </c>
    </row>
    <row r="167" spans="1:7" ht="39.6" x14ac:dyDescent="0.3">
      <c r="A167" s="455" t="s">
        <v>512</v>
      </c>
      <c r="B167" s="454" t="s">
        <v>242</v>
      </c>
      <c r="C167" s="454" t="s">
        <v>511</v>
      </c>
      <c r="D167" s="442" t="s">
        <v>246</v>
      </c>
      <c r="E167" s="430">
        <v>1</v>
      </c>
      <c r="F167" s="431">
        <v>1.37</v>
      </c>
      <c r="G167" s="431">
        <v>1.37</v>
      </c>
    </row>
    <row r="168" spans="1:7" x14ac:dyDescent="0.3">
      <c r="A168" s="453" t="s">
        <v>510</v>
      </c>
      <c r="B168" s="452" t="s">
        <v>242</v>
      </c>
      <c r="C168" s="452" t="s">
        <v>509</v>
      </c>
      <c r="D168" s="444" t="s">
        <v>508</v>
      </c>
      <c r="E168" s="434">
        <v>1.25</v>
      </c>
      <c r="F168" s="435">
        <v>1.1000000000000001</v>
      </c>
      <c r="G168" s="435">
        <v>1.375</v>
      </c>
    </row>
    <row r="169" spans="1:7" x14ac:dyDescent="0.3">
      <c r="A169" s="436"/>
      <c r="B169" s="436"/>
      <c r="C169" s="436"/>
      <c r="D169" s="436" t="s">
        <v>261</v>
      </c>
      <c r="E169" s="437">
        <v>0</v>
      </c>
      <c r="F169" s="436" t="s">
        <v>262</v>
      </c>
      <c r="G169" s="437">
        <v>0</v>
      </c>
    </row>
    <row r="170" spans="1:7" ht="15" thickBot="1" x14ac:dyDescent="0.35">
      <c r="A170" s="436"/>
      <c r="B170" s="436"/>
      <c r="C170" s="436"/>
      <c r="D170" s="436"/>
      <c r="E170" s="438" t="s">
        <v>263</v>
      </c>
      <c r="F170" s="438"/>
      <c r="G170" s="437">
        <v>1.67</v>
      </c>
    </row>
    <row r="171" spans="1:7" ht="15" thickTop="1" x14ac:dyDescent="0.3">
      <c r="A171" s="451"/>
      <c r="B171" s="451"/>
      <c r="C171" s="451"/>
      <c r="D171" s="451"/>
      <c r="E171" s="451"/>
      <c r="F171" s="451"/>
      <c r="G171" s="451"/>
    </row>
    <row r="172" spans="1:7" x14ac:dyDescent="0.3">
      <c r="A172" s="456" t="s">
        <v>235</v>
      </c>
      <c r="B172" s="458" t="s">
        <v>236</v>
      </c>
      <c r="C172" s="458" t="s">
        <v>237</v>
      </c>
      <c r="D172" s="457" t="s">
        <v>238</v>
      </c>
      <c r="E172" s="456" t="s">
        <v>239</v>
      </c>
      <c r="F172" s="456" t="s">
        <v>240</v>
      </c>
      <c r="G172" s="456" t="s">
        <v>148</v>
      </c>
    </row>
    <row r="173" spans="1:7" x14ac:dyDescent="0.3">
      <c r="A173" s="455" t="s">
        <v>285</v>
      </c>
      <c r="B173" s="454" t="s">
        <v>242</v>
      </c>
      <c r="C173" s="454" t="s">
        <v>286</v>
      </c>
      <c r="D173" s="442" t="s">
        <v>246</v>
      </c>
      <c r="E173" s="430">
        <v>1</v>
      </c>
      <c r="F173" s="431">
        <v>29.26</v>
      </c>
      <c r="G173" s="431">
        <v>29.26</v>
      </c>
    </row>
    <row r="174" spans="1:7" ht="26.4" x14ac:dyDescent="0.3">
      <c r="A174" s="440" t="s">
        <v>481</v>
      </c>
      <c r="B174" s="441" t="s">
        <v>242</v>
      </c>
      <c r="C174" s="441" t="s">
        <v>480</v>
      </c>
      <c r="D174" s="443" t="s">
        <v>246</v>
      </c>
      <c r="E174" s="432">
        <v>1</v>
      </c>
      <c r="F174" s="433">
        <v>0.25</v>
      </c>
      <c r="G174" s="433">
        <v>0.25</v>
      </c>
    </row>
    <row r="175" spans="1:7" ht="26.4" x14ac:dyDescent="0.3">
      <c r="A175" s="453" t="s">
        <v>366</v>
      </c>
      <c r="B175" s="452" t="s">
        <v>242</v>
      </c>
      <c r="C175" s="452" t="s">
        <v>365</v>
      </c>
      <c r="D175" s="444" t="s">
        <v>246</v>
      </c>
      <c r="E175" s="434">
        <v>1</v>
      </c>
      <c r="F175" s="435">
        <v>0.48</v>
      </c>
      <c r="G175" s="435">
        <v>0.48</v>
      </c>
    </row>
    <row r="176" spans="1:7" ht="26.4" x14ac:dyDescent="0.3">
      <c r="A176" s="453" t="s">
        <v>362</v>
      </c>
      <c r="B176" s="452" t="s">
        <v>242</v>
      </c>
      <c r="C176" s="452" t="s">
        <v>361</v>
      </c>
      <c r="D176" s="444" t="s">
        <v>246</v>
      </c>
      <c r="E176" s="434">
        <v>1</v>
      </c>
      <c r="F176" s="435">
        <v>1.42</v>
      </c>
      <c r="G176" s="435">
        <v>1.42</v>
      </c>
    </row>
    <row r="177" spans="1:7" ht="26.4" x14ac:dyDescent="0.3">
      <c r="A177" s="453" t="s">
        <v>372</v>
      </c>
      <c r="B177" s="452" t="s">
        <v>242</v>
      </c>
      <c r="C177" s="452" t="s">
        <v>371</v>
      </c>
      <c r="D177" s="444" t="s">
        <v>246</v>
      </c>
      <c r="E177" s="434">
        <v>1</v>
      </c>
      <c r="F177" s="435">
        <v>2.4900000000000002</v>
      </c>
      <c r="G177" s="435">
        <v>2.4900000000000002</v>
      </c>
    </row>
    <row r="178" spans="1:7" ht="26.4" x14ac:dyDescent="0.3">
      <c r="A178" s="453" t="s">
        <v>411</v>
      </c>
      <c r="B178" s="452" t="s">
        <v>242</v>
      </c>
      <c r="C178" s="452" t="s">
        <v>410</v>
      </c>
      <c r="D178" s="444" t="s">
        <v>246</v>
      </c>
      <c r="E178" s="434">
        <v>1</v>
      </c>
      <c r="F178" s="435">
        <v>1.81</v>
      </c>
      <c r="G178" s="435">
        <v>1.81</v>
      </c>
    </row>
    <row r="179" spans="1:7" ht="26.4" x14ac:dyDescent="0.3">
      <c r="A179" s="453" t="s">
        <v>413</v>
      </c>
      <c r="B179" s="452" t="s">
        <v>242</v>
      </c>
      <c r="C179" s="452" t="s">
        <v>412</v>
      </c>
      <c r="D179" s="444" t="s">
        <v>246</v>
      </c>
      <c r="E179" s="434">
        <v>1</v>
      </c>
      <c r="F179" s="435">
        <v>0.9</v>
      </c>
      <c r="G179" s="435">
        <v>0.9</v>
      </c>
    </row>
    <row r="180" spans="1:7" x14ac:dyDescent="0.3">
      <c r="A180" s="453" t="s">
        <v>479</v>
      </c>
      <c r="B180" s="452" t="s">
        <v>242</v>
      </c>
      <c r="C180" s="452" t="s">
        <v>478</v>
      </c>
      <c r="D180" s="444" t="s">
        <v>246</v>
      </c>
      <c r="E180" s="434">
        <v>1</v>
      </c>
      <c r="F180" s="435">
        <v>21.8</v>
      </c>
      <c r="G180" s="435">
        <v>21.8</v>
      </c>
    </row>
    <row r="181" spans="1:7" ht="26.4" x14ac:dyDescent="0.3">
      <c r="A181" s="453" t="s">
        <v>370</v>
      </c>
      <c r="B181" s="452" t="s">
        <v>242</v>
      </c>
      <c r="C181" s="452" t="s">
        <v>369</v>
      </c>
      <c r="D181" s="444" t="s">
        <v>246</v>
      </c>
      <c r="E181" s="434">
        <v>1</v>
      </c>
      <c r="F181" s="435">
        <v>0.11</v>
      </c>
      <c r="G181" s="435">
        <v>0.11</v>
      </c>
    </row>
    <row r="182" spans="1:7" x14ac:dyDescent="0.3">
      <c r="A182" s="436"/>
      <c r="B182" s="436"/>
      <c r="C182" s="436"/>
      <c r="D182" s="436" t="s">
        <v>261</v>
      </c>
      <c r="E182" s="437">
        <v>0</v>
      </c>
      <c r="F182" s="436" t="s">
        <v>262</v>
      </c>
      <c r="G182" s="437">
        <v>22.05</v>
      </c>
    </row>
    <row r="183" spans="1:7" ht="15" thickBot="1" x14ac:dyDescent="0.35">
      <c r="A183" s="436"/>
      <c r="B183" s="436"/>
      <c r="C183" s="436"/>
      <c r="D183" s="436"/>
      <c r="E183" s="438" t="s">
        <v>263</v>
      </c>
      <c r="F183" s="438"/>
      <c r="G183" s="437">
        <v>35.68</v>
      </c>
    </row>
    <row r="184" spans="1:7" ht="15" thickTop="1" x14ac:dyDescent="0.3">
      <c r="A184" s="451"/>
      <c r="B184" s="451"/>
      <c r="C184" s="451"/>
      <c r="D184" s="451"/>
      <c r="E184" s="451"/>
      <c r="F184" s="451"/>
      <c r="G184" s="451"/>
    </row>
    <row r="185" spans="1:7" x14ac:dyDescent="0.3">
      <c r="A185" s="456" t="s">
        <v>235</v>
      </c>
      <c r="B185" s="458" t="s">
        <v>236</v>
      </c>
      <c r="C185" s="458" t="s">
        <v>237</v>
      </c>
      <c r="D185" s="457" t="s">
        <v>238</v>
      </c>
      <c r="E185" s="456" t="s">
        <v>239</v>
      </c>
      <c r="F185" s="456" t="s">
        <v>240</v>
      </c>
      <c r="G185" s="456" t="s">
        <v>148</v>
      </c>
    </row>
    <row r="186" spans="1:7" ht="52.8" x14ac:dyDescent="0.3">
      <c r="A186" s="455" t="s">
        <v>321</v>
      </c>
      <c r="B186" s="454" t="s">
        <v>242</v>
      </c>
      <c r="C186" s="454" t="s">
        <v>322</v>
      </c>
      <c r="D186" s="442" t="s">
        <v>277</v>
      </c>
      <c r="E186" s="430">
        <v>1</v>
      </c>
      <c r="F186" s="431">
        <v>73.150000000000006</v>
      </c>
      <c r="G186" s="431">
        <v>73.150000000000006</v>
      </c>
    </row>
    <row r="187" spans="1:7" ht="52.8" x14ac:dyDescent="0.3">
      <c r="A187" s="440" t="s">
        <v>507</v>
      </c>
      <c r="B187" s="441" t="s">
        <v>242</v>
      </c>
      <c r="C187" s="441" t="s">
        <v>506</v>
      </c>
      <c r="D187" s="443" t="s">
        <v>246</v>
      </c>
      <c r="E187" s="432">
        <v>1</v>
      </c>
      <c r="F187" s="433">
        <v>28.85</v>
      </c>
      <c r="G187" s="433">
        <v>28.85</v>
      </c>
    </row>
    <row r="188" spans="1:7" ht="52.8" x14ac:dyDescent="0.3">
      <c r="A188" s="440" t="s">
        <v>505</v>
      </c>
      <c r="B188" s="441" t="s">
        <v>242</v>
      </c>
      <c r="C188" s="441" t="s">
        <v>504</v>
      </c>
      <c r="D188" s="443" t="s">
        <v>246</v>
      </c>
      <c r="E188" s="432">
        <v>1</v>
      </c>
      <c r="F188" s="433">
        <v>4.5599999999999996</v>
      </c>
      <c r="G188" s="433">
        <v>4.5599999999999996</v>
      </c>
    </row>
    <row r="189" spans="1:7" ht="52.8" x14ac:dyDescent="0.3">
      <c r="A189" s="440" t="s">
        <v>503</v>
      </c>
      <c r="B189" s="441" t="s">
        <v>242</v>
      </c>
      <c r="C189" s="441" t="s">
        <v>502</v>
      </c>
      <c r="D189" s="443" t="s">
        <v>246</v>
      </c>
      <c r="E189" s="432">
        <v>1</v>
      </c>
      <c r="F189" s="433">
        <v>11.32</v>
      </c>
      <c r="G189" s="433">
        <v>11.32</v>
      </c>
    </row>
    <row r="190" spans="1:7" ht="26.4" x14ac:dyDescent="0.3">
      <c r="A190" s="440" t="s">
        <v>441</v>
      </c>
      <c r="B190" s="441" t="s">
        <v>242</v>
      </c>
      <c r="C190" s="441" t="s">
        <v>440</v>
      </c>
      <c r="D190" s="443" t="s">
        <v>246</v>
      </c>
      <c r="E190" s="432">
        <v>1</v>
      </c>
      <c r="F190" s="433">
        <v>28.42</v>
      </c>
      <c r="G190" s="433">
        <v>28.42</v>
      </c>
    </row>
    <row r="191" spans="1:7" x14ac:dyDescent="0.3">
      <c r="A191" s="436"/>
      <c r="B191" s="436"/>
      <c r="C191" s="436"/>
      <c r="D191" s="436" t="s">
        <v>261</v>
      </c>
      <c r="E191" s="437">
        <v>0</v>
      </c>
      <c r="F191" s="436" t="s">
        <v>262</v>
      </c>
      <c r="G191" s="437">
        <v>22.74</v>
      </c>
    </row>
    <row r="192" spans="1:7" ht="15" thickBot="1" x14ac:dyDescent="0.35">
      <c r="A192" s="436"/>
      <c r="B192" s="436"/>
      <c r="C192" s="436"/>
      <c r="D192" s="436"/>
      <c r="E192" s="438" t="s">
        <v>263</v>
      </c>
      <c r="F192" s="438"/>
      <c r="G192" s="437">
        <v>89.21</v>
      </c>
    </row>
    <row r="193" spans="1:7" ht="15" thickTop="1" x14ac:dyDescent="0.3">
      <c r="A193" s="451"/>
      <c r="B193" s="451"/>
      <c r="C193" s="451"/>
      <c r="D193" s="451"/>
      <c r="E193" s="451"/>
      <c r="F193" s="451"/>
      <c r="G193" s="451"/>
    </row>
    <row r="194" spans="1:7" x14ac:dyDescent="0.3">
      <c r="A194" s="456" t="s">
        <v>235</v>
      </c>
      <c r="B194" s="458" t="s">
        <v>236</v>
      </c>
      <c r="C194" s="458" t="s">
        <v>237</v>
      </c>
      <c r="D194" s="457" t="s">
        <v>238</v>
      </c>
      <c r="E194" s="456" t="s">
        <v>239</v>
      </c>
      <c r="F194" s="456" t="s">
        <v>240</v>
      </c>
      <c r="G194" s="456" t="s">
        <v>148</v>
      </c>
    </row>
    <row r="195" spans="1:7" ht="52.8" x14ac:dyDescent="0.3">
      <c r="A195" s="455" t="s">
        <v>319</v>
      </c>
      <c r="B195" s="454" t="s">
        <v>242</v>
      </c>
      <c r="C195" s="454" t="s">
        <v>320</v>
      </c>
      <c r="D195" s="442" t="s">
        <v>282</v>
      </c>
      <c r="E195" s="430">
        <v>1</v>
      </c>
      <c r="F195" s="431">
        <v>266.75</v>
      </c>
      <c r="G195" s="431">
        <v>266.75</v>
      </c>
    </row>
    <row r="196" spans="1:7" ht="52.8" x14ac:dyDescent="0.3">
      <c r="A196" s="440" t="s">
        <v>505</v>
      </c>
      <c r="B196" s="441" t="s">
        <v>242</v>
      </c>
      <c r="C196" s="441" t="s">
        <v>504</v>
      </c>
      <c r="D196" s="443" t="s">
        <v>246</v>
      </c>
      <c r="E196" s="432">
        <v>1</v>
      </c>
      <c r="F196" s="433">
        <v>4.5599999999999996</v>
      </c>
      <c r="G196" s="433">
        <v>4.5599999999999996</v>
      </c>
    </row>
    <row r="197" spans="1:7" ht="52.8" x14ac:dyDescent="0.3">
      <c r="A197" s="440" t="s">
        <v>495</v>
      </c>
      <c r="B197" s="441" t="s">
        <v>242</v>
      </c>
      <c r="C197" s="441" t="s">
        <v>494</v>
      </c>
      <c r="D197" s="443" t="s">
        <v>246</v>
      </c>
      <c r="E197" s="432">
        <v>1</v>
      </c>
      <c r="F197" s="433">
        <v>141.01</v>
      </c>
      <c r="G197" s="433">
        <v>141.01</v>
      </c>
    </row>
    <row r="198" spans="1:7" ht="52.8" x14ac:dyDescent="0.3">
      <c r="A198" s="440" t="s">
        <v>507</v>
      </c>
      <c r="B198" s="441" t="s">
        <v>242</v>
      </c>
      <c r="C198" s="441" t="s">
        <v>506</v>
      </c>
      <c r="D198" s="443" t="s">
        <v>246</v>
      </c>
      <c r="E198" s="432">
        <v>1</v>
      </c>
      <c r="F198" s="433">
        <v>28.85</v>
      </c>
      <c r="G198" s="433">
        <v>28.85</v>
      </c>
    </row>
    <row r="199" spans="1:7" ht="52.8" x14ac:dyDescent="0.3">
      <c r="A199" s="440" t="s">
        <v>503</v>
      </c>
      <c r="B199" s="441" t="s">
        <v>242</v>
      </c>
      <c r="C199" s="441" t="s">
        <v>502</v>
      </c>
      <c r="D199" s="443" t="s">
        <v>246</v>
      </c>
      <c r="E199" s="432">
        <v>1</v>
      </c>
      <c r="F199" s="433">
        <v>11.32</v>
      </c>
      <c r="G199" s="433">
        <v>11.32</v>
      </c>
    </row>
    <row r="200" spans="1:7" ht="26.4" x14ac:dyDescent="0.3">
      <c r="A200" s="440" t="s">
        <v>441</v>
      </c>
      <c r="B200" s="441" t="s">
        <v>242</v>
      </c>
      <c r="C200" s="441" t="s">
        <v>440</v>
      </c>
      <c r="D200" s="443" t="s">
        <v>246</v>
      </c>
      <c r="E200" s="432">
        <v>1</v>
      </c>
      <c r="F200" s="433">
        <v>28.42</v>
      </c>
      <c r="G200" s="433">
        <v>28.42</v>
      </c>
    </row>
    <row r="201" spans="1:7" ht="52.8" x14ac:dyDescent="0.3">
      <c r="A201" s="440" t="s">
        <v>501</v>
      </c>
      <c r="B201" s="441" t="s">
        <v>242</v>
      </c>
      <c r="C201" s="441" t="s">
        <v>500</v>
      </c>
      <c r="D201" s="443" t="s">
        <v>246</v>
      </c>
      <c r="E201" s="432">
        <v>1</v>
      </c>
      <c r="F201" s="433">
        <v>52.59</v>
      </c>
      <c r="G201" s="433">
        <v>52.59</v>
      </c>
    </row>
    <row r="202" spans="1:7" x14ac:dyDescent="0.3">
      <c r="A202" s="436"/>
      <c r="B202" s="436"/>
      <c r="C202" s="436"/>
      <c r="D202" s="436" t="s">
        <v>261</v>
      </c>
      <c r="E202" s="437">
        <v>0</v>
      </c>
      <c r="F202" s="436" t="s">
        <v>262</v>
      </c>
      <c r="G202" s="437">
        <v>22.74</v>
      </c>
    </row>
    <row r="203" spans="1:7" ht="15" thickBot="1" x14ac:dyDescent="0.35">
      <c r="A203" s="436"/>
      <c r="B203" s="436"/>
      <c r="C203" s="436"/>
      <c r="D203" s="436"/>
      <c r="E203" s="438" t="s">
        <v>263</v>
      </c>
      <c r="F203" s="438"/>
      <c r="G203" s="437">
        <v>325.32</v>
      </c>
    </row>
    <row r="204" spans="1:7" ht="15" thickTop="1" x14ac:dyDescent="0.3">
      <c r="A204" s="451"/>
      <c r="B204" s="451"/>
      <c r="C204" s="451"/>
      <c r="D204" s="451"/>
      <c r="E204" s="451"/>
      <c r="F204" s="451"/>
      <c r="G204" s="451"/>
    </row>
    <row r="205" spans="1:7" x14ac:dyDescent="0.3">
      <c r="A205" s="456" t="s">
        <v>235</v>
      </c>
      <c r="B205" s="458" t="s">
        <v>236</v>
      </c>
      <c r="C205" s="458" t="s">
        <v>237</v>
      </c>
      <c r="D205" s="457" t="s">
        <v>238</v>
      </c>
      <c r="E205" s="456" t="s">
        <v>239</v>
      </c>
      <c r="F205" s="456" t="s">
        <v>240</v>
      </c>
      <c r="G205" s="456" t="s">
        <v>148</v>
      </c>
    </row>
    <row r="206" spans="1:7" ht="52.8" x14ac:dyDescent="0.3">
      <c r="A206" s="455" t="s">
        <v>507</v>
      </c>
      <c r="B206" s="454" t="s">
        <v>242</v>
      </c>
      <c r="C206" s="454" t="s">
        <v>506</v>
      </c>
      <c r="D206" s="442" t="s">
        <v>246</v>
      </c>
      <c r="E206" s="430">
        <v>1</v>
      </c>
      <c r="F206" s="431">
        <v>28.85</v>
      </c>
      <c r="G206" s="431">
        <v>28.85</v>
      </c>
    </row>
    <row r="207" spans="1:7" ht="26.4" x14ac:dyDescent="0.3">
      <c r="A207" s="453" t="s">
        <v>499</v>
      </c>
      <c r="B207" s="452" t="s">
        <v>242</v>
      </c>
      <c r="C207" s="452" t="s">
        <v>498</v>
      </c>
      <c r="D207" s="444" t="s">
        <v>333</v>
      </c>
      <c r="E207" s="434">
        <v>6.0300000000000002E-5</v>
      </c>
      <c r="F207" s="435">
        <v>55772.72</v>
      </c>
      <c r="G207" s="435">
        <v>3.3630949999999999</v>
      </c>
    </row>
    <row r="208" spans="1:7" ht="39.6" x14ac:dyDescent="0.3">
      <c r="A208" s="453" t="s">
        <v>497</v>
      </c>
      <c r="B208" s="452" t="s">
        <v>242</v>
      </c>
      <c r="C208" s="452" t="s">
        <v>496</v>
      </c>
      <c r="D208" s="444" t="s">
        <v>333</v>
      </c>
      <c r="E208" s="434">
        <v>3.4199999999999998E-5</v>
      </c>
      <c r="F208" s="435">
        <v>745573.13</v>
      </c>
      <c r="G208" s="435">
        <v>25.498601000000001</v>
      </c>
    </row>
    <row r="209" spans="1:7" x14ac:dyDescent="0.3">
      <c r="A209" s="436"/>
      <c r="B209" s="436"/>
      <c r="C209" s="436"/>
      <c r="D209" s="436" t="s">
        <v>261</v>
      </c>
      <c r="E209" s="437">
        <v>0</v>
      </c>
      <c r="F209" s="436" t="s">
        <v>262</v>
      </c>
      <c r="G209" s="437">
        <v>0</v>
      </c>
    </row>
    <row r="210" spans="1:7" ht="15" thickBot="1" x14ac:dyDescent="0.35">
      <c r="A210" s="436"/>
      <c r="B210" s="436"/>
      <c r="C210" s="436"/>
      <c r="D210" s="436"/>
      <c r="E210" s="438" t="s">
        <v>263</v>
      </c>
      <c r="F210" s="438"/>
      <c r="G210" s="437">
        <v>35.18</v>
      </c>
    </row>
    <row r="211" spans="1:7" ht="15" thickTop="1" x14ac:dyDescent="0.3">
      <c r="A211" s="451"/>
      <c r="B211" s="451"/>
      <c r="C211" s="451"/>
      <c r="D211" s="451"/>
      <c r="E211" s="451"/>
      <c r="F211" s="451"/>
      <c r="G211" s="451"/>
    </row>
    <row r="212" spans="1:7" x14ac:dyDescent="0.3">
      <c r="A212" s="456" t="s">
        <v>235</v>
      </c>
      <c r="B212" s="458" t="s">
        <v>236</v>
      </c>
      <c r="C212" s="458" t="s">
        <v>237</v>
      </c>
      <c r="D212" s="457" t="s">
        <v>238</v>
      </c>
      <c r="E212" s="456" t="s">
        <v>239</v>
      </c>
      <c r="F212" s="456" t="s">
        <v>240</v>
      </c>
      <c r="G212" s="456" t="s">
        <v>148</v>
      </c>
    </row>
    <row r="213" spans="1:7" ht="52.8" x14ac:dyDescent="0.3">
      <c r="A213" s="455" t="s">
        <v>505</v>
      </c>
      <c r="B213" s="454" t="s">
        <v>242</v>
      </c>
      <c r="C213" s="454" t="s">
        <v>504</v>
      </c>
      <c r="D213" s="442" t="s">
        <v>246</v>
      </c>
      <c r="E213" s="430">
        <v>1</v>
      </c>
      <c r="F213" s="431">
        <v>4.5599999999999996</v>
      </c>
      <c r="G213" s="431">
        <v>4.5599999999999996</v>
      </c>
    </row>
    <row r="214" spans="1:7" ht="39.6" x14ac:dyDescent="0.3">
      <c r="A214" s="453" t="s">
        <v>497</v>
      </c>
      <c r="B214" s="452" t="s">
        <v>242</v>
      </c>
      <c r="C214" s="452" t="s">
        <v>496</v>
      </c>
      <c r="D214" s="444" t="s">
        <v>333</v>
      </c>
      <c r="E214" s="434">
        <v>5.6999999999999996E-6</v>
      </c>
      <c r="F214" s="435">
        <v>745573.13</v>
      </c>
      <c r="G214" s="435">
        <v>4.2497667999999997</v>
      </c>
    </row>
    <row r="215" spans="1:7" ht="26.4" x14ac:dyDescent="0.3">
      <c r="A215" s="453" t="s">
        <v>499</v>
      </c>
      <c r="B215" s="452" t="s">
        <v>242</v>
      </c>
      <c r="C215" s="452" t="s">
        <v>498</v>
      </c>
      <c r="D215" s="444" t="s">
        <v>333</v>
      </c>
      <c r="E215" s="434">
        <v>5.9000000000000003E-6</v>
      </c>
      <c r="F215" s="435">
        <v>55772.72</v>
      </c>
      <c r="G215" s="435">
        <v>0.32905899999999999</v>
      </c>
    </row>
    <row r="216" spans="1:7" x14ac:dyDescent="0.3">
      <c r="A216" s="436"/>
      <c r="B216" s="436"/>
      <c r="C216" s="436"/>
      <c r="D216" s="436" t="s">
        <v>261</v>
      </c>
      <c r="E216" s="437">
        <v>0</v>
      </c>
      <c r="F216" s="436" t="s">
        <v>262</v>
      </c>
      <c r="G216" s="437">
        <v>0</v>
      </c>
    </row>
    <row r="217" spans="1:7" ht="15" thickBot="1" x14ac:dyDescent="0.35">
      <c r="A217" s="436"/>
      <c r="B217" s="436"/>
      <c r="C217" s="436"/>
      <c r="D217" s="436"/>
      <c r="E217" s="438" t="s">
        <v>263</v>
      </c>
      <c r="F217" s="438"/>
      <c r="G217" s="437">
        <v>5.56</v>
      </c>
    </row>
    <row r="218" spans="1:7" ht="15" thickTop="1" x14ac:dyDescent="0.3">
      <c r="A218" s="451"/>
      <c r="B218" s="451"/>
      <c r="C218" s="451"/>
      <c r="D218" s="451"/>
      <c r="E218" s="451"/>
      <c r="F218" s="451"/>
      <c r="G218" s="451"/>
    </row>
    <row r="219" spans="1:7" x14ac:dyDescent="0.3">
      <c r="A219" s="456" t="s">
        <v>235</v>
      </c>
      <c r="B219" s="458" t="s">
        <v>236</v>
      </c>
      <c r="C219" s="458" t="s">
        <v>237</v>
      </c>
      <c r="D219" s="457" t="s">
        <v>238</v>
      </c>
      <c r="E219" s="456" t="s">
        <v>239</v>
      </c>
      <c r="F219" s="456" t="s">
        <v>240</v>
      </c>
      <c r="G219" s="456" t="s">
        <v>148</v>
      </c>
    </row>
    <row r="220" spans="1:7" ht="52.8" x14ac:dyDescent="0.3">
      <c r="A220" s="455" t="s">
        <v>503</v>
      </c>
      <c r="B220" s="454" t="s">
        <v>242</v>
      </c>
      <c r="C220" s="454" t="s">
        <v>502</v>
      </c>
      <c r="D220" s="442" t="s">
        <v>246</v>
      </c>
      <c r="E220" s="430">
        <v>1</v>
      </c>
      <c r="F220" s="431">
        <v>11.32</v>
      </c>
      <c r="G220" s="431">
        <v>11.32</v>
      </c>
    </row>
    <row r="221" spans="1:7" ht="26.4" x14ac:dyDescent="0.3">
      <c r="A221" s="453" t="s">
        <v>499</v>
      </c>
      <c r="B221" s="452" t="s">
        <v>242</v>
      </c>
      <c r="C221" s="452" t="s">
        <v>498</v>
      </c>
      <c r="D221" s="444" t="s">
        <v>333</v>
      </c>
      <c r="E221" s="434">
        <v>1.4600000000000001E-5</v>
      </c>
      <c r="F221" s="435">
        <v>55772.72</v>
      </c>
      <c r="G221" s="435">
        <v>0.8142817</v>
      </c>
    </row>
    <row r="222" spans="1:7" ht="39.6" x14ac:dyDescent="0.3">
      <c r="A222" s="453" t="s">
        <v>497</v>
      </c>
      <c r="B222" s="452" t="s">
        <v>242</v>
      </c>
      <c r="C222" s="452" t="s">
        <v>496</v>
      </c>
      <c r="D222" s="444" t="s">
        <v>333</v>
      </c>
      <c r="E222" s="434">
        <v>1.4100000000000001E-5</v>
      </c>
      <c r="F222" s="435">
        <v>745573.13</v>
      </c>
      <c r="G222" s="435">
        <v>10.5125811</v>
      </c>
    </row>
    <row r="223" spans="1:7" x14ac:dyDescent="0.3">
      <c r="A223" s="436"/>
      <c r="B223" s="436"/>
      <c r="C223" s="436"/>
      <c r="D223" s="436" t="s">
        <v>261</v>
      </c>
      <c r="E223" s="437">
        <v>0</v>
      </c>
      <c r="F223" s="436" t="s">
        <v>262</v>
      </c>
      <c r="G223" s="437">
        <v>0</v>
      </c>
    </row>
    <row r="224" spans="1:7" ht="15" thickBot="1" x14ac:dyDescent="0.35">
      <c r="A224" s="436"/>
      <c r="B224" s="436"/>
      <c r="C224" s="436"/>
      <c r="D224" s="436"/>
      <c r="E224" s="438" t="s">
        <v>263</v>
      </c>
      <c r="F224" s="438"/>
      <c r="G224" s="437">
        <v>13.8</v>
      </c>
    </row>
    <row r="225" spans="1:7" ht="15" thickTop="1" x14ac:dyDescent="0.3">
      <c r="A225" s="451"/>
      <c r="B225" s="451"/>
      <c r="C225" s="451"/>
      <c r="D225" s="451"/>
      <c r="E225" s="451"/>
      <c r="F225" s="451"/>
      <c r="G225" s="451"/>
    </row>
    <row r="226" spans="1:7" x14ac:dyDescent="0.3">
      <c r="A226" s="456" t="s">
        <v>235</v>
      </c>
      <c r="B226" s="458" t="s">
        <v>236</v>
      </c>
      <c r="C226" s="458" t="s">
        <v>237</v>
      </c>
      <c r="D226" s="457" t="s">
        <v>238</v>
      </c>
      <c r="E226" s="456" t="s">
        <v>239</v>
      </c>
      <c r="F226" s="456" t="s">
        <v>240</v>
      </c>
      <c r="G226" s="456" t="s">
        <v>148</v>
      </c>
    </row>
    <row r="227" spans="1:7" ht="52.8" x14ac:dyDescent="0.3">
      <c r="A227" s="455" t="s">
        <v>501</v>
      </c>
      <c r="B227" s="454" t="s">
        <v>242</v>
      </c>
      <c r="C227" s="454" t="s">
        <v>500</v>
      </c>
      <c r="D227" s="442" t="s">
        <v>246</v>
      </c>
      <c r="E227" s="430">
        <v>1</v>
      </c>
      <c r="F227" s="431">
        <v>52.59</v>
      </c>
      <c r="G227" s="431">
        <v>52.59</v>
      </c>
    </row>
    <row r="228" spans="1:7" ht="26.4" x14ac:dyDescent="0.3">
      <c r="A228" s="453" t="s">
        <v>499</v>
      </c>
      <c r="B228" s="452" t="s">
        <v>242</v>
      </c>
      <c r="C228" s="452" t="s">
        <v>498</v>
      </c>
      <c r="D228" s="444" t="s">
        <v>333</v>
      </c>
      <c r="E228" s="434">
        <v>8.4900000000000004E-5</v>
      </c>
      <c r="F228" s="435">
        <v>55772.72</v>
      </c>
      <c r="G228" s="435">
        <v>4.7351039000000004</v>
      </c>
    </row>
    <row r="229" spans="1:7" ht="39.6" x14ac:dyDescent="0.3">
      <c r="A229" s="453" t="s">
        <v>497</v>
      </c>
      <c r="B229" s="452" t="s">
        <v>242</v>
      </c>
      <c r="C229" s="452" t="s">
        <v>496</v>
      </c>
      <c r="D229" s="444" t="s">
        <v>333</v>
      </c>
      <c r="E229" s="434">
        <v>6.4200000000000002E-5</v>
      </c>
      <c r="F229" s="435">
        <v>745573.13</v>
      </c>
      <c r="G229" s="435">
        <v>47.865794899999997</v>
      </c>
    </row>
    <row r="230" spans="1:7" x14ac:dyDescent="0.3">
      <c r="A230" s="436"/>
      <c r="B230" s="436"/>
      <c r="C230" s="436"/>
      <c r="D230" s="436" t="s">
        <v>261</v>
      </c>
      <c r="E230" s="437">
        <v>0</v>
      </c>
      <c r="F230" s="436" t="s">
        <v>262</v>
      </c>
      <c r="G230" s="437">
        <v>0</v>
      </c>
    </row>
    <row r="231" spans="1:7" ht="15" thickBot="1" x14ac:dyDescent="0.35">
      <c r="A231" s="436"/>
      <c r="B231" s="436"/>
      <c r="C231" s="436"/>
      <c r="D231" s="436"/>
      <c r="E231" s="438" t="s">
        <v>263</v>
      </c>
      <c r="F231" s="438"/>
      <c r="G231" s="437">
        <v>64.13</v>
      </c>
    </row>
    <row r="232" spans="1:7" ht="15" thickTop="1" x14ac:dyDescent="0.3">
      <c r="A232" s="451"/>
      <c r="B232" s="451"/>
      <c r="C232" s="451"/>
      <c r="D232" s="451"/>
      <c r="E232" s="451"/>
      <c r="F232" s="451"/>
      <c r="G232" s="451"/>
    </row>
    <row r="233" spans="1:7" x14ac:dyDescent="0.3">
      <c r="A233" s="456" t="s">
        <v>235</v>
      </c>
      <c r="B233" s="458" t="s">
        <v>236</v>
      </c>
      <c r="C233" s="458" t="s">
        <v>237</v>
      </c>
      <c r="D233" s="457" t="s">
        <v>238</v>
      </c>
      <c r="E233" s="456" t="s">
        <v>239</v>
      </c>
      <c r="F233" s="456" t="s">
        <v>240</v>
      </c>
      <c r="G233" s="456" t="s">
        <v>148</v>
      </c>
    </row>
    <row r="234" spans="1:7" ht="52.8" x14ac:dyDescent="0.3">
      <c r="A234" s="455" t="s">
        <v>495</v>
      </c>
      <c r="B234" s="454" t="s">
        <v>242</v>
      </c>
      <c r="C234" s="454" t="s">
        <v>494</v>
      </c>
      <c r="D234" s="442" t="s">
        <v>246</v>
      </c>
      <c r="E234" s="430">
        <v>1</v>
      </c>
      <c r="F234" s="431">
        <v>141.01</v>
      </c>
      <c r="G234" s="431">
        <v>141.01</v>
      </c>
    </row>
    <row r="235" spans="1:7" ht="26.4" x14ac:dyDescent="0.3">
      <c r="A235" s="453" t="s">
        <v>385</v>
      </c>
      <c r="B235" s="452" t="s">
        <v>242</v>
      </c>
      <c r="C235" s="452" t="s">
        <v>384</v>
      </c>
      <c r="D235" s="444" t="s">
        <v>383</v>
      </c>
      <c r="E235" s="434">
        <v>23.7</v>
      </c>
      <c r="F235" s="435">
        <v>5.95</v>
      </c>
      <c r="G235" s="435">
        <v>141.01499999999999</v>
      </c>
    </row>
    <row r="236" spans="1:7" x14ac:dyDescent="0.3">
      <c r="A236" s="436"/>
      <c r="B236" s="436"/>
      <c r="C236" s="436"/>
      <c r="D236" s="436" t="s">
        <v>261</v>
      </c>
      <c r="E236" s="437">
        <v>0</v>
      </c>
      <c r="F236" s="436" t="s">
        <v>262</v>
      </c>
      <c r="G236" s="437">
        <v>0</v>
      </c>
    </row>
    <row r="237" spans="1:7" ht="15" thickBot="1" x14ac:dyDescent="0.35">
      <c r="A237" s="436"/>
      <c r="B237" s="436"/>
      <c r="C237" s="436"/>
      <c r="D237" s="436"/>
      <c r="E237" s="438" t="s">
        <v>263</v>
      </c>
      <c r="F237" s="438"/>
      <c r="G237" s="437">
        <v>171.97</v>
      </c>
    </row>
    <row r="238" spans="1:7" ht="15" thickTop="1" x14ac:dyDescent="0.3">
      <c r="A238" s="451"/>
      <c r="B238" s="451"/>
      <c r="C238" s="451"/>
      <c r="D238" s="451"/>
      <c r="E238" s="451"/>
      <c r="F238" s="451"/>
      <c r="G238" s="451"/>
    </row>
    <row r="239" spans="1:7" x14ac:dyDescent="0.3">
      <c r="A239" s="456" t="s">
        <v>235</v>
      </c>
      <c r="B239" s="458" t="s">
        <v>236</v>
      </c>
      <c r="C239" s="458" t="s">
        <v>237</v>
      </c>
      <c r="D239" s="457" t="s">
        <v>238</v>
      </c>
      <c r="E239" s="456" t="s">
        <v>239</v>
      </c>
      <c r="F239" s="456" t="s">
        <v>240</v>
      </c>
      <c r="G239" s="456" t="s">
        <v>148</v>
      </c>
    </row>
    <row r="240" spans="1:7" x14ac:dyDescent="0.3">
      <c r="A240" s="455" t="s">
        <v>244</v>
      </c>
      <c r="B240" s="454" t="s">
        <v>242</v>
      </c>
      <c r="C240" s="454" t="s">
        <v>245</v>
      </c>
      <c r="D240" s="442" t="s">
        <v>246</v>
      </c>
      <c r="E240" s="430">
        <v>1</v>
      </c>
      <c r="F240" s="431">
        <v>28.78</v>
      </c>
      <c r="G240" s="431">
        <v>28.78</v>
      </c>
    </row>
    <row r="241" spans="1:7" ht="26.4" x14ac:dyDescent="0.3">
      <c r="A241" s="440" t="s">
        <v>477</v>
      </c>
      <c r="B241" s="441" t="s">
        <v>242</v>
      </c>
      <c r="C241" s="441" t="s">
        <v>476</v>
      </c>
      <c r="D241" s="443" t="s">
        <v>246</v>
      </c>
      <c r="E241" s="432">
        <v>1</v>
      </c>
      <c r="F241" s="433">
        <v>0.25</v>
      </c>
      <c r="G241" s="433">
        <v>0.25</v>
      </c>
    </row>
    <row r="242" spans="1:7" ht="26.4" x14ac:dyDescent="0.3">
      <c r="A242" s="453" t="s">
        <v>493</v>
      </c>
      <c r="B242" s="452" t="s">
        <v>242</v>
      </c>
      <c r="C242" s="452" t="s">
        <v>492</v>
      </c>
      <c r="D242" s="444" t="s">
        <v>246</v>
      </c>
      <c r="E242" s="434">
        <v>1</v>
      </c>
      <c r="F242" s="435">
        <v>0.45</v>
      </c>
      <c r="G242" s="435">
        <v>0.45</v>
      </c>
    </row>
    <row r="243" spans="1:7" ht="26.4" x14ac:dyDescent="0.3">
      <c r="A243" s="453" t="s">
        <v>370</v>
      </c>
      <c r="B243" s="452" t="s">
        <v>242</v>
      </c>
      <c r="C243" s="452" t="s">
        <v>369</v>
      </c>
      <c r="D243" s="444" t="s">
        <v>246</v>
      </c>
      <c r="E243" s="434">
        <v>1</v>
      </c>
      <c r="F243" s="435">
        <v>0.11</v>
      </c>
      <c r="G243" s="435">
        <v>0.11</v>
      </c>
    </row>
    <row r="244" spans="1:7" ht="26.4" x14ac:dyDescent="0.3">
      <c r="A244" s="453" t="s">
        <v>491</v>
      </c>
      <c r="B244" s="452" t="s">
        <v>242</v>
      </c>
      <c r="C244" s="452" t="s">
        <v>490</v>
      </c>
      <c r="D244" s="444" t="s">
        <v>246</v>
      </c>
      <c r="E244" s="434">
        <v>1</v>
      </c>
      <c r="F244" s="435">
        <v>1.78</v>
      </c>
      <c r="G244" s="435">
        <v>1.78</v>
      </c>
    </row>
    <row r="245" spans="1:7" ht="26.4" x14ac:dyDescent="0.3">
      <c r="A245" s="453" t="s">
        <v>366</v>
      </c>
      <c r="B245" s="452" t="s">
        <v>242</v>
      </c>
      <c r="C245" s="452" t="s">
        <v>365</v>
      </c>
      <c r="D245" s="444" t="s">
        <v>246</v>
      </c>
      <c r="E245" s="434">
        <v>1</v>
      </c>
      <c r="F245" s="435">
        <v>0.48</v>
      </c>
      <c r="G245" s="435">
        <v>0.48</v>
      </c>
    </row>
    <row r="246" spans="1:7" ht="26.4" x14ac:dyDescent="0.3">
      <c r="A246" s="453" t="s">
        <v>362</v>
      </c>
      <c r="B246" s="452" t="s">
        <v>242</v>
      </c>
      <c r="C246" s="452" t="s">
        <v>361</v>
      </c>
      <c r="D246" s="444" t="s">
        <v>246</v>
      </c>
      <c r="E246" s="434">
        <v>1</v>
      </c>
      <c r="F246" s="435">
        <v>1.42</v>
      </c>
      <c r="G246" s="435">
        <v>1.42</v>
      </c>
    </row>
    <row r="247" spans="1:7" ht="26.4" x14ac:dyDescent="0.3">
      <c r="A247" s="453" t="s">
        <v>372</v>
      </c>
      <c r="B247" s="452" t="s">
        <v>242</v>
      </c>
      <c r="C247" s="452" t="s">
        <v>371</v>
      </c>
      <c r="D247" s="444" t="s">
        <v>246</v>
      </c>
      <c r="E247" s="434">
        <v>1</v>
      </c>
      <c r="F247" s="435">
        <v>2.4900000000000002</v>
      </c>
      <c r="G247" s="435">
        <v>2.4900000000000002</v>
      </c>
    </row>
    <row r="248" spans="1:7" x14ac:dyDescent="0.3">
      <c r="A248" s="453" t="s">
        <v>475</v>
      </c>
      <c r="B248" s="452" t="s">
        <v>242</v>
      </c>
      <c r="C248" s="452" t="s">
        <v>474</v>
      </c>
      <c r="D248" s="444" t="s">
        <v>246</v>
      </c>
      <c r="E248" s="434">
        <v>1</v>
      </c>
      <c r="F248" s="435">
        <v>21.8</v>
      </c>
      <c r="G248" s="435">
        <v>21.8</v>
      </c>
    </row>
    <row r="249" spans="1:7" x14ac:dyDescent="0.3">
      <c r="A249" s="436"/>
      <c r="B249" s="436"/>
      <c r="C249" s="436"/>
      <c r="D249" s="436" t="s">
        <v>261</v>
      </c>
      <c r="E249" s="437">
        <v>0</v>
      </c>
      <c r="F249" s="436" t="s">
        <v>262</v>
      </c>
      <c r="G249" s="437">
        <v>22.05</v>
      </c>
    </row>
    <row r="250" spans="1:7" ht="15" thickBot="1" x14ac:dyDescent="0.35">
      <c r="A250" s="436"/>
      <c r="B250" s="436"/>
      <c r="C250" s="436"/>
      <c r="D250" s="436"/>
      <c r="E250" s="438" t="s">
        <v>263</v>
      </c>
      <c r="F250" s="438"/>
      <c r="G250" s="437">
        <v>35.1</v>
      </c>
    </row>
    <row r="251" spans="1:7" ht="15" thickTop="1" x14ac:dyDescent="0.3">
      <c r="A251" s="451"/>
      <c r="B251" s="451"/>
      <c r="C251" s="451"/>
      <c r="D251" s="451"/>
      <c r="E251" s="451"/>
      <c r="F251" s="451"/>
      <c r="G251" s="451"/>
    </row>
    <row r="252" spans="1:7" x14ac:dyDescent="0.3">
      <c r="A252" s="456" t="s">
        <v>235</v>
      </c>
      <c r="B252" s="458" t="s">
        <v>236</v>
      </c>
      <c r="C252" s="458" t="s">
        <v>237</v>
      </c>
      <c r="D252" s="457" t="s">
        <v>238</v>
      </c>
      <c r="E252" s="456" t="s">
        <v>239</v>
      </c>
      <c r="F252" s="456" t="s">
        <v>240</v>
      </c>
      <c r="G252" s="456" t="s">
        <v>148</v>
      </c>
    </row>
    <row r="253" spans="1:7" ht="39.6" x14ac:dyDescent="0.3">
      <c r="A253" s="455" t="s">
        <v>335</v>
      </c>
      <c r="B253" s="454" t="s">
        <v>242</v>
      </c>
      <c r="C253" s="454" t="s">
        <v>336</v>
      </c>
      <c r="D253" s="442" t="s">
        <v>291</v>
      </c>
      <c r="E253" s="430">
        <v>1</v>
      </c>
      <c r="F253" s="431">
        <v>1040.33</v>
      </c>
      <c r="G253" s="431">
        <v>1040.33</v>
      </c>
    </row>
    <row r="254" spans="1:7" x14ac:dyDescent="0.3">
      <c r="A254" s="440" t="s">
        <v>249</v>
      </c>
      <c r="B254" s="441" t="s">
        <v>242</v>
      </c>
      <c r="C254" s="441" t="s">
        <v>250</v>
      </c>
      <c r="D254" s="443" t="s">
        <v>246</v>
      </c>
      <c r="E254" s="432">
        <v>6.2382999999999997</v>
      </c>
      <c r="F254" s="433">
        <v>23.66</v>
      </c>
      <c r="G254" s="433">
        <v>147.59</v>
      </c>
    </row>
    <row r="255" spans="1:7" x14ac:dyDescent="0.3">
      <c r="A255" s="453" t="s">
        <v>489</v>
      </c>
      <c r="B255" s="452" t="s">
        <v>242</v>
      </c>
      <c r="C255" s="452" t="s">
        <v>488</v>
      </c>
      <c r="D255" s="444" t="s">
        <v>253</v>
      </c>
      <c r="E255" s="434">
        <v>283.30919999999998</v>
      </c>
      <c r="F255" s="435">
        <v>1.08</v>
      </c>
      <c r="G255" s="435">
        <v>305.97393599999998</v>
      </c>
    </row>
    <row r="256" spans="1:7" ht="26.4" x14ac:dyDescent="0.3">
      <c r="A256" s="453" t="s">
        <v>487</v>
      </c>
      <c r="B256" s="452" t="s">
        <v>242</v>
      </c>
      <c r="C256" s="452" t="s">
        <v>486</v>
      </c>
      <c r="D256" s="444" t="s">
        <v>291</v>
      </c>
      <c r="E256" s="434">
        <v>0.59460000000000002</v>
      </c>
      <c r="F256" s="435">
        <v>853.48</v>
      </c>
      <c r="G256" s="435">
        <v>507.47920800000003</v>
      </c>
    </row>
    <row r="257" spans="1:7" ht="26.4" x14ac:dyDescent="0.3">
      <c r="A257" s="453" t="s">
        <v>307</v>
      </c>
      <c r="B257" s="452" t="s">
        <v>242</v>
      </c>
      <c r="C257" s="452" t="s">
        <v>308</v>
      </c>
      <c r="D257" s="444" t="s">
        <v>291</v>
      </c>
      <c r="E257" s="434">
        <v>0.83479999999999999</v>
      </c>
      <c r="F257" s="435">
        <v>95</v>
      </c>
      <c r="G257" s="435">
        <v>79.305999999999997</v>
      </c>
    </row>
    <row r="258" spans="1:7" x14ac:dyDescent="0.3">
      <c r="A258" s="436"/>
      <c r="B258" s="436"/>
      <c r="C258" s="436"/>
      <c r="D258" s="436" t="s">
        <v>261</v>
      </c>
      <c r="E258" s="437">
        <v>0</v>
      </c>
      <c r="F258" s="436" t="s">
        <v>262</v>
      </c>
      <c r="G258" s="437">
        <v>101.49</v>
      </c>
    </row>
    <row r="259" spans="1:7" ht="15" thickBot="1" x14ac:dyDescent="0.35">
      <c r="A259" s="436"/>
      <c r="B259" s="436"/>
      <c r="C259" s="436"/>
      <c r="D259" s="436"/>
      <c r="E259" s="438" t="s">
        <v>263</v>
      </c>
      <c r="F259" s="438"/>
      <c r="G259" s="437">
        <v>1268.78</v>
      </c>
    </row>
    <row r="260" spans="1:7" ht="15" thickTop="1" x14ac:dyDescent="0.3">
      <c r="A260" s="451"/>
      <c r="B260" s="451"/>
      <c r="C260" s="451"/>
      <c r="D260" s="451"/>
      <c r="E260" s="451"/>
      <c r="F260" s="451"/>
      <c r="G260" s="451"/>
    </row>
    <row r="261" spans="1:7" x14ac:dyDescent="0.3">
      <c r="A261" s="456" t="s">
        <v>235</v>
      </c>
      <c r="B261" s="458" t="s">
        <v>236</v>
      </c>
      <c r="C261" s="458" t="s">
        <v>237</v>
      </c>
      <c r="D261" s="457" t="s">
        <v>238</v>
      </c>
      <c r="E261" s="456" t="s">
        <v>239</v>
      </c>
      <c r="F261" s="456" t="s">
        <v>240</v>
      </c>
      <c r="G261" s="456" t="s">
        <v>148</v>
      </c>
    </row>
    <row r="262" spans="1:7" ht="26.4" x14ac:dyDescent="0.3">
      <c r="A262" s="455" t="s">
        <v>485</v>
      </c>
      <c r="B262" s="454" t="s">
        <v>242</v>
      </c>
      <c r="C262" s="454" t="s">
        <v>484</v>
      </c>
      <c r="D262" s="442" t="s">
        <v>246</v>
      </c>
      <c r="E262" s="430">
        <v>1</v>
      </c>
      <c r="F262" s="431">
        <v>0.11</v>
      </c>
      <c r="G262" s="431">
        <v>0.11</v>
      </c>
    </row>
    <row r="263" spans="1:7" x14ac:dyDescent="0.3">
      <c r="A263" s="453" t="s">
        <v>483</v>
      </c>
      <c r="B263" s="452" t="s">
        <v>242</v>
      </c>
      <c r="C263" s="452" t="s">
        <v>482</v>
      </c>
      <c r="D263" s="444" t="s">
        <v>246</v>
      </c>
      <c r="E263" s="434">
        <v>5.0899999999999999E-3</v>
      </c>
      <c r="F263" s="435">
        <v>21.8</v>
      </c>
      <c r="G263" s="435">
        <v>0.11096200000000001</v>
      </c>
    </row>
    <row r="264" spans="1:7" x14ac:dyDescent="0.3">
      <c r="A264" s="436"/>
      <c r="B264" s="436"/>
      <c r="C264" s="436"/>
      <c r="D264" s="436" t="s">
        <v>261</v>
      </c>
      <c r="E264" s="437">
        <v>0</v>
      </c>
      <c r="F264" s="436" t="s">
        <v>262</v>
      </c>
      <c r="G264" s="437">
        <v>0.11</v>
      </c>
    </row>
    <row r="265" spans="1:7" ht="15" thickBot="1" x14ac:dyDescent="0.35">
      <c r="A265" s="436"/>
      <c r="B265" s="436"/>
      <c r="C265" s="436"/>
      <c r="D265" s="436"/>
      <c r="E265" s="438" t="s">
        <v>263</v>
      </c>
      <c r="F265" s="438"/>
      <c r="G265" s="437">
        <v>0.13</v>
      </c>
    </row>
    <row r="266" spans="1:7" ht="15" thickTop="1" x14ac:dyDescent="0.3">
      <c r="A266" s="451"/>
      <c r="B266" s="451"/>
      <c r="C266" s="451"/>
      <c r="D266" s="451"/>
      <c r="E266" s="451"/>
      <c r="F266" s="451"/>
      <c r="G266" s="451"/>
    </row>
    <row r="267" spans="1:7" x14ac:dyDescent="0.3">
      <c r="A267" s="456" t="s">
        <v>235</v>
      </c>
      <c r="B267" s="458" t="s">
        <v>236</v>
      </c>
      <c r="C267" s="458" t="s">
        <v>237</v>
      </c>
      <c r="D267" s="457" t="s">
        <v>238</v>
      </c>
      <c r="E267" s="456" t="s">
        <v>239</v>
      </c>
      <c r="F267" s="456" t="s">
        <v>240</v>
      </c>
      <c r="G267" s="456" t="s">
        <v>148</v>
      </c>
    </row>
    <row r="268" spans="1:7" ht="26.4" x14ac:dyDescent="0.3">
      <c r="A268" s="455" t="s">
        <v>481</v>
      </c>
      <c r="B268" s="454" t="s">
        <v>242</v>
      </c>
      <c r="C268" s="454" t="s">
        <v>480</v>
      </c>
      <c r="D268" s="442" t="s">
        <v>246</v>
      </c>
      <c r="E268" s="430">
        <v>1</v>
      </c>
      <c r="F268" s="431">
        <v>0.25</v>
      </c>
      <c r="G268" s="431">
        <v>0.25</v>
      </c>
    </row>
    <row r="269" spans="1:7" x14ac:dyDescent="0.3">
      <c r="A269" s="453" t="s">
        <v>479</v>
      </c>
      <c r="B269" s="452" t="s">
        <v>242</v>
      </c>
      <c r="C269" s="452" t="s">
        <v>478</v>
      </c>
      <c r="D269" s="444" t="s">
        <v>246</v>
      </c>
      <c r="E269" s="434">
        <v>1.154E-2</v>
      </c>
      <c r="F269" s="435">
        <v>21.8</v>
      </c>
      <c r="G269" s="435">
        <v>0.25157200000000002</v>
      </c>
    </row>
    <row r="270" spans="1:7" x14ac:dyDescent="0.3">
      <c r="A270" s="436"/>
      <c r="B270" s="436"/>
      <c r="C270" s="436"/>
      <c r="D270" s="436" t="s">
        <v>261</v>
      </c>
      <c r="E270" s="437">
        <v>0</v>
      </c>
      <c r="F270" s="436" t="s">
        <v>262</v>
      </c>
      <c r="G270" s="437">
        <v>0.25</v>
      </c>
    </row>
    <row r="271" spans="1:7" ht="15" thickBot="1" x14ac:dyDescent="0.35">
      <c r="A271" s="436"/>
      <c r="B271" s="436"/>
      <c r="C271" s="436"/>
      <c r="D271" s="436"/>
      <c r="E271" s="438" t="s">
        <v>263</v>
      </c>
      <c r="F271" s="438"/>
      <c r="G271" s="437">
        <v>0.3</v>
      </c>
    </row>
    <row r="272" spans="1:7" ht="15" thickTop="1" x14ac:dyDescent="0.3">
      <c r="A272" s="451"/>
      <c r="B272" s="451"/>
      <c r="C272" s="451"/>
      <c r="D272" s="451"/>
      <c r="E272" s="451"/>
      <c r="F272" s="451"/>
      <c r="G272" s="451"/>
    </row>
    <row r="273" spans="1:7" x14ac:dyDescent="0.3">
      <c r="A273" s="456" t="s">
        <v>235</v>
      </c>
      <c r="B273" s="458" t="s">
        <v>236</v>
      </c>
      <c r="C273" s="458" t="s">
        <v>237</v>
      </c>
      <c r="D273" s="457" t="s">
        <v>238</v>
      </c>
      <c r="E273" s="456" t="s">
        <v>239</v>
      </c>
      <c r="F273" s="456" t="s">
        <v>240</v>
      </c>
      <c r="G273" s="456" t="s">
        <v>148</v>
      </c>
    </row>
    <row r="274" spans="1:7" ht="26.4" x14ac:dyDescent="0.3">
      <c r="A274" s="455" t="s">
        <v>477</v>
      </c>
      <c r="B274" s="454" t="s">
        <v>242</v>
      </c>
      <c r="C274" s="454" t="s">
        <v>476</v>
      </c>
      <c r="D274" s="442" t="s">
        <v>246</v>
      </c>
      <c r="E274" s="430">
        <v>1</v>
      </c>
      <c r="F274" s="431">
        <v>0.25</v>
      </c>
      <c r="G274" s="431">
        <v>0.25</v>
      </c>
    </row>
    <row r="275" spans="1:7" x14ac:dyDescent="0.3">
      <c r="A275" s="453" t="s">
        <v>475</v>
      </c>
      <c r="B275" s="452" t="s">
        <v>242</v>
      </c>
      <c r="C275" s="452" t="s">
        <v>474</v>
      </c>
      <c r="D275" s="444" t="s">
        <v>246</v>
      </c>
      <c r="E275" s="434">
        <v>1.154E-2</v>
      </c>
      <c r="F275" s="435">
        <v>21.8</v>
      </c>
      <c r="G275" s="435">
        <v>0.25157200000000002</v>
      </c>
    </row>
    <row r="276" spans="1:7" x14ac:dyDescent="0.3">
      <c r="A276" s="436"/>
      <c r="B276" s="436"/>
      <c r="C276" s="436"/>
      <c r="D276" s="436" t="s">
        <v>261</v>
      </c>
      <c r="E276" s="437">
        <v>0</v>
      </c>
      <c r="F276" s="436" t="s">
        <v>262</v>
      </c>
      <c r="G276" s="437">
        <v>0.25</v>
      </c>
    </row>
    <row r="277" spans="1:7" ht="15" thickBot="1" x14ac:dyDescent="0.35">
      <c r="A277" s="436"/>
      <c r="B277" s="436"/>
      <c r="C277" s="436"/>
      <c r="D277" s="436"/>
      <c r="E277" s="438" t="s">
        <v>263</v>
      </c>
      <c r="F277" s="438"/>
      <c r="G277" s="437">
        <v>0.3</v>
      </c>
    </row>
    <row r="278" spans="1:7" ht="15" thickTop="1" x14ac:dyDescent="0.3">
      <c r="A278" s="451"/>
      <c r="B278" s="451"/>
      <c r="C278" s="451"/>
      <c r="D278" s="451"/>
      <c r="E278" s="451"/>
      <c r="F278" s="451"/>
      <c r="G278" s="451"/>
    </row>
    <row r="279" spans="1:7" x14ac:dyDescent="0.3">
      <c r="A279" s="456" t="s">
        <v>235</v>
      </c>
      <c r="B279" s="458" t="s">
        <v>236</v>
      </c>
      <c r="C279" s="458" t="s">
        <v>237</v>
      </c>
      <c r="D279" s="457" t="s">
        <v>238</v>
      </c>
      <c r="E279" s="456" t="s">
        <v>239</v>
      </c>
      <c r="F279" s="456" t="s">
        <v>240</v>
      </c>
      <c r="G279" s="456" t="s">
        <v>148</v>
      </c>
    </row>
    <row r="280" spans="1:7" ht="26.4" x14ac:dyDescent="0.3">
      <c r="A280" s="455" t="s">
        <v>471</v>
      </c>
      <c r="B280" s="454" t="s">
        <v>242</v>
      </c>
      <c r="C280" s="454" t="s">
        <v>470</v>
      </c>
      <c r="D280" s="442" t="s">
        <v>246</v>
      </c>
      <c r="E280" s="430">
        <v>1</v>
      </c>
      <c r="F280" s="431">
        <v>0.72</v>
      </c>
      <c r="G280" s="431">
        <v>0.72</v>
      </c>
    </row>
    <row r="281" spans="1:7" x14ac:dyDescent="0.3">
      <c r="A281" s="453" t="s">
        <v>467</v>
      </c>
      <c r="B281" s="452" t="s">
        <v>242</v>
      </c>
      <c r="C281" s="452" t="s">
        <v>466</v>
      </c>
      <c r="D281" s="444" t="s">
        <v>246</v>
      </c>
      <c r="E281" s="434">
        <v>2.12E-2</v>
      </c>
      <c r="F281" s="435">
        <v>34.159999999999997</v>
      </c>
      <c r="G281" s="435">
        <v>0.72419199999999995</v>
      </c>
    </row>
    <row r="282" spans="1:7" x14ac:dyDescent="0.3">
      <c r="A282" s="436"/>
      <c r="B282" s="436"/>
      <c r="C282" s="436"/>
      <c r="D282" s="436" t="s">
        <v>261</v>
      </c>
      <c r="E282" s="437">
        <v>0</v>
      </c>
      <c r="F282" s="436" t="s">
        <v>262</v>
      </c>
      <c r="G282" s="437">
        <v>0.72</v>
      </c>
    </row>
    <row r="283" spans="1:7" ht="15" thickBot="1" x14ac:dyDescent="0.35">
      <c r="A283" s="436"/>
      <c r="B283" s="436"/>
      <c r="C283" s="436"/>
      <c r="D283" s="436"/>
      <c r="E283" s="438" t="s">
        <v>263</v>
      </c>
      <c r="F283" s="438"/>
      <c r="G283" s="437">
        <v>0.87</v>
      </c>
    </row>
    <row r="284" spans="1:7" ht="15" thickTop="1" x14ac:dyDescent="0.3">
      <c r="A284" s="451"/>
      <c r="B284" s="451"/>
      <c r="C284" s="451"/>
      <c r="D284" s="451"/>
      <c r="E284" s="451"/>
      <c r="F284" s="451"/>
      <c r="G284" s="451"/>
    </row>
    <row r="285" spans="1:7" x14ac:dyDescent="0.3">
      <c r="A285" s="456" t="s">
        <v>235</v>
      </c>
      <c r="B285" s="458" t="s">
        <v>236</v>
      </c>
      <c r="C285" s="458" t="s">
        <v>237</v>
      </c>
      <c r="D285" s="457" t="s">
        <v>238</v>
      </c>
      <c r="E285" s="456" t="s">
        <v>239</v>
      </c>
      <c r="F285" s="456" t="s">
        <v>240</v>
      </c>
      <c r="G285" s="456" t="s">
        <v>148</v>
      </c>
    </row>
    <row r="286" spans="1:7" ht="26.4" x14ac:dyDescent="0.3">
      <c r="A286" s="455" t="s">
        <v>463</v>
      </c>
      <c r="B286" s="454" t="s">
        <v>242</v>
      </c>
      <c r="C286" s="454" t="s">
        <v>462</v>
      </c>
      <c r="D286" s="442" t="s">
        <v>246</v>
      </c>
      <c r="E286" s="430">
        <v>1</v>
      </c>
      <c r="F286" s="431">
        <v>1.97</v>
      </c>
      <c r="G286" s="431">
        <v>1.97</v>
      </c>
    </row>
    <row r="287" spans="1:7" x14ac:dyDescent="0.3">
      <c r="A287" s="453" t="s">
        <v>457</v>
      </c>
      <c r="B287" s="452" t="s">
        <v>242</v>
      </c>
      <c r="C287" s="452" t="s">
        <v>456</v>
      </c>
      <c r="D287" s="444" t="s">
        <v>246</v>
      </c>
      <c r="E287" s="434">
        <v>1.4760000000000001E-2</v>
      </c>
      <c r="F287" s="435">
        <v>133.88999999999999</v>
      </c>
      <c r="G287" s="435">
        <v>1.9762164</v>
      </c>
    </row>
    <row r="288" spans="1:7" x14ac:dyDescent="0.3">
      <c r="A288" s="436"/>
      <c r="B288" s="436"/>
      <c r="C288" s="436"/>
      <c r="D288" s="436" t="s">
        <v>261</v>
      </c>
      <c r="E288" s="437">
        <v>0</v>
      </c>
      <c r="F288" s="436" t="s">
        <v>262</v>
      </c>
      <c r="G288" s="437">
        <v>1.97</v>
      </c>
    </row>
    <row r="289" spans="1:7" ht="15" thickBot="1" x14ac:dyDescent="0.35">
      <c r="A289" s="436"/>
      <c r="B289" s="436"/>
      <c r="C289" s="436"/>
      <c r="D289" s="436"/>
      <c r="E289" s="438" t="s">
        <v>263</v>
      </c>
      <c r="F289" s="438"/>
      <c r="G289" s="437">
        <v>2.4</v>
      </c>
    </row>
    <row r="290" spans="1:7" ht="15" thickTop="1" x14ac:dyDescent="0.3">
      <c r="A290" s="451"/>
      <c r="B290" s="451"/>
      <c r="C290" s="451"/>
      <c r="D290" s="451"/>
      <c r="E290" s="451"/>
      <c r="F290" s="451"/>
      <c r="G290" s="451"/>
    </row>
    <row r="291" spans="1:7" x14ac:dyDescent="0.3">
      <c r="A291" s="456" t="s">
        <v>235</v>
      </c>
      <c r="B291" s="458" t="s">
        <v>236</v>
      </c>
      <c r="C291" s="458" t="s">
        <v>237</v>
      </c>
      <c r="D291" s="457" t="s">
        <v>238</v>
      </c>
      <c r="E291" s="456" t="s">
        <v>239</v>
      </c>
      <c r="F291" s="456" t="s">
        <v>240</v>
      </c>
      <c r="G291" s="456" t="s">
        <v>148</v>
      </c>
    </row>
    <row r="292" spans="1:7" ht="26.4" x14ac:dyDescent="0.3">
      <c r="A292" s="455" t="s">
        <v>455</v>
      </c>
      <c r="B292" s="454" t="s">
        <v>242</v>
      </c>
      <c r="C292" s="454" t="s">
        <v>454</v>
      </c>
      <c r="D292" s="442" t="s">
        <v>246</v>
      </c>
      <c r="E292" s="430">
        <v>1</v>
      </c>
      <c r="F292" s="431">
        <v>0.19</v>
      </c>
      <c r="G292" s="431">
        <v>0.19</v>
      </c>
    </row>
    <row r="293" spans="1:7" x14ac:dyDescent="0.3">
      <c r="A293" s="453" t="s">
        <v>453</v>
      </c>
      <c r="B293" s="452" t="s">
        <v>242</v>
      </c>
      <c r="C293" s="452" t="s">
        <v>452</v>
      </c>
      <c r="D293" s="444" t="s">
        <v>246</v>
      </c>
      <c r="E293" s="434">
        <v>1.154E-2</v>
      </c>
      <c r="F293" s="435">
        <v>16.8</v>
      </c>
      <c r="G293" s="435">
        <v>0.19387199999999999</v>
      </c>
    </row>
    <row r="294" spans="1:7" x14ac:dyDescent="0.3">
      <c r="A294" s="436"/>
      <c r="B294" s="436"/>
      <c r="C294" s="436"/>
      <c r="D294" s="436" t="s">
        <v>261</v>
      </c>
      <c r="E294" s="437">
        <v>0</v>
      </c>
      <c r="F294" s="436" t="s">
        <v>262</v>
      </c>
      <c r="G294" s="437">
        <v>0.19</v>
      </c>
    </row>
    <row r="295" spans="1:7" ht="15" thickBot="1" x14ac:dyDescent="0.35">
      <c r="A295" s="436"/>
      <c r="B295" s="436"/>
      <c r="C295" s="436"/>
      <c r="D295" s="436"/>
      <c r="E295" s="438" t="s">
        <v>263</v>
      </c>
      <c r="F295" s="438"/>
      <c r="G295" s="437">
        <v>0.23</v>
      </c>
    </row>
    <row r="296" spans="1:7" ht="15" thickTop="1" x14ac:dyDescent="0.3">
      <c r="A296" s="451"/>
      <c r="B296" s="451"/>
      <c r="C296" s="451"/>
      <c r="D296" s="451"/>
      <c r="E296" s="451"/>
      <c r="F296" s="451"/>
      <c r="G296" s="451"/>
    </row>
    <row r="297" spans="1:7" x14ac:dyDescent="0.3">
      <c r="A297" s="456" t="s">
        <v>235</v>
      </c>
      <c r="B297" s="458" t="s">
        <v>236</v>
      </c>
      <c r="C297" s="458" t="s">
        <v>237</v>
      </c>
      <c r="D297" s="457" t="s">
        <v>238</v>
      </c>
      <c r="E297" s="456" t="s">
        <v>239</v>
      </c>
      <c r="F297" s="456" t="s">
        <v>240</v>
      </c>
      <c r="G297" s="456" t="s">
        <v>148</v>
      </c>
    </row>
    <row r="298" spans="1:7" ht="26.4" x14ac:dyDescent="0.3">
      <c r="A298" s="455" t="s">
        <v>439</v>
      </c>
      <c r="B298" s="454" t="s">
        <v>242</v>
      </c>
      <c r="C298" s="454" t="s">
        <v>438</v>
      </c>
      <c r="D298" s="442" t="s">
        <v>246</v>
      </c>
      <c r="E298" s="430">
        <v>1</v>
      </c>
      <c r="F298" s="431">
        <v>0.11</v>
      </c>
      <c r="G298" s="431">
        <v>0.11</v>
      </c>
    </row>
    <row r="299" spans="1:7" x14ac:dyDescent="0.3">
      <c r="A299" s="453" t="s">
        <v>437</v>
      </c>
      <c r="B299" s="452" t="s">
        <v>242</v>
      </c>
      <c r="C299" s="452" t="s">
        <v>436</v>
      </c>
      <c r="D299" s="444" t="s">
        <v>246</v>
      </c>
      <c r="E299" s="434">
        <v>5.0899999999999999E-3</v>
      </c>
      <c r="F299" s="435">
        <v>22.63</v>
      </c>
      <c r="G299" s="435">
        <v>0.1151867</v>
      </c>
    </row>
    <row r="300" spans="1:7" x14ac:dyDescent="0.3">
      <c r="A300" s="436"/>
      <c r="B300" s="436"/>
      <c r="C300" s="436"/>
      <c r="D300" s="436" t="s">
        <v>261</v>
      </c>
      <c r="E300" s="437">
        <v>0</v>
      </c>
      <c r="F300" s="436" t="s">
        <v>262</v>
      </c>
      <c r="G300" s="437">
        <v>0.11</v>
      </c>
    </row>
    <row r="301" spans="1:7" ht="15" thickBot="1" x14ac:dyDescent="0.35">
      <c r="A301" s="436"/>
      <c r="B301" s="436"/>
      <c r="C301" s="436"/>
      <c r="D301" s="436"/>
      <c r="E301" s="438" t="s">
        <v>263</v>
      </c>
      <c r="F301" s="438"/>
      <c r="G301" s="437">
        <v>0.13</v>
      </c>
    </row>
    <row r="302" spans="1:7" ht="15" thickTop="1" x14ac:dyDescent="0.3">
      <c r="A302" s="451"/>
      <c r="B302" s="451"/>
      <c r="C302" s="451"/>
      <c r="D302" s="451"/>
      <c r="E302" s="451"/>
      <c r="F302" s="451"/>
      <c r="G302" s="451"/>
    </row>
    <row r="303" spans="1:7" x14ac:dyDescent="0.3">
      <c r="A303" s="456" t="s">
        <v>235</v>
      </c>
      <c r="B303" s="458" t="s">
        <v>236</v>
      </c>
      <c r="C303" s="458" t="s">
        <v>237</v>
      </c>
      <c r="D303" s="457" t="s">
        <v>238</v>
      </c>
      <c r="E303" s="456" t="s">
        <v>239</v>
      </c>
      <c r="F303" s="456" t="s">
        <v>240</v>
      </c>
      <c r="G303" s="456" t="s">
        <v>148</v>
      </c>
    </row>
    <row r="304" spans="1:7" ht="39.6" x14ac:dyDescent="0.3">
      <c r="A304" s="455" t="s">
        <v>433</v>
      </c>
      <c r="B304" s="454" t="s">
        <v>242</v>
      </c>
      <c r="C304" s="454" t="s">
        <v>432</v>
      </c>
      <c r="D304" s="442" t="s">
        <v>246</v>
      </c>
      <c r="E304" s="430">
        <v>1</v>
      </c>
      <c r="F304" s="431">
        <v>0.17</v>
      </c>
      <c r="G304" s="431">
        <v>0.17</v>
      </c>
    </row>
    <row r="305" spans="1:7" ht="26.4" x14ac:dyDescent="0.3">
      <c r="A305" s="453" t="s">
        <v>431</v>
      </c>
      <c r="B305" s="452" t="s">
        <v>242</v>
      </c>
      <c r="C305" s="452" t="s">
        <v>430</v>
      </c>
      <c r="D305" s="444" t="s">
        <v>246</v>
      </c>
      <c r="E305" s="434">
        <v>8.3099999999999997E-3</v>
      </c>
      <c r="F305" s="435">
        <v>21.52</v>
      </c>
      <c r="G305" s="435">
        <v>0.1788312</v>
      </c>
    </row>
    <row r="306" spans="1:7" x14ac:dyDescent="0.3">
      <c r="A306" s="436"/>
      <c r="B306" s="436"/>
      <c r="C306" s="436"/>
      <c r="D306" s="436" t="s">
        <v>261</v>
      </c>
      <c r="E306" s="437">
        <v>0</v>
      </c>
      <c r="F306" s="436" t="s">
        <v>262</v>
      </c>
      <c r="G306" s="437">
        <v>0.17</v>
      </c>
    </row>
    <row r="307" spans="1:7" ht="15" thickBot="1" x14ac:dyDescent="0.35">
      <c r="A307" s="436"/>
      <c r="B307" s="436"/>
      <c r="C307" s="436"/>
      <c r="D307" s="436"/>
      <c r="E307" s="438" t="s">
        <v>263</v>
      </c>
      <c r="F307" s="438"/>
      <c r="G307" s="437">
        <v>0.2</v>
      </c>
    </row>
    <row r="308" spans="1:7" ht="15" thickTop="1" x14ac:dyDescent="0.3">
      <c r="A308" s="451"/>
      <c r="B308" s="451"/>
      <c r="C308" s="451"/>
      <c r="D308" s="451"/>
      <c r="E308" s="451"/>
      <c r="F308" s="451"/>
      <c r="G308" s="451"/>
    </row>
    <row r="309" spans="1:7" x14ac:dyDescent="0.3">
      <c r="A309" s="456" t="s">
        <v>235</v>
      </c>
      <c r="B309" s="458" t="s">
        <v>236</v>
      </c>
      <c r="C309" s="458" t="s">
        <v>237</v>
      </c>
      <c r="D309" s="457" t="s">
        <v>238</v>
      </c>
      <c r="E309" s="456" t="s">
        <v>239</v>
      </c>
      <c r="F309" s="456" t="s">
        <v>240</v>
      </c>
      <c r="G309" s="456" t="s">
        <v>148</v>
      </c>
    </row>
    <row r="310" spans="1:7" ht="26.4" x14ac:dyDescent="0.3">
      <c r="A310" s="455" t="s">
        <v>427</v>
      </c>
      <c r="B310" s="454" t="s">
        <v>242</v>
      </c>
      <c r="C310" s="454" t="s">
        <v>426</v>
      </c>
      <c r="D310" s="442" t="s">
        <v>246</v>
      </c>
      <c r="E310" s="430">
        <v>1</v>
      </c>
      <c r="F310" s="431">
        <v>0.33</v>
      </c>
      <c r="G310" s="431">
        <v>0.33</v>
      </c>
    </row>
    <row r="311" spans="1:7" x14ac:dyDescent="0.3">
      <c r="A311" s="453" t="s">
        <v>425</v>
      </c>
      <c r="B311" s="452" t="s">
        <v>242</v>
      </c>
      <c r="C311" s="452" t="s">
        <v>424</v>
      </c>
      <c r="D311" s="444" t="s">
        <v>246</v>
      </c>
      <c r="E311" s="434">
        <v>8.3099999999999997E-3</v>
      </c>
      <c r="F311" s="435">
        <v>40.42</v>
      </c>
      <c r="G311" s="435">
        <v>0.33589020000000003</v>
      </c>
    </row>
    <row r="312" spans="1:7" x14ac:dyDescent="0.3">
      <c r="A312" s="436"/>
      <c r="B312" s="436"/>
      <c r="C312" s="436"/>
      <c r="D312" s="436" t="s">
        <v>261</v>
      </c>
      <c r="E312" s="437">
        <v>0</v>
      </c>
      <c r="F312" s="436" t="s">
        <v>262</v>
      </c>
      <c r="G312" s="437">
        <v>0.33</v>
      </c>
    </row>
    <row r="313" spans="1:7" ht="15" thickBot="1" x14ac:dyDescent="0.35">
      <c r="A313" s="436"/>
      <c r="B313" s="436"/>
      <c r="C313" s="436"/>
      <c r="D313" s="436"/>
      <c r="E313" s="438" t="s">
        <v>263</v>
      </c>
      <c r="F313" s="438"/>
      <c r="G313" s="437">
        <v>0.4</v>
      </c>
    </row>
    <row r="314" spans="1:7" ht="15" thickTop="1" x14ac:dyDescent="0.3">
      <c r="A314" s="451"/>
      <c r="B314" s="451"/>
      <c r="C314" s="451"/>
      <c r="D314" s="451"/>
      <c r="E314" s="451"/>
      <c r="F314" s="451"/>
      <c r="G314" s="451"/>
    </row>
    <row r="315" spans="1:7" x14ac:dyDescent="0.3">
      <c r="A315" s="456" t="s">
        <v>235</v>
      </c>
      <c r="B315" s="458" t="s">
        <v>236</v>
      </c>
      <c r="C315" s="458" t="s">
        <v>237</v>
      </c>
      <c r="D315" s="457" t="s">
        <v>238</v>
      </c>
      <c r="E315" s="456" t="s">
        <v>239</v>
      </c>
      <c r="F315" s="456" t="s">
        <v>240</v>
      </c>
      <c r="G315" s="456" t="s">
        <v>148</v>
      </c>
    </row>
    <row r="316" spans="1:7" ht="26.4" x14ac:dyDescent="0.3">
      <c r="A316" s="455" t="s">
        <v>423</v>
      </c>
      <c r="B316" s="454" t="s">
        <v>242</v>
      </c>
      <c r="C316" s="454" t="s">
        <v>422</v>
      </c>
      <c r="D316" s="442" t="s">
        <v>246</v>
      </c>
      <c r="E316" s="430">
        <v>1</v>
      </c>
      <c r="F316" s="431">
        <v>0.17</v>
      </c>
      <c r="G316" s="431">
        <v>0.17</v>
      </c>
    </row>
    <row r="317" spans="1:7" x14ac:dyDescent="0.3">
      <c r="A317" s="453" t="s">
        <v>417</v>
      </c>
      <c r="B317" s="452" t="s">
        <v>242</v>
      </c>
      <c r="C317" s="452" t="s">
        <v>416</v>
      </c>
      <c r="D317" s="444" t="s">
        <v>246</v>
      </c>
      <c r="E317" s="434">
        <v>8.3099999999999997E-3</v>
      </c>
      <c r="F317" s="435">
        <v>20.67</v>
      </c>
      <c r="G317" s="435">
        <v>0.1717677</v>
      </c>
    </row>
    <row r="318" spans="1:7" x14ac:dyDescent="0.3">
      <c r="A318" s="436"/>
      <c r="B318" s="436"/>
      <c r="C318" s="436"/>
      <c r="D318" s="436" t="s">
        <v>261</v>
      </c>
      <c r="E318" s="437">
        <v>0</v>
      </c>
      <c r="F318" s="436" t="s">
        <v>262</v>
      </c>
      <c r="G318" s="437">
        <v>0.17</v>
      </c>
    </row>
    <row r="319" spans="1:7" ht="15" thickBot="1" x14ac:dyDescent="0.35">
      <c r="A319" s="436"/>
      <c r="B319" s="436"/>
      <c r="C319" s="436"/>
      <c r="D319" s="436"/>
      <c r="E319" s="438" t="s">
        <v>263</v>
      </c>
      <c r="F319" s="438"/>
      <c r="G319" s="437">
        <v>0.2</v>
      </c>
    </row>
    <row r="320" spans="1:7" ht="15" thickTop="1" x14ac:dyDescent="0.3">
      <c r="A320" s="451"/>
      <c r="B320" s="451"/>
      <c r="C320" s="451"/>
      <c r="D320" s="451"/>
      <c r="E320" s="451"/>
      <c r="F320" s="451"/>
      <c r="G320" s="451"/>
    </row>
    <row r="321" spans="1:7" x14ac:dyDescent="0.3">
      <c r="A321" s="456" t="s">
        <v>235</v>
      </c>
      <c r="B321" s="458" t="s">
        <v>236</v>
      </c>
      <c r="C321" s="458" t="s">
        <v>237</v>
      </c>
      <c r="D321" s="457" t="s">
        <v>238</v>
      </c>
      <c r="E321" s="456" t="s">
        <v>239</v>
      </c>
      <c r="F321" s="456" t="s">
        <v>240</v>
      </c>
      <c r="G321" s="456" t="s">
        <v>148</v>
      </c>
    </row>
    <row r="322" spans="1:7" ht="26.4" x14ac:dyDescent="0.3">
      <c r="A322" s="455" t="s">
        <v>415</v>
      </c>
      <c r="B322" s="454" t="s">
        <v>242</v>
      </c>
      <c r="C322" s="454" t="s">
        <v>414</v>
      </c>
      <c r="D322" s="442" t="s">
        <v>246</v>
      </c>
      <c r="E322" s="430">
        <v>1</v>
      </c>
      <c r="F322" s="431">
        <v>0.46</v>
      </c>
      <c r="G322" s="431">
        <v>0.46</v>
      </c>
    </row>
    <row r="323" spans="1:7" x14ac:dyDescent="0.3">
      <c r="A323" s="453" t="s">
        <v>409</v>
      </c>
      <c r="B323" s="452" t="s">
        <v>242</v>
      </c>
      <c r="C323" s="452" t="s">
        <v>408</v>
      </c>
      <c r="D323" s="444" t="s">
        <v>246</v>
      </c>
      <c r="E323" s="434">
        <v>2.12E-2</v>
      </c>
      <c r="F323" s="435">
        <v>21.8</v>
      </c>
      <c r="G323" s="435">
        <v>0.46216000000000002</v>
      </c>
    </row>
    <row r="324" spans="1:7" x14ac:dyDescent="0.3">
      <c r="A324" s="436"/>
      <c r="B324" s="436"/>
      <c r="C324" s="436"/>
      <c r="D324" s="436" t="s">
        <v>261</v>
      </c>
      <c r="E324" s="437">
        <v>0</v>
      </c>
      <c r="F324" s="436" t="s">
        <v>262</v>
      </c>
      <c r="G324" s="437">
        <v>0.46</v>
      </c>
    </row>
    <row r="325" spans="1:7" ht="15" thickBot="1" x14ac:dyDescent="0.35">
      <c r="A325" s="436"/>
      <c r="B325" s="436"/>
      <c r="C325" s="436"/>
      <c r="D325" s="436"/>
      <c r="E325" s="438" t="s">
        <v>263</v>
      </c>
      <c r="F325" s="438"/>
      <c r="G325" s="437">
        <v>0.56000000000000005</v>
      </c>
    </row>
    <row r="326" spans="1:7" ht="15" thickTop="1" x14ac:dyDescent="0.3">
      <c r="A326" s="451"/>
      <c r="B326" s="451"/>
      <c r="C326" s="451"/>
      <c r="D326" s="451"/>
      <c r="E326" s="451"/>
      <c r="F326" s="451"/>
      <c r="G326" s="451"/>
    </row>
    <row r="327" spans="1:7" x14ac:dyDescent="0.3">
      <c r="A327" s="456" t="s">
        <v>235</v>
      </c>
      <c r="B327" s="458" t="s">
        <v>236</v>
      </c>
      <c r="C327" s="458" t="s">
        <v>237</v>
      </c>
      <c r="D327" s="457" t="s">
        <v>238</v>
      </c>
      <c r="E327" s="456" t="s">
        <v>239</v>
      </c>
      <c r="F327" s="456" t="s">
        <v>240</v>
      </c>
      <c r="G327" s="456" t="s">
        <v>148</v>
      </c>
    </row>
    <row r="328" spans="1:7" ht="26.4" x14ac:dyDescent="0.3">
      <c r="A328" s="455" t="s">
        <v>407</v>
      </c>
      <c r="B328" s="454" t="s">
        <v>242</v>
      </c>
      <c r="C328" s="454" t="s">
        <v>406</v>
      </c>
      <c r="D328" s="442" t="s">
        <v>246</v>
      </c>
      <c r="E328" s="430">
        <v>1</v>
      </c>
      <c r="F328" s="431">
        <v>0.32</v>
      </c>
      <c r="G328" s="431">
        <v>0.32</v>
      </c>
    </row>
    <row r="329" spans="1:7" x14ac:dyDescent="0.3">
      <c r="A329" s="453" t="s">
        <v>405</v>
      </c>
      <c r="B329" s="452" t="s">
        <v>242</v>
      </c>
      <c r="C329" s="452" t="s">
        <v>404</v>
      </c>
      <c r="D329" s="444" t="s">
        <v>246</v>
      </c>
      <c r="E329" s="434">
        <v>1.4760000000000001E-2</v>
      </c>
      <c r="F329" s="435">
        <v>21.8</v>
      </c>
      <c r="G329" s="435">
        <v>0.321768</v>
      </c>
    </row>
    <row r="330" spans="1:7" x14ac:dyDescent="0.3">
      <c r="A330" s="436"/>
      <c r="B330" s="436"/>
      <c r="C330" s="436"/>
      <c r="D330" s="436" t="s">
        <v>261</v>
      </c>
      <c r="E330" s="437">
        <v>0</v>
      </c>
      <c r="F330" s="436" t="s">
        <v>262</v>
      </c>
      <c r="G330" s="437">
        <v>0.32</v>
      </c>
    </row>
    <row r="331" spans="1:7" ht="15" thickBot="1" x14ac:dyDescent="0.35">
      <c r="A331" s="436"/>
      <c r="B331" s="436"/>
      <c r="C331" s="436"/>
      <c r="D331" s="436"/>
      <c r="E331" s="438" t="s">
        <v>263</v>
      </c>
      <c r="F331" s="438"/>
      <c r="G331" s="437">
        <v>0.39</v>
      </c>
    </row>
    <row r="332" spans="1:7" ht="15" thickTop="1" x14ac:dyDescent="0.3">
      <c r="A332" s="451"/>
      <c r="B332" s="451"/>
      <c r="C332" s="451"/>
      <c r="D332" s="451"/>
      <c r="E332" s="451"/>
      <c r="F332" s="451"/>
      <c r="G332" s="451"/>
    </row>
    <row r="333" spans="1:7" x14ac:dyDescent="0.3">
      <c r="A333" s="456" t="s">
        <v>235</v>
      </c>
      <c r="B333" s="458" t="s">
        <v>236</v>
      </c>
      <c r="C333" s="458" t="s">
        <v>237</v>
      </c>
      <c r="D333" s="457" t="s">
        <v>238</v>
      </c>
      <c r="E333" s="456" t="s">
        <v>239</v>
      </c>
      <c r="F333" s="456" t="s">
        <v>240</v>
      </c>
      <c r="G333" s="456" t="s">
        <v>148</v>
      </c>
    </row>
    <row r="334" spans="1:7" ht="26.4" x14ac:dyDescent="0.3">
      <c r="A334" s="455" t="s">
        <v>374</v>
      </c>
      <c r="B334" s="454" t="s">
        <v>242</v>
      </c>
      <c r="C334" s="454" t="s">
        <v>373</v>
      </c>
      <c r="D334" s="442" t="s">
        <v>246</v>
      </c>
      <c r="E334" s="430">
        <v>1</v>
      </c>
      <c r="F334" s="431">
        <v>0.33</v>
      </c>
      <c r="G334" s="431">
        <v>0.33</v>
      </c>
    </row>
    <row r="335" spans="1:7" x14ac:dyDescent="0.3">
      <c r="A335" s="453" t="s">
        <v>364</v>
      </c>
      <c r="B335" s="452" t="s">
        <v>242</v>
      </c>
      <c r="C335" s="452" t="s">
        <v>363</v>
      </c>
      <c r="D335" s="444" t="s">
        <v>246</v>
      </c>
      <c r="E335" s="434">
        <v>2.12E-2</v>
      </c>
      <c r="F335" s="435">
        <v>15.94</v>
      </c>
      <c r="G335" s="435">
        <v>0.33792800000000001</v>
      </c>
    </row>
    <row r="336" spans="1:7" x14ac:dyDescent="0.3">
      <c r="A336" s="436"/>
      <c r="B336" s="436"/>
      <c r="C336" s="436"/>
      <c r="D336" s="436" t="s">
        <v>261</v>
      </c>
      <c r="E336" s="437">
        <v>0</v>
      </c>
      <c r="F336" s="436" t="s">
        <v>262</v>
      </c>
      <c r="G336" s="437">
        <v>0.33</v>
      </c>
    </row>
    <row r="337" spans="1:7" ht="15" thickBot="1" x14ac:dyDescent="0.35">
      <c r="A337" s="436"/>
      <c r="B337" s="436"/>
      <c r="C337" s="436"/>
      <c r="D337" s="436"/>
      <c r="E337" s="438" t="s">
        <v>263</v>
      </c>
      <c r="F337" s="438"/>
      <c r="G337" s="437">
        <v>0.4</v>
      </c>
    </row>
    <row r="338" spans="1:7" ht="15" thickTop="1" x14ac:dyDescent="0.3">
      <c r="A338" s="451"/>
      <c r="B338" s="451"/>
      <c r="C338" s="451"/>
      <c r="D338" s="451"/>
      <c r="E338" s="451"/>
      <c r="F338" s="451"/>
      <c r="G338" s="451"/>
    </row>
    <row r="339" spans="1:7" x14ac:dyDescent="0.3">
      <c r="A339" s="456" t="s">
        <v>235</v>
      </c>
      <c r="B339" s="458" t="s">
        <v>236</v>
      </c>
      <c r="C339" s="458" t="s">
        <v>237</v>
      </c>
      <c r="D339" s="457" t="s">
        <v>238</v>
      </c>
      <c r="E339" s="456" t="s">
        <v>239</v>
      </c>
      <c r="F339" s="456" t="s">
        <v>240</v>
      </c>
      <c r="G339" s="456" t="s">
        <v>148</v>
      </c>
    </row>
    <row r="340" spans="1:7" ht="26.4" x14ac:dyDescent="0.3">
      <c r="A340" s="455" t="s">
        <v>292</v>
      </c>
      <c r="B340" s="454" t="s">
        <v>265</v>
      </c>
      <c r="C340" s="454" t="s">
        <v>293</v>
      </c>
      <c r="D340" s="442" t="s">
        <v>294</v>
      </c>
      <c r="E340" s="430">
        <v>1</v>
      </c>
      <c r="F340" s="431">
        <v>660.56</v>
      </c>
      <c r="G340" s="431">
        <v>660.56</v>
      </c>
    </row>
    <row r="341" spans="1:7" x14ac:dyDescent="0.3">
      <c r="A341" s="440" t="s">
        <v>301</v>
      </c>
      <c r="B341" s="441" t="s">
        <v>242</v>
      </c>
      <c r="C341" s="441" t="s">
        <v>302</v>
      </c>
      <c r="D341" s="443" t="s">
        <v>246</v>
      </c>
      <c r="E341" s="432">
        <v>12</v>
      </c>
      <c r="F341" s="433">
        <v>29.47</v>
      </c>
      <c r="G341" s="433">
        <v>353.64</v>
      </c>
    </row>
    <row r="342" spans="1:7" x14ac:dyDescent="0.3">
      <c r="A342" s="440" t="s">
        <v>249</v>
      </c>
      <c r="B342" s="441" t="s">
        <v>242</v>
      </c>
      <c r="C342" s="441" t="s">
        <v>250</v>
      </c>
      <c r="D342" s="443" t="s">
        <v>246</v>
      </c>
      <c r="E342" s="432">
        <v>12</v>
      </c>
      <c r="F342" s="433">
        <v>23.66</v>
      </c>
      <c r="G342" s="433">
        <v>283.92</v>
      </c>
    </row>
    <row r="343" spans="1:7" x14ac:dyDescent="0.3">
      <c r="A343" s="453" t="s">
        <v>473</v>
      </c>
      <c r="B343" s="452" t="s">
        <v>265</v>
      </c>
      <c r="C343" s="452" t="s">
        <v>472</v>
      </c>
      <c r="D343" s="444" t="s">
        <v>294</v>
      </c>
      <c r="E343" s="434">
        <v>1</v>
      </c>
      <c r="F343" s="435">
        <v>23</v>
      </c>
      <c r="G343" s="435">
        <v>23</v>
      </c>
    </row>
    <row r="344" spans="1:7" x14ac:dyDescent="0.3">
      <c r="A344" s="436"/>
      <c r="B344" s="436"/>
      <c r="C344" s="436"/>
      <c r="D344" s="436" t="s">
        <v>261</v>
      </c>
      <c r="E344" s="437">
        <v>0</v>
      </c>
      <c r="F344" s="436" t="s">
        <v>262</v>
      </c>
      <c r="G344" s="437">
        <v>462.36</v>
      </c>
    </row>
    <row r="345" spans="1:7" ht="15" thickBot="1" x14ac:dyDescent="0.35">
      <c r="A345" s="436"/>
      <c r="B345" s="436"/>
      <c r="C345" s="436"/>
      <c r="D345" s="436"/>
      <c r="E345" s="438" t="s">
        <v>263</v>
      </c>
      <c r="F345" s="438"/>
      <c r="G345" s="437">
        <v>805.61</v>
      </c>
    </row>
    <row r="346" spans="1:7" ht="15" thickTop="1" x14ac:dyDescent="0.3">
      <c r="A346" s="451"/>
      <c r="B346" s="451"/>
      <c r="C346" s="451"/>
      <c r="D346" s="451"/>
      <c r="E346" s="451"/>
      <c r="F346" s="451"/>
      <c r="G346" s="451"/>
    </row>
    <row r="347" spans="1:7" x14ac:dyDescent="0.3">
      <c r="A347" s="456" t="s">
        <v>235</v>
      </c>
      <c r="B347" s="458" t="s">
        <v>236</v>
      </c>
      <c r="C347" s="458" t="s">
        <v>237</v>
      </c>
      <c r="D347" s="457" t="s">
        <v>238</v>
      </c>
      <c r="E347" s="456" t="s">
        <v>239</v>
      </c>
      <c r="F347" s="456" t="s">
        <v>240</v>
      </c>
      <c r="G347" s="456" t="s">
        <v>148</v>
      </c>
    </row>
    <row r="348" spans="1:7" x14ac:dyDescent="0.3">
      <c r="A348" s="455" t="s">
        <v>267</v>
      </c>
      <c r="B348" s="454" t="s">
        <v>242</v>
      </c>
      <c r="C348" s="454" t="s">
        <v>268</v>
      </c>
      <c r="D348" s="442" t="s">
        <v>246</v>
      </c>
      <c r="E348" s="430">
        <v>1</v>
      </c>
      <c r="F348" s="431">
        <v>41.12</v>
      </c>
      <c r="G348" s="431">
        <v>41.12</v>
      </c>
    </row>
    <row r="349" spans="1:7" ht="26.4" x14ac:dyDescent="0.3">
      <c r="A349" s="440" t="s">
        <v>471</v>
      </c>
      <c r="B349" s="441" t="s">
        <v>242</v>
      </c>
      <c r="C349" s="441" t="s">
        <v>470</v>
      </c>
      <c r="D349" s="443" t="s">
        <v>246</v>
      </c>
      <c r="E349" s="432">
        <v>1</v>
      </c>
      <c r="F349" s="433">
        <v>0.72</v>
      </c>
      <c r="G349" s="433">
        <v>0.72</v>
      </c>
    </row>
    <row r="350" spans="1:7" ht="26.4" x14ac:dyDescent="0.3">
      <c r="A350" s="453" t="s">
        <v>366</v>
      </c>
      <c r="B350" s="452" t="s">
        <v>242</v>
      </c>
      <c r="C350" s="452" t="s">
        <v>365</v>
      </c>
      <c r="D350" s="444" t="s">
        <v>246</v>
      </c>
      <c r="E350" s="434">
        <v>1</v>
      </c>
      <c r="F350" s="435">
        <v>0.48</v>
      </c>
      <c r="G350" s="435">
        <v>0.48</v>
      </c>
    </row>
    <row r="351" spans="1:7" ht="26.4" x14ac:dyDescent="0.3">
      <c r="A351" s="453" t="s">
        <v>362</v>
      </c>
      <c r="B351" s="452" t="s">
        <v>242</v>
      </c>
      <c r="C351" s="452" t="s">
        <v>361</v>
      </c>
      <c r="D351" s="444" t="s">
        <v>246</v>
      </c>
      <c r="E351" s="434">
        <v>1</v>
      </c>
      <c r="F351" s="435">
        <v>1.42</v>
      </c>
      <c r="G351" s="435">
        <v>1.42</v>
      </c>
    </row>
    <row r="352" spans="1:7" ht="26.4" x14ac:dyDescent="0.3">
      <c r="A352" s="453" t="s">
        <v>469</v>
      </c>
      <c r="B352" s="452" t="s">
        <v>242</v>
      </c>
      <c r="C352" s="452" t="s">
        <v>468</v>
      </c>
      <c r="D352" s="444" t="s">
        <v>246</v>
      </c>
      <c r="E352" s="434">
        <v>1</v>
      </c>
      <c r="F352" s="435">
        <v>1.57</v>
      </c>
      <c r="G352" s="435">
        <v>1.57</v>
      </c>
    </row>
    <row r="353" spans="1:7" ht="26.4" x14ac:dyDescent="0.3">
      <c r="A353" s="453" t="s">
        <v>370</v>
      </c>
      <c r="B353" s="452" t="s">
        <v>242</v>
      </c>
      <c r="C353" s="452" t="s">
        <v>369</v>
      </c>
      <c r="D353" s="444" t="s">
        <v>246</v>
      </c>
      <c r="E353" s="434">
        <v>1</v>
      </c>
      <c r="F353" s="435">
        <v>0.11</v>
      </c>
      <c r="G353" s="435">
        <v>0.11</v>
      </c>
    </row>
    <row r="354" spans="1:7" ht="26.4" x14ac:dyDescent="0.3">
      <c r="A354" s="453" t="s">
        <v>372</v>
      </c>
      <c r="B354" s="452" t="s">
        <v>242</v>
      </c>
      <c r="C354" s="452" t="s">
        <v>371</v>
      </c>
      <c r="D354" s="444" t="s">
        <v>246</v>
      </c>
      <c r="E354" s="434">
        <v>1</v>
      </c>
      <c r="F354" s="435">
        <v>2.4900000000000002</v>
      </c>
      <c r="G354" s="435">
        <v>2.4900000000000002</v>
      </c>
    </row>
    <row r="355" spans="1:7" x14ac:dyDescent="0.3">
      <c r="A355" s="453" t="s">
        <v>467</v>
      </c>
      <c r="B355" s="452" t="s">
        <v>242</v>
      </c>
      <c r="C355" s="452" t="s">
        <v>466</v>
      </c>
      <c r="D355" s="444" t="s">
        <v>246</v>
      </c>
      <c r="E355" s="434">
        <v>1</v>
      </c>
      <c r="F355" s="435">
        <v>34.159999999999997</v>
      </c>
      <c r="G355" s="435">
        <v>34.159999999999997</v>
      </c>
    </row>
    <row r="356" spans="1:7" ht="26.4" x14ac:dyDescent="0.3">
      <c r="A356" s="453" t="s">
        <v>465</v>
      </c>
      <c r="B356" s="452" t="s">
        <v>242</v>
      </c>
      <c r="C356" s="452" t="s">
        <v>464</v>
      </c>
      <c r="D356" s="444" t="s">
        <v>246</v>
      </c>
      <c r="E356" s="434">
        <v>1</v>
      </c>
      <c r="F356" s="435">
        <v>0.17</v>
      </c>
      <c r="G356" s="435">
        <v>0.17</v>
      </c>
    </row>
    <row r="357" spans="1:7" x14ac:dyDescent="0.3">
      <c r="A357" s="436"/>
      <c r="B357" s="436"/>
      <c r="C357" s="436"/>
      <c r="D357" s="436" t="s">
        <v>261</v>
      </c>
      <c r="E357" s="437">
        <v>0</v>
      </c>
      <c r="F357" s="436" t="s">
        <v>262</v>
      </c>
      <c r="G357" s="437">
        <v>34.880000000000003</v>
      </c>
    </row>
    <row r="358" spans="1:7" ht="15" thickBot="1" x14ac:dyDescent="0.35">
      <c r="A358" s="436"/>
      <c r="B358" s="436"/>
      <c r="C358" s="436"/>
      <c r="D358" s="436"/>
      <c r="E358" s="438" t="s">
        <v>263</v>
      </c>
      <c r="F358" s="438"/>
      <c r="G358" s="437">
        <v>50.14</v>
      </c>
    </row>
    <row r="359" spans="1:7" ht="15" thickTop="1" x14ac:dyDescent="0.3">
      <c r="A359" s="451"/>
      <c r="B359" s="451"/>
      <c r="C359" s="451"/>
      <c r="D359" s="451"/>
      <c r="E359" s="451"/>
      <c r="F359" s="451"/>
      <c r="G359" s="451"/>
    </row>
    <row r="360" spans="1:7" x14ac:dyDescent="0.3">
      <c r="A360" s="456" t="s">
        <v>235</v>
      </c>
      <c r="B360" s="458" t="s">
        <v>236</v>
      </c>
      <c r="C360" s="458" t="s">
        <v>237</v>
      </c>
      <c r="D360" s="457" t="s">
        <v>238</v>
      </c>
      <c r="E360" s="456" t="s">
        <v>239</v>
      </c>
      <c r="F360" s="456" t="s">
        <v>240</v>
      </c>
      <c r="G360" s="456" t="s">
        <v>148</v>
      </c>
    </row>
    <row r="361" spans="1:7" ht="26.4" x14ac:dyDescent="0.3">
      <c r="A361" s="455" t="s">
        <v>271</v>
      </c>
      <c r="B361" s="454" t="s">
        <v>242</v>
      </c>
      <c r="C361" s="454" t="s">
        <v>272</v>
      </c>
      <c r="D361" s="442" t="s">
        <v>246</v>
      </c>
      <c r="E361" s="430">
        <v>1</v>
      </c>
      <c r="F361" s="431">
        <v>141.05000000000001</v>
      </c>
      <c r="G361" s="431">
        <v>141.05000000000001</v>
      </c>
    </row>
    <row r="362" spans="1:7" ht="26.4" x14ac:dyDescent="0.3">
      <c r="A362" s="440" t="s">
        <v>463</v>
      </c>
      <c r="B362" s="441" t="s">
        <v>242</v>
      </c>
      <c r="C362" s="441" t="s">
        <v>462</v>
      </c>
      <c r="D362" s="443" t="s">
        <v>246</v>
      </c>
      <c r="E362" s="432">
        <v>1</v>
      </c>
      <c r="F362" s="433">
        <v>1.97</v>
      </c>
      <c r="G362" s="433">
        <v>1.97</v>
      </c>
    </row>
    <row r="363" spans="1:7" ht="26.4" x14ac:dyDescent="0.3">
      <c r="A363" s="453" t="s">
        <v>372</v>
      </c>
      <c r="B363" s="452" t="s">
        <v>242</v>
      </c>
      <c r="C363" s="452" t="s">
        <v>371</v>
      </c>
      <c r="D363" s="444" t="s">
        <v>246</v>
      </c>
      <c r="E363" s="434">
        <v>1</v>
      </c>
      <c r="F363" s="435">
        <v>2.4900000000000002</v>
      </c>
      <c r="G363" s="435">
        <v>2.4900000000000002</v>
      </c>
    </row>
    <row r="364" spans="1:7" ht="26.4" x14ac:dyDescent="0.3">
      <c r="A364" s="453" t="s">
        <v>461</v>
      </c>
      <c r="B364" s="452" t="s">
        <v>242</v>
      </c>
      <c r="C364" s="452" t="s">
        <v>460</v>
      </c>
      <c r="D364" s="444" t="s">
        <v>246</v>
      </c>
      <c r="E364" s="434">
        <v>1</v>
      </c>
      <c r="F364" s="435">
        <v>0.04</v>
      </c>
      <c r="G364" s="435">
        <v>0.04</v>
      </c>
    </row>
    <row r="365" spans="1:7" ht="26.4" x14ac:dyDescent="0.3">
      <c r="A365" s="453" t="s">
        <v>459</v>
      </c>
      <c r="B365" s="452" t="s">
        <v>242</v>
      </c>
      <c r="C365" s="452" t="s">
        <v>458</v>
      </c>
      <c r="D365" s="444" t="s">
        <v>246</v>
      </c>
      <c r="E365" s="434">
        <v>1</v>
      </c>
      <c r="F365" s="435">
        <v>1.1299999999999999</v>
      </c>
      <c r="G365" s="435">
        <v>1.1299999999999999</v>
      </c>
    </row>
    <row r="366" spans="1:7" ht="26.4" x14ac:dyDescent="0.3">
      <c r="A366" s="453" t="s">
        <v>370</v>
      </c>
      <c r="B366" s="452" t="s">
        <v>242</v>
      </c>
      <c r="C366" s="452" t="s">
        <v>369</v>
      </c>
      <c r="D366" s="444" t="s">
        <v>246</v>
      </c>
      <c r="E366" s="434">
        <v>1</v>
      </c>
      <c r="F366" s="435">
        <v>0.11</v>
      </c>
      <c r="G366" s="435">
        <v>0.11</v>
      </c>
    </row>
    <row r="367" spans="1:7" x14ac:dyDescent="0.3">
      <c r="A367" s="453" t="s">
        <v>457</v>
      </c>
      <c r="B367" s="452" t="s">
        <v>242</v>
      </c>
      <c r="C367" s="452" t="s">
        <v>456</v>
      </c>
      <c r="D367" s="444" t="s">
        <v>246</v>
      </c>
      <c r="E367" s="434">
        <v>1</v>
      </c>
      <c r="F367" s="435">
        <v>133.88999999999999</v>
      </c>
      <c r="G367" s="435">
        <v>133.88999999999999</v>
      </c>
    </row>
    <row r="368" spans="1:7" ht="26.4" x14ac:dyDescent="0.3">
      <c r="A368" s="453" t="s">
        <v>362</v>
      </c>
      <c r="B368" s="452" t="s">
        <v>242</v>
      </c>
      <c r="C368" s="452" t="s">
        <v>361</v>
      </c>
      <c r="D368" s="444" t="s">
        <v>246</v>
      </c>
      <c r="E368" s="434">
        <v>1</v>
      </c>
      <c r="F368" s="435">
        <v>1.42</v>
      </c>
      <c r="G368" s="435">
        <v>1.42</v>
      </c>
    </row>
    <row r="369" spans="1:7" x14ac:dyDescent="0.3">
      <c r="A369" s="436"/>
      <c r="B369" s="436"/>
      <c r="C369" s="436"/>
      <c r="D369" s="436" t="s">
        <v>261</v>
      </c>
      <c r="E369" s="437">
        <v>0</v>
      </c>
      <c r="F369" s="436" t="s">
        <v>262</v>
      </c>
      <c r="G369" s="437">
        <v>135.86000000000001</v>
      </c>
    </row>
    <row r="370" spans="1:7" ht="15" thickBot="1" x14ac:dyDescent="0.35">
      <c r="A370" s="436"/>
      <c r="B370" s="436"/>
      <c r="C370" s="436"/>
      <c r="D370" s="436"/>
      <c r="E370" s="438" t="s">
        <v>263</v>
      </c>
      <c r="F370" s="438"/>
      <c r="G370" s="437">
        <v>172.02</v>
      </c>
    </row>
    <row r="371" spans="1:7" ht="15" thickTop="1" x14ac:dyDescent="0.3">
      <c r="A371" s="451"/>
      <c r="B371" s="451"/>
      <c r="C371" s="451"/>
      <c r="D371" s="451"/>
      <c r="E371" s="451"/>
      <c r="F371" s="451"/>
      <c r="G371" s="451"/>
    </row>
    <row r="372" spans="1:7" x14ac:dyDescent="0.3">
      <c r="A372" s="456" t="s">
        <v>235</v>
      </c>
      <c r="B372" s="458" t="s">
        <v>236</v>
      </c>
      <c r="C372" s="458" t="s">
        <v>237</v>
      </c>
      <c r="D372" s="457" t="s">
        <v>238</v>
      </c>
      <c r="E372" s="456" t="s">
        <v>239</v>
      </c>
      <c r="F372" s="456" t="s">
        <v>240</v>
      </c>
      <c r="G372" s="456" t="s">
        <v>148</v>
      </c>
    </row>
    <row r="373" spans="1:7" ht="26.4" x14ac:dyDescent="0.3">
      <c r="A373" s="455" t="s">
        <v>327</v>
      </c>
      <c r="B373" s="454" t="s">
        <v>242</v>
      </c>
      <c r="C373" s="454" t="s">
        <v>328</v>
      </c>
      <c r="D373" s="442" t="s">
        <v>246</v>
      </c>
      <c r="E373" s="430">
        <v>1</v>
      </c>
      <c r="F373" s="431">
        <v>22.67</v>
      </c>
      <c r="G373" s="431">
        <v>22.67</v>
      </c>
    </row>
    <row r="374" spans="1:7" ht="26.4" x14ac:dyDescent="0.3">
      <c r="A374" s="440" t="s">
        <v>455</v>
      </c>
      <c r="B374" s="441" t="s">
        <v>242</v>
      </c>
      <c r="C374" s="441" t="s">
        <v>454</v>
      </c>
      <c r="D374" s="443" t="s">
        <v>246</v>
      </c>
      <c r="E374" s="432">
        <v>1</v>
      </c>
      <c r="F374" s="433">
        <v>0.19</v>
      </c>
      <c r="G374" s="433">
        <v>0.19</v>
      </c>
    </row>
    <row r="375" spans="1:7" ht="26.4" x14ac:dyDescent="0.3">
      <c r="A375" s="453" t="s">
        <v>366</v>
      </c>
      <c r="B375" s="452" t="s">
        <v>242</v>
      </c>
      <c r="C375" s="452" t="s">
        <v>365</v>
      </c>
      <c r="D375" s="444" t="s">
        <v>246</v>
      </c>
      <c r="E375" s="434">
        <v>1</v>
      </c>
      <c r="F375" s="435">
        <v>0.48</v>
      </c>
      <c r="G375" s="435">
        <v>0.48</v>
      </c>
    </row>
    <row r="376" spans="1:7" ht="26.4" x14ac:dyDescent="0.3">
      <c r="A376" s="453" t="s">
        <v>370</v>
      </c>
      <c r="B376" s="452" t="s">
        <v>242</v>
      </c>
      <c r="C376" s="452" t="s">
        <v>369</v>
      </c>
      <c r="D376" s="444" t="s">
        <v>246</v>
      </c>
      <c r="E376" s="434">
        <v>1</v>
      </c>
      <c r="F376" s="435">
        <v>0.11</v>
      </c>
      <c r="G376" s="435">
        <v>0.11</v>
      </c>
    </row>
    <row r="377" spans="1:7" ht="26.4" x14ac:dyDescent="0.3">
      <c r="A377" s="453" t="s">
        <v>421</v>
      </c>
      <c r="B377" s="452" t="s">
        <v>242</v>
      </c>
      <c r="C377" s="452" t="s">
        <v>420</v>
      </c>
      <c r="D377" s="444" t="s">
        <v>246</v>
      </c>
      <c r="E377" s="434">
        <v>1</v>
      </c>
      <c r="F377" s="435">
        <v>0.05</v>
      </c>
      <c r="G377" s="435">
        <v>0.05</v>
      </c>
    </row>
    <row r="378" spans="1:7" ht="26.4" x14ac:dyDescent="0.3">
      <c r="A378" s="453" t="s">
        <v>419</v>
      </c>
      <c r="B378" s="452" t="s">
        <v>242</v>
      </c>
      <c r="C378" s="452" t="s">
        <v>418</v>
      </c>
      <c r="D378" s="444" t="s">
        <v>246</v>
      </c>
      <c r="E378" s="434">
        <v>1</v>
      </c>
      <c r="F378" s="435">
        <v>1.1299999999999999</v>
      </c>
      <c r="G378" s="435">
        <v>1.1299999999999999</v>
      </c>
    </row>
    <row r="379" spans="1:7" x14ac:dyDescent="0.3">
      <c r="A379" s="453" t="s">
        <v>453</v>
      </c>
      <c r="B379" s="452" t="s">
        <v>242</v>
      </c>
      <c r="C379" s="452" t="s">
        <v>452</v>
      </c>
      <c r="D379" s="444" t="s">
        <v>246</v>
      </c>
      <c r="E379" s="434">
        <v>1</v>
      </c>
      <c r="F379" s="435">
        <v>16.8</v>
      </c>
      <c r="G379" s="435">
        <v>16.8</v>
      </c>
    </row>
    <row r="380" spans="1:7" ht="26.4" x14ac:dyDescent="0.3">
      <c r="A380" s="453" t="s">
        <v>372</v>
      </c>
      <c r="B380" s="452" t="s">
        <v>242</v>
      </c>
      <c r="C380" s="452" t="s">
        <v>371</v>
      </c>
      <c r="D380" s="444" t="s">
        <v>246</v>
      </c>
      <c r="E380" s="434">
        <v>1</v>
      </c>
      <c r="F380" s="435">
        <v>2.4900000000000002</v>
      </c>
      <c r="G380" s="435">
        <v>2.4900000000000002</v>
      </c>
    </row>
    <row r="381" spans="1:7" ht="26.4" x14ac:dyDescent="0.3">
      <c r="A381" s="453" t="s">
        <v>362</v>
      </c>
      <c r="B381" s="452" t="s">
        <v>242</v>
      </c>
      <c r="C381" s="452" t="s">
        <v>361</v>
      </c>
      <c r="D381" s="444" t="s">
        <v>246</v>
      </c>
      <c r="E381" s="434">
        <v>1</v>
      </c>
      <c r="F381" s="435">
        <v>1.42</v>
      </c>
      <c r="G381" s="435">
        <v>1.42</v>
      </c>
    </row>
    <row r="382" spans="1:7" x14ac:dyDescent="0.3">
      <c r="A382" s="436"/>
      <c r="B382" s="436"/>
      <c r="C382" s="436"/>
      <c r="D382" s="436" t="s">
        <v>261</v>
      </c>
      <c r="E382" s="437">
        <v>0</v>
      </c>
      <c r="F382" s="436" t="s">
        <v>262</v>
      </c>
      <c r="G382" s="437">
        <v>16.989999999999998</v>
      </c>
    </row>
    <row r="383" spans="1:7" ht="15" thickBot="1" x14ac:dyDescent="0.35">
      <c r="A383" s="436"/>
      <c r="B383" s="436"/>
      <c r="C383" s="436"/>
      <c r="D383" s="436"/>
      <c r="E383" s="438" t="s">
        <v>263</v>
      </c>
      <c r="F383" s="438"/>
      <c r="G383" s="437">
        <v>27.64</v>
      </c>
    </row>
    <row r="384" spans="1:7" ht="15" thickTop="1" x14ac:dyDescent="0.3">
      <c r="A384" s="451"/>
      <c r="B384" s="451"/>
      <c r="C384" s="451"/>
      <c r="D384" s="451"/>
      <c r="E384" s="451"/>
      <c r="F384" s="451"/>
      <c r="G384" s="451"/>
    </row>
    <row r="385" spans="1:7" x14ac:dyDescent="0.3">
      <c r="A385" s="456" t="s">
        <v>235</v>
      </c>
      <c r="B385" s="458" t="s">
        <v>236</v>
      </c>
      <c r="C385" s="458" t="s">
        <v>237</v>
      </c>
      <c r="D385" s="457" t="s">
        <v>238</v>
      </c>
      <c r="E385" s="456" t="s">
        <v>239</v>
      </c>
      <c r="F385" s="456" t="s">
        <v>240</v>
      </c>
      <c r="G385" s="456" t="s">
        <v>148</v>
      </c>
    </row>
    <row r="386" spans="1:7" ht="39.6" x14ac:dyDescent="0.3">
      <c r="A386" s="455" t="s">
        <v>275</v>
      </c>
      <c r="B386" s="454" t="s">
        <v>242</v>
      </c>
      <c r="C386" s="454" t="s">
        <v>276</v>
      </c>
      <c r="D386" s="442" t="s">
        <v>277</v>
      </c>
      <c r="E386" s="430">
        <v>1</v>
      </c>
      <c r="F386" s="431">
        <v>110.8</v>
      </c>
      <c r="G386" s="431">
        <v>110.8</v>
      </c>
    </row>
    <row r="387" spans="1:7" ht="26.4" x14ac:dyDescent="0.3">
      <c r="A387" s="440" t="s">
        <v>429</v>
      </c>
      <c r="B387" s="441" t="s">
        <v>242</v>
      </c>
      <c r="C387" s="441" t="s">
        <v>428</v>
      </c>
      <c r="D387" s="443" t="s">
        <v>246</v>
      </c>
      <c r="E387" s="432">
        <v>1</v>
      </c>
      <c r="F387" s="433">
        <v>46.43</v>
      </c>
      <c r="G387" s="433">
        <v>46.43</v>
      </c>
    </row>
    <row r="388" spans="1:7" ht="39.6" x14ac:dyDescent="0.3">
      <c r="A388" s="440" t="s">
        <v>451</v>
      </c>
      <c r="B388" s="441" t="s">
        <v>242</v>
      </c>
      <c r="C388" s="441" t="s">
        <v>450</v>
      </c>
      <c r="D388" s="443" t="s">
        <v>246</v>
      </c>
      <c r="E388" s="432">
        <v>1</v>
      </c>
      <c r="F388" s="433">
        <v>47.6</v>
      </c>
      <c r="G388" s="433">
        <v>47.6</v>
      </c>
    </row>
    <row r="389" spans="1:7" ht="39.6" x14ac:dyDescent="0.3">
      <c r="A389" s="440" t="s">
        <v>449</v>
      </c>
      <c r="B389" s="441" t="s">
        <v>242</v>
      </c>
      <c r="C389" s="441" t="s">
        <v>448</v>
      </c>
      <c r="D389" s="443" t="s">
        <v>246</v>
      </c>
      <c r="E389" s="432">
        <v>1</v>
      </c>
      <c r="F389" s="433">
        <v>16.77</v>
      </c>
      <c r="G389" s="433">
        <v>16.77</v>
      </c>
    </row>
    <row r="390" spans="1:7" x14ac:dyDescent="0.3">
      <c r="A390" s="436"/>
      <c r="B390" s="436"/>
      <c r="C390" s="436"/>
      <c r="D390" s="436" t="s">
        <v>261</v>
      </c>
      <c r="E390" s="437">
        <v>0</v>
      </c>
      <c r="F390" s="436" t="s">
        <v>262</v>
      </c>
      <c r="G390" s="437">
        <v>40.75</v>
      </c>
    </row>
    <row r="391" spans="1:7" ht="15" thickBot="1" x14ac:dyDescent="0.35">
      <c r="A391" s="436"/>
      <c r="B391" s="436"/>
      <c r="C391" s="436"/>
      <c r="D391" s="436"/>
      <c r="E391" s="438" t="s">
        <v>263</v>
      </c>
      <c r="F391" s="438"/>
      <c r="G391" s="437">
        <v>135.13</v>
      </c>
    </row>
    <row r="392" spans="1:7" ht="15" thickTop="1" x14ac:dyDescent="0.3">
      <c r="A392" s="451"/>
      <c r="B392" s="451"/>
      <c r="C392" s="451"/>
      <c r="D392" s="451"/>
      <c r="E392" s="451"/>
      <c r="F392" s="451"/>
      <c r="G392" s="451"/>
    </row>
    <row r="393" spans="1:7" x14ac:dyDescent="0.3">
      <c r="A393" s="456" t="s">
        <v>235</v>
      </c>
      <c r="B393" s="458" t="s">
        <v>236</v>
      </c>
      <c r="C393" s="458" t="s">
        <v>237</v>
      </c>
      <c r="D393" s="457" t="s">
        <v>238</v>
      </c>
      <c r="E393" s="456" t="s">
        <v>239</v>
      </c>
      <c r="F393" s="456" t="s">
        <v>240</v>
      </c>
      <c r="G393" s="456" t="s">
        <v>148</v>
      </c>
    </row>
    <row r="394" spans="1:7" ht="39.6" x14ac:dyDescent="0.3">
      <c r="A394" s="455" t="s">
        <v>280</v>
      </c>
      <c r="B394" s="454" t="s">
        <v>242</v>
      </c>
      <c r="C394" s="454" t="s">
        <v>281</v>
      </c>
      <c r="D394" s="442" t="s">
        <v>282</v>
      </c>
      <c r="E394" s="430">
        <v>1</v>
      </c>
      <c r="F394" s="431">
        <v>270.55</v>
      </c>
      <c r="G394" s="431">
        <v>270.55</v>
      </c>
    </row>
    <row r="395" spans="1:7" ht="39.6" x14ac:dyDescent="0.3">
      <c r="A395" s="440" t="s">
        <v>443</v>
      </c>
      <c r="B395" s="441" t="s">
        <v>242</v>
      </c>
      <c r="C395" s="441" t="s">
        <v>442</v>
      </c>
      <c r="D395" s="443" t="s">
        <v>246</v>
      </c>
      <c r="E395" s="432">
        <v>1</v>
      </c>
      <c r="F395" s="433">
        <v>83.24</v>
      </c>
      <c r="G395" s="433">
        <v>83.24</v>
      </c>
    </row>
    <row r="396" spans="1:7" ht="39.6" x14ac:dyDescent="0.3">
      <c r="A396" s="440" t="s">
        <v>449</v>
      </c>
      <c r="B396" s="441" t="s">
        <v>242</v>
      </c>
      <c r="C396" s="441" t="s">
        <v>448</v>
      </c>
      <c r="D396" s="443" t="s">
        <v>246</v>
      </c>
      <c r="E396" s="432">
        <v>1</v>
      </c>
      <c r="F396" s="433">
        <v>16.77</v>
      </c>
      <c r="G396" s="433">
        <v>16.77</v>
      </c>
    </row>
    <row r="397" spans="1:7" ht="26.4" x14ac:dyDescent="0.3">
      <c r="A397" s="440" t="s">
        <v>429</v>
      </c>
      <c r="B397" s="441" t="s">
        <v>242</v>
      </c>
      <c r="C397" s="441" t="s">
        <v>428</v>
      </c>
      <c r="D397" s="443" t="s">
        <v>246</v>
      </c>
      <c r="E397" s="432">
        <v>1</v>
      </c>
      <c r="F397" s="433">
        <v>46.43</v>
      </c>
      <c r="G397" s="433">
        <v>46.43</v>
      </c>
    </row>
    <row r="398" spans="1:7" ht="39.6" x14ac:dyDescent="0.3">
      <c r="A398" s="440" t="s">
        <v>447</v>
      </c>
      <c r="B398" s="441" t="s">
        <v>242</v>
      </c>
      <c r="C398" s="441" t="s">
        <v>446</v>
      </c>
      <c r="D398" s="443" t="s">
        <v>246</v>
      </c>
      <c r="E398" s="432">
        <v>1</v>
      </c>
      <c r="F398" s="433">
        <v>76.510000000000005</v>
      </c>
      <c r="G398" s="433">
        <v>76.510000000000005</v>
      </c>
    </row>
    <row r="399" spans="1:7" ht="39.6" x14ac:dyDescent="0.3">
      <c r="A399" s="440" t="s">
        <v>451</v>
      </c>
      <c r="B399" s="441" t="s">
        <v>242</v>
      </c>
      <c r="C399" s="441" t="s">
        <v>450</v>
      </c>
      <c r="D399" s="443" t="s">
        <v>246</v>
      </c>
      <c r="E399" s="432">
        <v>1</v>
      </c>
      <c r="F399" s="433">
        <v>47.6</v>
      </c>
      <c r="G399" s="433">
        <v>47.6</v>
      </c>
    </row>
    <row r="400" spans="1:7" x14ac:dyDescent="0.3">
      <c r="A400" s="436"/>
      <c r="B400" s="436"/>
      <c r="C400" s="436"/>
      <c r="D400" s="436" t="s">
        <v>261</v>
      </c>
      <c r="E400" s="437">
        <v>0</v>
      </c>
      <c r="F400" s="436" t="s">
        <v>262</v>
      </c>
      <c r="G400" s="437">
        <v>40.75</v>
      </c>
    </row>
    <row r="401" spans="1:7" ht="15" thickBot="1" x14ac:dyDescent="0.35">
      <c r="A401" s="436"/>
      <c r="B401" s="436"/>
      <c r="C401" s="436"/>
      <c r="D401" s="436"/>
      <c r="E401" s="438" t="s">
        <v>263</v>
      </c>
      <c r="F401" s="438"/>
      <c r="G401" s="437">
        <v>329.96</v>
      </c>
    </row>
    <row r="402" spans="1:7" ht="15" thickTop="1" x14ac:dyDescent="0.3">
      <c r="A402" s="451"/>
      <c r="B402" s="451"/>
      <c r="C402" s="451"/>
      <c r="D402" s="451"/>
      <c r="E402" s="451"/>
      <c r="F402" s="451"/>
      <c r="G402" s="451"/>
    </row>
    <row r="403" spans="1:7" x14ac:dyDescent="0.3">
      <c r="A403" s="456" t="s">
        <v>235</v>
      </c>
      <c r="B403" s="458" t="s">
        <v>236</v>
      </c>
      <c r="C403" s="458" t="s">
        <v>237</v>
      </c>
      <c r="D403" s="457" t="s">
        <v>238</v>
      </c>
      <c r="E403" s="456" t="s">
        <v>239</v>
      </c>
      <c r="F403" s="456" t="s">
        <v>240</v>
      </c>
      <c r="G403" s="456" t="s">
        <v>148</v>
      </c>
    </row>
    <row r="404" spans="1:7" ht="39.6" x14ac:dyDescent="0.3">
      <c r="A404" s="455" t="s">
        <v>451</v>
      </c>
      <c r="B404" s="454" t="s">
        <v>242</v>
      </c>
      <c r="C404" s="454" t="s">
        <v>450</v>
      </c>
      <c r="D404" s="442" t="s">
        <v>246</v>
      </c>
      <c r="E404" s="430">
        <v>1</v>
      </c>
      <c r="F404" s="431">
        <v>47.6</v>
      </c>
      <c r="G404" s="431">
        <v>47.6</v>
      </c>
    </row>
    <row r="405" spans="1:7" ht="39.6" x14ac:dyDescent="0.3">
      <c r="A405" s="453" t="s">
        <v>445</v>
      </c>
      <c r="B405" s="452" t="s">
        <v>242</v>
      </c>
      <c r="C405" s="452" t="s">
        <v>444</v>
      </c>
      <c r="D405" s="444" t="s">
        <v>333</v>
      </c>
      <c r="E405" s="434">
        <v>4.0000000000000003E-5</v>
      </c>
      <c r="F405" s="435">
        <v>1190000</v>
      </c>
      <c r="G405" s="435">
        <v>47.6</v>
      </c>
    </row>
    <row r="406" spans="1:7" x14ac:dyDescent="0.3">
      <c r="A406" s="436"/>
      <c r="B406" s="436"/>
      <c r="C406" s="436"/>
      <c r="D406" s="436" t="s">
        <v>261</v>
      </c>
      <c r="E406" s="437">
        <v>0</v>
      </c>
      <c r="F406" s="436" t="s">
        <v>262</v>
      </c>
      <c r="G406" s="437">
        <v>0</v>
      </c>
    </row>
    <row r="407" spans="1:7" ht="15" thickBot="1" x14ac:dyDescent="0.35">
      <c r="A407" s="436"/>
      <c r="B407" s="436"/>
      <c r="C407" s="436"/>
      <c r="D407" s="436"/>
      <c r="E407" s="438" t="s">
        <v>263</v>
      </c>
      <c r="F407" s="438"/>
      <c r="G407" s="437">
        <v>58.05</v>
      </c>
    </row>
    <row r="408" spans="1:7" ht="15" thickTop="1" x14ac:dyDescent="0.3">
      <c r="A408" s="451"/>
      <c r="B408" s="451"/>
      <c r="C408" s="451"/>
      <c r="D408" s="451"/>
      <c r="E408" s="451"/>
      <c r="F408" s="451"/>
      <c r="G408" s="451"/>
    </row>
    <row r="409" spans="1:7" x14ac:dyDescent="0.3">
      <c r="A409" s="456" t="s">
        <v>235</v>
      </c>
      <c r="B409" s="458" t="s">
        <v>236</v>
      </c>
      <c r="C409" s="458" t="s">
        <v>237</v>
      </c>
      <c r="D409" s="457" t="s">
        <v>238</v>
      </c>
      <c r="E409" s="456" t="s">
        <v>239</v>
      </c>
      <c r="F409" s="456" t="s">
        <v>240</v>
      </c>
      <c r="G409" s="456" t="s">
        <v>148</v>
      </c>
    </row>
    <row r="410" spans="1:7" ht="39.6" x14ac:dyDescent="0.3">
      <c r="A410" s="455" t="s">
        <v>449</v>
      </c>
      <c r="B410" s="454" t="s">
        <v>242</v>
      </c>
      <c r="C410" s="454" t="s">
        <v>448</v>
      </c>
      <c r="D410" s="442" t="s">
        <v>246</v>
      </c>
      <c r="E410" s="430">
        <v>1</v>
      </c>
      <c r="F410" s="431">
        <v>16.77</v>
      </c>
      <c r="G410" s="431">
        <v>16.77</v>
      </c>
    </row>
    <row r="411" spans="1:7" ht="39.6" x14ac:dyDescent="0.3">
      <c r="A411" s="453" t="s">
        <v>445</v>
      </c>
      <c r="B411" s="452" t="s">
        <v>242</v>
      </c>
      <c r="C411" s="452" t="s">
        <v>444</v>
      </c>
      <c r="D411" s="444" t="s">
        <v>333</v>
      </c>
      <c r="E411" s="434">
        <v>1.4100000000000001E-5</v>
      </c>
      <c r="F411" s="435">
        <v>1190000</v>
      </c>
      <c r="G411" s="435">
        <v>16.779</v>
      </c>
    </row>
    <row r="412" spans="1:7" x14ac:dyDescent="0.3">
      <c r="A412" s="436"/>
      <c r="B412" s="436"/>
      <c r="C412" s="436"/>
      <c r="D412" s="436" t="s">
        <v>261</v>
      </c>
      <c r="E412" s="437">
        <v>0</v>
      </c>
      <c r="F412" s="436" t="s">
        <v>262</v>
      </c>
      <c r="G412" s="437">
        <v>0</v>
      </c>
    </row>
    <row r="413" spans="1:7" ht="15" thickBot="1" x14ac:dyDescent="0.35">
      <c r="A413" s="436"/>
      <c r="B413" s="436"/>
      <c r="C413" s="436"/>
      <c r="D413" s="436"/>
      <c r="E413" s="438" t="s">
        <v>263</v>
      </c>
      <c r="F413" s="438"/>
      <c r="G413" s="437">
        <v>20.45</v>
      </c>
    </row>
    <row r="414" spans="1:7" ht="15" thickTop="1" x14ac:dyDescent="0.3">
      <c r="A414" s="451"/>
      <c r="B414" s="451"/>
      <c r="C414" s="451"/>
      <c r="D414" s="451"/>
      <c r="E414" s="451"/>
      <c r="F414" s="451"/>
      <c r="G414" s="451"/>
    </row>
    <row r="415" spans="1:7" x14ac:dyDescent="0.3">
      <c r="A415" s="456" t="s">
        <v>235</v>
      </c>
      <c r="B415" s="458" t="s">
        <v>236</v>
      </c>
      <c r="C415" s="458" t="s">
        <v>237</v>
      </c>
      <c r="D415" s="457" t="s">
        <v>238</v>
      </c>
      <c r="E415" s="456" t="s">
        <v>239</v>
      </c>
      <c r="F415" s="456" t="s">
        <v>240</v>
      </c>
      <c r="G415" s="456" t="s">
        <v>148</v>
      </c>
    </row>
    <row r="416" spans="1:7" ht="39.6" x14ac:dyDescent="0.3">
      <c r="A416" s="455" t="s">
        <v>447</v>
      </c>
      <c r="B416" s="454" t="s">
        <v>242</v>
      </c>
      <c r="C416" s="454" t="s">
        <v>446</v>
      </c>
      <c r="D416" s="442" t="s">
        <v>246</v>
      </c>
      <c r="E416" s="430">
        <v>1</v>
      </c>
      <c r="F416" s="431">
        <v>76.510000000000005</v>
      </c>
      <c r="G416" s="431">
        <v>76.510000000000005</v>
      </c>
    </row>
    <row r="417" spans="1:7" ht="39.6" x14ac:dyDescent="0.3">
      <c r="A417" s="453" t="s">
        <v>445</v>
      </c>
      <c r="B417" s="452" t="s">
        <v>242</v>
      </c>
      <c r="C417" s="452" t="s">
        <v>444</v>
      </c>
      <c r="D417" s="444" t="s">
        <v>333</v>
      </c>
      <c r="E417" s="434">
        <v>6.4300000000000004E-5</v>
      </c>
      <c r="F417" s="435">
        <v>1190000</v>
      </c>
      <c r="G417" s="435">
        <v>76.516999999999996</v>
      </c>
    </row>
    <row r="418" spans="1:7" x14ac:dyDescent="0.3">
      <c r="A418" s="436"/>
      <c r="B418" s="436"/>
      <c r="C418" s="436"/>
      <c r="D418" s="436" t="s">
        <v>261</v>
      </c>
      <c r="E418" s="437">
        <v>0</v>
      </c>
      <c r="F418" s="436" t="s">
        <v>262</v>
      </c>
      <c r="G418" s="437">
        <v>0</v>
      </c>
    </row>
    <row r="419" spans="1:7" ht="15" thickBot="1" x14ac:dyDescent="0.35">
      <c r="A419" s="436"/>
      <c r="B419" s="436"/>
      <c r="C419" s="436"/>
      <c r="D419" s="436"/>
      <c r="E419" s="438" t="s">
        <v>263</v>
      </c>
      <c r="F419" s="438"/>
      <c r="G419" s="437">
        <v>93.31</v>
      </c>
    </row>
    <row r="420" spans="1:7" ht="15" thickTop="1" x14ac:dyDescent="0.3">
      <c r="A420" s="451"/>
      <c r="B420" s="451"/>
      <c r="C420" s="451"/>
      <c r="D420" s="451"/>
      <c r="E420" s="451"/>
      <c r="F420" s="451"/>
      <c r="G420" s="451"/>
    </row>
    <row r="421" spans="1:7" x14ac:dyDescent="0.3">
      <c r="A421" s="456" t="s">
        <v>235</v>
      </c>
      <c r="B421" s="458" t="s">
        <v>236</v>
      </c>
      <c r="C421" s="458" t="s">
        <v>237</v>
      </c>
      <c r="D421" s="457" t="s">
        <v>238</v>
      </c>
      <c r="E421" s="456" t="s">
        <v>239</v>
      </c>
      <c r="F421" s="456" t="s">
        <v>240</v>
      </c>
      <c r="G421" s="456" t="s">
        <v>148</v>
      </c>
    </row>
    <row r="422" spans="1:7" ht="39.6" x14ac:dyDescent="0.3">
      <c r="A422" s="455" t="s">
        <v>443</v>
      </c>
      <c r="B422" s="454" t="s">
        <v>242</v>
      </c>
      <c r="C422" s="454" t="s">
        <v>442</v>
      </c>
      <c r="D422" s="442" t="s">
        <v>246</v>
      </c>
      <c r="E422" s="430">
        <v>1</v>
      </c>
      <c r="F422" s="431">
        <v>83.24</v>
      </c>
      <c r="G422" s="431">
        <v>83.24</v>
      </c>
    </row>
    <row r="423" spans="1:7" ht="26.4" x14ac:dyDescent="0.3">
      <c r="A423" s="453" t="s">
        <v>385</v>
      </c>
      <c r="B423" s="452" t="s">
        <v>242</v>
      </c>
      <c r="C423" s="452" t="s">
        <v>384</v>
      </c>
      <c r="D423" s="444" t="s">
        <v>383</v>
      </c>
      <c r="E423" s="434">
        <v>13.99</v>
      </c>
      <c r="F423" s="435">
        <v>5.95</v>
      </c>
      <c r="G423" s="435">
        <v>83.240499999999997</v>
      </c>
    </row>
    <row r="424" spans="1:7" x14ac:dyDescent="0.3">
      <c r="A424" s="436"/>
      <c r="B424" s="436"/>
      <c r="C424" s="436"/>
      <c r="D424" s="436" t="s">
        <v>261</v>
      </c>
      <c r="E424" s="437">
        <v>0</v>
      </c>
      <c r="F424" s="436" t="s">
        <v>262</v>
      </c>
      <c r="G424" s="437">
        <v>0</v>
      </c>
    </row>
    <row r="425" spans="1:7" ht="15" thickBot="1" x14ac:dyDescent="0.35">
      <c r="A425" s="436"/>
      <c r="B425" s="436"/>
      <c r="C425" s="436"/>
      <c r="D425" s="436"/>
      <c r="E425" s="438" t="s">
        <v>263</v>
      </c>
      <c r="F425" s="438"/>
      <c r="G425" s="437">
        <v>101.51</v>
      </c>
    </row>
    <row r="426" spans="1:7" ht="15" thickTop="1" x14ac:dyDescent="0.3">
      <c r="A426" s="451"/>
      <c r="B426" s="451"/>
      <c r="C426" s="451"/>
      <c r="D426" s="451"/>
      <c r="E426" s="451"/>
      <c r="F426" s="451"/>
      <c r="G426" s="451"/>
    </row>
    <row r="427" spans="1:7" x14ac:dyDescent="0.3">
      <c r="A427" s="456" t="s">
        <v>235</v>
      </c>
      <c r="B427" s="458" t="s">
        <v>236</v>
      </c>
      <c r="C427" s="458" t="s">
        <v>237</v>
      </c>
      <c r="D427" s="457" t="s">
        <v>238</v>
      </c>
      <c r="E427" s="456" t="s">
        <v>239</v>
      </c>
      <c r="F427" s="456" t="s">
        <v>240</v>
      </c>
      <c r="G427" s="456" t="s">
        <v>148</v>
      </c>
    </row>
    <row r="428" spans="1:7" ht="26.4" x14ac:dyDescent="0.3">
      <c r="A428" s="455" t="s">
        <v>441</v>
      </c>
      <c r="B428" s="454" t="s">
        <v>242</v>
      </c>
      <c r="C428" s="454" t="s">
        <v>440</v>
      </c>
      <c r="D428" s="442" t="s">
        <v>246</v>
      </c>
      <c r="E428" s="430">
        <v>1</v>
      </c>
      <c r="F428" s="431">
        <v>28.42</v>
      </c>
      <c r="G428" s="431">
        <v>28.42</v>
      </c>
    </row>
    <row r="429" spans="1:7" ht="26.4" x14ac:dyDescent="0.3">
      <c r="A429" s="440" t="s">
        <v>439</v>
      </c>
      <c r="B429" s="441" t="s">
        <v>242</v>
      </c>
      <c r="C429" s="441" t="s">
        <v>438</v>
      </c>
      <c r="D429" s="443" t="s">
        <v>246</v>
      </c>
      <c r="E429" s="432">
        <v>1</v>
      </c>
      <c r="F429" s="433">
        <v>0.11</v>
      </c>
      <c r="G429" s="433">
        <v>0.11</v>
      </c>
    </row>
    <row r="430" spans="1:7" x14ac:dyDescent="0.3">
      <c r="A430" s="453" t="s">
        <v>437</v>
      </c>
      <c r="B430" s="452" t="s">
        <v>242</v>
      </c>
      <c r="C430" s="452" t="s">
        <v>436</v>
      </c>
      <c r="D430" s="444" t="s">
        <v>246</v>
      </c>
      <c r="E430" s="434">
        <v>1</v>
      </c>
      <c r="F430" s="435">
        <v>22.63</v>
      </c>
      <c r="G430" s="435">
        <v>22.63</v>
      </c>
    </row>
    <row r="431" spans="1:7" ht="26.4" x14ac:dyDescent="0.3">
      <c r="A431" s="453" t="s">
        <v>370</v>
      </c>
      <c r="B431" s="452" t="s">
        <v>242</v>
      </c>
      <c r="C431" s="452" t="s">
        <v>369</v>
      </c>
      <c r="D431" s="444" t="s">
        <v>246</v>
      </c>
      <c r="E431" s="434">
        <v>1</v>
      </c>
      <c r="F431" s="435">
        <v>0.11</v>
      </c>
      <c r="G431" s="435">
        <v>0.11</v>
      </c>
    </row>
    <row r="432" spans="1:7" ht="26.4" x14ac:dyDescent="0.3">
      <c r="A432" s="453" t="s">
        <v>419</v>
      </c>
      <c r="B432" s="452" t="s">
        <v>242</v>
      </c>
      <c r="C432" s="452" t="s">
        <v>418</v>
      </c>
      <c r="D432" s="444" t="s">
        <v>246</v>
      </c>
      <c r="E432" s="434">
        <v>1</v>
      </c>
      <c r="F432" s="435">
        <v>1.1299999999999999</v>
      </c>
      <c r="G432" s="435">
        <v>1.1299999999999999</v>
      </c>
    </row>
    <row r="433" spans="1:7" ht="26.4" x14ac:dyDescent="0.3">
      <c r="A433" s="453" t="s">
        <v>372</v>
      </c>
      <c r="B433" s="452" t="s">
        <v>242</v>
      </c>
      <c r="C433" s="452" t="s">
        <v>371</v>
      </c>
      <c r="D433" s="444" t="s">
        <v>246</v>
      </c>
      <c r="E433" s="434">
        <v>1</v>
      </c>
      <c r="F433" s="435">
        <v>2.4900000000000002</v>
      </c>
      <c r="G433" s="435">
        <v>2.4900000000000002</v>
      </c>
    </row>
    <row r="434" spans="1:7" ht="26.4" x14ac:dyDescent="0.3">
      <c r="A434" s="453" t="s">
        <v>421</v>
      </c>
      <c r="B434" s="452" t="s">
        <v>242</v>
      </c>
      <c r="C434" s="452" t="s">
        <v>420</v>
      </c>
      <c r="D434" s="444" t="s">
        <v>246</v>
      </c>
      <c r="E434" s="434">
        <v>1</v>
      </c>
      <c r="F434" s="435">
        <v>0.05</v>
      </c>
      <c r="G434" s="435">
        <v>0.05</v>
      </c>
    </row>
    <row r="435" spans="1:7" ht="26.4" x14ac:dyDescent="0.3">
      <c r="A435" s="453" t="s">
        <v>366</v>
      </c>
      <c r="B435" s="452" t="s">
        <v>242</v>
      </c>
      <c r="C435" s="452" t="s">
        <v>365</v>
      </c>
      <c r="D435" s="444" t="s">
        <v>246</v>
      </c>
      <c r="E435" s="434">
        <v>1</v>
      </c>
      <c r="F435" s="435">
        <v>0.48</v>
      </c>
      <c r="G435" s="435">
        <v>0.48</v>
      </c>
    </row>
    <row r="436" spans="1:7" ht="26.4" x14ac:dyDescent="0.3">
      <c r="A436" s="453" t="s">
        <v>362</v>
      </c>
      <c r="B436" s="452" t="s">
        <v>242</v>
      </c>
      <c r="C436" s="452" t="s">
        <v>361</v>
      </c>
      <c r="D436" s="444" t="s">
        <v>246</v>
      </c>
      <c r="E436" s="434">
        <v>1</v>
      </c>
      <c r="F436" s="435">
        <v>1.42</v>
      </c>
      <c r="G436" s="435">
        <v>1.42</v>
      </c>
    </row>
    <row r="437" spans="1:7" x14ac:dyDescent="0.3">
      <c r="A437" s="436"/>
      <c r="B437" s="436"/>
      <c r="C437" s="436"/>
      <c r="D437" s="436" t="s">
        <v>261</v>
      </c>
      <c r="E437" s="437">
        <v>0</v>
      </c>
      <c r="F437" s="436" t="s">
        <v>262</v>
      </c>
      <c r="G437" s="437">
        <v>22.74</v>
      </c>
    </row>
    <row r="438" spans="1:7" ht="15" thickBot="1" x14ac:dyDescent="0.35">
      <c r="A438" s="436"/>
      <c r="B438" s="436"/>
      <c r="C438" s="436"/>
      <c r="D438" s="436"/>
      <c r="E438" s="438" t="s">
        <v>263</v>
      </c>
      <c r="F438" s="438"/>
      <c r="G438" s="437">
        <v>34.659999999999997</v>
      </c>
    </row>
    <row r="439" spans="1:7" ht="15" thickTop="1" x14ac:dyDescent="0.3">
      <c r="A439" s="451"/>
      <c r="B439" s="451"/>
      <c r="C439" s="451"/>
      <c r="D439" s="451"/>
      <c r="E439" s="451"/>
      <c r="F439" s="451"/>
      <c r="G439" s="451"/>
    </row>
    <row r="440" spans="1:7" x14ac:dyDescent="0.3">
      <c r="A440" s="456" t="s">
        <v>235</v>
      </c>
      <c r="B440" s="458" t="s">
        <v>236</v>
      </c>
      <c r="C440" s="458" t="s">
        <v>237</v>
      </c>
      <c r="D440" s="457" t="s">
        <v>238</v>
      </c>
      <c r="E440" s="456" t="s">
        <v>239</v>
      </c>
      <c r="F440" s="456" t="s">
        <v>240</v>
      </c>
      <c r="G440" s="456" t="s">
        <v>148</v>
      </c>
    </row>
    <row r="441" spans="1:7" ht="26.4" x14ac:dyDescent="0.3">
      <c r="A441" s="455" t="s">
        <v>435</v>
      </c>
      <c r="B441" s="454" t="s">
        <v>242</v>
      </c>
      <c r="C441" s="454" t="s">
        <v>434</v>
      </c>
      <c r="D441" s="442" t="s">
        <v>246</v>
      </c>
      <c r="E441" s="430">
        <v>1</v>
      </c>
      <c r="F441" s="431">
        <v>27.37</v>
      </c>
      <c r="G441" s="431">
        <v>27.37</v>
      </c>
    </row>
    <row r="442" spans="1:7" ht="39.6" x14ac:dyDescent="0.3">
      <c r="A442" s="440" t="s">
        <v>433</v>
      </c>
      <c r="B442" s="441" t="s">
        <v>242</v>
      </c>
      <c r="C442" s="441" t="s">
        <v>432</v>
      </c>
      <c r="D442" s="443" t="s">
        <v>246</v>
      </c>
      <c r="E442" s="432">
        <v>1</v>
      </c>
      <c r="F442" s="433">
        <v>0.17</v>
      </c>
      <c r="G442" s="433">
        <v>0.17</v>
      </c>
    </row>
    <row r="443" spans="1:7" ht="26.4" x14ac:dyDescent="0.3">
      <c r="A443" s="453" t="s">
        <v>370</v>
      </c>
      <c r="B443" s="452" t="s">
        <v>242</v>
      </c>
      <c r="C443" s="452" t="s">
        <v>369</v>
      </c>
      <c r="D443" s="444" t="s">
        <v>246</v>
      </c>
      <c r="E443" s="434">
        <v>1</v>
      </c>
      <c r="F443" s="435">
        <v>0.11</v>
      </c>
      <c r="G443" s="435">
        <v>0.11</v>
      </c>
    </row>
    <row r="444" spans="1:7" ht="26.4" x14ac:dyDescent="0.3">
      <c r="A444" s="453" t="s">
        <v>362</v>
      </c>
      <c r="B444" s="452" t="s">
        <v>242</v>
      </c>
      <c r="C444" s="452" t="s">
        <v>361</v>
      </c>
      <c r="D444" s="444" t="s">
        <v>246</v>
      </c>
      <c r="E444" s="434">
        <v>1</v>
      </c>
      <c r="F444" s="435">
        <v>1.42</v>
      </c>
      <c r="G444" s="435">
        <v>1.42</v>
      </c>
    </row>
    <row r="445" spans="1:7" ht="26.4" x14ac:dyDescent="0.3">
      <c r="A445" s="453" t="s">
        <v>366</v>
      </c>
      <c r="B445" s="452" t="s">
        <v>242</v>
      </c>
      <c r="C445" s="452" t="s">
        <v>365</v>
      </c>
      <c r="D445" s="444" t="s">
        <v>246</v>
      </c>
      <c r="E445" s="434">
        <v>1</v>
      </c>
      <c r="F445" s="435">
        <v>0.48</v>
      </c>
      <c r="G445" s="435">
        <v>0.48</v>
      </c>
    </row>
    <row r="446" spans="1:7" ht="26.4" x14ac:dyDescent="0.3">
      <c r="A446" s="453" t="s">
        <v>372</v>
      </c>
      <c r="B446" s="452" t="s">
        <v>242</v>
      </c>
      <c r="C446" s="452" t="s">
        <v>371</v>
      </c>
      <c r="D446" s="444" t="s">
        <v>246</v>
      </c>
      <c r="E446" s="434">
        <v>1</v>
      </c>
      <c r="F446" s="435">
        <v>2.4900000000000002</v>
      </c>
      <c r="G446" s="435">
        <v>2.4900000000000002</v>
      </c>
    </row>
    <row r="447" spans="1:7" ht="26.4" x14ac:dyDescent="0.3">
      <c r="A447" s="453" t="s">
        <v>431</v>
      </c>
      <c r="B447" s="452" t="s">
        <v>242</v>
      </c>
      <c r="C447" s="452" t="s">
        <v>430</v>
      </c>
      <c r="D447" s="444" t="s">
        <v>246</v>
      </c>
      <c r="E447" s="434">
        <v>1</v>
      </c>
      <c r="F447" s="435">
        <v>21.52</v>
      </c>
      <c r="G447" s="435">
        <v>21.52</v>
      </c>
    </row>
    <row r="448" spans="1:7" ht="26.4" x14ac:dyDescent="0.3">
      <c r="A448" s="453" t="s">
        <v>421</v>
      </c>
      <c r="B448" s="452" t="s">
        <v>242</v>
      </c>
      <c r="C448" s="452" t="s">
        <v>420</v>
      </c>
      <c r="D448" s="444" t="s">
        <v>246</v>
      </c>
      <c r="E448" s="434">
        <v>1</v>
      </c>
      <c r="F448" s="435">
        <v>0.05</v>
      </c>
      <c r="G448" s="435">
        <v>0.05</v>
      </c>
    </row>
    <row r="449" spans="1:7" ht="26.4" x14ac:dyDescent="0.3">
      <c r="A449" s="453" t="s">
        <v>419</v>
      </c>
      <c r="B449" s="452" t="s">
        <v>242</v>
      </c>
      <c r="C449" s="452" t="s">
        <v>418</v>
      </c>
      <c r="D449" s="444" t="s">
        <v>246</v>
      </c>
      <c r="E449" s="434">
        <v>1</v>
      </c>
      <c r="F449" s="435">
        <v>1.1299999999999999</v>
      </c>
      <c r="G449" s="435">
        <v>1.1299999999999999</v>
      </c>
    </row>
    <row r="450" spans="1:7" x14ac:dyDescent="0.3">
      <c r="A450" s="436"/>
      <c r="B450" s="436"/>
      <c r="C450" s="436"/>
      <c r="D450" s="436" t="s">
        <v>261</v>
      </c>
      <c r="E450" s="437">
        <v>0</v>
      </c>
      <c r="F450" s="436" t="s">
        <v>262</v>
      </c>
      <c r="G450" s="437">
        <v>21.69</v>
      </c>
    </row>
    <row r="451" spans="1:7" ht="15" thickBot="1" x14ac:dyDescent="0.35">
      <c r="A451" s="436"/>
      <c r="B451" s="436"/>
      <c r="C451" s="436"/>
      <c r="D451" s="436"/>
      <c r="E451" s="438" t="s">
        <v>263</v>
      </c>
      <c r="F451" s="438"/>
      <c r="G451" s="437">
        <v>33.380000000000003</v>
      </c>
    </row>
    <row r="452" spans="1:7" ht="15" thickTop="1" x14ac:dyDescent="0.3">
      <c r="A452" s="451"/>
      <c r="B452" s="451"/>
      <c r="C452" s="451"/>
      <c r="D452" s="451"/>
      <c r="E452" s="451"/>
      <c r="F452" s="451"/>
      <c r="G452" s="451"/>
    </row>
    <row r="453" spans="1:7" x14ac:dyDescent="0.3">
      <c r="A453" s="456" t="s">
        <v>235</v>
      </c>
      <c r="B453" s="458" t="s">
        <v>236</v>
      </c>
      <c r="C453" s="458" t="s">
        <v>237</v>
      </c>
      <c r="D453" s="457" t="s">
        <v>238</v>
      </c>
      <c r="E453" s="456" t="s">
        <v>239</v>
      </c>
      <c r="F453" s="456" t="s">
        <v>240</v>
      </c>
      <c r="G453" s="456" t="s">
        <v>148</v>
      </c>
    </row>
    <row r="454" spans="1:7" ht="26.4" x14ac:dyDescent="0.3">
      <c r="A454" s="455" t="s">
        <v>429</v>
      </c>
      <c r="B454" s="454" t="s">
        <v>242</v>
      </c>
      <c r="C454" s="454" t="s">
        <v>428</v>
      </c>
      <c r="D454" s="442" t="s">
        <v>246</v>
      </c>
      <c r="E454" s="430">
        <v>1</v>
      </c>
      <c r="F454" s="431">
        <v>46.43</v>
      </c>
      <c r="G454" s="431">
        <v>46.43</v>
      </c>
    </row>
    <row r="455" spans="1:7" ht="26.4" x14ac:dyDescent="0.3">
      <c r="A455" s="440" t="s">
        <v>427</v>
      </c>
      <c r="B455" s="441" t="s">
        <v>242</v>
      </c>
      <c r="C455" s="441" t="s">
        <v>426</v>
      </c>
      <c r="D455" s="443" t="s">
        <v>246</v>
      </c>
      <c r="E455" s="432">
        <v>1</v>
      </c>
      <c r="F455" s="433">
        <v>0.33</v>
      </c>
      <c r="G455" s="433">
        <v>0.33</v>
      </c>
    </row>
    <row r="456" spans="1:7" ht="26.4" x14ac:dyDescent="0.3">
      <c r="A456" s="453" t="s">
        <v>419</v>
      </c>
      <c r="B456" s="452" t="s">
        <v>242</v>
      </c>
      <c r="C456" s="452" t="s">
        <v>418</v>
      </c>
      <c r="D456" s="444" t="s">
        <v>246</v>
      </c>
      <c r="E456" s="434">
        <v>1</v>
      </c>
      <c r="F456" s="435">
        <v>1.1299999999999999</v>
      </c>
      <c r="G456" s="435">
        <v>1.1299999999999999</v>
      </c>
    </row>
    <row r="457" spans="1:7" ht="26.4" x14ac:dyDescent="0.3">
      <c r="A457" s="453" t="s">
        <v>372</v>
      </c>
      <c r="B457" s="452" t="s">
        <v>242</v>
      </c>
      <c r="C457" s="452" t="s">
        <v>371</v>
      </c>
      <c r="D457" s="444" t="s">
        <v>246</v>
      </c>
      <c r="E457" s="434">
        <v>1</v>
      </c>
      <c r="F457" s="435">
        <v>2.4900000000000002</v>
      </c>
      <c r="G457" s="435">
        <v>2.4900000000000002</v>
      </c>
    </row>
    <row r="458" spans="1:7" ht="26.4" x14ac:dyDescent="0.3">
      <c r="A458" s="453" t="s">
        <v>362</v>
      </c>
      <c r="B458" s="452" t="s">
        <v>242</v>
      </c>
      <c r="C458" s="452" t="s">
        <v>361</v>
      </c>
      <c r="D458" s="444" t="s">
        <v>246</v>
      </c>
      <c r="E458" s="434">
        <v>1</v>
      </c>
      <c r="F458" s="435">
        <v>1.42</v>
      </c>
      <c r="G458" s="435">
        <v>1.42</v>
      </c>
    </row>
    <row r="459" spans="1:7" x14ac:dyDescent="0.3">
      <c r="A459" s="453" t="s">
        <v>425</v>
      </c>
      <c r="B459" s="452" t="s">
        <v>242</v>
      </c>
      <c r="C459" s="452" t="s">
        <v>424</v>
      </c>
      <c r="D459" s="444" t="s">
        <v>246</v>
      </c>
      <c r="E459" s="434">
        <v>1</v>
      </c>
      <c r="F459" s="435">
        <v>40.42</v>
      </c>
      <c r="G459" s="435">
        <v>40.42</v>
      </c>
    </row>
    <row r="460" spans="1:7" ht="26.4" x14ac:dyDescent="0.3">
      <c r="A460" s="453" t="s">
        <v>421</v>
      </c>
      <c r="B460" s="452" t="s">
        <v>242</v>
      </c>
      <c r="C460" s="452" t="s">
        <v>420</v>
      </c>
      <c r="D460" s="444" t="s">
        <v>246</v>
      </c>
      <c r="E460" s="434">
        <v>1</v>
      </c>
      <c r="F460" s="435">
        <v>0.05</v>
      </c>
      <c r="G460" s="435">
        <v>0.05</v>
      </c>
    </row>
    <row r="461" spans="1:7" ht="26.4" x14ac:dyDescent="0.3">
      <c r="A461" s="453" t="s">
        <v>370</v>
      </c>
      <c r="B461" s="452" t="s">
        <v>242</v>
      </c>
      <c r="C461" s="452" t="s">
        <v>369</v>
      </c>
      <c r="D461" s="444" t="s">
        <v>246</v>
      </c>
      <c r="E461" s="434">
        <v>1</v>
      </c>
      <c r="F461" s="435">
        <v>0.11</v>
      </c>
      <c r="G461" s="435">
        <v>0.11</v>
      </c>
    </row>
    <row r="462" spans="1:7" ht="26.4" x14ac:dyDescent="0.3">
      <c r="A462" s="453" t="s">
        <v>366</v>
      </c>
      <c r="B462" s="452" t="s">
        <v>242</v>
      </c>
      <c r="C462" s="452" t="s">
        <v>365</v>
      </c>
      <c r="D462" s="444" t="s">
        <v>246</v>
      </c>
      <c r="E462" s="434">
        <v>1</v>
      </c>
      <c r="F462" s="435">
        <v>0.48</v>
      </c>
      <c r="G462" s="435">
        <v>0.48</v>
      </c>
    </row>
    <row r="463" spans="1:7" x14ac:dyDescent="0.3">
      <c r="A463" s="436"/>
      <c r="B463" s="436"/>
      <c r="C463" s="436"/>
      <c r="D463" s="436" t="s">
        <v>261</v>
      </c>
      <c r="E463" s="437">
        <v>0</v>
      </c>
      <c r="F463" s="436" t="s">
        <v>262</v>
      </c>
      <c r="G463" s="437">
        <v>40.75</v>
      </c>
    </row>
    <row r="464" spans="1:7" ht="15" thickBot="1" x14ac:dyDescent="0.35">
      <c r="A464" s="436"/>
      <c r="B464" s="436"/>
      <c r="C464" s="436"/>
      <c r="D464" s="436"/>
      <c r="E464" s="438" t="s">
        <v>263</v>
      </c>
      <c r="F464" s="438"/>
      <c r="G464" s="437">
        <v>56.62</v>
      </c>
    </row>
    <row r="465" spans="1:7" ht="15" thickTop="1" x14ac:dyDescent="0.3">
      <c r="A465" s="451"/>
      <c r="B465" s="451"/>
      <c r="C465" s="451"/>
      <c r="D465" s="451"/>
      <c r="E465" s="451"/>
      <c r="F465" s="451"/>
      <c r="G465" s="451"/>
    </row>
    <row r="466" spans="1:7" x14ac:dyDescent="0.3">
      <c r="A466" s="456" t="s">
        <v>235</v>
      </c>
      <c r="B466" s="458" t="s">
        <v>236</v>
      </c>
      <c r="C466" s="458" t="s">
        <v>237</v>
      </c>
      <c r="D466" s="457" t="s">
        <v>238</v>
      </c>
      <c r="E466" s="456" t="s">
        <v>239</v>
      </c>
      <c r="F466" s="456" t="s">
        <v>240</v>
      </c>
      <c r="G466" s="456" t="s">
        <v>148</v>
      </c>
    </row>
    <row r="467" spans="1:7" ht="26.4" x14ac:dyDescent="0.3">
      <c r="A467" s="455" t="s">
        <v>382</v>
      </c>
      <c r="B467" s="454" t="s">
        <v>242</v>
      </c>
      <c r="C467" s="454" t="s">
        <v>381</v>
      </c>
      <c r="D467" s="442" t="s">
        <v>246</v>
      </c>
      <c r="E467" s="430">
        <v>1</v>
      </c>
      <c r="F467" s="431">
        <v>26.52</v>
      </c>
      <c r="G467" s="431">
        <v>26.52</v>
      </c>
    </row>
    <row r="468" spans="1:7" ht="26.4" x14ac:dyDescent="0.3">
      <c r="A468" s="440" t="s">
        <v>423</v>
      </c>
      <c r="B468" s="441" t="s">
        <v>242</v>
      </c>
      <c r="C468" s="441" t="s">
        <v>422</v>
      </c>
      <c r="D468" s="443" t="s">
        <v>246</v>
      </c>
      <c r="E468" s="432">
        <v>1</v>
      </c>
      <c r="F468" s="433">
        <v>0.17</v>
      </c>
      <c r="G468" s="433">
        <v>0.17</v>
      </c>
    </row>
    <row r="469" spans="1:7" ht="26.4" x14ac:dyDescent="0.3">
      <c r="A469" s="453" t="s">
        <v>421</v>
      </c>
      <c r="B469" s="452" t="s">
        <v>242</v>
      </c>
      <c r="C469" s="452" t="s">
        <v>420</v>
      </c>
      <c r="D469" s="444" t="s">
        <v>246</v>
      </c>
      <c r="E469" s="434">
        <v>1</v>
      </c>
      <c r="F469" s="435">
        <v>0.05</v>
      </c>
      <c r="G469" s="435">
        <v>0.05</v>
      </c>
    </row>
    <row r="470" spans="1:7" ht="26.4" x14ac:dyDescent="0.3">
      <c r="A470" s="453" t="s">
        <v>362</v>
      </c>
      <c r="B470" s="452" t="s">
        <v>242</v>
      </c>
      <c r="C470" s="452" t="s">
        <v>361</v>
      </c>
      <c r="D470" s="444" t="s">
        <v>246</v>
      </c>
      <c r="E470" s="434">
        <v>1</v>
      </c>
      <c r="F470" s="435">
        <v>1.42</v>
      </c>
      <c r="G470" s="435">
        <v>1.42</v>
      </c>
    </row>
    <row r="471" spans="1:7" ht="26.4" x14ac:dyDescent="0.3">
      <c r="A471" s="453" t="s">
        <v>419</v>
      </c>
      <c r="B471" s="452" t="s">
        <v>242</v>
      </c>
      <c r="C471" s="452" t="s">
        <v>418</v>
      </c>
      <c r="D471" s="444" t="s">
        <v>246</v>
      </c>
      <c r="E471" s="434">
        <v>1</v>
      </c>
      <c r="F471" s="435">
        <v>1.1299999999999999</v>
      </c>
      <c r="G471" s="435">
        <v>1.1299999999999999</v>
      </c>
    </row>
    <row r="472" spans="1:7" ht="26.4" x14ac:dyDescent="0.3">
      <c r="A472" s="453" t="s">
        <v>370</v>
      </c>
      <c r="B472" s="452" t="s">
        <v>242</v>
      </c>
      <c r="C472" s="452" t="s">
        <v>369</v>
      </c>
      <c r="D472" s="444" t="s">
        <v>246</v>
      </c>
      <c r="E472" s="434">
        <v>1</v>
      </c>
      <c r="F472" s="435">
        <v>0.11</v>
      </c>
      <c r="G472" s="435">
        <v>0.11</v>
      </c>
    </row>
    <row r="473" spans="1:7" x14ac:dyDescent="0.3">
      <c r="A473" s="453" t="s">
        <v>417</v>
      </c>
      <c r="B473" s="452" t="s">
        <v>242</v>
      </c>
      <c r="C473" s="452" t="s">
        <v>416</v>
      </c>
      <c r="D473" s="444" t="s">
        <v>246</v>
      </c>
      <c r="E473" s="434">
        <v>1</v>
      </c>
      <c r="F473" s="435">
        <v>20.67</v>
      </c>
      <c r="G473" s="435">
        <v>20.67</v>
      </c>
    </row>
    <row r="474" spans="1:7" ht="26.4" x14ac:dyDescent="0.3">
      <c r="A474" s="453" t="s">
        <v>372</v>
      </c>
      <c r="B474" s="452" t="s">
        <v>242</v>
      </c>
      <c r="C474" s="452" t="s">
        <v>371</v>
      </c>
      <c r="D474" s="444" t="s">
        <v>246</v>
      </c>
      <c r="E474" s="434">
        <v>1</v>
      </c>
      <c r="F474" s="435">
        <v>2.4900000000000002</v>
      </c>
      <c r="G474" s="435">
        <v>2.4900000000000002</v>
      </c>
    </row>
    <row r="475" spans="1:7" ht="26.4" x14ac:dyDescent="0.3">
      <c r="A475" s="453" t="s">
        <v>366</v>
      </c>
      <c r="B475" s="452" t="s">
        <v>242</v>
      </c>
      <c r="C475" s="452" t="s">
        <v>365</v>
      </c>
      <c r="D475" s="444" t="s">
        <v>246</v>
      </c>
      <c r="E475" s="434">
        <v>1</v>
      </c>
      <c r="F475" s="435">
        <v>0.48</v>
      </c>
      <c r="G475" s="435">
        <v>0.48</v>
      </c>
    </row>
    <row r="476" spans="1:7" x14ac:dyDescent="0.3">
      <c r="A476" s="436"/>
      <c r="B476" s="436"/>
      <c r="C476" s="436"/>
      <c r="D476" s="436" t="s">
        <v>261</v>
      </c>
      <c r="E476" s="437">
        <v>0</v>
      </c>
      <c r="F476" s="436" t="s">
        <v>262</v>
      </c>
      <c r="G476" s="437">
        <v>20.84</v>
      </c>
    </row>
    <row r="477" spans="1:7" ht="15" thickBot="1" x14ac:dyDescent="0.35">
      <c r="A477" s="436"/>
      <c r="B477" s="436"/>
      <c r="C477" s="436"/>
      <c r="D477" s="436"/>
      <c r="E477" s="438" t="s">
        <v>263</v>
      </c>
      <c r="F477" s="438"/>
      <c r="G477" s="437">
        <v>32.340000000000003</v>
      </c>
    </row>
    <row r="478" spans="1:7" ht="15" thickTop="1" x14ac:dyDescent="0.3">
      <c r="A478" s="451"/>
      <c r="B478" s="451"/>
      <c r="C478" s="451"/>
      <c r="D478" s="451"/>
      <c r="E478" s="451"/>
      <c r="F478" s="451"/>
      <c r="G478" s="451"/>
    </row>
    <row r="479" spans="1:7" x14ac:dyDescent="0.3">
      <c r="A479" s="456" t="s">
        <v>235</v>
      </c>
      <c r="B479" s="458" t="s">
        <v>236</v>
      </c>
      <c r="C479" s="458" t="s">
        <v>237</v>
      </c>
      <c r="D479" s="457" t="s">
        <v>238</v>
      </c>
      <c r="E479" s="456" t="s">
        <v>239</v>
      </c>
      <c r="F479" s="456" t="s">
        <v>240</v>
      </c>
      <c r="G479" s="456" t="s">
        <v>148</v>
      </c>
    </row>
    <row r="480" spans="1:7" x14ac:dyDescent="0.3">
      <c r="A480" s="455" t="s">
        <v>301</v>
      </c>
      <c r="B480" s="454" t="s">
        <v>242</v>
      </c>
      <c r="C480" s="454" t="s">
        <v>302</v>
      </c>
      <c r="D480" s="442" t="s">
        <v>246</v>
      </c>
      <c r="E480" s="430">
        <v>1</v>
      </c>
      <c r="F480" s="431">
        <v>29.47</v>
      </c>
      <c r="G480" s="431">
        <v>29.47</v>
      </c>
    </row>
    <row r="481" spans="1:7" ht="26.4" x14ac:dyDescent="0.3">
      <c r="A481" s="440" t="s">
        <v>415</v>
      </c>
      <c r="B481" s="441" t="s">
        <v>242</v>
      </c>
      <c r="C481" s="441" t="s">
        <v>414</v>
      </c>
      <c r="D481" s="443" t="s">
        <v>246</v>
      </c>
      <c r="E481" s="432">
        <v>1</v>
      </c>
      <c r="F481" s="433">
        <v>0.46</v>
      </c>
      <c r="G481" s="433">
        <v>0.46</v>
      </c>
    </row>
    <row r="482" spans="1:7" ht="26.4" x14ac:dyDescent="0.3">
      <c r="A482" s="453" t="s">
        <v>362</v>
      </c>
      <c r="B482" s="452" t="s">
        <v>242</v>
      </c>
      <c r="C482" s="452" t="s">
        <v>361</v>
      </c>
      <c r="D482" s="444" t="s">
        <v>246</v>
      </c>
      <c r="E482" s="434">
        <v>1</v>
      </c>
      <c r="F482" s="435">
        <v>1.42</v>
      </c>
      <c r="G482" s="435">
        <v>1.42</v>
      </c>
    </row>
    <row r="483" spans="1:7" ht="26.4" x14ac:dyDescent="0.3">
      <c r="A483" s="453" t="s">
        <v>413</v>
      </c>
      <c r="B483" s="452" t="s">
        <v>242</v>
      </c>
      <c r="C483" s="452" t="s">
        <v>412</v>
      </c>
      <c r="D483" s="444" t="s">
        <v>246</v>
      </c>
      <c r="E483" s="434">
        <v>1</v>
      </c>
      <c r="F483" s="435">
        <v>0.9</v>
      </c>
      <c r="G483" s="435">
        <v>0.9</v>
      </c>
    </row>
    <row r="484" spans="1:7" ht="26.4" x14ac:dyDescent="0.3">
      <c r="A484" s="453" t="s">
        <v>366</v>
      </c>
      <c r="B484" s="452" t="s">
        <v>242</v>
      </c>
      <c r="C484" s="452" t="s">
        <v>365</v>
      </c>
      <c r="D484" s="444" t="s">
        <v>246</v>
      </c>
      <c r="E484" s="434">
        <v>1</v>
      </c>
      <c r="F484" s="435">
        <v>0.48</v>
      </c>
      <c r="G484" s="435">
        <v>0.48</v>
      </c>
    </row>
    <row r="485" spans="1:7" ht="26.4" x14ac:dyDescent="0.3">
      <c r="A485" s="453" t="s">
        <v>370</v>
      </c>
      <c r="B485" s="452" t="s">
        <v>242</v>
      </c>
      <c r="C485" s="452" t="s">
        <v>369</v>
      </c>
      <c r="D485" s="444" t="s">
        <v>246</v>
      </c>
      <c r="E485" s="434">
        <v>1</v>
      </c>
      <c r="F485" s="435">
        <v>0.11</v>
      </c>
      <c r="G485" s="435">
        <v>0.11</v>
      </c>
    </row>
    <row r="486" spans="1:7" ht="26.4" x14ac:dyDescent="0.3">
      <c r="A486" s="453" t="s">
        <v>411</v>
      </c>
      <c r="B486" s="452" t="s">
        <v>242</v>
      </c>
      <c r="C486" s="452" t="s">
        <v>410</v>
      </c>
      <c r="D486" s="444" t="s">
        <v>246</v>
      </c>
      <c r="E486" s="434">
        <v>1</v>
      </c>
      <c r="F486" s="435">
        <v>1.81</v>
      </c>
      <c r="G486" s="435">
        <v>1.81</v>
      </c>
    </row>
    <row r="487" spans="1:7" x14ac:dyDescent="0.3">
      <c r="A487" s="453" t="s">
        <v>409</v>
      </c>
      <c r="B487" s="452" t="s">
        <v>242</v>
      </c>
      <c r="C487" s="452" t="s">
        <v>408</v>
      </c>
      <c r="D487" s="444" t="s">
        <v>246</v>
      </c>
      <c r="E487" s="434">
        <v>1</v>
      </c>
      <c r="F487" s="435">
        <v>21.8</v>
      </c>
      <c r="G487" s="435">
        <v>21.8</v>
      </c>
    </row>
    <row r="488" spans="1:7" ht="26.4" x14ac:dyDescent="0.3">
      <c r="A488" s="453" t="s">
        <v>372</v>
      </c>
      <c r="B488" s="452" t="s">
        <v>242</v>
      </c>
      <c r="C488" s="452" t="s">
        <v>371</v>
      </c>
      <c r="D488" s="444" t="s">
        <v>246</v>
      </c>
      <c r="E488" s="434">
        <v>1</v>
      </c>
      <c r="F488" s="435">
        <v>2.4900000000000002</v>
      </c>
      <c r="G488" s="435">
        <v>2.4900000000000002</v>
      </c>
    </row>
    <row r="489" spans="1:7" x14ac:dyDescent="0.3">
      <c r="A489" s="436"/>
      <c r="B489" s="436"/>
      <c r="C489" s="436"/>
      <c r="D489" s="436" t="s">
        <v>261</v>
      </c>
      <c r="E489" s="437">
        <v>0</v>
      </c>
      <c r="F489" s="436" t="s">
        <v>262</v>
      </c>
      <c r="G489" s="437">
        <v>22.26</v>
      </c>
    </row>
    <row r="490" spans="1:7" ht="15" thickBot="1" x14ac:dyDescent="0.35">
      <c r="A490" s="436"/>
      <c r="B490" s="436"/>
      <c r="C490" s="436"/>
      <c r="D490" s="436"/>
      <c r="E490" s="438" t="s">
        <v>263</v>
      </c>
      <c r="F490" s="438"/>
      <c r="G490" s="437">
        <v>35.94</v>
      </c>
    </row>
    <row r="491" spans="1:7" ht="15" thickTop="1" x14ac:dyDescent="0.3">
      <c r="A491" s="451"/>
      <c r="B491" s="451"/>
      <c r="C491" s="451"/>
      <c r="D491" s="451"/>
      <c r="E491" s="451"/>
      <c r="F491" s="451"/>
      <c r="G491" s="451"/>
    </row>
    <row r="492" spans="1:7" x14ac:dyDescent="0.3">
      <c r="A492" s="456" t="s">
        <v>235</v>
      </c>
      <c r="B492" s="458" t="s">
        <v>236</v>
      </c>
      <c r="C492" s="458" t="s">
        <v>237</v>
      </c>
      <c r="D492" s="457" t="s">
        <v>238</v>
      </c>
      <c r="E492" s="456" t="s">
        <v>239</v>
      </c>
      <c r="F492" s="456" t="s">
        <v>240</v>
      </c>
      <c r="G492" s="456" t="s">
        <v>148</v>
      </c>
    </row>
    <row r="493" spans="1:7" x14ac:dyDescent="0.3">
      <c r="A493" s="455" t="s">
        <v>399</v>
      </c>
      <c r="B493" s="454" t="s">
        <v>242</v>
      </c>
      <c r="C493" s="454" t="s">
        <v>398</v>
      </c>
      <c r="D493" s="442" t="s">
        <v>246</v>
      </c>
      <c r="E493" s="430">
        <v>1</v>
      </c>
      <c r="F493" s="431">
        <v>31.5</v>
      </c>
      <c r="G493" s="431">
        <v>31.5</v>
      </c>
    </row>
    <row r="494" spans="1:7" ht="26.4" x14ac:dyDescent="0.3">
      <c r="A494" s="440" t="s">
        <v>407</v>
      </c>
      <c r="B494" s="441" t="s">
        <v>242</v>
      </c>
      <c r="C494" s="441" t="s">
        <v>406</v>
      </c>
      <c r="D494" s="443" t="s">
        <v>246</v>
      </c>
      <c r="E494" s="432">
        <v>1</v>
      </c>
      <c r="F494" s="433">
        <v>0.32</v>
      </c>
      <c r="G494" s="433">
        <v>0.32</v>
      </c>
    </row>
    <row r="495" spans="1:7" ht="26.4" x14ac:dyDescent="0.3">
      <c r="A495" s="453" t="s">
        <v>362</v>
      </c>
      <c r="B495" s="452" t="s">
        <v>242</v>
      </c>
      <c r="C495" s="452" t="s">
        <v>361</v>
      </c>
      <c r="D495" s="444" t="s">
        <v>246</v>
      </c>
      <c r="E495" s="434">
        <v>1</v>
      </c>
      <c r="F495" s="435">
        <v>1.42</v>
      </c>
      <c r="G495" s="435">
        <v>1.42</v>
      </c>
    </row>
    <row r="496" spans="1:7" x14ac:dyDescent="0.3">
      <c r="A496" s="453" t="s">
        <v>405</v>
      </c>
      <c r="B496" s="452" t="s">
        <v>242</v>
      </c>
      <c r="C496" s="452" t="s">
        <v>404</v>
      </c>
      <c r="D496" s="444" t="s">
        <v>246</v>
      </c>
      <c r="E496" s="434">
        <v>1</v>
      </c>
      <c r="F496" s="435">
        <v>21.8</v>
      </c>
      <c r="G496" s="435">
        <v>21.8</v>
      </c>
    </row>
    <row r="497" spans="1:7" ht="26.4" x14ac:dyDescent="0.3">
      <c r="A497" s="453" t="s">
        <v>372</v>
      </c>
      <c r="B497" s="452" t="s">
        <v>242</v>
      </c>
      <c r="C497" s="452" t="s">
        <v>371</v>
      </c>
      <c r="D497" s="444" t="s">
        <v>246</v>
      </c>
      <c r="E497" s="434">
        <v>1</v>
      </c>
      <c r="F497" s="435">
        <v>2.4900000000000002</v>
      </c>
      <c r="G497" s="435">
        <v>2.4900000000000002</v>
      </c>
    </row>
    <row r="498" spans="1:7" ht="26.4" x14ac:dyDescent="0.3">
      <c r="A498" s="453" t="s">
        <v>403</v>
      </c>
      <c r="B498" s="452" t="s">
        <v>242</v>
      </c>
      <c r="C498" s="452" t="s">
        <v>402</v>
      </c>
      <c r="D498" s="444" t="s">
        <v>246</v>
      </c>
      <c r="E498" s="434">
        <v>1</v>
      </c>
      <c r="F498" s="435">
        <v>2.2999999999999998</v>
      </c>
      <c r="G498" s="435">
        <v>2.2999999999999998</v>
      </c>
    </row>
    <row r="499" spans="1:7" ht="26.4" x14ac:dyDescent="0.3">
      <c r="A499" s="453" t="s">
        <v>401</v>
      </c>
      <c r="B499" s="452" t="s">
        <v>242</v>
      </c>
      <c r="C499" s="452" t="s">
        <v>400</v>
      </c>
      <c r="D499" s="444" t="s">
        <v>246</v>
      </c>
      <c r="E499" s="434">
        <v>1</v>
      </c>
      <c r="F499" s="435">
        <v>2.58</v>
      </c>
      <c r="G499" s="435">
        <v>2.58</v>
      </c>
    </row>
    <row r="500" spans="1:7" ht="26.4" x14ac:dyDescent="0.3">
      <c r="A500" s="453" t="s">
        <v>366</v>
      </c>
      <c r="B500" s="452" t="s">
        <v>242</v>
      </c>
      <c r="C500" s="452" t="s">
        <v>365</v>
      </c>
      <c r="D500" s="444" t="s">
        <v>246</v>
      </c>
      <c r="E500" s="434">
        <v>1</v>
      </c>
      <c r="F500" s="435">
        <v>0.48</v>
      </c>
      <c r="G500" s="435">
        <v>0.48</v>
      </c>
    </row>
    <row r="501" spans="1:7" ht="26.4" x14ac:dyDescent="0.3">
      <c r="A501" s="453" t="s">
        <v>370</v>
      </c>
      <c r="B501" s="452" t="s">
        <v>242</v>
      </c>
      <c r="C501" s="452" t="s">
        <v>369</v>
      </c>
      <c r="D501" s="444" t="s">
        <v>246</v>
      </c>
      <c r="E501" s="434">
        <v>1</v>
      </c>
      <c r="F501" s="435">
        <v>0.11</v>
      </c>
      <c r="G501" s="435">
        <v>0.11</v>
      </c>
    </row>
    <row r="502" spans="1:7" x14ac:dyDescent="0.3">
      <c r="A502" s="436"/>
      <c r="B502" s="436"/>
      <c r="C502" s="436"/>
      <c r="D502" s="436" t="s">
        <v>261</v>
      </c>
      <c r="E502" s="437">
        <v>0</v>
      </c>
      <c r="F502" s="436" t="s">
        <v>262</v>
      </c>
      <c r="G502" s="437">
        <v>22.12</v>
      </c>
    </row>
    <row r="503" spans="1:7" ht="15" thickBot="1" x14ac:dyDescent="0.35">
      <c r="A503" s="436"/>
      <c r="B503" s="436"/>
      <c r="C503" s="436"/>
      <c r="D503" s="436"/>
      <c r="E503" s="438" t="s">
        <v>263</v>
      </c>
      <c r="F503" s="438"/>
      <c r="G503" s="437">
        <v>38.409999999999997</v>
      </c>
    </row>
    <row r="504" spans="1:7" ht="15" thickTop="1" x14ac:dyDescent="0.3">
      <c r="A504" s="451"/>
      <c r="B504" s="451"/>
      <c r="C504" s="451"/>
      <c r="D504" s="451"/>
      <c r="E504" s="451"/>
      <c r="F504" s="451"/>
      <c r="G504" s="451"/>
    </row>
    <row r="505" spans="1:7" x14ac:dyDescent="0.3">
      <c r="A505" s="456" t="s">
        <v>235</v>
      </c>
      <c r="B505" s="458" t="s">
        <v>236</v>
      </c>
      <c r="C505" s="458" t="s">
        <v>237</v>
      </c>
      <c r="D505" s="457" t="s">
        <v>238</v>
      </c>
      <c r="E505" s="456" t="s">
        <v>239</v>
      </c>
      <c r="F505" s="456" t="s">
        <v>240</v>
      </c>
      <c r="G505" s="456" t="s">
        <v>148</v>
      </c>
    </row>
    <row r="506" spans="1:7" x14ac:dyDescent="0.3">
      <c r="A506" s="455" t="s">
        <v>247</v>
      </c>
      <c r="B506" s="454" t="s">
        <v>242</v>
      </c>
      <c r="C506" s="454" t="s">
        <v>248</v>
      </c>
      <c r="D506" s="442" t="s">
        <v>17</v>
      </c>
      <c r="E506" s="430">
        <v>1</v>
      </c>
      <c r="F506" s="431">
        <v>26.37</v>
      </c>
      <c r="G506" s="431">
        <v>26.37</v>
      </c>
    </row>
    <row r="507" spans="1:7" x14ac:dyDescent="0.3">
      <c r="A507" s="440" t="s">
        <v>399</v>
      </c>
      <c r="B507" s="441" t="s">
        <v>242</v>
      </c>
      <c r="C507" s="441" t="s">
        <v>398</v>
      </c>
      <c r="D507" s="443" t="s">
        <v>246</v>
      </c>
      <c r="E507" s="432">
        <v>0.45290000000000002</v>
      </c>
      <c r="F507" s="433">
        <v>31.5</v>
      </c>
      <c r="G507" s="433">
        <v>14.26</v>
      </c>
    </row>
    <row r="508" spans="1:7" x14ac:dyDescent="0.3">
      <c r="A508" s="453" t="s">
        <v>397</v>
      </c>
      <c r="B508" s="452" t="s">
        <v>242</v>
      </c>
      <c r="C508" s="452" t="s">
        <v>396</v>
      </c>
      <c r="D508" s="444" t="s">
        <v>383</v>
      </c>
      <c r="E508" s="434">
        <v>0.32569999999999999</v>
      </c>
      <c r="F508" s="435">
        <v>37.19</v>
      </c>
      <c r="G508" s="435">
        <v>12.112783</v>
      </c>
    </row>
    <row r="509" spans="1:7" x14ac:dyDescent="0.3">
      <c r="A509" s="436"/>
      <c r="B509" s="436"/>
      <c r="C509" s="436"/>
      <c r="D509" s="436" t="s">
        <v>261</v>
      </c>
      <c r="E509" s="437">
        <v>0</v>
      </c>
      <c r="F509" s="436" t="s">
        <v>262</v>
      </c>
      <c r="G509" s="437">
        <v>10.01</v>
      </c>
    </row>
    <row r="510" spans="1:7" ht="15" thickBot="1" x14ac:dyDescent="0.35">
      <c r="A510" s="436"/>
      <c r="B510" s="436"/>
      <c r="C510" s="436"/>
      <c r="D510" s="436"/>
      <c r="E510" s="438" t="s">
        <v>263</v>
      </c>
      <c r="F510" s="438"/>
      <c r="G510" s="437">
        <v>32.159999999999997</v>
      </c>
    </row>
    <row r="511" spans="1:7" ht="15" thickTop="1" x14ac:dyDescent="0.3">
      <c r="A511" s="451"/>
      <c r="B511" s="451"/>
      <c r="C511" s="451"/>
      <c r="D511" s="451"/>
      <c r="E511" s="451"/>
      <c r="F511" s="451"/>
      <c r="G511" s="451"/>
    </row>
    <row r="512" spans="1:7" x14ac:dyDescent="0.3">
      <c r="A512" s="456" t="s">
        <v>235</v>
      </c>
      <c r="B512" s="458" t="s">
        <v>236</v>
      </c>
      <c r="C512" s="458" t="s">
        <v>237</v>
      </c>
      <c r="D512" s="457" t="s">
        <v>238</v>
      </c>
      <c r="E512" s="456" t="s">
        <v>239</v>
      </c>
      <c r="F512" s="456" t="s">
        <v>240</v>
      </c>
      <c r="G512" s="456" t="s">
        <v>148</v>
      </c>
    </row>
    <row r="513" spans="1:7" ht="52.8" x14ac:dyDescent="0.3">
      <c r="A513" s="455" t="s">
        <v>287</v>
      </c>
      <c r="B513" s="454" t="s">
        <v>242</v>
      </c>
      <c r="C513" s="454" t="s">
        <v>288</v>
      </c>
      <c r="D513" s="442" t="s">
        <v>277</v>
      </c>
      <c r="E513" s="430">
        <v>1</v>
      </c>
      <c r="F513" s="431">
        <v>62.32</v>
      </c>
      <c r="G513" s="431">
        <v>62.32</v>
      </c>
    </row>
    <row r="514" spans="1:7" ht="52.8" x14ac:dyDescent="0.3">
      <c r="A514" s="440" t="s">
        <v>395</v>
      </c>
      <c r="B514" s="441" t="s">
        <v>242</v>
      </c>
      <c r="C514" s="441" t="s">
        <v>394</v>
      </c>
      <c r="D514" s="443" t="s">
        <v>246</v>
      </c>
      <c r="E514" s="432">
        <v>1</v>
      </c>
      <c r="F514" s="433">
        <v>28.23</v>
      </c>
      <c r="G514" s="433">
        <v>28.23</v>
      </c>
    </row>
    <row r="515" spans="1:7" ht="52.8" x14ac:dyDescent="0.3">
      <c r="A515" s="440" t="s">
        <v>393</v>
      </c>
      <c r="B515" s="441" t="s">
        <v>242</v>
      </c>
      <c r="C515" s="441" t="s">
        <v>392</v>
      </c>
      <c r="D515" s="443" t="s">
        <v>246</v>
      </c>
      <c r="E515" s="432">
        <v>1</v>
      </c>
      <c r="F515" s="433">
        <v>7.57</v>
      </c>
      <c r="G515" s="433">
        <v>7.57</v>
      </c>
    </row>
    <row r="516" spans="1:7" ht="26.4" x14ac:dyDescent="0.3">
      <c r="A516" s="440" t="s">
        <v>382</v>
      </c>
      <c r="B516" s="441" t="s">
        <v>242</v>
      </c>
      <c r="C516" s="441" t="s">
        <v>381</v>
      </c>
      <c r="D516" s="443" t="s">
        <v>246</v>
      </c>
      <c r="E516" s="432">
        <v>1</v>
      </c>
      <c r="F516" s="433">
        <v>26.52</v>
      </c>
      <c r="G516" s="433">
        <v>26.52</v>
      </c>
    </row>
    <row r="517" spans="1:7" x14ac:dyDescent="0.3">
      <c r="A517" s="436"/>
      <c r="B517" s="436"/>
      <c r="C517" s="436"/>
      <c r="D517" s="436" t="s">
        <v>261</v>
      </c>
      <c r="E517" s="437">
        <v>0</v>
      </c>
      <c r="F517" s="436" t="s">
        <v>262</v>
      </c>
      <c r="G517" s="437">
        <v>20.84</v>
      </c>
    </row>
    <row r="518" spans="1:7" ht="15" thickBot="1" x14ac:dyDescent="0.35">
      <c r="A518" s="436"/>
      <c r="B518" s="436"/>
      <c r="C518" s="436"/>
      <c r="D518" s="436"/>
      <c r="E518" s="438" t="s">
        <v>263</v>
      </c>
      <c r="F518" s="438"/>
      <c r="G518" s="437">
        <v>76</v>
      </c>
    </row>
    <row r="519" spans="1:7" ht="15" thickTop="1" x14ac:dyDescent="0.3">
      <c r="A519" s="451"/>
      <c r="B519" s="451"/>
      <c r="C519" s="451"/>
      <c r="D519" s="451"/>
      <c r="E519" s="451"/>
      <c r="F519" s="451"/>
      <c r="G519" s="451"/>
    </row>
    <row r="520" spans="1:7" x14ac:dyDescent="0.3">
      <c r="A520" s="456" t="s">
        <v>235</v>
      </c>
      <c r="B520" s="458" t="s">
        <v>236</v>
      </c>
      <c r="C520" s="458" t="s">
        <v>237</v>
      </c>
      <c r="D520" s="457" t="s">
        <v>238</v>
      </c>
      <c r="E520" s="456" t="s">
        <v>239</v>
      </c>
      <c r="F520" s="456" t="s">
        <v>240</v>
      </c>
      <c r="G520" s="456" t="s">
        <v>148</v>
      </c>
    </row>
    <row r="521" spans="1:7" ht="52.8" x14ac:dyDescent="0.3">
      <c r="A521" s="455" t="s">
        <v>295</v>
      </c>
      <c r="B521" s="454" t="s">
        <v>242</v>
      </c>
      <c r="C521" s="454" t="s">
        <v>296</v>
      </c>
      <c r="D521" s="442" t="s">
        <v>282</v>
      </c>
      <c r="E521" s="430">
        <v>1</v>
      </c>
      <c r="F521" s="431">
        <v>154.47</v>
      </c>
      <c r="G521" s="431">
        <v>154.47</v>
      </c>
    </row>
    <row r="522" spans="1:7" ht="52.8" x14ac:dyDescent="0.3">
      <c r="A522" s="440" t="s">
        <v>391</v>
      </c>
      <c r="B522" s="441" t="s">
        <v>242</v>
      </c>
      <c r="C522" s="441" t="s">
        <v>390</v>
      </c>
      <c r="D522" s="443" t="s">
        <v>246</v>
      </c>
      <c r="E522" s="432">
        <v>1</v>
      </c>
      <c r="F522" s="433">
        <v>35.33</v>
      </c>
      <c r="G522" s="433">
        <v>35.33</v>
      </c>
    </row>
    <row r="523" spans="1:7" ht="52.8" x14ac:dyDescent="0.3">
      <c r="A523" s="440" t="s">
        <v>387</v>
      </c>
      <c r="B523" s="441" t="s">
        <v>242</v>
      </c>
      <c r="C523" s="441" t="s">
        <v>386</v>
      </c>
      <c r="D523" s="443" t="s">
        <v>246</v>
      </c>
      <c r="E523" s="432">
        <v>1</v>
      </c>
      <c r="F523" s="433">
        <v>56.82</v>
      </c>
      <c r="G523" s="433">
        <v>56.82</v>
      </c>
    </row>
    <row r="524" spans="1:7" ht="26.4" x14ac:dyDescent="0.3">
      <c r="A524" s="440" t="s">
        <v>382</v>
      </c>
      <c r="B524" s="441" t="s">
        <v>242</v>
      </c>
      <c r="C524" s="441" t="s">
        <v>381</v>
      </c>
      <c r="D524" s="443" t="s">
        <v>246</v>
      </c>
      <c r="E524" s="432">
        <v>1</v>
      </c>
      <c r="F524" s="433">
        <v>26.52</v>
      </c>
      <c r="G524" s="433">
        <v>26.52</v>
      </c>
    </row>
    <row r="525" spans="1:7" ht="52.8" x14ac:dyDescent="0.3">
      <c r="A525" s="440" t="s">
        <v>395</v>
      </c>
      <c r="B525" s="441" t="s">
        <v>242</v>
      </c>
      <c r="C525" s="441" t="s">
        <v>394</v>
      </c>
      <c r="D525" s="443" t="s">
        <v>246</v>
      </c>
      <c r="E525" s="432">
        <v>1</v>
      </c>
      <c r="F525" s="433">
        <v>28.23</v>
      </c>
      <c r="G525" s="433">
        <v>28.23</v>
      </c>
    </row>
    <row r="526" spans="1:7" ht="52.8" x14ac:dyDescent="0.3">
      <c r="A526" s="440" t="s">
        <v>393</v>
      </c>
      <c r="B526" s="441" t="s">
        <v>242</v>
      </c>
      <c r="C526" s="441" t="s">
        <v>392</v>
      </c>
      <c r="D526" s="443" t="s">
        <v>246</v>
      </c>
      <c r="E526" s="432">
        <v>1</v>
      </c>
      <c r="F526" s="433">
        <v>7.57</v>
      </c>
      <c r="G526" s="433">
        <v>7.57</v>
      </c>
    </row>
    <row r="527" spans="1:7" x14ac:dyDescent="0.3">
      <c r="A527" s="436"/>
      <c r="B527" s="436"/>
      <c r="C527" s="436"/>
      <c r="D527" s="436" t="s">
        <v>261</v>
      </c>
      <c r="E527" s="437">
        <v>0</v>
      </c>
      <c r="F527" s="436" t="s">
        <v>262</v>
      </c>
      <c r="G527" s="437">
        <v>20.84</v>
      </c>
    </row>
    <row r="528" spans="1:7" ht="15" thickBot="1" x14ac:dyDescent="0.35">
      <c r="A528" s="436"/>
      <c r="B528" s="436"/>
      <c r="C528" s="436"/>
      <c r="D528" s="436"/>
      <c r="E528" s="438" t="s">
        <v>263</v>
      </c>
      <c r="F528" s="438"/>
      <c r="G528" s="437">
        <v>188.39</v>
      </c>
    </row>
    <row r="529" spans="1:7" ht="15" thickTop="1" x14ac:dyDescent="0.3">
      <c r="A529" s="451"/>
      <c r="B529" s="451"/>
      <c r="C529" s="451"/>
      <c r="D529" s="451"/>
      <c r="E529" s="451"/>
      <c r="F529" s="451"/>
      <c r="G529" s="451"/>
    </row>
    <row r="530" spans="1:7" x14ac:dyDescent="0.3">
      <c r="A530" s="456" t="s">
        <v>235</v>
      </c>
      <c r="B530" s="458" t="s">
        <v>236</v>
      </c>
      <c r="C530" s="458" t="s">
        <v>237</v>
      </c>
      <c r="D530" s="457" t="s">
        <v>238</v>
      </c>
      <c r="E530" s="456" t="s">
        <v>239</v>
      </c>
      <c r="F530" s="456" t="s">
        <v>240</v>
      </c>
      <c r="G530" s="456" t="s">
        <v>148</v>
      </c>
    </row>
    <row r="531" spans="1:7" ht="52.8" x14ac:dyDescent="0.3">
      <c r="A531" s="455" t="s">
        <v>395</v>
      </c>
      <c r="B531" s="454" t="s">
        <v>242</v>
      </c>
      <c r="C531" s="454" t="s">
        <v>394</v>
      </c>
      <c r="D531" s="442" t="s">
        <v>246</v>
      </c>
      <c r="E531" s="430">
        <v>1</v>
      </c>
      <c r="F531" s="431">
        <v>28.23</v>
      </c>
      <c r="G531" s="431">
        <v>28.23</v>
      </c>
    </row>
    <row r="532" spans="1:7" ht="39.6" x14ac:dyDescent="0.3">
      <c r="A532" s="453" t="s">
        <v>389</v>
      </c>
      <c r="B532" s="452" t="s">
        <v>242</v>
      </c>
      <c r="C532" s="452" t="s">
        <v>388</v>
      </c>
      <c r="D532" s="444" t="s">
        <v>333</v>
      </c>
      <c r="E532" s="434">
        <v>5.3300000000000001E-5</v>
      </c>
      <c r="F532" s="435">
        <v>529801.51</v>
      </c>
      <c r="G532" s="435">
        <v>28.2384205</v>
      </c>
    </row>
    <row r="533" spans="1:7" x14ac:dyDescent="0.3">
      <c r="A533" s="436"/>
      <c r="B533" s="436"/>
      <c r="C533" s="436"/>
      <c r="D533" s="436" t="s">
        <v>261</v>
      </c>
      <c r="E533" s="437">
        <v>0</v>
      </c>
      <c r="F533" s="436" t="s">
        <v>262</v>
      </c>
      <c r="G533" s="437">
        <v>0</v>
      </c>
    </row>
    <row r="534" spans="1:7" ht="15" thickBot="1" x14ac:dyDescent="0.35">
      <c r="A534" s="436"/>
      <c r="B534" s="436"/>
      <c r="C534" s="436"/>
      <c r="D534" s="436"/>
      <c r="E534" s="438" t="s">
        <v>263</v>
      </c>
      <c r="F534" s="438"/>
      <c r="G534" s="437">
        <v>34.42</v>
      </c>
    </row>
    <row r="535" spans="1:7" ht="15" thickTop="1" x14ac:dyDescent="0.3">
      <c r="A535" s="451"/>
      <c r="B535" s="451"/>
      <c r="C535" s="451"/>
      <c r="D535" s="451"/>
      <c r="E535" s="451"/>
      <c r="F535" s="451"/>
      <c r="G535" s="451"/>
    </row>
    <row r="536" spans="1:7" x14ac:dyDescent="0.3">
      <c r="A536" s="456" t="s">
        <v>235</v>
      </c>
      <c r="B536" s="458" t="s">
        <v>236</v>
      </c>
      <c r="C536" s="458" t="s">
        <v>237</v>
      </c>
      <c r="D536" s="457" t="s">
        <v>238</v>
      </c>
      <c r="E536" s="456" t="s">
        <v>239</v>
      </c>
      <c r="F536" s="456" t="s">
        <v>240</v>
      </c>
      <c r="G536" s="456" t="s">
        <v>148</v>
      </c>
    </row>
    <row r="537" spans="1:7" ht="52.8" x14ac:dyDescent="0.3">
      <c r="A537" s="455" t="s">
        <v>393</v>
      </c>
      <c r="B537" s="454" t="s">
        <v>242</v>
      </c>
      <c r="C537" s="454" t="s">
        <v>392</v>
      </c>
      <c r="D537" s="442" t="s">
        <v>246</v>
      </c>
      <c r="E537" s="430">
        <v>1</v>
      </c>
      <c r="F537" s="431">
        <v>7.57</v>
      </c>
      <c r="G537" s="431">
        <v>7.57</v>
      </c>
    </row>
    <row r="538" spans="1:7" ht="39.6" x14ac:dyDescent="0.3">
      <c r="A538" s="453" t="s">
        <v>389</v>
      </c>
      <c r="B538" s="452" t="s">
        <v>242</v>
      </c>
      <c r="C538" s="452" t="s">
        <v>388</v>
      </c>
      <c r="D538" s="444" t="s">
        <v>333</v>
      </c>
      <c r="E538" s="434">
        <v>1.43E-5</v>
      </c>
      <c r="F538" s="435">
        <v>529801.51</v>
      </c>
      <c r="G538" s="435">
        <v>7.5761615999999998</v>
      </c>
    </row>
    <row r="539" spans="1:7" x14ac:dyDescent="0.3">
      <c r="A539" s="436"/>
      <c r="B539" s="436"/>
      <c r="C539" s="436"/>
      <c r="D539" s="436" t="s">
        <v>261</v>
      </c>
      <c r="E539" s="437">
        <v>0</v>
      </c>
      <c r="F539" s="436" t="s">
        <v>262</v>
      </c>
      <c r="G539" s="437">
        <v>0</v>
      </c>
    </row>
    <row r="540" spans="1:7" ht="15" thickBot="1" x14ac:dyDescent="0.35">
      <c r="A540" s="436"/>
      <c r="B540" s="436"/>
      <c r="C540" s="436"/>
      <c r="D540" s="436"/>
      <c r="E540" s="438" t="s">
        <v>263</v>
      </c>
      <c r="F540" s="438"/>
      <c r="G540" s="437">
        <v>9.23</v>
      </c>
    </row>
    <row r="541" spans="1:7" ht="15" thickTop="1" x14ac:dyDescent="0.3">
      <c r="A541" s="451"/>
      <c r="B541" s="451"/>
      <c r="C541" s="451"/>
      <c r="D541" s="451"/>
      <c r="E541" s="451"/>
      <c r="F541" s="451"/>
      <c r="G541" s="451"/>
    </row>
    <row r="542" spans="1:7" x14ac:dyDescent="0.3">
      <c r="A542" s="456" t="s">
        <v>235</v>
      </c>
      <c r="B542" s="458" t="s">
        <v>236</v>
      </c>
      <c r="C542" s="458" t="s">
        <v>237</v>
      </c>
      <c r="D542" s="457" t="s">
        <v>238</v>
      </c>
      <c r="E542" s="456" t="s">
        <v>239</v>
      </c>
      <c r="F542" s="456" t="s">
        <v>240</v>
      </c>
      <c r="G542" s="456" t="s">
        <v>148</v>
      </c>
    </row>
    <row r="543" spans="1:7" ht="52.8" x14ac:dyDescent="0.3">
      <c r="A543" s="455" t="s">
        <v>391</v>
      </c>
      <c r="B543" s="454" t="s">
        <v>242</v>
      </c>
      <c r="C543" s="454" t="s">
        <v>390</v>
      </c>
      <c r="D543" s="442" t="s">
        <v>246</v>
      </c>
      <c r="E543" s="430">
        <v>1</v>
      </c>
      <c r="F543" s="431">
        <v>35.33</v>
      </c>
      <c r="G543" s="431">
        <v>35.33</v>
      </c>
    </row>
    <row r="544" spans="1:7" ht="39.6" x14ac:dyDescent="0.3">
      <c r="A544" s="453" t="s">
        <v>389</v>
      </c>
      <c r="B544" s="452" t="s">
        <v>242</v>
      </c>
      <c r="C544" s="452" t="s">
        <v>388</v>
      </c>
      <c r="D544" s="444" t="s">
        <v>333</v>
      </c>
      <c r="E544" s="434">
        <v>6.6699999999999995E-5</v>
      </c>
      <c r="F544" s="435">
        <v>529801.51</v>
      </c>
      <c r="G544" s="435">
        <v>35.337760699999997</v>
      </c>
    </row>
    <row r="545" spans="1:7" x14ac:dyDescent="0.3">
      <c r="A545" s="436"/>
      <c r="B545" s="436"/>
      <c r="C545" s="436"/>
      <c r="D545" s="436" t="s">
        <v>261</v>
      </c>
      <c r="E545" s="437">
        <v>0</v>
      </c>
      <c r="F545" s="436" t="s">
        <v>262</v>
      </c>
      <c r="G545" s="437">
        <v>0</v>
      </c>
    </row>
    <row r="546" spans="1:7" ht="15" thickBot="1" x14ac:dyDescent="0.35">
      <c r="A546" s="436"/>
      <c r="B546" s="436"/>
      <c r="C546" s="436"/>
      <c r="D546" s="436"/>
      <c r="E546" s="438" t="s">
        <v>263</v>
      </c>
      <c r="F546" s="438"/>
      <c r="G546" s="437">
        <v>43.08</v>
      </c>
    </row>
    <row r="547" spans="1:7" ht="15" thickTop="1" x14ac:dyDescent="0.3">
      <c r="A547" s="451"/>
      <c r="B547" s="451"/>
      <c r="C547" s="451"/>
      <c r="D547" s="451"/>
      <c r="E547" s="451"/>
      <c r="F547" s="451"/>
      <c r="G547" s="451"/>
    </row>
    <row r="548" spans="1:7" x14ac:dyDescent="0.3">
      <c r="A548" s="456" t="s">
        <v>235</v>
      </c>
      <c r="B548" s="458" t="s">
        <v>236</v>
      </c>
      <c r="C548" s="458" t="s">
        <v>237</v>
      </c>
      <c r="D548" s="457" t="s">
        <v>238</v>
      </c>
      <c r="E548" s="456" t="s">
        <v>239</v>
      </c>
      <c r="F548" s="456" t="s">
        <v>240</v>
      </c>
      <c r="G548" s="456" t="s">
        <v>148</v>
      </c>
    </row>
    <row r="549" spans="1:7" ht="52.8" x14ac:dyDescent="0.3">
      <c r="A549" s="455" t="s">
        <v>387</v>
      </c>
      <c r="B549" s="454" t="s">
        <v>242</v>
      </c>
      <c r="C549" s="454" t="s">
        <v>386</v>
      </c>
      <c r="D549" s="442" t="s">
        <v>246</v>
      </c>
      <c r="E549" s="430">
        <v>1</v>
      </c>
      <c r="F549" s="431">
        <v>56.82</v>
      </c>
      <c r="G549" s="431">
        <v>56.82</v>
      </c>
    </row>
    <row r="550" spans="1:7" ht="26.4" x14ac:dyDescent="0.3">
      <c r="A550" s="453" t="s">
        <v>385</v>
      </c>
      <c r="B550" s="452" t="s">
        <v>242</v>
      </c>
      <c r="C550" s="452" t="s">
        <v>384</v>
      </c>
      <c r="D550" s="444" t="s">
        <v>383</v>
      </c>
      <c r="E550" s="434">
        <v>9.5500000000000007</v>
      </c>
      <c r="F550" s="435">
        <v>5.95</v>
      </c>
      <c r="G550" s="435">
        <v>56.822499999999998</v>
      </c>
    </row>
    <row r="551" spans="1:7" x14ac:dyDescent="0.3">
      <c r="A551" s="436"/>
      <c r="B551" s="436"/>
      <c r="C551" s="436"/>
      <c r="D551" s="436" t="s">
        <v>261</v>
      </c>
      <c r="E551" s="437">
        <v>0</v>
      </c>
      <c r="F551" s="436" t="s">
        <v>262</v>
      </c>
      <c r="G551" s="437">
        <v>0</v>
      </c>
    </row>
    <row r="552" spans="1:7" ht="15" thickBot="1" x14ac:dyDescent="0.35">
      <c r="A552" s="436"/>
      <c r="B552" s="436"/>
      <c r="C552" s="436"/>
      <c r="D552" s="436"/>
      <c r="E552" s="438" t="s">
        <v>263</v>
      </c>
      <c r="F552" s="438"/>
      <c r="G552" s="437">
        <v>69.290000000000006</v>
      </c>
    </row>
    <row r="553" spans="1:7" ht="15" thickTop="1" x14ac:dyDescent="0.3">
      <c r="A553" s="451"/>
      <c r="B553" s="451"/>
      <c r="C553" s="451"/>
      <c r="D553" s="451"/>
      <c r="E553" s="451"/>
      <c r="F553" s="451"/>
      <c r="G553" s="451"/>
    </row>
    <row r="554" spans="1:7" x14ac:dyDescent="0.3">
      <c r="A554" s="456" t="s">
        <v>235</v>
      </c>
      <c r="B554" s="458" t="s">
        <v>236</v>
      </c>
      <c r="C554" s="458" t="s">
        <v>237</v>
      </c>
      <c r="D554" s="457" t="s">
        <v>238</v>
      </c>
      <c r="E554" s="456" t="s">
        <v>239</v>
      </c>
      <c r="F554" s="456" t="s">
        <v>240</v>
      </c>
      <c r="G554" s="456" t="s">
        <v>148</v>
      </c>
    </row>
    <row r="555" spans="1:7" ht="52.8" x14ac:dyDescent="0.3">
      <c r="A555" s="455" t="s">
        <v>278</v>
      </c>
      <c r="B555" s="454" t="s">
        <v>242</v>
      </c>
      <c r="C555" s="454" t="s">
        <v>279</v>
      </c>
      <c r="D555" s="442" t="s">
        <v>277</v>
      </c>
      <c r="E555" s="430">
        <v>1</v>
      </c>
      <c r="F555" s="431">
        <v>63.8</v>
      </c>
      <c r="G555" s="431">
        <v>63.8</v>
      </c>
    </row>
    <row r="556" spans="1:7" ht="39.6" x14ac:dyDescent="0.3">
      <c r="A556" s="440" t="s">
        <v>378</v>
      </c>
      <c r="B556" s="441" t="s">
        <v>242</v>
      </c>
      <c r="C556" s="441" t="s">
        <v>377</v>
      </c>
      <c r="D556" s="443" t="s">
        <v>246</v>
      </c>
      <c r="E556" s="432">
        <v>1</v>
      </c>
      <c r="F556" s="433">
        <v>7.93</v>
      </c>
      <c r="G556" s="433">
        <v>7.93</v>
      </c>
    </row>
    <row r="557" spans="1:7" ht="26.4" x14ac:dyDescent="0.3">
      <c r="A557" s="440" t="s">
        <v>382</v>
      </c>
      <c r="B557" s="441" t="s">
        <v>242</v>
      </c>
      <c r="C557" s="441" t="s">
        <v>381</v>
      </c>
      <c r="D557" s="443" t="s">
        <v>246</v>
      </c>
      <c r="E557" s="432">
        <v>1</v>
      </c>
      <c r="F557" s="433">
        <v>26.52</v>
      </c>
      <c r="G557" s="433">
        <v>26.52</v>
      </c>
    </row>
    <row r="558" spans="1:7" ht="52.8" x14ac:dyDescent="0.3">
      <c r="A558" s="440" t="s">
        <v>380</v>
      </c>
      <c r="B558" s="441" t="s">
        <v>242</v>
      </c>
      <c r="C558" s="441" t="s">
        <v>379</v>
      </c>
      <c r="D558" s="443" t="s">
        <v>246</v>
      </c>
      <c r="E558" s="432">
        <v>1</v>
      </c>
      <c r="F558" s="433">
        <v>29.35</v>
      </c>
      <c r="G558" s="433">
        <v>29.35</v>
      </c>
    </row>
    <row r="559" spans="1:7" x14ac:dyDescent="0.3">
      <c r="A559" s="436"/>
      <c r="B559" s="436"/>
      <c r="C559" s="436"/>
      <c r="D559" s="436" t="s">
        <v>261</v>
      </c>
      <c r="E559" s="437">
        <v>0</v>
      </c>
      <c r="F559" s="436" t="s">
        <v>262</v>
      </c>
      <c r="G559" s="437">
        <v>20.84</v>
      </c>
    </row>
    <row r="560" spans="1:7" ht="15" thickBot="1" x14ac:dyDescent="0.35">
      <c r="A560" s="436"/>
      <c r="B560" s="436"/>
      <c r="C560" s="436"/>
      <c r="D560" s="436"/>
      <c r="E560" s="438" t="s">
        <v>263</v>
      </c>
      <c r="F560" s="438"/>
      <c r="G560" s="437">
        <v>77.81</v>
      </c>
    </row>
    <row r="561" spans="1:7" ht="15" thickTop="1" x14ac:dyDescent="0.3">
      <c r="A561" s="451"/>
      <c r="B561" s="451"/>
      <c r="C561" s="451"/>
      <c r="D561" s="451"/>
      <c r="E561" s="451"/>
      <c r="F561" s="451"/>
      <c r="G561" s="451"/>
    </row>
    <row r="562" spans="1:7" x14ac:dyDescent="0.3">
      <c r="A562" s="456" t="s">
        <v>235</v>
      </c>
      <c r="B562" s="458" t="s">
        <v>236</v>
      </c>
      <c r="C562" s="458" t="s">
        <v>237</v>
      </c>
      <c r="D562" s="457" t="s">
        <v>238</v>
      </c>
      <c r="E562" s="456" t="s">
        <v>239</v>
      </c>
      <c r="F562" s="456" t="s">
        <v>240</v>
      </c>
      <c r="G562" s="456" t="s">
        <v>148</v>
      </c>
    </row>
    <row r="563" spans="1:7" ht="52.8" x14ac:dyDescent="0.3">
      <c r="A563" s="455" t="s">
        <v>380</v>
      </c>
      <c r="B563" s="454" t="s">
        <v>242</v>
      </c>
      <c r="C563" s="454" t="s">
        <v>379</v>
      </c>
      <c r="D563" s="442" t="s">
        <v>246</v>
      </c>
      <c r="E563" s="430">
        <v>1</v>
      </c>
      <c r="F563" s="431">
        <v>29.35</v>
      </c>
      <c r="G563" s="431">
        <v>29.35</v>
      </c>
    </row>
    <row r="564" spans="1:7" ht="39.6" x14ac:dyDescent="0.3">
      <c r="A564" s="453" t="s">
        <v>376</v>
      </c>
      <c r="B564" s="452" t="s">
        <v>242</v>
      </c>
      <c r="C564" s="452" t="s">
        <v>375</v>
      </c>
      <c r="D564" s="444" t="s">
        <v>333</v>
      </c>
      <c r="E564" s="434">
        <v>5.3300000000000001E-5</v>
      </c>
      <c r="F564" s="435">
        <v>550832.87</v>
      </c>
      <c r="G564" s="435">
        <v>29.359392</v>
      </c>
    </row>
    <row r="565" spans="1:7" x14ac:dyDescent="0.3">
      <c r="A565" s="436"/>
      <c r="B565" s="436"/>
      <c r="C565" s="436"/>
      <c r="D565" s="436" t="s">
        <v>261</v>
      </c>
      <c r="E565" s="437">
        <v>0</v>
      </c>
      <c r="F565" s="436" t="s">
        <v>262</v>
      </c>
      <c r="G565" s="437">
        <v>0</v>
      </c>
    </row>
    <row r="566" spans="1:7" ht="15" thickBot="1" x14ac:dyDescent="0.35">
      <c r="A566" s="436"/>
      <c r="B566" s="436"/>
      <c r="C566" s="436"/>
      <c r="D566" s="436"/>
      <c r="E566" s="438" t="s">
        <v>263</v>
      </c>
      <c r="F566" s="438"/>
      <c r="G566" s="437">
        <v>35.79</v>
      </c>
    </row>
    <row r="567" spans="1:7" ht="15" thickTop="1" x14ac:dyDescent="0.3">
      <c r="A567" s="451"/>
      <c r="B567" s="451"/>
      <c r="C567" s="451"/>
      <c r="D567" s="451"/>
      <c r="E567" s="451"/>
      <c r="F567" s="451"/>
      <c r="G567" s="451"/>
    </row>
    <row r="568" spans="1:7" x14ac:dyDescent="0.3">
      <c r="A568" s="456" t="s">
        <v>235</v>
      </c>
      <c r="B568" s="458" t="s">
        <v>236</v>
      </c>
      <c r="C568" s="458" t="s">
        <v>237</v>
      </c>
      <c r="D568" s="457" t="s">
        <v>238</v>
      </c>
      <c r="E568" s="456" t="s">
        <v>239</v>
      </c>
      <c r="F568" s="456" t="s">
        <v>240</v>
      </c>
      <c r="G568" s="456" t="s">
        <v>148</v>
      </c>
    </row>
    <row r="569" spans="1:7" ht="39.6" x14ac:dyDescent="0.3">
      <c r="A569" s="455" t="s">
        <v>378</v>
      </c>
      <c r="B569" s="454" t="s">
        <v>242</v>
      </c>
      <c r="C569" s="454" t="s">
        <v>377</v>
      </c>
      <c r="D569" s="442" t="s">
        <v>246</v>
      </c>
      <c r="E569" s="430">
        <v>1</v>
      </c>
      <c r="F569" s="431">
        <v>7.93</v>
      </c>
      <c r="G569" s="431">
        <v>7.93</v>
      </c>
    </row>
    <row r="570" spans="1:7" ht="39.6" x14ac:dyDescent="0.3">
      <c r="A570" s="453" t="s">
        <v>376</v>
      </c>
      <c r="B570" s="452" t="s">
        <v>242</v>
      </c>
      <c r="C570" s="452" t="s">
        <v>375</v>
      </c>
      <c r="D570" s="444" t="s">
        <v>333</v>
      </c>
      <c r="E570" s="434">
        <v>1.4399999999999999E-5</v>
      </c>
      <c r="F570" s="435">
        <v>550832.87</v>
      </c>
      <c r="G570" s="435">
        <v>7.9319933000000002</v>
      </c>
    </row>
    <row r="571" spans="1:7" x14ac:dyDescent="0.3">
      <c r="A571" s="436"/>
      <c r="B571" s="436"/>
      <c r="C571" s="436"/>
      <c r="D571" s="436" t="s">
        <v>261</v>
      </c>
      <c r="E571" s="437">
        <v>0</v>
      </c>
      <c r="F571" s="436" t="s">
        <v>262</v>
      </c>
      <c r="G571" s="437">
        <v>0</v>
      </c>
    </row>
    <row r="572" spans="1:7" ht="15" thickBot="1" x14ac:dyDescent="0.35">
      <c r="A572" s="436"/>
      <c r="B572" s="436"/>
      <c r="C572" s="436"/>
      <c r="D572" s="436"/>
      <c r="E572" s="438" t="s">
        <v>263</v>
      </c>
      <c r="F572" s="438"/>
      <c r="G572" s="437">
        <v>9.67</v>
      </c>
    </row>
    <row r="573" spans="1:7" ht="15" thickTop="1" x14ac:dyDescent="0.3">
      <c r="A573" s="451"/>
      <c r="B573" s="451"/>
      <c r="C573" s="451"/>
      <c r="D573" s="451"/>
      <c r="E573" s="451"/>
      <c r="F573" s="451"/>
      <c r="G573" s="451"/>
    </row>
    <row r="574" spans="1:7" x14ac:dyDescent="0.3">
      <c r="A574" s="456" t="s">
        <v>235</v>
      </c>
      <c r="B574" s="458" t="s">
        <v>236</v>
      </c>
      <c r="C574" s="458" t="s">
        <v>237</v>
      </c>
      <c r="D574" s="457" t="s">
        <v>238</v>
      </c>
      <c r="E574" s="456" t="s">
        <v>239</v>
      </c>
      <c r="F574" s="456" t="s">
        <v>240</v>
      </c>
      <c r="G574" s="456" t="s">
        <v>148</v>
      </c>
    </row>
    <row r="575" spans="1:7" x14ac:dyDescent="0.3">
      <c r="A575" s="455" t="s">
        <v>249</v>
      </c>
      <c r="B575" s="454" t="s">
        <v>242</v>
      </c>
      <c r="C575" s="454" t="s">
        <v>250</v>
      </c>
      <c r="D575" s="442" t="s">
        <v>246</v>
      </c>
      <c r="E575" s="430">
        <v>1</v>
      </c>
      <c r="F575" s="431">
        <v>23.66</v>
      </c>
      <c r="G575" s="431">
        <v>23.66</v>
      </c>
    </row>
    <row r="576" spans="1:7" ht="26.4" x14ac:dyDescent="0.3">
      <c r="A576" s="440" t="s">
        <v>374</v>
      </c>
      <c r="B576" s="441" t="s">
        <v>242</v>
      </c>
      <c r="C576" s="441" t="s">
        <v>373</v>
      </c>
      <c r="D576" s="443" t="s">
        <v>246</v>
      </c>
      <c r="E576" s="432">
        <v>1</v>
      </c>
      <c r="F576" s="433">
        <v>0.33</v>
      </c>
      <c r="G576" s="433">
        <v>0.33</v>
      </c>
    </row>
    <row r="577" spans="1:10" ht="26.4" x14ac:dyDescent="0.3">
      <c r="A577" s="453" t="s">
        <v>372</v>
      </c>
      <c r="B577" s="452" t="s">
        <v>242</v>
      </c>
      <c r="C577" s="452" t="s">
        <v>371</v>
      </c>
      <c r="D577" s="444" t="s">
        <v>246</v>
      </c>
      <c r="E577" s="434">
        <v>1</v>
      </c>
      <c r="F577" s="435">
        <v>2.4900000000000002</v>
      </c>
      <c r="G577" s="435">
        <v>2.4900000000000002</v>
      </c>
    </row>
    <row r="578" spans="1:10" ht="26.4" x14ac:dyDescent="0.3">
      <c r="A578" s="453" t="s">
        <v>370</v>
      </c>
      <c r="B578" s="452" t="s">
        <v>242</v>
      </c>
      <c r="C578" s="452" t="s">
        <v>369</v>
      </c>
      <c r="D578" s="444" t="s">
        <v>246</v>
      </c>
      <c r="E578" s="434">
        <v>1</v>
      </c>
      <c r="F578" s="435">
        <v>0.11</v>
      </c>
      <c r="G578" s="435">
        <v>0.11</v>
      </c>
    </row>
    <row r="579" spans="1:10" ht="26.4" x14ac:dyDescent="0.3">
      <c r="A579" s="453" t="s">
        <v>368</v>
      </c>
      <c r="B579" s="452" t="s">
        <v>242</v>
      </c>
      <c r="C579" s="452" t="s">
        <v>367</v>
      </c>
      <c r="D579" s="444" t="s">
        <v>246</v>
      </c>
      <c r="E579" s="434">
        <v>1</v>
      </c>
      <c r="F579" s="435">
        <v>1</v>
      </c>
      <c r="G579" s="435">
        <v>1</v>
      </c>
    </row>
    <row r="580" spans="1:10" ht="26.4" x14ac:dyDescent="0.3">
      <c r="A580" s="453" t="s">
        <v>366</v>
      </c>
      <c r="B580" s="452" t="s">
        <v>242</v>
      </c>
      <c r="C580" s="452" t="s">
        <v>365</v>
      </c>
      <c r="D580" s="444" t="s">
        <v>246</v>
      </c>
      <c r="E580" s="434">
        <v>1</v>
      </c>
      <c r="F580" s="435">
        <v>0.48</v>
      </c>
      <c r="G580" s="435">
        <v>0.48</v>
      </c>
    </row>
    <row r="581" spans="1:10" x14ac:dyDescent="0.3">
      <c r="A581" s="453" t="s">
        <v>364</v>
      </c>
      <c r="B581" s="452" t="s">
        <v>242</v>
      </c>
      <c r="C581" s="452" t="s">
        <v>363</v>
      </c>
      <c r="D581" s="444" t="s">
        <v>246</v>
      </c>
      <c r="E581" s="434">
        <v>1</v>
      </c>
      <c r="F581" s="435">
        <v>15.94</v>
      </c>
      <c r="G581" s="435">
        <v>15.94</v>
      </c>
    </row>
    <row r="582" spans="1:10" ht="26.4" x14ac:dyDescent="0.3">
      <c r="A582" s="453" t="s">
        <v>362</v>
      </c>
      <c r="B582" s="452" t="s">
        <v>242</v>
      </c>
      <c r="C582" s="452" t="s">
        <v>361</v>
      </c>
      <c r="D582" s="444" t="s">
        <v>246</v>
      </c>
      <c r="E582" s="434">
        <v>1</v>
      </c>
      <c r="F582" s="435">
        <v>1.42</v>
      </c>
      <c r="G582" s="435">
        <v>1.42</v>
      </c>
    </row>
    <row r="583" spans="1:10" ht="26.4" x14ac:dyDescent="0.3">
      <c r="A583" s="453" t="s">
        <v>360</v>
      </c>
      <c r="B583" s="452" t="s">
        <v>242</v>
      </c>
      <c r="C583" s="452" t="s">
        <v>359</v>
      </c>
      <c r="D583" s="444" t="s">
        <v>246</v>
      </c>
      <c r="E583" s="434">
        <v>1</v>
      </c>
      <c r="F583" s="435">
        <v>1.89</v>
      </c>
      <c r="G583" s="435">
        <v>1.89</v>
      </c>
    </row>
    <row r="584" spans="1:10" x14ac:dyDescent="0.3">
      <c r="A584" s="436"/>
      <c r="B584" s="436"/>
      <c r="C584" s="436"/>
      <c r="D584" s="436" t="s">
        <v>261</v>
      </c>
      <c r="E584" s="437">
        <v>0</v>
      </c>
      <c r="F584" s="436" t="s">
        <v>262</v>
      </c>
      <c r="G584" s="437">
        <v>16.27</v>
      </c>
    </row>
    <row r="585" spans="1:10" ht="15" thickBot="1" x14ac:dyDescent="0.35">
      <c r="A585" s="436"/>
      <c r="B585" s="436"/>
      <c r="C585" s="436"/>
      <c r="D585" s="436"/>
      <c r="E585" s="438" t="s">
        <v>263</v>
      </c>
      <c r="F585" s="438"/>
      <c r="G585" s="437">
        <v>28.85</v>
      </c>
    </row>
    <row r="586" spans="1:10" ht="15" thickTop="1" x14ac:dyDescent="0.3">
      <c r="A586" s="451"/>
      <c r="B586" s="451"/>
      <c r="C586" s="451"/>
      <c r="D586" s="451"/>
      <c r="E586" s="451"/>
      <c r="F586" s="451"/>
      <c r="G586" s="451"/>
      <c r="H586" s="451"/>
      <c r="I586" s="451"/>
      <c r="J586" s="451"/>
    </row>
    <row r="587" spans="1:10" x14ac:dyDescent="0.3">
      <c r="A587" s="450"/>
      <c r="B587" s="450"/>
      <c r="C587" s="450"/>
      <c r="D587" s="450"/>
      <c r="E587" s="450"/>
      <c r="F587" s="450"/>
      <c r="G587" s="450"/>
      <c r="H587" s="450"/>
      <c r="I587" s="450"/>
      <c r="J587" s="450"/>
    </row>
    <row r="588" spans="1:10" x14ac:dyDescent="0.3">
      <c r="A588" s="445"/>
      <c r="B588" s="445"/>
      <c r="C588" s="445"/>
      <c r="D588" s="449"/>
      <c r="E588" s="448"/>
      <c r="F588" s="447"/>
      <c r="G588" s="445"/>
      <c r="H588" s="446"/>
      <c r="I588" s="445"/>
      <c r="J588" s="445"/>
    </row>
    <row r="589" spans="1:10" x14ac:dyDescent="0.3">
      <c r="A589" s="445"/>
      <c r="B589" s="445"/>
      <c r="C589" s="445"/>
      <c r="D589" s="449"/>
      <c r="E589" s="448"/>
      <c r="F589" s="447"/>
      <c r="G589" s="445"/>
      <c r="H589" s="446"/>
      <c r="I589" s="445"/>
      <c r="J589" s="445"/>
    </row>
    <row r="590" spans="1:10" x14ac:dyDescent="0.3">
      <c r="A590" s="445"/>
      <c r="B590" s="445"/>
      <c r="C590" s="445"/>
      <c r="D590" s="449"/>
      <c r="E590" s="448"/>
      <c r="F590" s="447"/>
      <c r="G590" s="445"/>
      <c r="H590" s="446"/>
      <c r="I590" s="445"/>
      <c r="J590" s="445"/>
    </row>
  </sheetData>
  <mergeCells count="85">
    <mergeCell ref="E112:F112"/>
    <mergeCell ref="A100:J100"/>
    <mergeCell ref="E120:F120"/>
    <mergeCell ref="E152:F152"/>
    <mergeCell ref="E130:F130"/>
    <mergeCell ref="E137:F137"/>
    <mergeCell ref="E146:F146"/>
    <mergeCell ref="E158:F158"/>
    <mergeCell ref="E164:F164"/>
    <mergeCell ref="E170:F170"/>
    <mergeCell ref="E183:F183"/>
    <mergeCell ref="E192:F192"/>
    <mergeCell ref="E224:F224"/>
    <mergeCell ref="E203:F203"/>
    <mergeCell ref="E210:F210"/>
    <mergeCell ref="E217:F217"/>
    <mergeCell ref="E231:F231"/>
    <mergeCell ref="E237:F237"/>
    <mergeCell ref="E271:F271"/>
    <mergeCell ref="E250:F250"/>
    <mergeCell ref="E259:F259"/>
    <mergeCell ref="E265:F265"/>
    <mergeCell ref="E295:F295"/>
    <mergeCell ref="E277:F277"/>
    <mergeCell ref="E283:F283"/>
    <mergeCell ref="E289:F289"/>
    <mergeCell ref="E325:F325"/>
    <mergeCell ref="E301:F301"/>
    <mergeCell ref="E307:F307"/>
    <mergeCell ref="E313:F313"/>
    <mergeCell ref="E319:F319"/>
    <mergeCell ref="E331:F331"/>
    <mergeCell ref="E337:F337"/>
    <mergeCell ref="E345:F345"/>
    <mergeCell ref="E370:F370"/>
    <mergeCell ref="E358:F358"/>
    <mergeCell ref="E391:F391"/>
    <mergeCell ref="E383:F383"/>
    <mergeCell ref="E419:F419"/>
    <mergeCell ref="E401:F401"/>
    <mergeCell ref="E407:F407"/>
    <mergeCell ref="E413:F413"/>
    <mergeCell ref="E425:F425"/>
    <mergeCell ref="E438:F438"/>
    <mergeCell ref="E464:F464"/>
    <mergeCell ref="E451:F451"/>
    <mergeCell ref="E477:F477"/>
    <mergeCell ref="E503:F503"/>
    <mergeCell ref="E490:F490"/>
    <mergeCell ref="E528:F528"/>
    <mergeCell ref="E510:F510"/>
    <mergeCell ref="E518:F518"/>
    <mergeCell ref="E534:F534"/>
    <mergeCell ref="E540:F540"/>
    <mergeCell ref="E546:F546"/>
    <mergeCell ref="E552:F552"/>
    <mergeCell ref="E560:F560"/>
    <mergeCell ref="E566:F566"/>
    <mergeCell ref="E572:F572"/>
    <mergeCell ref="A590:C590"/>
    <mergeCell ref="F590:G590"/>
    <mergeCell ref="H590:J590"/>
    <mergeCell ref="E585:F585"/>
    <mergeCell ref="A588:C588"/>
    <mergeCell ref="F588:G588"/>
    <mergeCell ref="H588:J588"/>
    <mergeCell ref="A589:C589"/>
    <mergeCell ref="F589:G589"/>
    <mergeCell ref="H589:J589"/>
    <mergeCell ref="A1:G1"/>
    <mergeCell ref="E2:F2"/>
    <mergeCell ref="E98:F98"/>
    <mergeCell ref="A2:D2"/>
    <mergeCell ref="A3:D3"/>
    <mergeCell ref="E89:F89"/>
    <mergeCell ref="E66:F66"/>
    <mergeCell ref="E55:F55"/>
    <mergeCell ref="E45:F45"/>
    <mergeCell ref="E16:F16"/>
    <mergeCell ref="A5:G5"/>
    <mergeCell ref="E80:F80"/>
    <mergeCell ref="E73:F73"/>
    <mergeCell ref="E33:F33"/>
    <mergeCell ref="E24:F24"/>
    <mergeCell ref="A4:G4"/>
  </mergeCells>
  <printOptions horizontalCentered="1"/>
  <pageMargins left="1.1023622047244095" right="0.51181102362204722" top="1.5748031496062993" bottom="0.78740157480314965" header="0.31496062992125984" footer="0.31496062992125984"/>
  <pageSetup paperSize="9" scale="55" fitToHeight="0" orientation="portrait" r:id="rId1"/>
  <headerFooter>
    <oddHeader>&amp;C&amp;G</oddHeader>
  </headerFooter>
  <rowBreaks count="12" manualBreakCount="12">
    <brk id="45" max="6" man="1"/>
    <brk id="80" max="6" man="1"/>
    <brk id="98" max="6" man="1"/>
    <brk id="146" max="6" man="1"/>
    <brk id="192" max="6" man="1"/>
    <brk id="231" max="6" man="1"/>
    <brk id="289" max="6" man="1"/>
    <brk id="345" max="6" man="1"/>
    <brk id="391" max="6" man="1"/>
    <brk id="438" max="6" man="1"/>
    <brk id="534" max="6" man="1"/>
    <brk id="572" max="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9BC0-6DF1-4032-82E4-07B0BB2EAD7F}">
  <sheetPr>
    <pageSetUpPr fitToPage="1"/>
  </sheetPr>
  <dimension ref="A1:Y100"/>
  <sheetViews>
    <sheetView view="pageBreakPreview" zoomScaleNormal="100" zoomScaleSheetLayoutView="100" workbookViewId="0">
      <selection activeCell="L15" sqref="L15"/>
    </sheetView>
  </sheetViews>
  <sheetFormatPr defaultRowHeight="14.4" x14ac:dyDescent="0.3"/>
  <cols>
    <col min="1" max="1" width="10.77734375" customWidth="1"/>
    <col min="2" max="2" width="17.77734375" customWidth="1"/>
    <col min="3" max="3" width="50.77734375" customWidth="1"/>
    <col min="4" max="4" width="14.77734375" customWidth="1"/>
    <col min="5" max="5" width="10.77734375" customWidth="1"/>
    <col min="6" max="8" width="13.77734375" customWidth="1"/>
  </cols>
  <sheetData>
    <row r="1" spans="1:25" ht="25.05" customHeight="1" x14ac:dyDescent="0.3">
      <c r="A1" s="365" t="s">
        <v>232</v>
      </c>
      <c r="B1" s="366"/>
      <c r="C1" s="366"/>
      <c r="D1" s="366"/>
      <c r="E1" s="366"/>
      <c r="F1" s="366"/>
      <c r="G1" s="366"/>
      <c r="H1" s="366"/>
    </row>
    <row r="2" spans="1:25" ht="19.95" customHeight="1" x14ac:dyDescent="0.3">
      <c r="A2" s="367" t="str">
        <f>RES!A2</f>
        <v>PAVIMENTAÇÃO DE VIAS PÚBLICAS NO MUNÍCIO DE SÃO JOÃO DA FRONTEIRA - PI</v>
      </c>
      <c r="B2" s="367"/>
      <c r="C2" s="367"/>
      <c r="D2" s="364" t="str">
        <f>RES!C2</f>
        <v>FONTE: SINAPI 02/2026</v>
      </c>
      <c r="E2" s="364"/>
      <c r="F2" s="364" t="str">
        <f>RES!E2</f>
        <v>SEM DESONERAÇÃO
 BDI: 21,96%</v>
      </c>
      <c r="G2" s="364"/>
      <c r="H2" s="364"/>
    </row>
    <row r="3" spans="1:25" ht="19.95" customHeight="1" x14ac:dyDescent="0.3">
      <c r="A3" s="368" t="str">
        <f>RES!A3</f>
        <v>LOCALIDADE: DIVERSAS</v>
      </c>
      <c r="B3" s="368"/>
      <c r="C3" s="368"/>
      <c r="D3" s="97" t="str">
        <f>RES!E3</f>
        <v>ÁREA TOTAL (m²):</v>
      </c>
      <c r="E3" s="119">
        <f>RES!F3</f>
        <v>6985</v>
      </c>
      <c r="F3" s="364" t="str">
        <f>RES!F2</f>
        <v>HORISTA: 113,33%
MENSALISTA: 71,12%</v>
      </c>
      <c r="G3" s="364"/>
      <c r="H3" s="364"/>
    </row>
    <row r="4" spans="1:25" ht="15" customHeight="1" x14ac:dyDescent="0.3">
      <c r="A4" s="361"/>
      <c r="B4" s="362"/>
      <c r="C4" s="362"/>
      <c r="D4" s="362"/>
      <c r="E4" s="362"/>
      <c r="F4" s="362"/>
      <c r="G4" s="362"/>
      <c r="H4" s="363"/>
    </row>
    <row r="5" spans="1:25" s="115" customFormat="1" ht="15" customHeight="1" x14ac:dyDescent="0.3">
      <c r="A5" s="414" t="s">
        <v>189</v>
      </c>
      <c r="B5" s="415"/>
      <c r="C5" s="121"/>
      <c r="D5" s="121"/>
      <c r="E5" s="121"/>
      <c r="F5" s="121"/>
      <c r="G5" s="121"/>
      <c r="H5" s="122"/>
      <c r="I5" s="218"/>
      <c r="J5" s="219"/>
      <c r="K5" s="219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115" customFormat="1" ht="15" customHeight="1" x14ac:dyDescent="0.3">
      <c r="A6" s="123"/>
      <c r="B6" s="124"/>
      <c r="C6" s="121"/>
      <c r="D6" s="121"/>
      <c r="E6" s="121"/>
      <c r="F6" s="121"/>
      <c r="G6" s="121"/>
      <c r="H6" s="122"/>
      <c r="I6" s="218"/>
      <c r="J6" s="219"/>
      <c r="K6" s="219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115" customFormat="1" ht="15" customHeight="1" x14ac:dyDescent="0.3">
      <c r="A7" s="125"/>
      <c r="B7" s="230" t="s">
        <v>12</v>
      </c>
      <c r="C7" s="231"/>
      <c r="D7" s="128">
        <f>IF(C7="x",1,0)</f>
        <v>0</v>
      </c>
      <c r="E7" s="129"/>
      <c r="F7" s="130"/>
      <c r="G7" s="193"/>
      <c r="H7" s="131">
        <f>IF(F7="x",1,0)</f>
        <v>0</v>
      </c>
      <c r="I7" s="218"/>
      <c r="J7" s="219"/>
      <c r="K7" s="219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115" customFormat="1" ht="15" customHeight="1" x14ac:dyDescent="0.3">
      <c r="A8" s="125"/>
      <c r="B8" s="230" t="s">
        <v>11</v>
      </c>
      <c r="C8" s="231" t="s">
        <v>190</v>
      </c>
      <c r="D8" s="128">
        <f>IF(C8="x",1,0)</f>
        <v>1</v>
      </c>
      <c r="E8" s="132"/>
      <c r="F8" s="130"/>
      <c r="G8" s="193"/>
      <c r="H8" s="131">
        <f>IF(F8="x",1,0)</f>
        <v>0</v>
      </c>
      <c r="I8" s="218"/>
      <c r="J8" s="219"/>
      <c r="K8" s="219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115" customFormat="1" ht="15" customHeight="1" thickBot="1" x14ac:dyDescent="0.35">
      <c r="A9" s="133"/>
      <c r="B9" s="416" t="str">
        <f>IF(D9&gt;1,"SELECIONE SOMENTE UM TIPO DE BDI",IF(D9=0,"SELECIONE UM TIPO DE BDI",""))</f>
        <v/>
      </c>
      <c r="C9" s="416"/>
      <c r="D9" s="134">
        <f>SUM(D7:D8)</f>
        <v>1</v>
      </c>
      <c r="E9" s="417"/>
      <c r="F9" s="417"/>
      <c r="G9" s="417"/>
      <c r="H9" s="135">
        <f>SUM(H7:H8)</f>
        <v>0</v>
      </c>
      <c r="I9" s="218"/>
      <c r="J9" s="219"/>
      <c r="K9" s="21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115" customFormat="1" ht="15" customHeight="1" thickBot="1" x14ac:dyDescent="0.35">
      <c r="A10" s="121"/>
      <c r="B10" s="232"/>
      <c r="C10" s="232"/>
      <c r="D10" s="121"/>
      <c r="E10" s="121"/>
      <c r="F10" s="121"/>
      <c r="G10" s="136"/>
      <c r="H10" s="136"/>
      <c r="I10" s="218"/>
      <c r="J10" s="219"/>
      <c r="K10" s="219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115" customFormat="1" ht="25.05" customHeight="1" x14ac:dyDescent="0.3">
      <c r="A11" s="403"/>
      <c r="B11" s="418"/>
      <c r="C11" s="143"/>
      <c r="D11" s="143"/>
      <c r="E11" s="143"/>
      <c r="F11" s="143"/>
      <c r="G11" s="137"/>
      <c r="H11" s="138"/>
      <c r="I11" s="218">
        <f>IF(H18&lt;&gt;0,VLOOKUP("x",G12:I17,3,FALSE),0)</f>
        <v>2</v>
      </c>
      <c r="J11" s="219"/>
      <c r="K11" s="219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115" customFormat="1" ht="15" customHeight="1" x14ac:dyDescent="0.3">
      <c r="A12" s="139"/>
      <c r="B12" s="121"/>
      <c r="C12" s="121"/>
      <c r="D12" s="121"/>
      <c r="E12" s="121"/>
      <c r="F12" s="140" t="s">
        <v>191</v>
      </c>
      <c r="G12" s="127"/>
      <c r="H12" s="131">
        <f t="shared" ref="H12:H17" si="0">IF(G12="x",1,0)</f>
        <v>0</v>
      </c>
      <c r="I12" s="218">
        <v>1</v>
      </c>
      <c r="J12" s="219"/>
      <c r="K12" s="219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115" customFormat="1" ht="15" customHeight="1" x14ac:dyDescent="0.3">
      <c r="A13" s="139"/>
      <c r="B13" s="121"/>
      <c r="C13" s="121"/>
      <c r="D13" s="121"/>
      <c r="E13" s="121"/>
      <c r="F13" s="140" t="s">
        <v>192</v>
      </c>
      <c r="G13" s="127" t="s">
        <v>190</v>
      </c>
      <c r="H13" s="131">
        <f t="shared" si="0"/>
        <v>1</v>
      </c>
      <c r="I13" s="218">
        <v>2</v>
      </c>
      <c r="J13" s="219"/>
      <c r="K13" s="219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115" customFormat="1" ht="25.05" customHeight="1" x14ac:dyDescent="0.3">
      <c r="A14" s="139"/>
      <c r="B14" s="121"/>
      <c r="C14" s="121"/>
      <c r="D14" s="121"/>
      <c r="E14" s="121"/>
      <c r="F14" s="140" t="s">
        <v>193</v>
      </c>
      <c r="G14" s="127"/>
      <c r="H14" s="131">
        <f t="shared" si="0"/>
        <v>0</v>
      </c>
      <c r="I14" s="218">
        <v>3</v>
      </c>
      <c r="J14" s="219"/>
      <c r="K14" s="219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115" customFormat="1" ht="25.05" customHeight="1" x14ac:dyDescent="0.3">
      <c r="A15" s="139"/>
      <c r="B15" s="121"/>
      <c r="C15" s="121"/>
      <c r="D15" s="121"/>
      <c r="E15" s="121"/>
      <c r="F15" s="140" t="s">
        <v>194</v>
      </c>
      <c r="G15" s="127"/>
      <c r="H15" s="131">
        <f t="shared" si="0"/>
        <v>0</v>
      </c>
      <c r="I15" s="218">
        <v>4</v>
      </c>
      <c r="J15" s="219"/>
      <c r="K15" s="219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115" customFormat="1" ht="15" customHeight="1" x14ac:dyDescent="0.3">
      <c r="A16" s="139"/>
      <c r="B16" s="121"/>
      <c r="C16" s="121"/>
      <c r="D16" s="121"/>
      <c r="E16" s="121"/>
      <c r="F16" s="140" t="s">
        <v>195</v>
      </c>
      <c r="G16" s="127"/>
      <c r="H16" s="131">
        <f t="shared" si="0"/>
        <v>0</v>
      </c>
      <c r="I16" s="218">
        <v>5</v>
      </c>
      <c r="J16" s="219"/>
      <c r="K16" s="219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115" customFormat="1" ht="15" customHeight="1" x14ac:dyDescent="0.3">
      <c r="A17" s="139"/>
      <c r="B17" s="412" t="str">
        <f>IF(AND(C7="x",G17="x"),"NÃO HÁ DESONERAÇÃO PARA FORNECIMENTO DE MATERIAIS","")</f>
        <v/>
      </c>
      <c r="C17" s="412"/>
      <c r="D17" s="412"/>
      <c r="E17" s="121"/>
      <c r="F17" s="140" t="s">
        <v>196</v>
      </c>
      <c r="G17" s="127"/>
      <c r="H17" s="131">
        <f t="shared" si="0"/>
        <v>0</v>
      </c>
      <c r="I17" s="218">
        <v>6</v>
      </c>
      <c r="J17" s="219"/>
      <c r="K17" s="219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115" customFormat="1" ht="25.05" customHeight="1" thickBot="1" x14ac:dyDescent="0.35">
      <c r="A18" s="133"/>
      <c r="B18" s="419" t="str">
        <f>IF(H18&gt;1,"SELECIONE SOMENTE UM TIPO DE SERVIÇO",IF(H18=0,"SELECIONE UM TIPO DE SERVIÇO",""))</f>
        <v/>
      </c>
      <c r="C18" s="419"/>
      <c r="D18" s="233"/>
      <c r="E18" s="233"/>
      <c r="F18" s="234"/>
      <c r="G18" s="235"/>
      <c r="H18" s="135">
        <f>SUM(H12:H17)</f>
        <v>1</v>
      </c>
      <c r="I18" s="218"/>
      <c r="J18" s="219"/>
      <c r="K18" s="219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15" customFormat="1" ht="25.05" customHeight="1" thickBot="1" x14ac:dyDescent="0.35">
      <c r="A19" s="121"/>
      <c r="B19" s="232"/>
      <c r="C19" s="232"/>
      <c r="D19" s="232"/>
      <c r="E19" s="236"/>
      <c r="F19" s="236"/>
      <c r="G19" s="237"/>
      <c r="H19" s="193"/>
      <c r="I19" s="218"/>
      <c r="J19" s="219"/>
      <c r="K19" s="2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115" customFormat="1" ht="15" customHeight="1" x14ac:dyDescent="0.3">
      <c r="A20" s="403" t="s">
        <v>197</v>
      </c>
      <c r="B20" s="404"/>
      <c r="C20" s="143"/>
      <c r="D20" s="143"/>
      <c r="E20" s="410"/>
      <c r="F20" s="410"/>
      <c r="G20" s="144" t="s">
        <v>23</v>
      </c>
      <c r="H20" s="145"/>
      <c r="I20" s="218"/>
      <c r="J20" s="219"/>
      <c r="K20" s="219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115" customFormat="1" ht="15" customHeight="1" x14ac:dyDescent="0.3">
      <c r="A21" s="146"/>
      <c r="B21" s="142"/>
      <c r="C21" s="142"/>
      <c r="D21" s="142"/>
      <c r="E21" s="142"/>
      <c r="F21" s="142"/>
      <c r="G21" s="193"/>
      <c r="H21" s="147"/>
      <c r="I21" s="218"/>
      <c r="J21" s="219" t="s">
        <v>340</v>
      </c>
      <c r="K21" s="219" t="s">
        <v>341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115" customFormat="1" ht="25.05" customHeight="1" x14ac:dyDescent="0.3">
      <c r="A22" s="146"/>
      <c r="B22" s="148" t="s">
        <v>198</v>
      </c>
      <c r="C22" s="149"/>
      <c r="D22" s="149" t="str">
        <f>IF(AND(G22&gt;=J22,G22&lt;=K22),"","FORA DO LIMITE")</f>
        <v/>
      </c>
      <c r="E22" s="149"/>
      <c r="F22" s="150" t="s">
        <v>199</v>
      </c>
      <c r="G22" s="151">
        <v>3.7999999999999999E-2</v>
      </c>
      <c r="H22" s="147"/>
      <c r="I22" s="218"/>
      <c r="J22" s="219">
        <f>VLOOKUP($I$13,[2]Referências!A10:D16,2,FALSE)</f>
        <v>3.7999999999999999E-2</v>
      </c>
      <c r="K22" s="219">
        <f>VLOOKUP($I$13,[2]Referências!A10:D16,4,FALSE)</f>
        <v>4.6699999999999998E-2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115" customFormat="1" ht="25.05" customHeight="1" x14ac:dyDescent="0.3">
      <c r="A23" s="146"/>
      <c r="B23" s="152"/>
      <c r="C23" s="142"/>
      <c r="D23" s="142"/>
      <c r="E23" s="142"/>
      <c r="F23" s="140"/>
      <c r="G23" s="153"/>
      <c r="H23" s="147"/>
      <c r="I23" s="218"/>
      <c r="J23" s="219"/>
      <c r="K23" s="219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115" customFormat="1" ht="15" customHeight="1" x14ac:dyDescent="0.3">
      <c r="A24" s="146"/>
      <c r="B24" s="148" t="s">
        <v>200</v>
      </c>
      <c r="C24" s="149"/>
      <c r="D24" s="149" t="str">
        <f>IF(AND(G24&gt;=J24,G24&lt;=K24),"","FORA DO LIMITE")</f>
        <v/>
      </c>
      <c r="E24" s="149"/>
      <c r="F24" s="150" t="s">
        <v>201</v>
      </c>
      <c r="G24" s="154">
        <v>1.0200000000000001E-2</v>
      </c>
      <c r="H24" s="155"/>
      <c r="I24" s="218"/>
      <c r="J24" s="219">
        <f>VLOOKUP($I$13,[2]Referências!A37:D43,2,FALSE)</f>
        <v>1.0200000000000001E-2</v>
      </c>
      <c r="K24" s="219">
        <f>VLOOKUP($I$13,[2]Referências!A37:D43,4,FALSE)</f>
        <v>1.21E-2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15" customFormat="1" ht="15" customHeight="1" x14ac:dyDescent="0.3">
      <c r="A25" s="146"/>
      <c r="B25" s="152"/>
      <c r="C25" s="142"/>
      <c r="D25" s="142"/>
      <c r="E25" s="142"/>
      <c r="F25" s="140"/>
      <c r="G25" s="156"/>
      <c r="H25" s="155"/>
      <c r="I25" s="218"/>
      <c r="J25" s="219"/>
      <c r="K25" s="219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115" customFormat="1" ht="15" customHeight="1" x14ac:dyDescent="0.3">
      <c r="A26" s="146"/>
      <c r="B26" s="157" t="s">
        <v>202</v>
      </c>
      <c r="C26" s="158"/>
      <c r="D26" s="158"/>
      <c r="E26" s="158"/>
      <c r="F26" s="159"/>
      <c r="G26" s="160"/>
      <c r="H26" s="161"/>
      <c r="I26" s="218"/>
      <c r="J26" s="219"/>
      <c r="K26" s="219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115" customFormat="1" ht="15" customHeight="1" x14ac:dyDescent="0.3">
      <c r="A27" s="146"/>
      <c r="B27" s="171"/>
      <c r="C27" s="142"/>
      <c r="D27" s="142" t="str">
        <f>IF(AND(G27&gt;=J27,G27&lt;=K27),"","FORA DO LIMITE")</f>
        <v/>
      </c>
      <c r="E27" s="142"/>
      <c r="F27" s="140" t="s">
        <v>203</v>
      </c>
      <c r="G27" s="162">
        <v>3.2000000000000002E-3</v>
      </c>
      <c r="H27" s="163"/>
      <c r="I27" s="218"/>
      <c r="J27" s="219">
        <f>VLOOKUP($I$13,[2]Referências!A19:D25,2,FALSE)</f>
        <v>3.2000000000000002E-3</v>
      </c>
      <c r="K27" s="219">
        <f>VLOOKUP($I$13,[2]Referências!A19:D25,4,FALSE)</f>
        <v>7.4000000000000003E-3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115" customFormat="1" ht="15" customHeight="1" x14ac:dyDescent="0.3">
      <c r="A28" s="146"/>
      <c r="B28" s="164"/>
      <c r="C28" s="165"/>
      <c r="D28" s="165" t="str">
        <f>IF(AND(G28&gt;=J28,G28&lt;=K28),"","FORA DO LIMITE")</f>
        <v/>
      </c>
      <c r="E28" s="165"/>
      <c r="F28" s="166" t="s">
        <v>204</v>
      </c>
      <c r="G28" s="167">
        <v>7.1999999999999998E-3</v>
      </c>
      <c r="H28" s="147"/>
      <c r="I28" s="218"/>
      <c r="J28" s="219">
        <f>VLOOKUP($I$13,[2]Referências!A28:D34,2,FALSE)</f>
        <v>5.0000000000000001E-3</v>
      </c>
      <c r="K28" s="219">
        <f>VLOOKUP($I$13,[2]Referências!A28:D34,4,FALSE)</f>
        <v>9.7000000000000003E-3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115" customFormat="1" ht="15" customHeight="1" x14ac:dyDescent="0.3">
      <c r="A29" s="146"/>
      <c r="B29" s="142"/>
      <c r="C29" s="142"/>
      <c r="D29" s="142"/>
      <c r="E29" s="142"/>
      <c r="F29" s="140"/>
      <c r="G29" s="156"/>
      <c r="H29" s="163"/>
      <c r="I29" s="218"/>
      <c r="J29" s="219"/>
      <c r="K29" s="21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115" customFormat="1" ht="25.05" customHeight="1" x14ac:dyDescent="0.3">
      <c r="A30" s="146"/>
      <c r="B30" s="126" t="s">
        <v>205</v>
      </c>
      <c r="C30" s="149"/>
      <c r="D30" s="149" t="str">
        <f>IF(AND(G30&gt;=J30,G30&lt;=K30),"","FORA DO LIMITE")</f>
        <v/>
      </c>
      <c r="E30" s="149"/>
      <c r="F30" s="150" t="s">
        <v>206</v>
      </c>
      <c r="G30" s="154">
        <v>7.4999999999999997E-2</v>
      </c>
      <c r="H30" s="163"/>
      <c r="I30" s="218"/>
      <c r="J30" s="219">
        <f>VLOOKUP($I$13,[2]Referências!A46:D52,2,FALSE)</f>
        <v>6.6400000000000001E-2</v>
      </c>
      <c r="K30" s="219">
        <f>VLOOKUP($I$13,[2]Referências!A46:D52,4,FALSE)</f>
        <v>8.6900000000000005E-2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115" customFormat="1" ht="15" customHeight="1" x14ac:dyDescent="0.3">
      <c r="A31" s="146"/>
      <c r="B31" s="142"/>
      <c r="C31" s="142"/>
      <c r="D31" s="142"/>
      <c r="E31" s="142"/>
      <c r="F31" s="140"/>
      <c r="G31" s="156"/>
      <c r="H31" s="163"/>
      <c r="I31" s="218"/>
      <c r="J31" s="219"/>
      <c r="K31" s="219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115" customFormat="1" ht="15" customHeight="1" x14ac:dyDescent="0.3">
      <c r="A32" s="146"/>
      <c r="B32" s="157" t="s">
        <v>207</v>
      </c>
      <c r="C32" s="158"/>
      <c r="D32" s="158"/>
      <c r="E32" s="158"/>
      <c r="F32" s="159"/>
      <c r="G32" s="160"/>
      <c r="H32" s="163"/>
      <c r="I32" s="218"/>
      <c r="J32" s="219"/>
      <c r="K32" s="219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115" customFormat="1" ht="25.05" customHeight="1" x14ac:dyDescent="0.3">
      <c r="A33" s="146"/>
      <c r="B33" s="168"/>
      <c r="C33" s="142"/>
      <c r="D33" s="142"/>
      <c r="E33" s="142"/>
      <c r="F33" s="140" t="str">
        <f>IF(AND(C7="X",C7&lt;&gt;C8,I11&lt;&gt;6,F8&lt;&gt;"X"),"INSS =","")</f>
        <v/>
      </c>
      <c r="G33" s="169" t="str">
        <f>IF(AND(C7="x",I11&lt;&gt;6,B9&lt;&gt;"SELECIONE SOMENTE UM TIPO DE BDI"),K33,"")</f>
        <v/>
      </c>
      <c r="H33" s="170"/>
      <c r="I33" s="218"/>
      <c r="J33" s="219">
        <v>0</v>
      </c>
      <c r="K33" s="219">
        <v>4.4999999999999998E-2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115" customFormat="1" ht="25.05" customHeight="1" x14ac:dyDescent="0.3">
      <c r="A34" s="146"/>
      <c r="B34" s="411" t="str">
        <f>IF(AND(G34&lt;&gt;"",I11=6),"APAGUE O PERCENTUAL DESTA LINHA","")</f>
        <v/>
      </c>
      <c r="C34" s="412"/>
      <c r="D34" s="142" t="str">
        <f>IF(B34="APAGUE O PERCENTUAL DESTA LINHA","",IF(AND(G34&gt;=J34,G34&lt;=K34),"","FORA DO LIMITE"))</f>
        <v/>
      </c>
      <c r="E34" s="142"/>
      <c r="F34" s="140" t="str">
        <f>IF(I11=6,"","ISSQN =")</f>
        <v>ISSQN =</v>
      </c>
      <c r="G34" s="162">
        <v>0.03</v>
      </c>
      <c r="H34" s="170"/>
      <c r="I34" s="218"/>
      <c r="J34" s="219">
        <v>1.2E-2</v>
      </c>
      <c r="K34" s="219">
        <v>0.03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s="115" customFormat="1" ht="15" customHeight="1" x14ac:dyDescent="0.3">
      <c r="A35" s="146"/>
      <c r="B35" s="171"/>
      <c r="C35" s="142"/>
      <c r="D35" s="142" t="str">
        <f>IF(AND(G35&gt;=J35,G35&lt;=K35),"","FORA DO LIMITE")</f>
        <v/>
      </c>
      <c r="E35" s="142"/>
      <c r="F35" s="140" t="s">
        <v>208</v>
      </c>
      <c r="G35" s="172">
        <v>6.4999999999999997E-3</v>
      </c>
      <c r="H35" s="170"/>
      <c r="I35" s="218"/>
      <c r="J35" s="219">
        <v>6.4999999999999997E-3</v>
      </c>
      <c r="K35" s="219">
        <v>6.4999999999999997E-3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s="115" customFormat="1" ht="15" customHeight="1" x14ac:dyDescent="0.3">
      <c r="A36" s="146"/>
      <c r="B36" s="171"/>
      <c r="C36" s="142"/>
      <c r="D36" s="142" t="str">
        <f>IF(AND(G36&gt;=J36,G36&lt;=K36),"","FORA DO LIMITE")</f>
        <v/>
      </c>
      <c r="E36" s="142"/>
      <c r="F36" s="140" t="s">
        <v>209</v>
      </c>
      <c r="G36" s="172">
        <v>0.03</v>
      </c>
      <c r="H36" s="170"/>
      <c r="I36" s="218"/>
      <c r="J36" s="219">
        <v>0.03</v>
      </c>
      <c r="K36" s="219">
        <v>0.03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s="115" customFormat="1" ht="25.05" customHeight="1" x14ac:dyDescent="0.3">
      <c r="A37" s="146"/>
      <c r="B37" s="164"/>
      <c r="C37" s="165"/>
      <c r="D37" s="165"/>
      <c r="E37" s="165"/>
      <c r="F37" s="166" t="s">
        <v>210</v>
      </c>
      <c r="G37" s="173">
        <f>SUM(G33:G36)</f>
        <v>6.6500000000000004E-2</v>
      </c>
      <c r="H37" s="163"/>
      <c r="I37" s="218"/>
      <c r="J37" s="219"/>
      <c r="K37" s="219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s="115" customFormat="1" ht="25.05" customHeight="1" thickBot="1" x14ac:dyDescent="0.35">
      <c r="A38" s="174"/>
      <c r="B38" s="141"/>
      <c r="C38" s="141"/>
      <c r="D38" s="141"/>
      <c r="E38" s="141"/>
      <c r="F38" s="175"/>
      <c r="G38" s="176"/>
      <c r="H38" s="177"/>
      <c r="I38" s="218"/>
      <c r="J38" s="219"/>
      <c r="K38" s="219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s="115" customFormat="1" ht="15" customHeight="1" thickBot="1" x14ac:dyDescent="0.35">
      <c r="A39" s="142"/>
      <c r="B39" s="142"/>
      <c r="C39" s="142"/>
      <c r="D39" s="142"/>
      <c r="E39" s="142"/>
      <c r="F39" s="178"/>
      <c r="G39" s="179"/>
      <c r="H39" s="180"/>
      <c r="I39" s="218"/>
      <c r="J39" s="219"/>
      <c r="K39" s="21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s="115" customFormat="1" ht="15" customHeight="1" x14ac:dyDescent="0.3">
      <c r="A40" s="403" t="s">
        <v>211</v>
      </c>
      <c r="B40" s="404"/>
      <c r="C40" s="143"/>
      <c r="D40" s="143"/>
      <c r="E40" s="143"/>
      <c r="F40" s="143"/>
      <c r="G40" s="144"/>
      <c r="H40" s="145"/>
      <c r="I40" s="218"/>
      <c r="J40" s="219" t="s">
        <v>342</v>
      </c>
      <c r="K40" s="219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115" customFormat="1" ht="25.05" customHeight="1" x14ac:dyDescent="0.3">
      <c r="A41" s="146"/>
      <c r="B41" s="142"/>
      <c r="C41" s="142"/>
      <c r="D41" s="142"/>
      <c r="E41" s="142"/>
      <c r="F41" s="142"/>
      <c r="G41" s="193"/>
      <c r="H41" s="147"/>
      <c r="I41" s="218"/>
      <c r="J41" s="220">
        <v>1</v>
      </c>
      <c r="K41" s="219" t="str">
        <f>IF(OR(B9="SELECIONE UM TIPO DE BDI",B9="SELECIONE SOMENTE UM TIPO DE BDI"),"VER TIPO DE BDI","OK")</f>
        <v>OK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115" customFormat="1" ht="25.05" customHeight="1" x14ac:dyDescent="0.3">
      <c r="A42" s="146"/>
      <c r="B42" s="142"/>
      <c r="C42" s="142"/>
      <c r="D42" s="142"/>
      <c r="E42" s="142"/>
      <c r="F42" s="142"/>
      <c r="G42" s="193"/>
      <c r="H42" s="147"/>
      <c r="I42" s="218"/>
      <c r="J42" s="220">
        <v>2</v>
      </c>
      <c r="K42" s="219" t="str">
        <f>IF(OR(B18="SELECIONE SOMENTE UM TIPO DE SERVIÇO",B18="SELECIONE UM TIPO DE SERVIÇO",B17="NÃO HÁ DESONERAÇÃO PARA FORNECIMENTO DE MATERIAIS"),"VER TIPO DE SERVIÇO","OK")</f>
        <v>OK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115" customFormat="1" ht="15" customHeight="1" x14ac:dyDescent="0.3">
      <c r="A43" s="146"/>
      <c r="B43" s="142"/>
      <c r="C43" s="142"/>
      <c r="D43" s="142"/>
      <c r="E43" s="142"/>
      <c r="F43" s="142"/>
      <c r="G43" s="193"/>
      <c r="H43" s="147"/>
      <c r="I43" s="218"/>
      <c r="J43" s="220">
        <v>3</v>
      </c>
      <c r="K43" s="219" t="str">
        <f>IF(OR(B19="SELECIONE SOMENTE UM TIPO DE SERVIÇO",B19="SELECIONE UM TIPO DE SERVIÇO",B18="NÃO HÁ DESONERAÇÃO PARA FORNECIMENTO DE MATERIAIS"),"VER TIPO DE SERVIÇO","OK")</f>
        <v>OK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115" customFormat="1" ht="15" customHeight="1" x14ac:dyDescent="0.3">
      <c r="A44" s="146"/>
      <c r="B44" s="142"/>
      <c r="C44" s="142"/>
      <c r="D44" s="142"/>
      <c r="E44" s="142"/>
      <c r="F44" s="142"/>
      <c r="G44" s="193"/>
      <c r="H44" s="147"/>
      <c r="I44" s="218"/>
      <c r="J44" s="220">
        <v>4</v>
      </c>
      <c r="K44" s="219" t="str">
        <f>IF(OR(B20="SELECIONE SOMENTE UM TIPO DE SERVIÇO",B20="SELECIONE UM TIPO DE SERVIÇO",B19="NÃO HÁ DESONERAÇÃO PARA FORNECIMENTO DE MATERIAIS"),"VER TIPO DE SERVIÇO","OK")</f>
        <v>OK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s="115" customFormat="1" ht="15" customHeight="1" x14ac:dyDescent="0.3">
      <c r="A45" s="146"/>
      <c r="B45" s="142"/>
      <c r="C45" s="142"/>
      <c r="D45" s="142"/>
      <c r="E45" s="142"/>
      <c r="F45" s="142"/>
      <c r="G45" s="193"/>
      <c r="H45" s="147"/>
      <c r="I45" s="218"/>
      <c r="J45" s="220"/>
      <c r="K45" s="219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s="115" customFormat="1" ht="15" customHeight="1" x14ac:dyDescent="0.3">
      <c r="A46" s="146"/>
      <c r="B46" s="142"/>
      <c r="C46" s="142"/>
      <c r="D46" s="142"/>
      <c r="E46" s="142"/>
      <c r="F46" s="142"/>
      <c r="G46" s="193"/>
      <c r="H46" s="147"/>
      <c r="I46" s="218"/>
      <c r="J46" s="219"/>
      <c r="K46" s="219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s="115" customFormat="1" ht="15" customHeight="1" x14ac:dyDescent="0.3">
      <c r="A47" s="146"/>
      <c r="B47" s="142"/>
      <c r="C47" s="142"/>
      <c r="D47" s="142"/>
      <c r="E47" s="142"/>
      <c r="F47" s="142"/>
      <c r="G47" s="193"/>
      <c r="H47" s="147"/>
      <c r="I47" s="218"/>
      <c r="J47" s="219"/>
      <c r="K47" s="219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s="115" customFormat="1" ht="15" customHeight="1" x14ac:dyDescent="0.3">
      <c r="A48" s="146" t="s">
        <v>212</v>
      </c>
      <c r="B48" s="129" t="s">
        <v>213</v>
      </c>
      <c r="C48" s="142"/>
      <c r="D48" s="142"/>
      <c r="E48" s="142"/>
      <c r="F48" s="142"/>
      <c r="G48" s="193"/>
      <c r="H48" s="147"/>
      <c r="I48" s="218"/>
      <c r="J48" s="219"/>
      <c r="K48" s="219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115" customFormat="1" ht="25.05" customHeight="1" x14ac:dyDescent="0.3">
      <c r="A49" s="146" t="s">
        <v>214</v>
      </c>
      <c r="B49" s="129" t="s">
        <v>215</v>
      </c>
      <c r="C49" s="142"/>
      <c r="D49" s="142"/>
      <c r="E49" s="142"/>
      <c r="F49" s="142"/>
      <c r="G49" s="193"/>
      <c r="H49" s="147"/>
      <c r="I49" s="218"/>
      <c r="J49" s="219"/>
      <c r="K49" s="21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115" customFormat="1" ht="15" customHeight="1" x14ac:dyDescent="0.3">
      <c r="A50" s="146" t="s">
        <v>216</v>
      </c>
      <c r="B50" s="129" t="s">
        <v>217</v>
      </c>
      <c r="C50" s="142"/>
      <c r="D50" s="142"/>
      <c r="E50" s="142"/>
      <c r="F50" s="142"/>
      <c r="G50" s="193"/>
      <c r="H50" s="147"/>
      <c r="I50" s="218"/>
      <c r="J50" s="219"/>
      <c r="K50" s="219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115" customFormat="1" ht="15" customHeight="1" x14ac:dyDescent="0.3">
      <c r="A51" s="146" t="s">
        <v>201</v>
      </c>
      <c r="B51" s="129" t="s">
        <v>218</v>
      </c>
      <c r="C51" s="142"/>
      <c r="D51" s="142"/>
      <c r="E51" s="142"/>
      <c r="F51" s="142"/>
      <c r="G51" s="193"/>
      <c r="H51" s="147"/>
      <c r="I51" s="218"/>
      <c r="J51" s="219"/>
      <c r="K51" s="219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115" customFormat="1" ht="25.05" customHeight="1" x14ac:dyDescent="0.3">
      <c r="A52" s="146" t="s">
        <v>206</v>
      </c>
      <c r="B52" s="129" t="s">
        <v>219</v>
      </c>
      <c r="C52" s="142"/>
      <c r="D52" s="142"/>
      <c r="E52" s="142"/>
      <c r="F52" s="142"/>
      <c r="G52" s="193"/>
      <c r="H52" s="147"/>
      <c r="I52" s="218"/>
      <c r="J52" s="219"/>
      <c r="K52" s="219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s="115" customFormat="1" ht="25.05" customHeight="1" x14ac:dyDescent="0.3">
      <c r="A53" s="146" t="s">
        <v>220</v>
      </c>
      <c r="B53" s="129" t="s">
        <v>221</v>
      </c>
      <c r="C53" s="142"/>
      <c r="D53" s="142"/>
      <c r="E53" s="142"/>
      <c r="F53" s="142"/>
      <c r="G53" s="193"/>
      <c r="H53" s="147"/>
      <c r="I53" s="218"/>
      <c r="J53" s="219"/>
      <c r="K53" s="219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s="115" customFormat="1" ht="15" customHeight="1" thickBot="1" x14ac:dyDescent="0.35">
      <c r="A54" s="174"/>
      <c r="B54" s="181"/>
      <c r="C54" s="141"/>
      <c r="D54" s="141"/>
      <c r="E54" s="141"/>
      <c r="F54" s="141"/>
      <c r="G54" s="182"/>
      <c r="H54" s="183"/>
      <c r="I54" s="218"/>
      <c r="J54" s="219"/>
      <c r="K54" s="219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s="115" customFormat="1" ht="15" customHeight="1" thickBot="1" x14ac:dyDescent="0.35">
      <c r="A55" s="142"/>
      <c r="B55" s="129"/>
      <c r="C55" s="142"/>
      <c r="D55" s="142"/>
      <c r="E55" s="142"/>
      <c r="F55" s="142"/>
      <c r="G55" s="193"/>
      <c r="H55" s="193"/>
      <c r="I55" s="218"/>
      <c r="J55" s="219"/>
      <c r="K55" s="219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s="115" customFormat="1" ht="25.05" customHeight="1" x14ac:dyDescent="0.3">
      <c r="A56" s="403" t="s">
        <v>222</v>
      </c>
      <c r="B56" s="404"/>
      <c r="C56" s="184"/>
      <c r="D56" s="184"/>
      <c r="E56" s="404" t="s">
        <v>223</v>
      </c>
      <c r="F56" s="404"/>
      <c r="G56" s="144"/>
      <c r="H56" s="145"/>
      <c r="I56" s="221">
        <f>SUM(1+G22,G27,G28)</f>
        <v>1.0484000000000002</v>
      </c>
      <c r="J56" s="219"/>
      <c r="K56" s="219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s="115" customFormat="1" ht="25.05" customHeight="1" x14ac:dyDescent="0.3">
      <c r="A57" s="123"/>
      <c r="B57" s="124"/>
      <c r="C57" s="142"/>
      <c r="D57" s="142"/>
      <c r="E57" s="142"/>
      <c r="F57" s="142"/>
      <c r="G57" s="193"/>
      <c r="H57" s="147"/>
      <c r="I57" s="218">
        <f>1+G24</f>
        <v>1.0102</v>
      </c>
      <c r="J57" s="219"/>
      <c r="K57" s="219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s="115" customFormat="1" ht="15" customHeight="1" x14ac:dyDescent="0.3">
      <c r="A58" s="146"/>
      <c r="B58" s="185" t="s">
        <v>224</v>
      </c>
      <c r="C58" s="186">
        <v>0.19600000000000001</v>
      </c>
      <c r="D58" s="152" t="str">
        <f>IF(AND(C58&gt;I61,C8="X"),"BDI ABAIXO","")</f>
        <v/>
      </c>
      <c r="E58" s="185" t="s">
        <v>224</v>
      </c>
      <c r="F58" s="186">
        <v>0.25600000000000001</v>
      </c>
      <c r="G58" s="152" t="str">
        <f>IF(AND(F58&gt;I61,C7="X"),"BDI ABAIXO","")</f>
        <v/>
      </c>
      <c r="H58" s="147"/>
      <c r="I58" s="218">
        <f>1+G30</f>
        <v>1.075</v>
      </c>
      <c r="J58" s="219"/>
      <c r="K58" s="219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s="115" customFormat="1" ht="15" customHeight="1" x14ac:dyDescent="0.3">
      <c r="A59" s="146"/>
      <c r="B59" s="185" t="s">
        <v>225</v>
      </c>
      <c r="C59" s="186">
        <v>0.24229999999999999</v>
      </c>
      <c r="D59" s="152" t="str">
        <f>IF(AND(C59&lt;I62,C8="X"),"BDI ACIMA","")</f>
        <v/>
      </c>
      <c r="E59" s="185" t="s">
        <v>225</v>
      </c>
      <c r="F59" s="186">
        <v>0.30520000000000003</v>
      </c>
      <c r="G59" s="152" t="str">
        <f>IF(AND(F59&lt;I61,C7="X"),"BDI ACIMA","")</f>
        <v/>
      </c>
      <c r="H59" s="147"/>
      <c r="I59" s="218">
        <f>1-G37</f>
        <v>0.9335</v>
      </c>
      <c r="J59" s="219"/>
      <c r="K59" s="21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s="115" customFormat="1" ht="25.05" customHeight="1" thickBot="1" x14ac:dyDescent="0.35">
      <c r="A60" s="174"/>
      <c r="B60" s="181"/>
      <c r="C60" s="141"/>
      <c r="D60" s="187"/>
      <c r="E60" s="141"/>
      <c r="F60" s="187"/>
      <c r="G60" s="182"/>
      <c r="H60" s="183"/>
      <c r="I60" s="218">
        <f>I56*I57*I58/I59</f>
        <v>1.2196311794322443</v>
      </c>
      <c r="J60" s="219"/>
      <c r="K60" s="219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s="115" customFormat="1" ht="25.05" customHeight="1" thickBot="1" x14ac:dyDescent="0.35">
      <c r="A61" s="142"/>
      <c r="B61" s="142"/>
      <c r="C61" s="142"/>
      <c r="D61" s="142"/>
      <c r="E61" s="142"/>
      <c r="F61" s="142"/>
      <c r="G61" s="193"/>
      <c r="H61" s="193"/>
      <c r="I61" s="218">
        <f>ROUND(I60-1,4)</f>
        <v>0.21959999999999999</v>
      </c>
      <c r="J61" s="219"/>
      <c r="K61" s="219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s="115" customFormat="1" ht="15" customHeight="1" thickBot="1" x14ac:dyDescent="0.35">
      <c r="A62" s="142"/>
      <c r="B62" s="142"/>
      <c r="C62" s="142"/>
      <c r="D62" s="188"/>
      <c r="E62" s="405" t="s">
        <v>226</v>
      </c>
      <c r="F62" s="406"/>
      <c r="G62" s="189">
        <f>IF(AND(K41="OK",K42="OK",K43="OK",K44="OK"),I61,IF(K41="VER TIPO DE BDI","VER TIPO DE BDI",IF(K42="VER TIPO DE SERVIÇO","VER TIPO DE SERVIÇO",IF(K43="VER PERCENTUAIS","VER PERCENTUAIS",IF(K44="BDI FORA DO LIMITE","BDI FORA DO LIMITE","VÁRIOS ERROS")))))</f>
        <v>0.21959999999999999</v>
      </c>
      <c r="H62" s="190" t="str">
        <f>IF(AND(M62&gt;=P62,M62&lt;=Q62),"","FORA DO LIMITE")</f>
        <v/>
      </c>
      <c r="I62" s="222">
        <f>G68</f>
        <v>0.21959999999999999</v>
      </c>
      <c r="J62" s="219"/>
      <c r="K62" s="219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s="115" customFormat="1" ht="15" customHeight="1" x14ac:dyDescent="0.3">
      <c r="A63" s="142"/>
      <c r="B63" s="142"/>
      <c r="C63" s="142"/>
      <c r="D63" s="142"/>
      <c r="E63" s="121"/>
      <c r="F63" s="121"/>
      <c r="G63" s="191"/>
      <c r="H63" s="191"/>
      <c r="I63" s="223"/>
      <c r="J63" s="219"/>
      <c r="K63" s="219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s="115" customFormat="1" ht="15" customHeight="1" x14ac:dyDescent="0.3">
      <c r="A64" s="121"/>
      <c r="B64" s="124" t="s">
        <v>227</v>
      </c>
      <c r="C64" s="121"/>
      <c r="D64" s="121"/>
      <c r="E64" s="142"/>
      <c r="F64" s="142"/>
      <c r="G64" s="142"/>
      <c r="H64" s="142"/>
      <c r="I64" s="223"/>
      <c r="J64" s="219"/>
      <c r="K64" s="219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s="115" customFormat="1" ht="15" customHeight="1" x14ac:dyDescent="0.3">
      <c r="A65" s="129"/>
      <c r="B65" s="11" t="s">
        <v>228</v>
      </c>
      <c r="C65" s="11"/>
      <c r="D65" s="11"/>
      <c r="E65" s="142"/>
      <c r="F65" s="142"/>
      <c r="G65" s="407"/>
      <c r="H65" s="407"/>
      <c r="I65" s="218"/>
      <c r="J65" s="219"/>
      <c r="K65" s="219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s="115" customFormat="1" ht="15" customHeight="1" x14ac:dyDescent="0.3">
      <c r="A66" s="142"/>
      <c r="B66" s="11" t="s">
        <v>229</v>
      </c>
      <c r="C66" s="192"/>
      <c r="D66" s="142"/>
      <c r="E66" s="142"/>
      <c r="F66" s="142"/>
      <c r="G66" s="413"/>
      <c r="H66" s="413"/>
      <c r="I66" s="218"/>
      <c r="J66" s="219"/>
      <c r="K66" s="219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s="115" customFormat="1" ht="15" customHeight="1" x14ac:dyDescent="0.3">
      <c r="A67" s="142"/>
      <c r="B67" s="11" t="s">
        <v>230</v>
      </c>
      <c r="C67" s="142"/>
      <c r="D67" s="142"/>
      <c r="E67" s="142"/>
      <c r="F67" s="194"/>
      <c r="G67" s="193"/>
      <c r="H67" s="193"/>
      <c r="I67" s="218"/>
      <c r="J67" s="219"/>
      <c r="K67" s="219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s="115" customFormat="1" ht="25.05" customHeight="1" x14ac:dyDescent="0.3">
      <c r="A68" s="142"/>
      <c r="B68" s="142"/>
      <c r="C68" s="142"/>
      <c r="D68" s="142"/>
      <c r="E68" s="142"/>
      <c r="F68" s="195" t="s">
        <v>231</v>
      </c>
      <c r="G68" s="408">
        <f>I61</f>
        <v>0.21959999999999999</v>
      </c>
      <c r="H68" s="409"/>
      <c r="I68" s="218"/>
      <c r="J68" s="219"/>
      <c r="K68" s="219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s="115" customFormat="1" ht="15" customHeight="1" x14ac:dyDescent="0.3">
      <c r="A69" s="224"/>
      <c r="B69" s="224"/>
      <c r="C69" s="225"/>
      <c r="D69" s="226"/>
      <c r="E69" s="225"/>
      <c r="F69" s="225"/>
      <c r="G69" s="226"/>
      <c r="H69" s="226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s="115" customFormat="1" ht="15" customHeight="1" x14ac:dyDescent="0.3">
      <c r="A70" s="224"/>
      <c r="B70" s="224"/>
      <c r="C70" s="225"/>
      <c r="D70" s="226"/>
      <c r="E70" s="225"/>
      <c r="F70" s="225"/>
      <c r="G70" s="226"/>
      <c r="H70" s="226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s="115" customFormat="1" ht="25.05" customHeight="1" x14ac:dyDescent="0.3">
      <c r="A71" s="227"/>
      <c r="B71" s="227"/>
      <c r="C71" s="228"/>
      <c r="D71" s="229"/>
      <c r="E71" s="228"/>
      <c r="F71" s="228"/>
      <c r="G71" s="229"/>
      <c r="H71" s="229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s="115" customFormat="1" ht="25.05" customHeight="1" x14ac:dyDescent="0.3">
      <c r="A72" s="227"/>
      <c r="B72" s="227"/>
      <c r="C72" s="228"/>
      <c r="D72" s="229"/>
      <c r="E72" s="228"/>
      <c r="F72" s="228"/>
      <c r="G72" s="229"/>
      <c r="H72" s="229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s="115" customFormat="1" ht="15" customHeight="1" x14ac:dyDescent="0.3">
      <c r="A73" s="227"/>
      <c r="B73" s="227"/>
      <c r="C73" s="228"/>
      <c r="D73" s="229"/>
      <c r="E73" s="228"/>
      <c r="F73" s="228"/>
      <c r="G73" s="229"/>
      <c r="H73" s="22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s="115" customFormat="1" ht="15" customHeight="1" x14ac:dyDescent="0.3">
      <c r="A74" s="227"/>
      <c r="B74" s="227"/>
      <c r="C74" s="228"/>
      <c r="D74" s="229"/>
      <c r="E74" s="228"/>
      <c r="F74" s="228"/>
      <c r="G74" s="229"/>
      <c r="H74" s="229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s="115" customFormat="1" ht="25.05" customHeight="1" x14ac:dyDescent="0.3">
      <c r="A75" s="227"/>
      <c r="B75" s="227"/>
      <c r="C75" s="228"/>
      <c r="D75" s="229"/>
      <c r="E75" s="228"/>
      <c r="F75" s="228"/>
      <c r="G75" s="229"/>
      <c r="H75" s="229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s="115" customFormat="1" ht="25.05" customHeight="1" x14ac:dyDescent="0.3">
      <c r="A76" s="227"/>
      <c r="B76" s="227"/>
      <c r="C76" s="228"/>
      <c r="D76" s="229"/>
      <c r="E76" s="228"/>
      <c r="F76" s="228"/>
      <c r="G76" s="229"/>
      <c r="H76" s="229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s="115" customFormat="1" ht="15" customHeight="1" x14ac:dyDescent="0.3">
      <c r="A77" s="227"/>
      <c r="B77" s="227"/>
      <c r="C77" s="228"/>
      <c r="D77" s="229"/>
      <c r="E77" s="228"/>
      <c r="F77" s="228"/>
      <c r="G77" s="229"/>
      <c r="H77" s="229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s="115" customFormat="1" ht="15" customHeight="1" x14ac:dyDescent="0.3">
      <c r="A78" s="227"/>
      <c r="B78" s="227"/>
      <c r="C78" s="228"/>
      <c r="D78" s="229"/>
      <c r="E78" s="228"/>
      <c r="F78" s="228"/>
      <c r="G78" s="229"/>
      <c r="H78" s="229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s="115" customFormat="1" ht="25.05" customHeight="1" x14ac:dyDescent="0.3"/>
    <row r="80" spans="1:25" s="115" customFormat="1" ht="25.05" customHeight="1" x14ac:dyDescent="0.3"/>
    <row r="81" s="115" customFormat="1" ht="15" customHeight="1" x14ac:dyDescent="0.3"/>
    <row r="82" s="115" customFormat="1" ht="15" customHeight="1" x14ac:dyDescent="0.3"/>
    <row r="83" s="115" customFormat="1" ht="15" customHeight="1" x14ac:dyDescent="0.3"/>
    <row r="84" s="115" customFormat="1" ht="15" customHeight="1" x14ac:dyDescent="0.3"/>
    <row r="85" s="115" customFormat="1" ht="15" customHeight="1" x14ac:dyDescent="0.3"/>
    <row r="86" s="115" customFormat="1" ht="15" customHeight="1" x14ac:dyDescent="0.3"/>
    <row r="87" s="115" customFormat="1" ht="25.05" customHeight="1" x14ac:dyDescent="0.3"/>
    <row r="88" s="115" customFormat="1" ht="15" customHeight="1" x14ac:dyDescent="0.3"/>
    <row r="89" s="115" customFormat="1" ht="15" customHeight="1" x14ac:dyDescent="0.3"/>
    <row r="90" s="115" customFormat="1" ht="25.05" customHeight="1" x14ac:dyDescent="0.3"/>
    <row r="91" s="115" customFormat="1" ht="25.05" customHeight="1" x14ac:dyDescent="0.3"/>
    <row r="92" s="115" customFormat="1" ht="15" customHeight="1" x14ac:dyDescent="0.3"/>
    <row r="93" s="115" customFormat="1" ht="15" customHeight="1" x14ac:dyDescent="0.3"/>
    <row r="94" s="115" customFormat="1" ht="25.05" customHeight="1" x14ac:dyDescent="0.3"/>
    <row r="95" s="115" customFormat="1" ht="25.05" customHeight="1" x14ac:dyDescent="0.3"/>
    <row r="96" s="115" customFormat="1" ht="15" customHeight="1" x14ac:dyDescent="0.3"/>
    <row r="97" s="115" customFormat="1" ht="15" customHeight="1" x14ac:dyDescent="0.3"/>
    <row r="98" s="115" customFormat="1" ht="25.05" customHeight="1" x14ac:dyDescent="0.3"/>
    <row r="99" s="115" customFormat="1" ht="25.05" customHeight="1" x14ac:dyDescent="0.3"/>
    <row r="100" s="115" customFormat="1" ht="15" customHeight="1" x14ac:dyDescent="0.3"/>
  </sheetData>
  <mergeCells count="23">
    <mergeCell ref="B18:C18"/>
    <mergeCell ref="A5:B5"/>
    <mergeCell ref="B9:C9"/>
    <mergeCell ref="E9:G9"/>
    <mergeCell ref="A11:B11"/>
    <mergeCell ref="B17:D17"/>
    <mergeCell ref="A20:B20"/>
    <mergeCell ref="E20:F20"/>
    <mergeCell ref="B34:C34"/>
    <mergeCell ref="A40:B40"/>
    <mergeCell ref="G66:H66"/>
    <mergeCell ref="A4:H4"/>
    <mergeCell ref="A1:H1"/>
    <mergeCell ref="A2:C2"/>
    <mergeCell ref="D2:E2"/>
    <mergeCell ref="F2:H2"/>
    <mergeCell ref="A3:C3"/>
    <mergeCell ref="F3:H3"/>
    <mergeCell ref="A56:B56"/>
    <mergeCell ref="E56:F56"/>
    <mergeCell ref="E62:F62"/>
    <mergeCell ref="G65:H65"/>
    <mergeCell ref="G68:H68"/>
  </mergeCells>
  <conditionalFormatting sqref="B9">
    <cfRule type="cellIs" dxfId="47" priority="19" operator="equal">
      <formula>"SELECIONE SOMENTE UM TIPO DE BDI"</formula>
    </cfRule>
  </conditionalFormatting>
  <conditionalFormatting sqref="B17">
    <cfRule type="cellIs" dxfId="46" priority="6" operator="equal">
      <formula>"NÃO HÁ DESONERAÇÃO PARA FORNECIMENTO DE MATERIAIS"</formula>
    </cfRule>
  </conditionalFormatting>
  <conditionalFormatting sqref="B18">
    <cfRule type="cellIs" dxfId="45" priority="24" operator="equal">
      <formula>"SELECIONE SOMENTE UM TIPO DE SERVIÇO"</formula>
    </cfRule>
  </conditionalFormatting>
  <conditionalFormatting sqref="B9:C9 E9:G9">
    <cfRule type="cellIs" dxfId="44" priority="9" operator="equal">
      <formula>"SELECIONE UM TIPO DE BDI"</formula>
    </cfRule>
  </conditionalFormatting>
  <conditionalFormatting sqref="B18:C18">
    <cfRule type="cellIs" dxfId="43" priority="8" operator="equal">
      <formula>"SELECIONE UM TIPO DE SERVIÇO"</formula>
    </cfRule>
  </conditionalFormatting>
  <conditionalFormatting sqref="B34:C34">
    <cfRule type="cellIs" dxfId="42" priority="18" operator="equal">
      <formula>"APAGUE O PERCENTUAL DESTA LINHA"</formula>
    </cfRule>
  </conditionalFormatting>
  <conditionalFormatting sqref="C7:C8 G12:G17 G22 G24 G27:G28 G30">
    <cfRule type="cellIs" dxfId="41" priority="16" operator="equal">
      <formula>0</formula>
    </cfRule>
  </conditionalFormatting>
  <conditionalFormatting sqref="D22 D34:D36">
    <cfRule type="cellIs" dxfId="40" priority="23" operator="equal">
      <formula>"FORA DO LIMITE"</formula>
    </cfRule>
  </conditionalFormatting>
  <conditionalFormatting sqref="D24">
    <cfRule type="cellIs" dxfId="39" priority="22" operator="equal">
      <formula>"FORA DO LIMITE"</formula>
    </cfRule>
  </conditionalFormatting>
  <conditionalFormatting sqref="D27:D28">
    <cfRule type="cellIs" dxfId="38" priority="21" operator="equal">
      <formula>"FORA DO LIMITE"</formula>
    </cfRule>
  </conditionalFormatting>
  <conditionalFormatting sqref="D30">
    <cfRule type="cellIs" dxfId="37" priority="20" operator="equal">
      <formula>"FORA DO LIMITE"</formula>
    </cfRule>
  </conditionalFormatting>
  <conditionalFormatting sqref="D58">
    <cfRule type="cellIs" dxfId="36" priority="5" operator="equal">
      <formula>"BDI ABAIXO"</formula>
    </cfRule>
  </conditionalFormatting>
  <conditionalFormatting sqref="D59">
    <cfRule type="cellIs" dxfId="35" priority="4" operator="equal">
      <formula>"BDI ACIMA"</formula>
    </cfRule>
  </conditionalFormatting>
  <conditionalFormatting sqref="E9">
    <cfRule type="cellIs" dxfId="34" priority="12" operator="equal">
      <formula>"SELECIONE SOMENTE UM TIPO DE BDI"</formula>
    </cfRule>
  </conditionalFormatting>
  <conditionalFormatting sqref="E9:G9">
    <cfRule type="cellIs" dxfId="33" priority="7" operator="equal">
      <formula>"SOMENTE HÁ DESONERAÇÃO PARA OBRAS"</formula>
    </cfRule>
    <cfRule type="cellIs" dxfId="32" priority="11" operator="equal">
      <formula>"NÃO HÁ PROJETO PARA FORNECIMENTO"</formula>
    </cfRule>
  </conditionalFormatting>
  <conditionalFormatting sqref="G34:G36">
    <cfRule type="cellIs" dxfId="31" priority="10" operator="equal">
      <formula>0</formula>
    </cfRule>
  </conditionalFormatting>
  <conditionalFormatting sqref="G58">
    <cfRule type="cellIs" dxfId="30" priority="3" operator="equal">
      <formula>"BDI ABAIXO"</formula>
    </cfRule>
  </conditionalFormatting>
  <conditionalFormatting sqref="G59">
    <cfRule type="cellIs" dxfId="29" priority="2" operator="equal">
      <formula>"BDI ACIMA"</formula>
    </cfRule>
  </conditionalFormatting>
  <conditionalFormatting sqref="G62:H63">
    <cfRule type="cellIs" dxfId="28" priority="1" operator="equal">
      <formula>"VER PERCENTUAIS"</formula>
    </cfRule>
    <cfRule type="cellIs" dxfId="27" priority="13" operator="equal">
      <formula>"VÁRIOS ERROS"</formula>
    </cfRule>
    <cfRule type="cellIs" dxfId="26" priority="14" operator="equal">
      <formula>"BDI FORA DO LIMITE"</formula>
    </cfRule>
    <cfRule type="cellIs" dxfId="25" priority="15" operator="equal">
      <formula>"VER TIPO DE BDI"</formula>
    </cfRule>
    <cfRule type="cellIs" dxfId="24" priority="17" operator="equal">
      <formula>"VER TIPO DE SERVIÇO"</formula>
    </cfRule>
  </conditionalFormatting>
  <dataValidations count="3">
    <dataValidation allowBlank="1" promptTitle="Alerta" prompt="Digite somente 'X'" sqref="F7:F8" xr:uid="{43623E25-AABF-4764-8968-60A634A77F4D}"/>
    <dataValidation type="decimal" allowBlank="1" showInputMessage="1" showErrorMessage="1" sqref="G34:G37 G22:G32" xr:uid="{BCD1FA0E-7CAB-4BFF-84A3-C2D271207796}">
      <formula1>0</formula1>
      <formula2>100</formula2>
    </dataValidation>
    <dataValidation type="list" allowBlank="1" showInputMessage="1" showErrorMessage="1" promptTitle="Alerta" prompt="Digite somente 'X'" sqref="G12:G17 C7:C8" xr:uid="{5F60E289-333E-46CE-8983-B838D7B92D22}">
      <formula1>"x,X"</formula1>
    </dataValidation>
  </dataValidations>
  <printOptions horizontalCentered="1"/>
  <pageMargins left="1.1023622047244095" right="0.51181102362204722" top="1.5748031496062993" bottom="0.78740157480314965" header="0.31496062992125984" footer="0.31496062992125984"/>
  <pageSetup paperSize="9" scale="48" fitToWidth="0"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DA76-91EE-449E-A7B3-D5B697C78D6E}">
  <sheetPr>
    <pageSetUpPr fitToPage="1"/>
  </sheetPr>
  <dimension ref="A1:F180"/>
  <sheetViews>
    <sheetView view="pageBreakPreview" zoomScale="120" zoomScaleNormal="100" zoomScaleSheetLayoutView="120" workbookViewId="0">
      <selection activeCell="H13" sqref="H13"/>
    </sheetView>
  </sheetViews>
  <sheetFormatPr defaultRowHeight="14.4" x14ac:dyDescent="0.3"/>
  <cols>
    <col min="1" max="1" width="10.77734375" customWidth="1"/>
    <col min="2" max="2" width="50.77734375" customWidth="1"/>
    <col min="3" max="4" width="22.77734375" customWidth="1"/>
    <col min="5" max="5" width="28.33203125" customWidth="1"/>
    <col min="6" max="6" width="12.44140625" style="196" customWidth="1"/>
  </cols>
  <sheetData>
    <row r="1" spans="1:6" ht="25.05" customHeight="1" x14ac:dyDescent="0.3">
      <c r="A1" s="426" t="s">
        <v>46</v>
      </c>
      <c r="B1" s="427"/>
      <c r="C1" s="427"/>
      <c r="D1" s="427"/>
      <c r="E1" s="428"/>
    </row>
    <row r="2" spans="1:6" ht="19.95" customHeight="1" x14ac:dyDescent="0.3">
      <c r="A2" s="335" t="str">
        <f>RES!A2</f>
        <v>PAVIMENTAÇÃO DE VIAS PÚBLICAS NO MUNÍCIO DE SÃO JOÃO DA FRONTEIRA - PI</v>
      </c>
      <c r="B2" s="336"/>
      <c r="C2" s="34" t="str">
        <f>RES!C2</f>
        <v>FONTE: SINAPI 02/2026</v>
      </c>
      <c r="D2" s="20" t="str">
        <f>RES!E2</f>
        <v>SEM DESONERAÇÃO
 BDI: 21,96%</v>
      </c>
      <c r="E2" s="21" t="str">
        <f>RES!F2</f>
        <v>HORISTA: 113,33%
MENSALISTA: 71,12%</v>
      </c>
    </row>
    <row r="3" spans="1:6" ht="19.95" customHeight="1" x14ac:dyDescent="0.3">
      <c r="A3" s="338" t="str">
        <f>RES!A3</f>
        <v>LOCALIDADE: DIVERSAS</v>
      </c>
      <c r="B3" s="339"/>
      <c r="C3" s="339"/>
      <c r="D3" s="22" t="str">
        <f>RES!E3</f>
        <v>ÁREA TOTAL (m²):</v>
      </c>
      <c r="E3" s="93">
        <f>RES!F3</f>
        <v>6985</v>
      </c>
    </row>
    <row r="4" spans="1:6" s="39" customFormat="1" ht="15" customHeight="1" x14ac:dyDescent="0.3">
      <c r="A4" s="36"/>
      <c r="B4" s="37"/>
      <c r="C4" s="37"/>
      <c r="D4" s="37"/>
      <c r="E4" s="38"/>
      <c r="F4" s="197"/>
    </row>
    <row r="5" spans="1:6" s="42" customFormat="1" ht="12" customHeight="1" x14ac:dyDescent="0.2">
      <c r="A5" s="40" t="s">
        <v>34</v>
      </c>
      <c r="B5" s="41" t="s">
        <v>35</v>
      </c>
      <c r="C5" s="421"/>
      <c r="D5" s="422"/>
      <c r="E5" s="423"/>
      <c r="F5" s="198"/>
    </row>
    <row r="6" spans="1:6" s="42" customFormat="1" ht="12" customHeight="1" x14ac:dyDescent="0.2">
      <c r="A6" s="66" t="s">
        <v>36</v>
      </c>
      <c r="B6" s="67" t="s">
        <v>37</v>
      </c>
      <c r="C6" s="68"/>
      <c r="D6" s="69"/>
      <c r="E6" s="70"/>
      <c r="F6" s="198"/>
    </row>
    <row r="7" spans="1:6" s="42" customFormat="1" ht="12" customHeight="1" x14ac:dyDescent="0.2">
      <c r="A7" s="44"/>
      <c r="B7" s="45" t="s">
        <v>47</v>
      </c>
      <c r="C7" s="46">
        <v>3</v>
      </c>
      <c r="D7" s="43" t="s">
        <v>48</v>
      </c>
      <c r="E7" s="47"/>
      <c r="F7" s="198"/>
    </row>
    <row r="8" spans="1:6" s="42" customFormat="1" ht="12" customHeight="1" x14ac:dyDescent="0.2">
      <c r="A8" s="44"/>
      <c r="B8" s="45" t="s">
        <v>49</v>
      </c>
      <c r="C8" s="48">
        <v>2</v>
      </c>
      <c r="D8" s="43" t="s">
        <v>48</v>
      </c>
      <c r="E8" s="49"/>
      <c r="F8" s="198"/>
    </row>
    <row r="9" spans="1:6" s="42" customFormat="1" ht="12" customHeight="1" x14ac:dyDescent="0.2">
      <c r="A9" s="44"/>
      <c r="B9" s="45" t="s">
        <v>50</v>
      </c>
      <c r="C9" s="48">
        <v>1</v>
      </c>
      <c r="D9" s="43" t="s">
        <v>51</v>
      </c>
      <c r="E9" s="49"/>
      <c r="F9" s="198"/>
    </row>
    <row r="10" spans="1:6" s="42" customFormat="1" ht="12" customHeight="1" x14ac:dyDescent="0.2">
      <c r="A10" s="44"/>
      <c r="B10" s="45" t="s">
        <v>52</v>
      </c>
      <c r="C10" s="50">
        <f>ROUND(C9*C8*C7,2)</f>
        <v>6</v>
      </c>
      <c r="D10" s="51" t="s">
        <v>17</v>
      </c>
      <c r="E10" s="49"/>
      <c r="F10" s="198"/>
    </row>
    <row r="11" spans="1:6" s="42" customFormat="1" ht="12" customHeight="1" x14ac:dyDescent="0.2">
      <c r="A11" s="44"/>
      <c r="B11" s="45"/>
      <c r="C11" s="52"/>
      <c r="D11" s="53"/>
      <c r="E11" s="49"/>
      <c r="F11" s="198"/>
    </row>
    <row r="12" spans="1:6" s="42" customFormat="1" ht="12" customHeight="1" x14ac:dyDescent="0.2">
      <c r="A12" s="66" t="s">
        <v>99</v>
      </c>
      <c r="B12" s="67" t="s">
        <v>38</v>
      </c>
      <c r="C12" s="68"/>
      <c r="D12" s="69"/>
      <c r="E12" s="70"/>
      <c r="F12" s="198"/>
    </row>
    <row r="13" spans="1:6" s="42" customFormat="1" ht="12" customHeight="1" x14ac:dyDescent="0.2">
      <c r="A13" s="44"/>
      <c r="B13" s="45" t="s">
        <v>53</v>
      </c>
      <c r="C13" s="48">
        <v>2</v>
      </c>
      <c r="D13" s="43" t="s">
        <v>39</v>
      </c>
      <c r="E13" s="47"/>
      <c r="F13" s="198"/>
    </row>
    <row r="14" spans="1:6" s="42" customFormat="1" ht="12" customHeight="1" x14ac:dyDescent="0.2">
      <c r="A14" s="44"/>
      <c r="B14" s="45" t="s">
        <v>54</v>
      </c>
      <c r="C14" s="50">
        <f>C13</f>
        <v>2</v>
      </c>
      <c r="D14" s="51" t="s">
        <v>39</v>
      </c>
      <c r="E14" s="49"/>
      <c r="F14" s="198"/>
    </row>
    <row r="15" spans="1:6" s="42" customFormat="1" ht="12" customHeight="1" x14ac:dyDescent="0.2">
      <c r="A15" s="44"/>
      <c r="B15" s="45"/>
      <c r="C15" s="52"/>
      <c r="D15" s="54"/>
      <c r="E15" s="49"/>
      <c r="F15" s="198"/>
    </row>
    <row r="16" spans="1:6" s="42" customFormat="1" ht="12" customHeight="1" x14ac:dyDescent="0.2">
      <c r="A16" s="40" t="s">
        <v>40</v>
      </c>
      <c r="B16" s="41" t="str">
        <f>GERAL!A10</f>
        <v>Rua Santa Maria</v>
      </c>
      <c r="C16" s="421"/>
      <c r="D16" s="422"/>
      <c r="E16" s="423"/>
      <c r="F16" s="198"/>
    </row>
    <row r="17" spans="1:6" s="42" customFormat="1" ht="12" customHeight="1" x14ac:dyDescent="0.2">
      <c r="A17" s="55"/>
      <c r="B17" s="56" t="s">
        <v>55</v>
      </c>
      <c r="C17" s="57">
        <v>455</v>
      </c>
      <c r="D17" s="58" t="s">
        <v>48</v>
      </c>
      <c r="E17" s="49"/>
      <c r="F17" s="198"/>
    </row>
    <row r="18" spans="1:6" s="42" customFormat="1" ht="12" customHeight="1" x14ac:dyDescent="0.2">
      <c r="A18" s="55"/>
      <c r="B18" s="56" t="s">
        <v>56</v>
      </c>
      <c r="C18" s="57">
        <v>7</v>
      </c>
      <c r="D18" s="58" t="s">
        <v>48</v>
      </c>
      <c r="E18" s="49"/>
      <c r="F18" s="198"/>
    </row>
    <row r="19" spans="1:6" s="42" customFormat="1" ht="12" customHeight="1" x14ac:dyDescent="0.2">
      <c r="A19" s="55"/>
      <c r="B19" s="56" t="s">
        <v>57</v>
      </c>
      <c r="C19" s="238">
        <v>115</v>
      </c>
      <c r="D19" s="58" t="s">
        <v>58</v>
      </c>
      <c r="E19" s="60" t="s">
        <v>355</v>
      </c>
      <c r="F19" s="198"/>
    </row>
    <row r="20" spans="1:6" s="42" customFormat="1" ht="12" customHeight="1" x14ac:dyDescent="0.2">
      <c r="A20" s="61"/>
      <c r="B20" s="62"/>
      <c r="C20" s="63"/>
      <c r="D20" s="64"/>
      <c r="E20" s="49"/>
      <c r="F20" s="198"/>
    </row>
    <row r="21" spans="1:6" s="42" customFormat="1" ht="12" customHeight="1" x14ac:dyDescent="0.2">
      <c r="A21" s="61" t="s">
        <v>40</v>
      </c>
      <c r="B21" s="65" t="s">
        <v>59</v>
      </c>
      <c r="C21" s="63"/>
      <c r="D21" s="58"/>
      <c r="E21" s="49"/>
      <c r="F21" s="198"/>
    </row>
    <row r="22" spans="1:6" s="42" customFormat="1" ht="12" customHeight="1" x14ac:dyDescent="0.2">
      <c r="A22" s="66" t="s">
        <v>42</v>
      </c>
      <c r="B22" s="67" t="s">
        <v>60</v>
      </c>
      <c r="C22" s="68"/>
      <c r="D22" s="69"/>
      <c r="E22" s="70"/>
      <c r="F22" s="198"/>
    </row>
    <row r="23" spans="1:6" s="42" customFormat="1" ht="12" customHeight="1" x14ac:dyDescent="0.2">
      <c r="A23" s="44"/>
      <c r="B23" s="71" t="s">
        <v>47</v>
      </c>
      <c r="C23" s="46">
        <f>C17</f>
        <v>455</v>
      </c>
      <c r="D23" s="72" t="s">
        <v>48</v>
      </c>
      <c r="E23" s="73"/>
      <c r="F23" s="198"/>
    </row>
    <row r="24" spans="1:6" s="42" customFormat="1" ht="12" customHeight="1" x14ac:dyDescent="0.2">
      <c r="A24" s="44"/>
      <c r="B24" s="71" t="s">
        <v>49</v>
      </c>
      <c r="C24" s="48">
        <f>C18</f>
        <v>7</v>
      </c>
      <c r="D24" s="43" t="s">
        <v>48</v>
      </c>
      <c r="E24" s="49"/>
      <c r="F24" s="198"/>
    </row>
    <row r="25" spans="1:6" s="42" customFormat="1" ht="12" customHeight="1" x14ac:dyDescent="0.2">
      <c r="A25" s="44"/>
      <c r="B25" s="71" t="s">
        <v>61</v>
      </c>
      <c r="C25" s="50">
        <f>ROUND(C23*C24,2)</f>
        <v>3185</v>
      </c>
      <c r="D25" s="51" t="s">
        <v>17</v>
      </c>
      <c r="E25" s="49"/>
      <c r="F25" s="199" t="e">
        <f>C25+C80+C135+#REF!+#REF!</f>
        <v>#REF!</v>
      </c>
    </row>
    <row r="26" spans="1:6" s="42" customFormat="1" ht="12" customHeight="1" x14ac:dyDescent="0.2">
      <c r="A26" s="74"/>
      <c r="B26" s="75"/>
      <c r="C26" s="53"/>
      <c r="D26" s="76"/>
      <c r="E26" s="77"/>
      <c r="F26" s="198"/>
    </row>
    <row r="27" spans="1:6" s="42" customFormat="1" ht="12" customHeight="1" x14ac:dyDescent="0.2">
      <c r="A27" s="61" t="s">
        <v>62</v>
      </c>
      <c r="B27" s="65" t="s">
        <v>63</v>
      </c>
      <c r="C27" s="63"/>
      <c r="D27" s="58"/>
      <c r="E27" s="49"/>
      <c r="F27" s="198"/>
    </row>
    <row r="28" spans="1:6" s="42" customFormat="1" ht="12" customHeight="1" x14ac:dyDescent="0.2">
      <c r="A28" s="78" t="s">
        <v>64</v>
      </c>
      <c r="B28" s="424" t="s">
        <v>24</v>
      </c>
      <c r="C28" s="424"/>
      <c r="D28" s="424"/>
      <c r="E28" s="425"/>
      <c r="F28" s="198"/>
    </row>
    <row r="29" spans="1:6" s="42" customFormat="1" ht="12" customHeight="1" x14ac:dyDescent="0.2">
      <c r="A29" s="44"/>
      <c r="B29" s="71" t="s">
        <v>47</v>
      </c>
      <c r="C29" s="48">
        <f>C17</f>
        <v>455</v>
      </c>
      <c r="D29" s="43" t="s">
        <v>48</v>
      </c>
      <c r="E29" s="47"/>
      <c r="F29" s="198"/>
    </row>
    <row r="30" spans="1:6" s="42" customFormat="1" ht="12" customHeight="1" x14ac:dyDescent="0.2">
      <c r="A30" s="44"/>
      <c r="B30" s="71" t="s">
        <v>49</v>
      </c>
      <c r="C30" s="48">
        <f>C18</f>
        <v>7</v>
      </c>
      <c r="D30" s="43" t="s">
        <v>48</v>
      </c>
      <c r="E30" s="49"/>
      <c r="F30" s="198"/>
    </row>
    <row r="31" spans="1:6" s="42" customFormat="1" ht="12" customHeight="1" x14ac:dyDescent="0.2">
      <c r="A31" s="44"/>
      <c r="B31" s="71" t="s">
        <v>61</v>
      </c>
      <c r="C31" s="50">
        <f>ROUND(C29*C30,2)</f>
        <v>3185</v>
      </c>
      <c r="D31" s="51" t="s">
        <v>17</v>
      </c>
      <c r="E31" s="49"/>
      <c r="F31" s="199" t="e">
        <f>C31+C86+C141+#REF!+#REF!</f>
        <v>#REF!</v>
      </c>
    </row>
    <row r="32" spans="1:6" s="42" customFormat="1" ht="12" customHeight="1" x14ac:dyDescent="0.2">
      <c r="A32" s="79"/>
      <c r="B32" s="80"/>
      <c r="C32" s="80"/>
      <c r="D32" s="80"/>
      <c r="E32" s="81"/>
      <c r="F32" s="198"/>
    </row>
    <row r="33" spans="1:6" s="42" customFormat="1" ht="12" customHeight="1" x14ac:dyDescent="0.2">
      <c r="A33" s="61" t="s">
        <v>65</v>
      </c>
      <c r="B33" s="65" t="s">
        <v>66</v>
      </c>
      <c r="C33" s="63"/>
      <c r="D33" s="58"/>
      <c r="E33" s="49"/>
      <c r="F33" s="198"/>
    </row>
    <row r="34" spans="1:6" s="42" customFormat="1" ht="12" customHeight="1" x14ac:dyDescent="0.2">
      <c r="A34" s="78" t="s">
        <v>67</v>
      </c>
      <c r="B34" s="424" t="s">
        <v>68</v>
      </c>
      <c r="C34" s="424"/>
      <c r="D34" s="424"/>
      <c r="E34" s="425"/>
      <c r="F34" s="198"/>
    </row>
    <row r="35" spans="1:6" s="42" customFormat="1" ht="12" customHeight="1" x14ac:dyDescent="0.2">
      <c r="A35" s="44"/>
      <c r="B35" s="71" t="s">
        <v>47</v>
      </c>
      <c r="C35" s="48">
        <f>C17</f>
        <v>455</v>
      </c>
      <c r="D35" s="43" t="s">
        <v>48</v>
      </c>
      <c r="E35" s="47"/>
      <c r="F35" s="198"/>
    </row>
    <row r="36" spans="1:6" s="42" customFormat="1" ht="12" customHeight="1" x14ac:dyDescent="0.2">
      <c r="A36" s="44"/>
      <c r="B36" s="71" t="s">
        <v>50</v>
      </c>
      <c r="C36" s="46">
        <v>2</v>
      </c>
      <c r="D36" s="43" t="s">
        <v>69</v>
      </c>
      <c r="E36" s="420"/>
      <c r="F36" s="198"/>
    </row>
    <row r="37" spans="1:6" s="42" customFormat="1" ht="12" customHeight="1" x14ac:dyDescent="0.2">
      <c r="A37" s="44"/>
      <c r="B37" s="71" t="s">
        <v>70</v>
      </c>
      <c r="C37" s="46">
        <f>2*C18</f>
        <v>14</v>
      </c>
      <c r="D37" s="43" t="s">
        <v>48</v>
      </c>
      <c r="E37" s="420"/>
      <c r="F37" s="198"/>
    </row>
    <row r="38" spans="1:6" s="42" customFormat="1" ht="12" customHeight="1" x14ac:dyDescent="0.2">
      <c r="A38" s="44"/>
      <c r="B38" s="71" t="s">
        <v>71</v>
      </c>
      <c r="C38" s="50">
        <f>ROUND((C35*C36+C37),2)</f>
        <v>924</v>
      </c>
      <c r="D38" s="51" t="s">
        <v>48</v>
      </c>
      <c r="E38" s="49"/>
      <c r="F38" s="199" t="e">
        <f>C38+C93+C148+#REF!+#REF!</f>
        <v>#REF!</v>
      </c>
    </row>
    <row r="39" spans="1:6" s="42" customFormat="1" ht="12" customHeight="1" x14ac:dyDescent="0.2">
      <c r="A39" s="79"/>
      <c r="B39" s="80"/>
      <c r="C39" s="80"/>
      <c r="D39" s="80"/>
      <c r="E39" s="81"/>
      <c r="F39" s="198"/>
    </row>
    <row r="40" spans="1:6" s="42" customFormat="1" ht="12" customHeight="1" x14ac:dyDescent="0.2">
      <c r="A40" s="78" t="s">
        <v>72</v>
      </c>
      <c r="B40" s="424" t="s">
        <v>73</v>
      </c>
      <c r="C40" s="424"/>
      <c r="D40" s="424"/>
      <c r="E40" s="425"/>
      <c r="F40" s="198"/>
    </row>
    <row r="41" spans="1:6" s="42" customFormat="1" ht="12" customHeight="1" x14ac:dyDescent="0.2">
      <c r="A41" s="44"/>
      <c r="B41" s="71" t="s">
        <v>47</v>
      </c>
      <c r="C41" s="48">
        <f>C17</f>
        <v>455</v>
      </c>
      <c r="D41" s="43" t="s">
        <v>48</v>
      </c>
      <c r="E41" s="47"/>
      <c r="F41" s="198"/>
    </row>
    <row r="42" spans="1:6" s="42" customFormat="1" ht="12" customHeight="1" x14ac:dyDescent="0.2">
      <c r="A42" s="44"/>
      <c r="B42" s="71" t="s">
        <v>50</v>
      </c>
      <c r="C42" s="48">
        <v>2</v>
      </c>
      <c r="D42" s="43" t="s">
        <v>69</v>
      </c>
      <c r="E42" s="420"/>
      <c r="F42" s="198"/>
    </row>
    <row r="43" spans="1:6" s="42" customFormat="1" ht="12" customHeight="1" x14ac:dyDescent="0.2">
      <c r="A43" s="44"/>
      <c r="B43" s="71" t="s">
        <v>71</v>
      </c>
      <c r="C43" s="50">
        <f>ROUND(C41*C42,2)</f>
        <v>910</v>
      </c>
      <c r="D43" s="51" t="s">
        <v>48</v>
      </c>
      <c r="E43" s="420"/>
      <c r="F43" s="199" t="e">
        <f>C43+C98+C153+#REF!+#REF!</f>
        <v>#REF!</v>
      </c>
    </row>
    <row r="44" spans="1:6" s="42" customFormat="1" ht="12" customHeight="1" x14ac:dyDescent="0.2">
      <c r="A44" s="79"/>
      <c r="B44" s="80"/>
      <c r="C44" s="80"/>
      <c r="D44" s="80"/>
      <c r="E44" s="81"/>
      <c r="F44" s="198"/>
    </row>
    <row r="45" spans="1:6" s="42" customFormat="1" ht="12" customHeight="1" x14ac:dyDescent="0.2">
      <c r="A45" s="61" t="s">
        <v>74</v>
      </c>
      <c r="B45" s="65" t="s">
        <v>75</v>
      </c>
      <c r="C45" s="63"/>
      <c r="D45" s="58"/>
      <c r="E45" s="49"/>
      <c r="F45" s="198"/>
    </row>
    <row r="46" spans="1:6" s="42" customFormat="1" ht="12" customHeight="1" x14ac:dyDescent="0.2">
      <c r="A46" s="78" t="s">
        <v>76</v>
      </c>
      <c r="B46" s="424" t="s">
        <v>77</v>
      </c>
      <c r="C46" s="424"/>
      <c r="D46" s="424"/>
      <c r="E46" s="425"/>
      <c r="F46" s="198"/>
    </row>
    <row r="47" spans="1:6" s="42" customFormat="1" ht="12" customHeight="1" x14ac:dyDescent="0.2">
      <c r="A47" s="44"/>
      <c r="B47" s="71" t="s">
        <v>78</v>
      </c>
      <c r="C47" s="48">
        <f>C31</f>
        <v>3185</v>
      </c>
      <c r="D47" s="43" t="s">
        <v>17</v>
      </c>
      <c r="E47" s="47"/>
      <c r="F47" s="198"/>
    </row>
    <row r="48" spans="1:6" s="42" customFormat="1" ht="12" customHeight="1" x14ac:dyDescent="0.2">
      <c r="A48" s="44"/>
      <c r="B48" s="71" t="s">
        <v>79</v>
      </c>
      <c r="C48" s="82">
        <v>4.2000000000000003E-2</v>
      </c>
      <c r="D48" s="43" t="s">
        <v>80</v>
      </c>
      <c r="E48" s="49"/>
      <c r="F48" s="198"/>
    </row>
    <row r="49" spans="1:6" s="42" customFormat="1" ht="12" customHeight="1" x14ac:dyDescent="0.2">
      <c r="A49" s="44"/>
      <c r="B49" s="71" t="s">
        <v>81</v>
      </c>
      <c r="C49" s="48">
        <v>2.52</v>
      </c>
      <c r="D49" s="43" t="s">
        <v>82</v>
      </c>
      <c r="E49" s="49"/>
      <c r="F49" s="198"/>
    </row>
    <row r="50" spans="1:6" s="42" customFormat="1" ht="12" customHeight="1" x14ac:dyDescent="0.2">
      <c r="A50" s="44"/>
      <c r="B50" s="71" t="s">
        <v>83</v>
      </c>
      <c r="C50" s="48">
        <v>1.5</v>
      </c>
      <c r="D50" s="43" t="s">
        <v>84</v>
      </c>
      <c r="E50" s="49"/>
      <c r="F50" s="198"/>
    </row>
    <row r="51" spans="1:6" s="42" customFormat="1" ht="12" customHeight="1" x14ac:dyDescent="0.2">
      <c r="A51" s="44"/>
      <c r="B51" s="71" t="s">
        <v>85</v>
      </c>
      <c r="C51" s="92">
        <v>30</v>
      </c>
      <c r="D51" s="43" t="s">
        <v>86</v>
      </c>
      <c r="E51" s="49"/>
      <c r="F51" s="198"/>
    </row>
    <row r="52" spans="1:6" s="42" customFormat="1" ht="12" customHeight="1" x14ac:dyDescent="0.2">
      <c r="A52" s="44"/>
      <c r="B52" s="65" t="s">
        <v>87</v>
      </c>
      <c r="C52" s="50">
        <f>ROUND(C47*C48*C49*C50*C51,2)</f>
        <v>15169.52</v>
      </c>
      <c r="D52" s="51" t="s">
        <v>88</v>
      </c>
      <c r="E52" s="49"/>
      <c r="F52" s="199" t="e">
        <f>C52+C107+C162+#REF!+#REF!</f>
        <v>#REF!</v>
      </c>
    </row>
    <row r="53" spans="1:6" s="42" customFormat="1" ht="12" customHeight="1" x14ac:dyDescent="0.2">
      <c r="A53" s="79"/>
      <c r="B53" s="80"/>
      <c r="C53" s="80"/>
      <c r="D53" s="80"/>
      <c r="E53" s="81"/>
      <c r="F53" s="198"/>
    </row>
    <row r="54" spans="1:6" s="42" customFormat="1" ht="12" customHeight="1" x14ac:dyDescent="0.2">
      <c r="A54" s="78" t="s">
        <v>89</v>
      </c>
      <c r="B54" s="424" t="s">
        <v>90</v>
      </c>
      <c r="C54" s="424"/>
      <c r="D54" s="424"/>
      <c r="E54" s="425"/>
      <c r="F54" s="198"/>
    </row>
    <row r="55" spans="1:6" s="42" customFormat="1" ht="12" customHeight="1" x14ac:dyDescent="0.2">
      <c r="A55" s="44"/>
      <c r="B55" s="71" t="s">
        <v>78</v>
      </c>
      <c r="C55" s="48">
        <f>C25</f>
        <v>3185</v>
      </c>
      <c r="D55" s="43" t="s">
        <v>17</v>
      </c>
      <c r="E55" s="83"/>
      <c r="F55" s="198"/>
    </row>
    <row r="56" spans="1:6" s="42" customFormat="1" ht="12" customHeight="1" x14ac:dyDescent="0.2">
      <c r="A56" s="44"/>
      <c r="B56" s="71" t="s">
        <v>79</v>
      </c>
      <c r="C56" s="82">
        <v>4.2000000000000003E-2</v>
      </c>
      <c r="D56" s="43" t="s">
        <v>80</v>
      </c>
      <c r="E56" s="84"/>
      <c r="F56" s="198"/>
    </row>
    <row r="57" spans="1:6" s="42" customFormat="1" ht="12" customHeight="1" x14ac:dyDescent="0.2">
      <c r="A57" s="44"/>
      <c r="B57" s="71" t="s">
        <v>81</v>
      </c>
      <c r="C57" s="48">
        <v>2.52</v>
      </c>
      <c r="D57" s="43" t="s">
        <v>82</v>
      </c>
      <c r="E57" s="84"/>
      <c r="F57" s="198"/>
    </row>
    <row r="58" spans="1:6" s="42" customFormat="1" ht="12" customHeight="1" x14ac:dyDescent="0.2">
      <c r="A58" s="44"/>
      <c r="B58" s="71" t="s">
        <v>83</v>
      </c>
      <c r="C58" s="48">
        <v>1.5</v>
      </c>
      <c r="D58" s="43" t="s">
        <v>84</v>
      </c>
      <c r="E58" s="84"/>
      <c r="F58" s="198"/>
    </row>
    <row r="59" spans="1:6" s="42" customFormat="1" ht="12" customHeight="1" x14ac:dyDescent="0.2">
      <c r="A59" s="44"/>
      <c r="B59" s="71" t="s">
        <v>85</v>
      </c>
      <c r="C59" s="92">
        <f>C19-C51</f>
        <v>85</v>
      </c>
      <c r="D59" s="43" t="s">
        <v>86</v>
      </c>
      <c r="E59" s="84"/>
      <c r="F59" s="198"/>
    </row>
    <row r="60" spans="1:6" s="42" customFormat="1" ht="12" customHeight="1" x14ac:dyDescent="0.2">
      <c r="A60" s="44"/>
      <c r="B60" s="65" t="s">
        <v>87</v>
      </c>
      <c r="C60" s="50">
        <f>ROUND(C55*C56*C57*C58*C59,2)</f>
        <v>42980.3</v>
      </c>
      <c r="D60" s="51" t="s">
        <v>88</v>
      </c>
      <c r="E60" s="84"/>
      <c r="F60" s="199" t="e">
        <f>C60+C115+C170+#REF!+#REF!</f>
        <v>#REF!</v>
      </c>
    </row>
    <row r="61" spans="1:6" s="42" customFormat="1" ht="12" customHeight="1" x14ac:dyDescent="0.2">
      <c r="A61" s="79"/>
      <c r="B61" s="71"/>
      <c r="C61" s="52"/>
      <c r="D61" s="85"/>
      <c r="E61" s="81"/>
      <c r="F61" s="198"/>
    </row>
    <row r="62" spans="1:6" s="42" customFormat="1" ht="12" customHeight="1" x14ac:dyDescent="0.2">
      <c r="A62" s="61" t="s">
        <v>91</v>
      </c>
      <c r="B62" s="65" t="s">
        <v>92</v>
      </c>
      <c r="C62" s="63"/>
      <c r="D62" s="58"/>
      <c r="E62" s="49"/>
      <c r="F62" s="198"/>
    </row>
    <row r="63" spans="1:6" s="42" customFormat="1" ht="12" customHeight="1" x14ac:dyDescent="0.2">
      <c r="A63" s="78" t="s">
        <v>93</v>
      </c>
      <c r="B63" s="424" t="s">
        <v>94</v>
      </c>
      <c r="C63" s="424"/>
      <c r="D63" s="424"/>
      <c r="E63" s="425"/>
      <c r="F63" s="198"/>
    </row>
    <row r="64" spans="1:6" s="42" customFormat="1" ht="12" customHeight="1" x14ac:dyDescent="0.2">
      <c r="A64" s="44"/>
      <c r="B64" s="71" t="s">
        <v>95</v>
      </c>
      <c r="C64" s="48">
        <v>0.23</v>
      </c>
      <c r="D64" s="43" t="s">
        <v>17</v>
      </c>
      <c r="E64" s="47"/>
      <c r="F64" s="198"/>
    </row>
    <row r="65" spans="1:6" s="42" customFormat="1" ht="12" customHeight="1" x14ac:dyDescent="0.2">
      <c r="A65" s="44"/>
      <c r="B65" s="71" t="s">
        <v>96</v>
      </c>
      <c r="C65" s="50">
        <f>C64</f>
        <v>0.23</v>
      </c>
      <c r="D65" s="51" t="s">
        <v>17</v>
      </c>
      <c r="E65" s="49"/>
      <c r="F65" s="199" t="e">
        <f>C65+C120+C175+#REF!+#REF!</f>
        <v>#REF!</v>
      </c>
    </row>
    <row r="66" spans="1:6" s="42" customFormat="1" ht="12" customHeight="1" x14ac:dyDescent="0.2">
      <c r="A66" s="79"/>
      <c r="B66" s="80"/>
      <c r="C66" s="80"/>
      <c r="D66" s="80"/>
      <c r="E66" s="81"/>
      <c r="F66" s="198"/>
    </row>
    <row r="67" spans="1:6" s="42" customFormat="1" ht="12" customHeight="1" x14ac:dyDescent="0.2">
      <c r="A67" s="78" t="s">
        <v>97</v>
      </c>
      <c r="B67" s="424" t="s">
        <v>98</v>
      </c>
      <c r="C67" s="424"/>
      <c r="D67" s="424"/>
      <c r="E67" s="425"/>
      <c r="F67" s="198"/>
    </row>
    <row r="68" spans="1:6" s="42" customFormat="1" ht="12" customHeight="1" x14ac:dyDescent="0.2">
      <c r="A68" s="44"/>
      <c r="B68" s="71" t="s">
        <v>95</v>
      </c>
      <c r="C68" s="48">
        <v>2</v>
      </c>
      <c r="D68" s="43" t="s">
        <v>69</v>
      </c>
      <c r="E68" s="47"/>
      <c r="F68" s="198"/>
    </row>
    <row r="69" spans="1:6" s="42" customFormat="1" ht="12" customHeight="1" x14ac:dyDescent="0.2">
      <c r="A69" s="89"/>
      <c r="B69" s="90" t="s">
        <v>96</v>
      </c>
      <c r="C69" s="50">
        <f>C68</f>
        <v>2</v>
      </c>
      <c r="D69" s="51" t="s">
        <v>69</v>
      </c>
      <c r="E69" s="91"/>
      <c r="F69" s="199" t="e">
        <f>C69+C124+C179+#REF!+#REF!</f>
        <v>#REF!</v>
      </c>
    </row>
    <row r="70" spans="1:6" s="42" customFormat="1" ht="12" customHeight="1" x14ac:dyDescent="0.2">
      <c r="A70" s="79"/>
      <c r="B70" s="80"/>
      <c r="C70" s="80"/>
      <c r="D70" s="80"/>
      <c r="E70" s="81"/>
      <c r="F70" s="198"/>
    </row>
    <row r="71" spans="1:6" s="42" customFormat="1" ht="12" customHeight="1" x14ac:dyDescent="0.2">
      <c r="A71" s="40"/>
      <c r="B71" s="41" t="str">
        <f>GERAL!A11</f>
        <v>Rua Projetada 02</v>
      </c>
      <c r="C71" s="421"/>
      <c r="D71" s="422"/>
      <c r="E71" s="423"/>
      <c r="F71" s="198"/>
    </row>
    <row r="72" spans="1:6" s="42" customFormat="1" ht="12" customHeight="1" x14ac:dyDescent="0.2">
      <c r="A72" s="55"/>
      <c r="B72" s="56" t="s">
        <v>55</v>
      </c>
      <c r="C72" s="57">
        <v>370</v>
      </c>
      <c r="D72" s="58" t="s">
        <v>48</v>
      </c>
      <c r="E72" s="49"/>
      <c r="F72" s="198"/>
    </row>
    <row r="73" spans="1:6" s="42" customFormat="1" ht="12" customHeight="1" x14ac:dyDescent="0.2">
      <c r="A73" s="55"/>
      <c r="B73" s="56" t="s">
        <v>56</v>
      </c>
      <c r="C73" s="57">
        <v>5</v>
      </c>
      <c r="D73" s="58" t="s">
        <v>48</v>
      </c>
      <c r="E73" s="49"/>
      <c r="F73" s="198"/>
    </row>
    <row r="74" spans="1:6" s="42" customFormat="1" ht="12" customHeight="1" x14ac:dyDescent="0.2">
      <c r="A74" s="55"/>
      <c r="B74" s="56" t="s">
        <v>57</v>
      </c>
      <c r="C74" s="59">
        <f>C19</f>
        <v>115</v>
      </c>
      <c r="D74" s="58" t="s">
        <v>58</v>
      </c>
      <c r="E74" s="49"/>
      <c r="F74" s="198"/>
    </row>
    <row r="75" spans="1:6" s="42" customFormat="1" ht="12" customHeight="1" x14ac:dyDescent="0.2">
      <c r="A75" s="61"/>
      <c r="B75" s="62"/>
      <c r="C75" s="63"/>
      <c r="D75" s="64"/>
      <c r="E75" s="49"/>
      <c r="F75" s="198"/>
    </row>
    <row r="76" spans="1:6" s="42" customFormat="1" ht="12" customHeight="1" x14ac:dyDescent="0.2">
      <c r="A76" s="61" t="s">
        <v>40</v>
      </c>
      <c r="B76" s="65" t="s">
        <v>59</v>
      </c>
      <c r="C76" s="63"/>
      <c r="D76" s="58"/>
      <c r="E76" s="49"/>
      <c r="F76" s="198"/>
    </row>
    <row r="77" spans="1:6" s="42" customFormat="1" ht="12" customHeight="1" x14ac:dyDescent="0.2">
      <c r="A77" s="66" t="s">
        <v>42</v>
      </c>
      <c r="B77" s="67" t="s">
        <v>60</v>
      </c>
      <c r="C77" s="86"/>
      <c r="D77" s="87"/>
      <c r="E77" s="88"/>
      <c r="F77" s="198"/>
    </row>
    <row r="78" spans="1:6" s="42" customFormat="1" ht="12" customHeight="1" x14ac:dyDescent="0.2">
      <c r="A78" s="44"/>
      <c r="B78" s="71" t="s">
        <v>47</v>
      </c>
      <c r="C78" s="48">
        <f>C72</f>
        <v>370</v>
      </c>
      <c r="D78" s="43" t="s">
        <v>48</v>
      </c>
      <c r="E78" s="47"/>
      <c r="F78" s="198"/>
    </row>
    <row r="79" spans="1:6" s="42" customFormat="1" ht="12" customHeight="1" x14ac:dyDescent="0.2">
      <c r="A79" s="44"/>
      <c r="B79" s="71" t="s">
        <v>49</v>
      </c>
      <c r="C79" s="48">
        <f>C73</f>
        <v>5</v>
      </c>
      <c r="D79" s="43" t="s">
        <v>48</v>
      </c>
      <c r="E79" s="49"/>
      <c r="F79" s="198"/>
    </row>
    <row r="80" spans="1:6" s="42" customFormat="1" ht="12" customHeight="1" x14ac:dyDescent="0.2">
      <c r="A80" s="44"/>
      <c r="B80" s="71" t="s">
        <v>61</v>
      </c>
      <c r="C80" s="50">
        <f>ROUND(C78*C79,2)</f>
        <v>1850</v>
      </c>
      <c r="D80" s="51" t="s">
        <v>17</v>
      </c>
      <c r="E80" s="49"/>
      <c r="F80" s="198"/>
    </row>
    <row r="81" spans="1:6" s="42" customFormat="1" ht="12" customHeight="1" x14ac:dyDescent="0.2">
      <c r="A81" s="74"/>
      <c r="B81" s="75"/>
      <c r="C81" s="53"/>
      <c r="D81" s="76"/>
      <c r="E81" s="77"/>
      <c r="F81" s="198"/>
    </row>
    <row r="82" spans="1:6" s="42" customFormat="1" ht="12" customHeight="1" x14ac:dyDescent="0.2">
      <c r="A82" s="61" t="s">
        <v>62</v>
      </c>
      <c r="B82" s="65" t="s">
        <v>63</v>
      </c>
      <c r="C82" s="63"/>
      <c r="D82" s="58"/>
      <c r="E82" s="49"/>
      <c r="F82" s="198"/>
    </row>
    <row r="83" spans="1:6" s="42" customFormat="1" ht="12" customHeight="1" x14ac:dyDescent="0.2">
      <c r="A83" s="78" t="s">
        <v>64</v>
      </c>
      <c r="B83" s="424" t="s">
        <v>24</v>
      </c>
      <c r="C83" s="424"/>
      <c r="D83" s="424"/>
      <c r="E83" s="425"/>
      <c r="F83" s="198"/>
    </row>
    <row r="84" spans="1:6" s="42" customFormat="1" ht="12" customHeight="1" x14ac:dyDescent="0.2">
      <c r="A84" s="44"/>
      <c r="B84" s="71" t="s">
        <v>47</v>
      </c>
      <c r="C84" s="48">
        <f>C72</f>
        <v>370</v>
      </c>
      <c r="D84" s="43" t="s">
        <v>48</v>
      </c>
      <c r="E84" s="47"/>
      <c r="F84" s="198"/>
    </row>
    <row r="85" spans="1:6" s="42" customFormat="1" ht="12" customHeight="1" x14ac:dyDescent="0.2">
      <c r="A85" s="44"/>
      <c r="B85" s="71" t="s">
        <v>49</v>
      </c>
      <c r="C85" s="48">
        <f>C73</f>
        <v>5</v>
      </c>
      <c r="D85" s="43" t="s">
        <v>48</v>
      </c>
      <c r="E85" s="49"/>
      <c r="F85" s="198"/>
    </row>
    <row r="86" spans="1:6" s="42" customFormat="1" ht="12" customHeight="1" x14ac:dyDescent="0.2">
      <c r="A86" s="44"/>
      <c r="B86" s="71" t="s">
        <v>61</v>
      </c>
      <c r="C86" s="50">
        <f>ROUND(C84*C85,2)</f>
        <v>1850</v>
      </c>
      <c r="D86" s="51" t="s">
        <v>17</v>
      </c>
      <c r="E86" s="49"/>
      <c r="F86" s="198"/>
    </row>
    <row r="87" spans="1:6" s="42" customFormat="1" ht="12" customHeight="1" x14ac:dyDescent="0.2">
      <c r="A87" s="79"/>
      <c r="B87" s="80"/>
      <c r="C87" s="80"/>
      <c r="D87" s="80"/>
      <c r="E87" s="81"/>
      <c r="F87" s="198"/>
    </row>
    <row r="88" spans="1:6" s="42" customFormat="1" ht="12" customHeight="1" x14ac:dyDescent="0.2">
      <c r="A88" s="61" t="s">
        <v>65</v>
      </c>
      <c r="B88" s="65" t="s">
        <v>66</v>
      </c>
      <c r="C88" s="63"/>
      <c r="D88" s="58"/>
      <c r="E88" s="49"/>
      <c r="F88" s="198"/>
    </row>
    <row r="89" spans="1:6" s="42" customFormat="1" ht="12" customHeight="1" x14ac:dyDescent="0.2">
      <c r="A89" s="78" t="s">
        <v>67</v>
      </c>
      <c r="B89" s="424" t="s">
        <v>68</v>
      </c>
      <c r="C89" s="424"/>
      <c r="D89" s="424"/>
      <c r="E89" s="425"/>
      <c r="F89" s="198"/>
    </row>
    <row r="90" spans="1:6" s="42" customFormat="1" ht="12" customHeight="1" x14ac:dyDescent="0.2">
      <c r="A90" s="44"/>
      <c r="B90" s="71" t="s">
        <v>47</v>
      </c>
      <c r="C90" s="48">
        <f>C72</f>
        <v>370</v>
      </c>
      <c r="D90" s="43" t="s">
        <v>48</v>
      </c>
      <c r="E90" s="47"/>
      <c r="F90" s="198"/>
    </row>
    <row r="91" spans="1:6" s="42" customFormat="1" ht="12" customHeight="1" x14ac:dyDescent="0.2">
      <c r="A91" s="44"/>
      <c r="B91" s="71" t="s">
        <v>50</v>
      </c>
      <c r="C91" s="46">
        <v>2</v>
      </c>
      <c r="D91" s="43" t="s">
        <v>69</v>
      </c>
      <c r="E91" s="420"/>
      <c r="F91" s="198"/>
    </row>
    <row r="92" spans="1:6" s="42" customFormat="1" ht="12" customHeight="1" x14ac:dyDescent="0.2">
      <c r="A92" s="44"/>
      <c r="B92" s="71" t="s">
        <v>70</v>
      </c>
      <c r="C92" s="46">
        <f>2*C73</f>
        <v>10</v>
      </c>
      <c r="D92" s="43" t="s">
        <v>48</v>
      </c>
      <c r="E92" s="420"/>
      <c r="F92" s="198"/>
    </row>
    <row r="93" spans="1:6" s="42" customFormat="1" ht="12" customHeight="1" x14ac:dyDescent="0.2">
      <c r="A93" s="44"/>
      <c r="B93" s="71" t="s">
        <v>71</v>
      </c>
      <c r="C93" s="50">
        <f>ROUND((C90*C91+C92),2)</f>
        <v>750</v>
      </c>
      <c r="D93" s="51" t="s">
        <v>48</v>
      </c>
      <c r="E93" s="49"/>
      <c r="F93" s="198"/>
    </row>
    <row r="94" spans="1:6" s="42" customFormat="1" ht="12" customHeight="1" x14ac:dyDescent="0.2">
      <c r="A94" s="79"/>
      <c r="B94" s="80"/>
      <c r="C94" s="80"/>
      <c r="D94" s="80"/>
      <c r="E94" s="81"/>
      <c r="F94" s="198"/>
    </row>
    <row r="95" spans="1:6" s="42" customFormat="1" ht="12" customHeight="1" x14ac:dyDescent="0.2">
      <c r="A95" s="78" t="s">
        <v>72</v>
      </c>
      <c r="B95" s="424" t="s">
        <v>73</v>
      </c>
      <c r="C95" s="424"/>
      <c r="D95" s="424"/>
      <c r="E95" s="425"/>
      <c r="F95" s="198"/>
    </row>
    <row r="96" spans="1:6" s="42" customFormat="1" ht="12" customHeight="1" x14ac:dyDescent="0.2">
      <c r="A96" s="44"/>
      <c r="B96" s="71" t="s">
        <v>47</v>
      </c>
      <c r="C96" s="48">
        <f>C72</f>
        <v>370</v>
      </c>
      <c r="D96" s="43" t="s">
        <v>48</v>
      </c>
      <c r="E96" s="47"/>
      <c r="F96" s="198"/>
    </row>
    <row r="97" spans="1:6" s="42" customFormat="1" ht="12" customHeight="1" x14ac:dyDescent="0.2">
      <c r="A97" s="44"/>
      <c r="B97" s="71" t="s">
        <v>50</v>
      </c>
      <c r="C97" s="48">
        <v>2</v>
      </c>
      <c r="D97" s="43" t="s">
        <v>69</v>
      </c>
      <c r="E97" s="420"/>
      <c r="F97" s="198"/>
    </row>
    <row r="98" spans="1:6" s="42" customFormat="1" ht="12" customHeight="1" x14ac:dyDescent="0.2">
      <c r="A98" s="44"/>
      <c r="B98" s="71" t="s">
        <v>71</v>
      </c>
      <c r="C98" s="50">
        <f>ROUND(C96*C97,2)</f>
        <v>740</v>
      </c>
      <c r="D98" s="51" t="s">
        <v>48</v>
      </c>
      <c r="E98" s="420"/>
      <c r="F98" s="198"/>
    </row>
    <row r="99" spans="1:6" s="42" customFormat="1" ht="12" customHeight="1" x14ac:dyDescent="0.2">
      <c r="A99" s="79"/>
      <c r="B99" s="80"/>
      <c r="C99" s="80"/>
      <c r="D99" s="80"/>
      <c r="E99" s="81"/>
      <c r="F99" s="198"/>
    </row>
    <row r="100" spans="1:6" s="42" customFormat="1" ht="12" customHeight="1" x14ac:dyDescent="0.2">
      <c r="A100" s="61" t="s">
        <v>74</v>
      </c>
      <c r="B100" s="65" t="s">
        <v>75</v>
      </c>
      <c r="C100" s="63"/>
      <c r="D100" s="58"/>
      <c r="E100" s="49"/>
      <c r="F100" s="198"/>
    </row>
    <row r="101" spans="1:6" s="42" customFormat="1" ht="12" customHeight="1" x14ac:dyDescent="0.2">
      <c r="A101" s="78" t="s">
        <v>76</v>
      </c>
      <c r="B101" s="424" t="s">
        <v>77</v>
      </c>
      <c r="C101" s="424"/>
      <c r="D101" s="424"/>
      <c r="E101" s="425"/>
      <c r="F101" s="198"/>
    </row>
    <row r="102" spans="1:6" s="42" customFormat="1" ht="12" customHeight="1" x14ac:dyDescent="0.2">
      <c r="A102" s="44"/>
      <c r="B102" s="71" t="s">
        <v>78</v>
      </c>
      <c r="C102" s="48">
        <f>C80</f>
        <v>1850</v>
      </c>
      <c r="D102" s="43" t="s">
        <v>17</v>
      </c>
      <c r="E102" s="47"/>
      <c r="F102" s="198"/>
    </row>
    <row r="103" spans="1:6" s="42" customFormat="1" ht="12" customHeight="1" x14ac:dyDescent="0.2">
      <c r="A103" s="44"/>
      <c r="B103" s="71" t="s">
        <v>79</v>
      </c>
      <c r="C103" s="82">
        <v>4.2000000000000003E-2</v>
      </c>
      <c r="D103" s="43" t="s">
        <v>80</v>
      </c>
      <c r="E103" s="49"/>
      <c r="F103" s="198"/>
    </row>
    <row r="104" spans="1:6" s="42" customFormat="1" ht="12" customHeight="1" x14ac:dyDescent="0.2">
      <c r="A104" s="44"/>
      <c r="B104" s="71" t="s">
        <v>81</v>
      </c>
      <c r="C104" s="48">
        <v>2.52</v>
      </c>
      <c r="D104" s="43" t="s">
        <v>82</v>
      </c>
      <c r="E104" s="49"/>
      <c r="F104" s="198"/>
    </row>
    <row r="105" spans="1:6" s="42" customFormat="1" ht="12" customHeight="1" x14ac:dyDescent="0.2">
      <c r="A105" s="44"/>
      <c r="B105" s="71" t="s">
        <v>83</v>
      </c>
      <c r="C105" s="48">
        <v>1.5</v>
      </c>
      <c r="D105" s="43" t="s">
        <v>84</v>
      </c>
      <c r="E105" s="49"/>
      <c r="F105" s="198"/>
    </row>
    <row r="106" spans="1:6" s="42" customFormat="1" ht="12" customHeight="1" x14ac:dyDescent="0.2">
      <c r="A106" s="44"/>
      <c r="B106" s="71" t="s">
        <v>85</v>
      </c>
      <c r="C106" s="48">
        <v>30</v>
      </c>
      <c r="D106" s="43" t="s">
        <v>86</v>
      </c>
      <c r="E106" s="49"/>
      <c r="F106" s="198"/>
    </row>
    <row r="107" spans="1:6" s="42" customFormat="1" ht="12" customHeight="1" x14ac:dyDescent="0.2">
      <c r="A107" s="44"/>
      <c r="B107" s="65" t="s">
        <v>87</v>
      </c>
      <c r="C107" s="50">
        <f>ROUND(C102*C103*C104*C105*C106,2)</f>
        <v>8811.18</v>
      </c>
      <c r="D107" s="51" t="s">
        <v>88</v>
      </c>
      <c r="E107" s="49"/>
      <c r="F107" s="198"/>
    </row>
    <row r="108" spans="1:6" s="42" customFormat="1" ht="12" customHeight="1" x14ac:dyDescent="0.2">
      <c r="A108" s="79"/>
      <c r="B108" s="80"/>
      <c r="C108" s="80"/>
      <c r="D108" s="80"/>
      <c r="E108" s="81"/>
      <c r="F108" s="198"/>
    </row>
    <row r="109" spans="1:6" s="42" customFormat="1" ht="12" customHeight="1" x14ac:dyDescent="0.2">
      <c r="A109" s="78" t="s">
        <v>89</v>
      </c>
      <c r="B109" s="424" t="s">
        <v>90</v>
      </c>
      <c r="C109" s="424"/>
      <c r="D109" s="424"/>
      <c r="E109" s="425"/>
      <c r="F109" s="198"/>
    </row>
    <row r="110" spans="1:6" s="42" customFormat="1" ht="12" customHeight="1" x14ac:dyDescent="0.2">
      <c r="A110" s="44"/>
      <c r="B110" s="71" t="s">
        <v>78</v>
      </c>
      <c r="C110" s="48">
        <f>C102</f>
        <v>1850</v>
      </c>
      <c r="D110" s="43" t="s">
        <v>17</v>
      </c>
      <c r="E110" s="83"/>
      <c r="F110" s="198"/>
    </row>
    <row r="111" spans="1:6" s="42" customFormat="1" ht="12" customHeight="1" x14ac:dyDescent="0.2">
      <c r="A111" s="44"/>
      <c r="B111" s="71" t="s">
        <v>79</v>
      </c>
      <c r="C111" s="82">
        <v>4.2000000000000003E-2</v>
      </c>
      <c r="D111" s="43" t="s">
        <v>80</v>
      </c>
      <c r="E111" s="84"/>
      <c r="F111" s="198"/>
    </row>
    <row r="112" spans="1:6" s="42" customFormat="1" ht="12" customHeight="1" x14ac:dyDescent="0.2">
      <c r="A112" s="44"/>
      <c r="B112" s="71" t="s">
        <v>81</v>
      </c>
      <c r="C112" s="48">
        <v>2.52</v>
      </c>
      <c r="D112" s="43" t="s">
        <v>82</v>
      </c>
      <c r="E112" s="84"/>
      <c r="F112" s="198"/>
    </row>
    <row r="113" spans="1:6" s="42" customFormat="1" ht="12" customHeight="1" x14ac:dyDescent="0.2">
      <c r="A113" s="44"/>
      <c r="B113" s="71" t="s">
        <v>83</v>
      </c>
      <c r="C113" s="48">
        <v>1.5</v>
      </c>
      <c r="D113" s="43" t="s">
        <v>84</v>
      </c>
      <c r="E113" s="84"/>
      <c r="F113" s="198"/>
    </row>
    <row r="114" spans="1:6" s="42" customFormat="1" ht="12" customHeight="1" x14ac:dyDescent="0.2">
      <c r="A114" s="44"/>
      <c r="B114" s="71" t="s">
        <v>85</v>
      </c>
      <c r="C114" s="48">
        <f>-C106+C74</f>
        <v>85</v>
      </c>
      <c r="D114" s="43" t="s">
        <v>86</v>
      </c>
      <c r="E114" s="84"/>
      <c r="F114" s="198"/>
    </row>
    <row r="115" spans="1:6" s="42" customFormat="1" ht="12" customHeight="1" x14ac:dyDescent="0.2">
      <c r="A115" s="44"/>
      <c r="B115" s="65" t="s">
        <v>87</v>
      </c>
      <c r="C115" s="50">
        <f>ROUND(C110*C111*C112*C113*C114,2)</f>
        <v>24965.01</v>
      </c>
      <c r="D115" s="51" t="s">
        <v>88</v>
      </c>
      <c r="E115" s="84"/>
      <c r="F115" s="198"/>
    </row>
    <row r="116" spans="1:6" s="42" customFormat="1" ht="12" customHeight="1" x14ac:dyDescent="0.2">
      <c r="A116" s="79"/>
      <c r="B116" s="71"/>
      <c r="C116" s="52"/>
      <c r="D116" s="85"/>
      <c r="E116" s="81"/>
      <c r="F116" s="198"/>
    </row>
    <row r="117" spans="1:6" s="42" customFormat="1" ht="12" customHeight="1" x14ac:dyDescent="0.2">
      <c r="A117" s="61" t="s">
        <v>91</v>
      </c>
      <c r="B117" s="65" t="s">
        <v>92</v>
      </c>
      <c r="C117" s="63"/>
      <c r="D117" s="58"/>
      <c r="E117" s="49"/>
      <c r="F117" s="198"/>
    </row>
    <row r="118" spans="1:6" s="42" customFormat="1" ht="12" customHeight="1" x14ac:dyDescent="0.2">
      <c r="A118" s="78" t="s">
        <v>93</v>
      </c>
      <c r="B118" s="424" t="s">
        <v>94</v>
      </c>
      <c r="C118" s="424"/>
      <c r="D118" s="424"/>
      <c r="E118" s="425"/>
      <c r="F118" s="198"/>
    </row>
    <row r="119" spans="1:6" s="42" customFormat="1" ht="12" customHeight="1" x14ac:dyDescent="0.2">
      <c r="A119" s="44"/>
      <c r="B119" s="71" t="s">
        <v>95</v>
      </c>
      <c r="C119" s="48">
        <v>0.23</v>
      </c>
      <c r="D119" s="43" t="s">
        <v>17</v>
      </c>
      <c r="E119" s="47"/>
      <c r="F119" s="198"/>
    </row>
    <row r="120" spans="1:6" s="42" customFormat="1" ht="12" customHeight="1" x14ac:dyDescent="0.2">
      <c r="A120" s="44"/>
      <c r="B120" s="71" t="s">
        <v>96</v>
      </c>
      <c r="C120" s="50">
        <f>C119</f>
        <v>0.23</v>
      </c>
      <c r="D120" s="51" t="s">
        <v>17</v>
      </c>
      <c r="E120" s="49"/>
      <c r="F120" s="198"/>
    </row>
    <row r="121" spans="1:6" s="42" customFormat="1" ht="12" customHeight="1" x14ac:dyDescent="0.2">
      <c r="A121" s="79"/>
      <c r="B121" s="80"/>
      <c r="C121" s="80"/>
      <c r="D121" s="80"/>
      <c r="E121" s="81"/>
      <c r="F121" s="198"/>
    </row>
    <row r="122" spans="1:6" s="42" customFormat="1" ht="12" customHeight="1" x14ac:dyDescent="0.2">
      <c r="A122" s="78" t="s">
        <v>97</v>
      </c>
      <c r="B122" s="424" t="s">
        <v>98</v>
      </c>
      <c r="C122" s="424"/>
      <c r="D122" s="424"/>
      <c r="E122" s="425"/>
      <c r="F122" s="198"/>
    </row>
    <row r="123" spans="1:6" s="42" customFormat="1" ht="12" customHeight="1" x14ac:dyDescent="0.2">
      <c r="A123" s="44"/>
      <c r="B123" s="71" t="s">
        <v>95</v>
      </c>
      <c r="C123" s="48">
        <v>2</v>
      </c>
      <c r="D123" s="43" t="s">
        <v>69</v>
      </c>
      <c r="E123" s="47"/>
      <c r="F123" s="198"/>
    </row>
    <row r="124" spans="1:6" s="42" customFormat="1" ht="12" customHeight="1" x14ac:dyDescent="0.2">
      <c r="A124" s="44"/>
      <c r="B124" s="71" t="s">
        <v>96</v>
      </c>
      <c r="C124" s="50">
        <f>C123</f>
        <v>2</v>
      </c>
      <c r="D124" s="51" t="s">
        <v>69</v>
      </c>
      <c r="E124" s="49"/>
      <c r="F124" s="198"/>
    </row>
    <row r="125" spans="1:6" s="42" customFormat="1" ht="12" customHeight="1" x14ac:dyDescent="0.2">
      <c r="A125" s="79"/>
      <c r="B125" s="80"/>
      <c r="C125" s="80"/>
      <c r="D125" s="80"/>
      <c r="E125" s="81"/>
      <c r="F125" s="198"/>
    </row>
    <row r="126" spans="1:6" s="42" customFormat="1" ht="12" customHeight="1" x14ac:dyDescent="0.2">
      <c r="A126" s="40"/>
      <c r="B126" s="41" t="str">
        <f>GERAL!A12</f>
        <v>Rua DT Alto Alegre</v>
      </c>
      <c r="C126" s="421"/>
      <c r="D126" s="422"/>
      <c r="E126" s="423"/>
      <c r="F126" s="198"/>
    </row>
    <row r="127" spans="1:6" s="42" customFormat="1" ht="12" customHeight="1" x14ac:dyDescent="0.2">
      <c r="A127" s="55"/>
      <c r="B127" s="56" t="s">
        <v>55</v>
      </c>
      <c r="C127" s="57">
        <v>300</v>
      </c>
      <c r="D127" s="58" t="s">
        <v>48</v>
      </c>
      <c r="E127" s="49"/>
      <c r="F127" s="198"/>
    </row>
    <row r="128" spans="1:6" s="42" customFormat="1" ht="12" customHeight="1" x14ac:dyDescent="0.2">
      <c r="A128" s="55"/>
      <c r="B128" s="56" t="s">
        <v>56</v>
      </c>
      <c r="C128" s="57">
        <v>6.5</v>
      </c>
      <c r="D128" s="58" t="s">
        <v>48</v>
      </c>
      <c r="E128" s="49"/>
      <c r="F128" s="198"/>
    </row>
    <row r="129" spans="1:6" s="42" customFormat="1" ht="12" customHeight="1" x14ac:dyDescent="0.2">
      <c r="A129" s="55"/>
      <c r="B129" s="56" t="s">
        <v>57</v>
      </c>
      <c r="C129" s="59">
        <f>C19</f>
        <v>115</v>
      </c>
      <c r="D129" s="58" t="s">
        <v>58</v>
      </c>
      <c r="E129" s="49"/>
      <c r="F129" s="198"/>
    </row>
    <row r="130" spans="1:6" s="42" customFormat="1" ht="12" customHeight="1" x14ac:dyDescent="0.2">
      <c r="A130" s="61"/>
      <c r="B130" s="62"/>
      <c r="C130" s="63"/>
      <c r="D130" s="64"/>
      <c r="E130" s="49"/>
      <c r="F130" s="198"/>
    </row>
    <row r="131" spans="1:6" s="42" customFormat="1" ht="12" customHeight="1" x14ac:dyDescent="0.2">
      <c r="A131" s="61" t="s">
        <v>40</v>
      </c>
      <c r="B131" s="65" t="s">
        <v>59</v>
      </c>
      <c r="C131" s="63"/>
      <c r="D131" s="58"/>
      <c r="E131" s="49"/>
      <c r="F131" s="198"/>
    </row>
    <row r="132" spans="1:6" s="42" customFormat="1" ht="12" customHeight="1" x14ac:dyDescent="0.2">
      <c r="A132" s="66" t="s">
        <v>42</v>
      </c>
      <c r="B132" s="67" t="s">
        <v>60</v>
      </c>
      <c r="C132" s="86"/>
      <c r="D132" s="87"/>
      <c r="E132" s="88"/>
      <c r="F132" s="198"/>
    </row>
    <row r="133" spans="1:6" s="42" customFormat="1" ht="12" customHeight="1" x14ac:dyDescent="0.2">
      <c r="A133" s="44"/>
      <c r="B133" s="71" t="s">
        <v>47</v>
      </c>
      <c r="C133" s="48">
        <f>C127</f>
        <v>300</v>
      </c>
      <c r="D133" s="43" t="s">
        <v>48</v>
      </c>
      <c r="E133" s="47"/>
      <c r="F133" s="198"/>
    </row>
    <row r="134" spans="1:6" s="42" customFormat="1" ht="12" customHeight="1" x14ac:dyDescent="0.2">
      <c r="A134" s="44"/>
      <c r="B134" s="71" t="s">
        <v>49</v>
      </c>
      <c r="C134" s="48">
        <f>C128</f>
        <v>6.5</v>
      </c>
      <c r="D134" s="43" t="s">
        <v>48</v>
      </c>
      <c r="E134" s="49"/>
      <c r="F134" s="198"/>
    </row>
    <row r="135" spans="1:6" s="42" customFormat="1" ht="12" customHeight="1" x14ac:dyDescent="0.2">
      <c r="A135" s="44"/>
      <c r="B135" s="71" t="s">
        <v>61</v>
      </c>
      <c r="C135" s="50">
        <f>ROUND(C133*C134,2)</f>
        <v>1950</v>
      </c>
      <c r="D135" s="51" t="s">
        <v>17</v>
      </c>
      <c r="E135" s="49"/>
      <c r="F135" s="198"/>
    </row>
    <row r="136" spans="1:6" s="42" customFormat="1" ht="12" customHeight="1" x14ac:dyDescent="0.2">
      <c r="A136" s="74"/>
      <c r="B136" s="75"/>
      <c r="C136" s="53"/>
      <c r="D136" s="76"/>
      <c r="E136" s="77"/>
      <c r="F136" s="198"/>
    </row>
    <row r="137" spans="1:6" s="42" customFormat="1" ht="12" customHeight="1" x14ac:dyDescent="0.2">
      <c r="A137" s="61" t="s">
        <v>62</v>
      </c>
      <c r="B137" s="65" t="s">
        <v>63</v>
      </c>
      <c r="C137" s="63"/>
      <c r="D137" s="58"/>
      <c r="E137" s="49"/>
      <c r="F137" s="198"/>
    </row>
    <row r="138" spans="1:6" s="42" customFormat="1" ht="12" customHeight="1" x14ac:dyDescent="0.2">
      <c r="A138" s="78" t="s">
        <v>64</v>
      </c>
      <c r="B138" s="424" t="s">
        <v>24</v>
      </c>
      <c r="C138" s="424"/>
      <c r="D138" s="424"/>
      <c r="E138" s="425"/>
      <c r="F138" s="198"/>
    </row>
    <row r="139" spans="1:6" s="42" customFormat="1" ht="12" customHeight="1" x14ac:dyDescent="0.2">
      <c r="A139" s="44"/>
      <c r="B139" s="71" t="s">
        <v>47</v>
      </c>
      <c r="C139" s="48">
        <f>C127</f>
        <v>300</v>
      </c>
      <c r="D139" s="43" t="s">
        <v>48</v>
      </c>
      <c r="E139" s="47"/>
      <c r="F139" s="198"/>
    </row>
    <row r="140" spans="1:6" s="42" customFormat="1" ht="12" customHeight="1" x14ac:dyDescent="0.2">
      <c r="A140" s="44"/>
      <c r="B140" s="71" t="s">
        <v>49</v>
      </c>
      <c r="C140" s="48">
        <f>C128</f>
        <v>6.5</v>
      </c>
      <c r="D140" s="43" t="s">
        <v>48</v>
      </c>
      <c r="E140" s="49"/>
      <c r="F140" s="198"/>
    </row>
    <row r="141" spans="1:6" s="42" customFormat="1" ht="12" customHeight="1" x14ac:dyDescent="0.2">
      <c r="A141" s="44"/>
      <c r="B141" s="71" t="s">
        <v>61</v>
      </c>
      <c r="C141" s="50">
        <f>ROUND(C139*C140,2)</f>
        <v>1950</v>
      </c>
      <c r="D141" s="51" t="s">
        <v>17</v>
      </c>
      <c r="E141" s="49"/>
      <c r="F141" s="198"/>
    </row>
    <row r="142" spans="1:6" s="42" customFormat="1" ht="12" customHeight="1" x14ac:dyDescent="0.2">
      <c r="A142" s="79"/>
      <c r="B142" s="80"/>
      <c r="C142" s="80"/>
      <c r="D142" s="80"/>
      <c r="E142" s="81"/>
      <c r="F142" s="198"/>
    </row>
    <row r="143" spans="1:6" s="42" customFormat="1" ht="12" customHeight="1" x14ac:dyDescent="0.2">
      <c r="A143" s="61" t="s">
        <v>65</v>
      </c>
      <c r="B143" s="65" t="s">
        <v>66</v>
      </c>
      <c r="C143" s="63"/>
      <c r="D143" s="58"/>
      <c r="E143" s="49"/>
      <c r="F143" s="198"/>
    </row>
    <row r="144" spans="1:6" s="42" customFormat="1" ht="12" customHeight="1" x14ac:dyDescent="0.2">
      <c r="A144" s="78" t="s">
        <v>67</v>
      </c>
      <c r="B144" s="424" t="s">
        <v>68</v>
      </c>
      <c r="C144" s="424"/>
      <c r="D144" s="424"/>
      <c r="E144" s="425"/>
      <c r="F144" s="198"/>
    </row>
    <row r="145" spans="1:6" s="42" customFormat="1" ht="12" customHeight="1" x14ac:dyDescent="0.2">
      <c r="A145" s="44"/>
      <c r="B145" s="71" t="s">
        <v>47</v>
      </c>
      <c r="C145" s="48">
        <f>C133</f>
        <v>300</v>
      </c>
      <c r="D145" s="43" t="s">
        <v>48</v>
      </c>
      <c r="E145" s="47"/>
      <c r="F145" s="198"/>
    </row>
    <row r="146" spans="1:6" s="42" customFormat="1" ht="12" customHeight="1" x14ac:dyDescent="0.2">
      <c r="A146" s="44"/>
      <c r="B146" s="71" t="s">
        <v>50</v>
      </c>
      <c r="C146" s="46">
        <v>2</v>
      </c>
      <c r="D146" s="43" t="s">
        <v>69</v>
      </c>
      <c r="E146" s="420"/>
      <c r="F146" s="198"/>
    </row>
    <row r="147" spans="1:6" s="42" customFormat="1" ht="12" customHeight="1" x14ac:dyDescent="0.2">
      <c r="A147" s="44"/>
      <c r="B147" s="71" t="s">
        <v>70</v>
      </c>
      <c r="C147" s="46">
        <f>2*C128</f>
        <v>13</v>
      </c>
      <c r="D147" s="43" t="s">
        <v>48</v>
      </c>
      <c r="E147" s="420"/>
      <c r="F147" s="198"/>
    </row>
    <row r="148" spans="1:6" s="42" customFormat="1" ht="12" customHeight="1" x14ac:dyDescent="0.2">
      <c r="A148" s="44"/>
      <c r="B148" s="71" t="s">
        <v>71</v>
      </c>
      <c r="C148" s="50">
        <f>ROUND((C145*C146+C147),2)</f>
        <v>613</v>
      </c>
      <c r="D148" s="51" t="s">
        <v>48</v>
      </c>
      <c r="E148" s="49"/>
      <c r="F148" s="198"/>
    </row>
    <row r="149" spans="1:6" s="42" customFormat="1" ht="12" customHeight="1" x14ac:dyDescent="0.2">
      <c r="A149" s="79"/>
      <c r="B149" s="80"/>
      <c r="C149" s="80"/>
      <c r="D149" s="80"/>
      <c r="E149" s="81"/>
      <c r="F149" s="198"/>
    </row>
    <row r="150" spans="1:6" s="42" customFormat="1" ht="12" customHeight="1" x14ac:dyDescent="0.2">
      <c r="A150" s="78" t="s">
        <v>72</v>
      </c>
      <c r="B150" s="424" t="s">
        <v>73</v>
      </c>
      <c r="C150" s="424"/>
      <c r="D150" s="424"/>
      <c r="E150" s="425"/>
      <c r="F150" s="198"/>
    </row>
    <row r="151" spans="1:6" s="42" customFormat="1" ht="12" customHeight="1" x14ac:dyDescent="0.2">
      <c r="A151" s="44"/>
      <c r="B151" s="71" t="s">
        <v>47</v>
      </c>
      <c r="C151" s="48">
        <f>C145</f>
        <v>300</v>
      </c>
      <c r="D151" s="43" t="s">
        <v>48</v>
      </c>
      <c r="E151" s="47"/>
      <c r="F151" s="198"/>
    </row>
    <row r="152" spans="1:6" s="42" customFormat="1" ht="12" customHeight="1" x14ac:dyDescent="0.2">
      <c r="A152" s="44"/>
      <c r="B152" s="71" t="s">
        <v>50</v>
      </c>
      <c r="C152" s="48">
        <v>2</v>
      </c>
      <c r="D152" s="43" t="s">
        <v>69</v>
      </c>
      <c r="E152" s="420"/>
      <c r="F152" s="198"/>
    </row>
    <row r="153" spans="1:6" s="42" customFormat="1" ht="12" customHeight="1" x14ac:dyDescent="0.2">
      <c r="A153" s="44"/>
      <c r="B153" s="71" t="s">
        <v>71</v>
      </c>
      <c r="C153" s="50">
        <f>ROUND(C151*C152,2)</f>
        <v>600</v>
      </c>
      <c r="D153" s="51" t="s">
        <v>48</v>
      </c>
      <c r="E153" s="420"/>
      <c r="F153" s="198"/>
    </row>
    <row r="154" spans="1:6" s="42" customFormat="1" ht="12" customHeight="1" x14ac:dyDescent="0.2">
      <c r="A154" s="79"/>
      <c r="B154" s="80"/>
      <c r="C154" s="80"/>
      <c r="D154" s="80"/>
      <c r="E154" s="81"/>
      <c r="F154" s="198"/>
    </row>
    <row r="155" spans="1:6" s="42" customFormat="1" ht="12" customHeight="1" x14ac:dyDescent="0.2">
      <c r="A155" s="61" t="s">
        <v>74</v>
      </c>
      <c r="B155" s="65" t="s">
        <v>75</v>
      </c>
      <c r="C155" s="63"/>
      <c r="D155" s="58"/>
      <c r="E155" s="49"/>
      <c r="F155" s="198"/>
    </row>
    <row r="156" spans="1:6" s="42" customFormat="1" ht="12" customHeight="1" x14ac:dyDescent="0.2">
      <c r="A156" s="78" t="s">
        <v>76</v>
      </c>
      <c r="B156" s="424" t="s">
        <v>77</v>
      </c>
      <c r="C156" s="424"/>
      <c r="D156" s="424"/>
      <c r="E156" s="425"/>
      <c r="F156" s="198"/>
    </row>
    <row r="157" spans="1:6" s="42" customFormat="1" ht="12" customHeight="1" x14ac:dyDescent="0.2">
      <c r="A157" s="44"/>
      <c r="B157" s="71" t="s">
        <v>78</v>
      </c>
      <c r="C157" s="48">
        <f>C141</f>
        <v>1950</v>
      </c>
      <c r="D157" s="43" t="s">
        <v>17</v>
      </c>
      <c r="E157" s="47"/>
      <c r="F157" s="198"/>
    </row>
    <row r="158" spans="1:6" s="42" customFormat="1" ht="12" customHeight="1" x14ac:dyDescent="0.2">
      <c r="A158" s="44"/>
      <c r="B158" s="71" t="s">
        <v>79</v>
      </c>
      <c r="C158" s="82">
        <v>4.2000000000000003E-2</v>
      </c>
      <c r="D158" s="43" t="s">
        <v>80</v>
      </c>
      <c r="E158" s="49"/>
      <c r="F158" s="198"/>
    </row>
    <row r="159" spans="1:6" s="42" customFormat="1" ht="12" customHeight="1" x14ac:dyDescent="0.2">
      <c r="A159" s="44"/>
      <c r="B159" s="71" t="s">
        <v>81</v>
      </c>
      <c r="C159" s="48">
        <v>2.52</v>
      </c>
      <c r="D159" s="43" t="s">
        <v>82</v>
      </c>
      <c r="E159" s="49"/>
      <c r="F159" s="198"/>
    </row>
    <row r="160" spans="1:6" s="42" customFormat="1" ht="12" customHeight="1" x14ac:dyDescent="0.2">
      <c r="A160" s="44"/>
      <c r="B160" s="71" t="s">
        <v>83</v>
      </c>
      <c r="C160" s="48">
        <v>1.5</v>
      </c>
      <c r="D160" s="43" t="s">
        <v>84</v>
      </c>
      <c r="E160" s="49"/>
      <c r="F160" s="198"/>
    </row>
    <row r="161" spans="1:6" s="42" customFormat="1" ht="12" customHeight="1" x14ac:dyDescent="0.2">
      <c r="A161" s="44"/>
      <c r="B161" s="71" t="s">
        <v>85</v>
      </c>
      <c r="C161" s="48">
        <v>30</v>
      </c>
      <c r="D161" s="43" t="s">
        <v>86</v>
      </c>
      <c r="E161" s="49"/>
      <c r="F161" s="198"/>
    </row>
    <row r="162" spans="1:6" s="42" customFormat="1" ht="12" customHeight="1" x14ac:dyDescent="0.2">
      <c r="A162" s="44"/>
      <c r="B162" s="65" t="s">
        <v>87</v>
      </c>
      <c r="C162" s="50">
        <f>ROUND(C157*C158*C159*C160*C161,2)</f>
        <v>9287.4599999999991</v>
      </c>
      <c r="D162" s="51" t="s">
        <v>88</v>
      </c>
      <c r="E162" s="49"/>
      <c r="F162" s="198"/>
    </row>
    <row r="163" spans="1:6" s="42" customFormat="1" ht="12" customHeight="1" x14ac:dyDescent="0.2">
      <c r="A163" s="79"/>
      <c r="B163" s="80"/>
      <c r="C163" s="80"/>
      <c r="D163" s="80"/>
      <c r="E163" s="81"/>
      <c r="F163" s="198"/>
    </row>
    <row r="164" spans="1:6" s="42" customFormat="1" ht="12" customHeight="1" x14ac:dyDescent="0.2">
      <c r="A164" s="78" t="s">
        <v>89</v>
      </c>
      <c r="B164" s="424" t="s">
        <v>90</v>
      </c>
      <c r="C164" s="424"/>
      <c r="D164" s="424"/>
      <c r="E164" s="425"/>
      <c r="F164" s="198"/>
    </row>
    <row r="165" spans="1:6" s="42" customFormat="1" ht="12" customHeight="1" x14ac:dyDescent="0.2">
      <c r="A165" s="44"/>
      <c r="B165" s="71" t="s">
        <v>78</v>
      </c>
      <c r="C165" s="48">
        <f>C157</f>
        <v>1950</v>
      </c>
      <c r="D165" s="43" t="s">
        <v>17</v>
      </c>
      <c r="E165" s="83"/>
      <c r="F165" s="198"/>
    </row>
    <row r="166" spans="1:6" s="42" customFormat="1" ht="12" customHeight="1" x14ac:dyDescent="0.2">
      <c r="A166" s="44"/>
      <c r="B166" s="71" t="s">
        <v>79</v>
      </c>
      <c r="C166" s="82">
        <v>4.2000000000000003E-2</v>
      </c>
      <c r="D166" s="43" t="s">
        <v>80</v>
      </c>
      <c r="E166" s="84"/>
      <c r="F166" s="198"/>
    </row>
    <row r="167" spans="1:6" s="42" customFormat="1" ht="12" customHeight="1" x14ac:dyDescent="0.2">
      <c r="A167" s="44"/>
      <c r="B167" s="71" t="s">
        <v>81</v>
      </c>
      <c r="C167" s="48">
        <v>2.52</v>
      </c>
      <c r="D167" s="43" t="s">
        <v>82</v>
      </c>
      <c r="E167" s="84"/>
      <c r="F167" s="198"/>
    </row>
    <row r="168" spans="1:6" s="42" customFormat="1" ht="12" customHeight="1" x14ac:dyDescent="0.2">
      <c r="A168" s="44"/>
      <c r="B168" s="71" t="s">
        <v>83</v>
      </c>
      <c r="C168" s="48">
        <v>1.5</v>
      </c>
      <c r="D168" s="43" t="s">
        <v>84</v>
      </c>
      <c r="E168" s="84"/>
      <c r="F168" s="198"/>
    </row>
    <row r="169" spans="1:6" s="42" customFormat="1" ht="12" customHeight="1" x14ac:dyDescent="0.2">
      <c r="A169" s="44"/>
      <c r="B169" s="71" t="s">
        <v>85</v>
      </c>
      <c r="C169" s="48">
        <f>C129-C161</f>
        <v>85</v>
      </c>
      <c r="D169" s="43" t="s">
        <v>86</v>
      </c>
      <c r="E169" s="84"/>
      <c r="F169" s="198"/>
    </row>
    <row r="170" spans="1:6" s="42" customFormat="1" ht="12" customHeight="1" x14ac:dyDescent="0.2">
      <c r="A170" s="44"/>
      <c r="B170" s="65" t="s">
        <v>87</v>
      </c>
      <c r="C170" s="50">
        <f>ROUND(C165*C166*C167*C168*C169,2)</f>
        <v>26314.47</v>
      </c>
      <c r="D170" s="51" t="s">
        <v>88</v>
      </c>
      <c r="E170" s="84"/>
      <c r="F170" s="198"/>
    </row>
    <row r="171" spans="1:6" s="42" customFormat="1" ht="12" customHeight="1" x14ac:dyDescent="0.2">
      <c r="A171" s="79"/>
      <c r="B171" s="71"/>
      <c r="C171" s="52"/>
      <c r="D171" s="85"/>
      <c r="E171" s="81"/>
      <c r="F171" s="198"/>
    </row>
    <row r="172" spans="1:6" s="42" customFormat="1" ht="12" customHeight="1" x14ac:dyDescent="0.2">
      <c r="A172" s="61" t="s">
        <v>91</v>
      </c>
      <c r="B172" s="65" t="s">
        <v>92</v>
      </c>
      <c r="C172" s="63"/>
      <c r="D172" s="58"/>
      <c r="E172" s="49"/>
      <c r="F172" s="198"/>
    </row>
    <row r="173" spans="1:6" s="42" customFormat="1" ht="12" customHeight="1" x14ac:dyDescent="0.2">
      <c r="A173" s="78" t="s">
        <v>93</v>
      </c>
      <c r="B173" s="424" t="s">
        <v>94</v>
      </c>
      <c r="C173" s="424"/>
      <c r="D173" s="424"/>
      <c r="E173" s="425"/>
      <c r="F173" s="198"/>
    </row>
    <row r="174" spans="1:6" s="42" customFormat="1" ht="12" customHeight="1" x14ac:dyDescent="0.2">
      <c r="A174" s="44"/>
      <c r="B174" s="71" t="s">
        <v>95</v>
      </c>
      <c r="C174" s="48">
        <v>0.23</v>
      </c>
      <c r="D174" s="43" t="s">
        <v>17</v>
      </c>
      <c r="E174" s="47"/>
      <c r="F174" s="198"/>
    </row>
    <row r="175" spans="1:6" s="42" customFormat="1" ht="12" customHeight="1" x14ac:dyDescent="0.2">
      <c r="A175" s="44"/>
      <c r="B175" s="71" t="s">
        <v>96</v>
      </c>
      <c r="C175" s="50">
        <f>C174</f>
        <v>0.23</v>
      </c>
      <c r="D175" s="51" t="s">
        <v>17</v>
      </c>
      <c r="E175" s="49"/>
      <c r="F175" s="198"/>
    </row>
    <row r="176" spans="1:6" s="42" customFormat="1" ht="12" customHeight="1" x14ac:dyDescent="0.2">
      <c r="A176" s="79"/>
      <c r="B176" s="80"/>
      <c r="C176" s="80"/>
      <c r="D176" s="80"/>
      <c r="E176" s="81"/>
      <c r="F176" s="198"/>
    </row>
    <row r="177" spans="1:6" s="42" customFormat="1" ht="12" customHeight="1" x14ac:dyDescent="0.2">
      <c r="A177" s="78" t="s">
        <v>97</v>
      </c>
      <c r="B177" s="424" t="s">
        <v>98</v>
      </c>
      <c r="C177" s="424"/>
      <c r="D177" s="424"/>
      <c r="E177" s="425"/>
      <c r="F177" s="198"/>
    </row>
    <row r="178" spans="1:6" s="42" customFormat="1" ht="12" customHeight="1" x14ac:dyDescent="0.2">
      <c r="A178" s="44"/>
      <c r="B178" s="71" t="s">
        <v>95</v>
      </c>
      <c r="C178" s="46">
        <v>2</v>
      </c>
      <c r="D178" s="43" t="s">
        <v>69</v>
      </c>
      <c r="E178" s="47"/>
      <c r="F178" s="198"/>
    </row>
    <row r="179" spans="1:6" s="42" customFormat="1" ht="12" customHeight="1" x14ac:dyDescent="0.2">
      <c r="A179" s="44"/>
      <c r="B179" s="71" t="s">
        <v>96</v>
      </c>
      <c r="C179" s="50">
        <f>C178</f>
        <v>2</v>
      </c>
      <c r="D179" s="51" t="s">
        <v>69</v>
      </c>
      <c r="E179" s="49"/>
      <c r="F179" s="198"/>
    </row>
    <row r="180" spans="1:6" s="42" customFormat="1" ht="12" customHeight="1" x14ac:dyDescent="0.2">
      <c r="A180" s="79"/>
      <c r="B180" s="80"/>
      <c r="C180" s="80"/>
      <c r="D180" s="80"/>
      <c r="E180" s="81"/>
      <c r="F180" s="198"/>
    </row>
  </sheetData>
  <mergeCells count="34">
    <mergeCell ref="A1:E1"/>
    <mergeCell ref="A3:C3"/>
    <mergeCell ref="C5:E5"/>
    <mergeCell ref="B177:E177"/>
    <mergeCell ref="B118:E118"/>
    <mergeCell ref="B122:E122"/>
    <mergeCell ref="C126:E126"/>
    <mergeCell ref="B138:E138"/>
    <mergeCell ref="B144:E144"/>
    <mergeCell ref="E146:E147"/>
    <mergeCell ref="B150:E150"/>
    <mergeCell ref="E152:E153"/>
    <mergeCell ref="B156:E156"/>
    <mergeCell ref="B164:E164"/>
    <mergeCell ref="B173:E173"/>
    <mergeCell ref="B109:E109"/>
    <mergeCell ref="B46:E46"/>
    <mergeCell ref="B54:E54"/>
    <mergeCell ref="B63:E63"/>
    <mergeCell ref="B67:E67"/>
    <mergeCell ref="C71:E71"/>
    <mergeCell ref="B83:E83"/>
    <mergeCell ref="B89:E89"/>
    <mergeCell ref="E91:E92"/>
    <mergeCell ref="B95:E95"/>
    <mergeCell ref="E97:E98"/>
    <mergeCell ref="B101:E101"/>
    <mergeCell ref="E42:E43"/>
    <mergeCell ref="A2:B2"/>
    <mergeCell ref="C16:E16"/>
    <mergeCell ref="B28:E28"/>
    <mergeCell ref="B34:E34"/>
    <mergeCell ref="E36:E37"/>
    <mergeCell ref="B40:E40"/>
  </mergeCells>
  <printOptions horizontalCentered="1"/>
  <pageMargins left="1.1023622047244095" right="0.51181102362204722" top="1.3779527559055118" bottom="0.78740157480314965" header="0.31496062992125984" footer="0.31496062992125984"/>
  <pageSetup paperSize="9" scale="62" fitToHeight="0" orientation="portrait" r:id="rId1"/>
  <headerFooter>
    <oddHeader>&amp;C&amp;G</oddHeader>
  </headerFooter>
  <rowBreaks count="2" manualBreakCount="2">
    <brk id="69" max="4" man="1"/>
    <brk id="125" max="4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1D8D-3D91-4971-9283-3B531FF0A460}">
  <sheetPr>
    <pageSetUpPr fitToPage="1"/>
  </sheetPr>
  <dimension ref="A1:F41"/>
  <sheetViews>
    <sheetView view="pageBreakPreview" topLeftCell="A26" zoomScale="120" zoomScaleNormal="100" zoomScaleSheetLayoutView="120" workbookViewId="0">
      <selection activeCell="C41" sqref="C41:D41"/>
    </sheetView>
  </sheetViews>
  <sheetFormatPr defaultRowHeight="14.4" x14ac:dyDescent="0.3"/>
  <cols>
    <col min="1" max="1" width="10.77734375" customWidth="1"/>
    <col min="2" max="2" width="50.77734375" customWidth="1"/>
    <col min="3" max="6" width="15.77734375" customWidth="1"/>
  </cols>
  <sheetData>
    <row r="1" spans="1:6" ht="25.05" customHeight="1" x14ac:dyDescent="0.3">
      <c r="A1" s="333" t="s">
        <v>168</v>
      </c>
      <c r="B1" s="333"/>
      <c r="C1" s="333"/>
      <c r="D1" s="333"/>
      <c r="E1" s="333"/>
      <c r="F1" s="334"/>
    </row>
    <row r="2" spans="1:6" ht="19.95" customHeight="1" x14ac:dyDescent="0.3">
      <c r="A2" s="335" t="str">
        <f>CONCATENATE("PAVIMENTAÇÃO DE VIAS PÚBLICAS NO MUNÍCIO DE ",GERAL!B2," - PI")</f>
        <v>PAVIMENTAÇÃO DE VIAS PÚBLICAS NO MUNÍCIO DE SÃO JOÃO DA FRONTEIRA - PI</v>
      </c>
      <c r="B2" s="336"/>
      <c r="C2" s="337" t="str">
        <f>CONCATENATE("FONTE: ", GERAL!F1)</f>
        <v>FONTE: SINAPI 02/2026</v>
      </c>
      <c r="D2" s="337"/>
      <c r="E2" s="20" t="str">
        <f>CONCATENATE("SEM DESONERAÇÃO
 BDI: ",TEXT(GERAL!F3,"0,00%"))</f>
        <v>SEM DESONERAÇÃO
 BDI: 21,96%</v>
      </c>
      <c r="F2" s="21" t="str">
        <f>RES!F2</f>
        <v>HORISTA: 113,33%
MENSALISTA: 71,12%</v>
      </c>
    </row>
    <row r="3" spans="1:6" ht="19.95" customHeight="1" x14ac:dyDescent="0.3">
      <c r="A3" s="338" t="str">
        <f>CONCATENATE("LOCALIDADE: ", GERAL!B3)</f>
        <v>LOCALIDADE: DIVERSAS</v>
      </c>
      <c r="B3" s="339"/>
      <c r="C3" s="339"/>
      <c r="D3" s="339"/>
      <c r="E3" s="22" t="s">
        <v>28</v>
      </c>
      <c r="F3" s="93">
        <f>GERAL!C14</f>
        <v>6985</v>
      </c>
    </row>
    <row r="4" spans="1:6" ht="15" customHeight="1" x14ac:dyDescent="0.3">
      <c r="A4" s="350"/>
      <c r="B4" s="350"/>
      <c r="C4" s="350"/>
      <c r="D4" s="350"/>
      <c r="E4" s="350"/>
      <c r="F4" s="429"/>
    </row>
    <row r="5" spans="1:6" s="42" customFormat="1" ht="12" customHeight="1" x14ac:dyDescent="0.2">
      <c r="A5" s="364" t="s">
        <v>100</v>
      </c>
      <c r="B5" s="367" t="s">
        <v>101</v>
      </c>
      <c r="C5" s="350" t="s">
        <v>102</v>
      </c>
      <c r="D5" s="350"/>
      <c r="E5" s="350" t="s">
        <v>103</v>
      </c>
      <c r="F5" s="350"/>
    </row>
    <row r="6" spans="1:6" s="42" customFormat="1" ht="22.2" customHeight="1" x14ac:dyDescent="0.2">
      <c r="A6" s="364"/>
      <c r="B6" s="367"/>
      <c r="C6" s="94" t="s">
        <v>104</v>
      </c>
      <c r="D6" s="94" t="s">
        <v>105</v>
      </c>
      <c r="E6" s="94" t="s">
        <v>104</v>
      </c>
      <c r="F6" s="94" t="s">
        <v>105</v>
      </c>
    </row>
    <row r="7" spans="1:6" s="42" customFormat="1" ht="12" customHeight="1" x14ac:dyDescent="0.2">
      <c r="A7" s="350" t="s">
        <v>106</v>
      </c>
      <c r="B7" s="350"/>
      <c r="C7" s="350"/>
      <c r="D7" s="350"/>
      <c r="E7" s="350"/>
      <c r="F7" s="350"/>
    </row>
    <row r="8" spans="1:6" s="42" customFormat="1" ht="12" customHeight="1" x14ac:dyDescent="0.2">
      <c r="A8" s="94" t="s">
        <v>107</v>
      </c>
      <c r="B8" s="95" t="s">
        <v>108</v>
      </c>
      <c r="C8" s="96">
        <v>0.05</v>
      </c>
      <c r="D8" s="96">
        <v>0.05</v>
      </c>
      <c r="E8" s="96">
        <v>0.2</v>
      </c>
      <c r="F8" s="96">
        <v>0.2</v>
      </c>
    </row>
    <row r="9" spans="1:6" s="42" customFormat="1" ht="12" customHeight="1" x14ac:dyDescent="0.2">
      <c r="A9" s="94" t="s">
        <v>109</v>
      </c>
      <c r="B9" s="95" t="s">
        <v>110</v>
      </c>
      <c r="C9" s="96">
        <v>1.4999999999999999E-2</v>
      </c>
      <c r="D9" s="96">
        <v>1.4999999999999999E-2</v>
      </c>
      <c r="E9" s="96">
        <v>1.4999999999999999E-2</v>
      </c>
      <c r="F9" s="96">
        <v>1.4999999999999999E-2</v>
      </c>
    </row>
    <row r="10" spans="1:6" s="42" customFormat="1" ht="12" customHeight="1" x14ac:dyDescent="0.2">
      <c r="A10" s="94" t="s">
        <v>111</v>
      </c>
      <c r="B10" s="95" t="s">
        <v>112</v>
      </c>
      <c r="C10" s="96">
        <v>0.01</v>
      </c>
      <c r="D10" s="96">
        <v>0.01</v>
      </c>
      <c r="E10" s="96">
        <v>0.01</v>
      </c>
      <c r="F10" s="96">
        <v>0.01</v>
      </c>
    </row>
    <row r="11" spans="1:6" s="42" customFormat="1" ht="12" customHeight="1" x14ac:dyDescent="0.2">
      <c r="A11" s="94" t="s">
        <v>113</v>
      </c>
      <c r="B11" s="95" t="s">
        <v>114</v>
      </c>
      <c r="C11" s="96">
        <v>2E-3</v>
      </c>
      <c r="D11" s="96">
        <v>2E-3</v>
      </c>
      <c r="E11" s="96">
        <v>2E-3</v>
      </c>
      <c r="F11" s="96">
        <v>2E-3</v>
      </c>
    </row>
    <row r="12" spans="1:6" s="42" customFormat="1" ht="12" customHeight="1" x14ac:dyDescent="0.2">
      <c r="A12" s="94" t="s">
        <v>115</v>
      </c>
      <c r="B12" s="95" t="s">
        <v>116</v>
      </c>
      <c r="C12" s="96">
        <v>6.0000000000000001E-3</v>
      </c>
      <c r="D12" s="96">
        <v>6.0000000000000001E-3</v>
      </c>
      <c r="E12" s="96">
        <v>6.0000000000000001E-3</v>
      </c>
      <c r="F12" s="96">
        <v>6.0000000000000001E-3</v>
      </c>
    </row>
    <row r="13" spans="1:6" s="42" customFormat="1" ht="12" customHeight="1" x14ac:dyDescent="0.2">
      <c r="A13" s="94" t="s">
        <v>117</v>
      </c>
      <c r="B13" s="95" t="s">
        <v>118</v>
      </c>
      <c r="C13" s="96">
        <v>2.5000000000000001E-2</v>
      </c>
      <c r="D13" s="96">
        <v>2.5000000000000001E-2</v>
      </c>
      <c r="E13" s="96">
        <v>2.5000000000000001E-2</v>
      </c>
      <c r="F13" s="96">
        <v>2.5000000000000001E-2</v>
      </c>
    </row>
    <row r="14" spans="1:6" s="42" customFormat="1" ht="12" customHeight="1" x14ac:dyDescent="0.2">
      <c r="A14" s="94" t="s">
        <v>119</v>
      </c>
      <c r="B14" s="95" t="s">
        <v>120</v>
      </c>
      <c r="C14" s="96">
        <v>0.03</v>
      </c>
      <c r="D14" s="96">
        <v>0.03</v>
      </c>
      <c r="E14" s="96">
        <v>0.03</v>
      </c>
      <c r="F14" s="96">
        <v>0.03</v>
      </c>
    </row>
    <row r="15" spans="1:6" s="42" customFormat="1" ht="12" customHeight="1" x14ac:dyDescent="0.2">
      <c r="A15" s="94" t="s">
        <v>121</v>
      </c>
      <c r="B15" s="95" t="s">
        <v>122</v>
      </c>
      <c r="C15" s="96">
        <v>0.08</v>
      </c>
      <c r="D15" s="96">
        <v>0.08</v>
      </c>
      <c r="E15" s="96">
        <v>0.08</v>
      </c>
      <c r="F15" s="96">
        <v>0.08</v>
      </c>
    </row>
    <row r="16" spans="1:6" s="42" customFormat="1" ht="12" customHeight="1" x14ac:dyDescent="0.2">
      <c r="A16" s="94" t="s">
        <v>123</v>
      </c>
      <c r="B16" s="95" t="s">
        <v>124</v>
      </c>
      <c r="C16" s="96">
        <v>0</v>
      </c>
      <c r="D16" s="96">
        <v>0</v>
      </c>
      <c r="E16" s="96">
        <v>0</v>
      </c>
      <c r="F16" s="96">
        <v>0</v>
      </c>
    </row>
    <row r="17" spans="1:6" s="42" customFormat="1" ht="12" customHeight="1" x14ac:dyDescent="0.2">
      <c r="A17" s="97" t="s">
        <v>176</v>
      </c>
      <c r="B17" s="98" t="s">
        <v>148</v>
      </c>
      <c r="C17" s="99">
        <f>SUM(C8:C16)</f>
        <v>0.21800000000000003</v>
      </c>
      <c r="D17" s="99">
        <f>SUM(D8:D16)</f>
        <v>0.21800000000000003</v>
      </c>
      <c r="E17" s="99">
        <f>SUM(E8:E16)</f>
        <v>0.36800000000000005</v>
      </c>
      <c r="F17" s="99">
        <f>SUM(F8:F16)</f>
        <v>0.36800000000000005</v>
      </c>
    </row>
    <row r="18" spans="1:6" s="42" customFormat="1" ht="12" customHeight="1" x14ac:dyDescent="0.2">
      <c r="A18" s="350" t="s">
        <v>125</v>
      </c>
      <c r="B18" s="350"/>
      <c r="C18" s="350"/>
      <c r="D18" s="350"/>
      <c r="E18" s="350"/>
      <c r="F18" s="350"/>
    </row>
    <row r="19" spans="1:6" s="42" customFormat="1" ht="12" customHeight="1" x14ac:dyDescent="0.2">
      <c r="A19" s="94" t="s">
        <v>126</v>
      </c>
      <c r="B19" s="95" t="s">
        <v>127</v>
      </c>
      <c r="C19" s="96">
        <v>0.1782</v>
      </c>
      <c r="D19" s="94" t="s">
        <v>128</v>
      </c>
      <c r="E19" s="96">
        <v>0.1782</v>
      </c>
      <c r="F19" s="94" t="s">
        <v>128</v>
      </c>
    </row>
    <row r="20" spans="1:6" s="42" customFormat="1" ht="12" customHeight="1" x14ac:dyDescent="0.2">
      <c r="A20" s="94" t="s">
        <v>129</v>
      </c>
      <c r="B20" s="95" t="s">
        <v>130</v>
      </c>
      <c r="C20" s="96">
        <v>3.95E-2</v>
      </c>
      <c r="D20" s="94" t="s">
        <v>128</v>
      </c>
      <c r="E20" s="96">
        <v>3.95E-2</v>
      </c>
      <c r="F20" s="94" t="s">
        <v>128</v>
      </c>
    </row>
    <row r="21" spans="1:6" s="42" customFormat="1" ht="12" customHeight="1" x14ac:dyDescent="0.2">
      <c r="A21" s="94" t="s">
        <v>131</v>
      </c>
      <c r="B21" s="95" t="s">
        <v>132</v>
      </c>
      <c r="C21" s="96">
        <v>8.6E-3</v>
      </c>
      <c r="D21" s="96">
        <v>6.4999999999999997E-3</v>
      </c>
      <c r="E21" s="96">
        <v>8.6E-3</v>
      </c>
      <c r="F21" s="96">
        <v>6.4999999999999997E-3</v>
      </c>
    </row>
    <row r="22" spans="1:6" s="42" customFormat="1" ht="12" customHeight="1" x14ac:dyDescent="0.2">
      <c r="A22" s="94" t="s">
        <v>133</v>
      </c>
      <c r="B22" s="95" t="s">
        <v>134</v>
      </c>
      <c r="C22" s="96">
        <v>0.1096</v>
      </c>
      <c r="D22" s="96">
        <v>8.3299999999999999E-2</v>
      </c>
      <c r="E22" s="96">
        <v>0.1096</v>
      </c>
      <c r="F22" s="96">
        <v>8.3299999999999999E-2</v>
      </c>
    </row>
    <row r="23" spans="1:6" s="42" customFormat="1" ht="12" customHeight="1" x14ac:dyDescent="0.2">
      <c r="A23" s="94" t="s">
        <v>135</v>
      </c>
      <c r="B23" s="95" t="s">
        <v>136</v>
      </c>
      <c r="C23" s="96">
        <v>6.9999999999999999E-4</v>
      </c>
      <c r="D23" s="96">
        <v>5.0000000000000001E-4</v>
      </c>
      <c r="E23" s="96">
        <v>6.9999999999999999E-4</v>
      </c>
      <c r="F23" s="96">
        <v>5.0000000000000001E-4</v>
      </c>
    </row>
    <row r="24" spans="1:6" s="42" customFormat="1" ht="12" customHeight="1" x14ac:dyDescent="0.2">
      <c r="A24" s="94" t="s">
        <v>137</v>
      </c>
      <c r="B24" s="95" t="s">
        <v>138</v>
      </c>
      <c r="C24" s="96">
        <v>7.3000000000000001E-3</v>
      </c>
      <c r="D24" s="96">
        <v>5.5999999999999999E-3</v>
      </c>
      <c r="E24" s="96">
        <v>7.3000000000000001E-3</v>
      </c>
      <c r="F24" s="96">
        <v>5.5999999999999999E-3</v>
      </c>
    </row>
    <row r="25" spans="1:6" s="42" customFormat="1" ht="12" customHeight="1" x14ac:dyDescent="0.2">
      <c r="A25" s="94" t="s">
        <v>139</v>
      </c>
      <c r="B25" s="95" t="s">
        <v>140</v>
      </c>
      <c r="C25" s="96">
        <v>1.17E-2</v>
      </c>
      <c r="D25" s="94" t="s">
        <v>128</v>
      </c>
      <c r="E25" s="96">
        <v>1.17E-2</v>
      </c>
      <c r="F25" s="94" t="s">
        <v>128</v>
      </c>
    </row>
    <row r="26" spans="1:6" s="42" customFormat="1" ht="12" customHeight="1" x14ac:dyDescent="0.2">
      <c r="A26" s="94" t="s">
        <v>141</v>
      </c>
      <c r="B26" s="95" t="s">
        <v>142</v>
      </c>
      <c r="C26" s="96">
        <v>1E-3</v>
      </c>
      <c r="D26" s="96">
        <v>6.9999999999999999E-4</v>
      </c>
      <c r="E26" s="96">
        <v>1E-3</v>
      </c>
      <c r="F26" s="96">
        <v>6.9999999999999999E-4</v>
      </c>
    </row>
    <row r="27" spans="1:6" s="42" customFormat="1" ht="12" customHeight="1" x14ac:dyDescent="0.2">
      <c r="A27" s="94" t="s">
        <v>143</v>
      </c>
      <c r="B27" s="95" t="s">
        <v>144</v>
      </c>
      <c r="C27" s="96">
        <v>0.1171</v>
      </c>
      <c r="D27" s="96">
        <v>8.8999999999999996E-2</v>
      </c>
      <c r="E27" s="96">
        <v>0.1171</v>
      </c>
      <c r="F27" s="96">
        <v>8.8999999999999996E-2</v>
      </c>
    </row>
    <row r="28" spans="1:6" s="42" customFormat="1" ht="12" customHeight="1" x14ac:dyDescent="0.2">
      <c r="A28" s="94" t="s">
        <v>145</v>
      </c>
      <c r="B28" s="95" t="s">
        <v>146</v>
      </c>
      <c r="C28" s="96">
        <v>2.9999999999999997E-4</v>
      </c>
      <c r="D28" s="96">
        <v>2.9999999999999997E-4</v>
      </c>
      <c r="E28" s="96">
        <v>2.9999999999999997E-4</v>
      </c>
      <c r="F28" s="96">
        <v>2.9999999999999997E-4</v>
      </c>
    </row>
    <row r="29" spans="1:6" s="42" customFormat="1" ht="12" customHeight="1" x14ac:dyDescent="0.2">
      <c r="A29" s="97" t="s">
        <v>147</v>
      </c>
      <c r="B29" s="98" t="s">
        <v>148</v>
      </c>
      <c r="C29" s="99">
        <f>SUM(C19:C28)</f>
        <v>0.47399999999999992</v>
      </c>
      <c r="D29" s="99">
        <f>SUM(D19:D28)</f>
        <v>0.18589999999999998</v>
      </c>
      <c r="E29" s="99">
        <f>SUM(E19:E28)</f>
        <v>0.47399999999999992</v>
      </c>
      <c r="F29" s="99">
        <f>SUM(F19:F28)</f>
        <v>0.18589999999999998</v>
      </c>
    </row>
    <row r="30" spans="1:6" s="42" customFormat="1" ht="12" customHeight="1" x14ac:dyDescent="0.2">
      <c r="A30" s="350" t="s">
        <v>149</v>
      </c>
      <c r="B30" s="350"/>
      <c r="C30" s="350"/>
      <c r="D30" s="350"/>
      <c r="E30" s="350"/>
      <c r="F30" s="350"/>
    </row>
    <row r="31" spans="1:6" s="42" customFormat="1" ht="12" customHeight="1" x14ac:dyDescent="0.2">
      <c r="A31" s="94" t="s">
        <v>150</v>
      </c>
      <c r="B31" s="95" t="s">
        <v>151</v>
      </c>
      <c r="C31" s="96">
        <v>5.2999999999999999E-2</v>
      </c>
      <c r="D31" s="96">
        <v>4.0300000000000002E-2</v>
      </c>
      <c r="E31" s="96">
        <v>5.2999999999999999E-2</v>
      </c>
      <c r="F31" s="96">
        <v>4.0300000000000002E-2</v>
      </c>
    </row>
    <row r="32" spans="1:6" s="42" customFormat="1" ht="12" customHeight="1" x14ac:dyDescent="0.2">
      <c r="A32" s="94" t="s">
        <v>152</v>
      </c>
      <c r="B32" s="95" t="s">
        <v>153</v>
      </c>
      <c r="C32" s="96">
        <v>1.1999999999999999E-3</v>
      </c>
      <c r="D32" s="96">
        <v>8.9999999999999998E-4</v>
      </c>
      <c r="E32" s="96">
        <v>1.1999999999999999E-3</v>
      </c>
      <c r="F32" s="96">
        <v>8.9999999999999998E-4</v>
      </c>
    </row>
    <row r="33" spans="1:6" s="42" customFormat="1" ht="12" customHeight="1" x14ac:dyDescent="0.2">
      <c r="A33" s="94" t="s">
        <v>154</v>
      </c>
      <c r="B33" s="95" t="s">
        <v>155</v>
      </c>
      <c r="C33" s="96">
        <v>2.46E-2</v>
      </c>
      <c r="D33" s="96">
        <v>1.8700000000000001E-2</v>
      </c>
      <c r="E33" s="96">
        <v>2.46E-2</v>
      </c>
      <c r="F33" s="96">
        <v>1.8700000000000001E-2</v>
      </c>
    </row>
    <row r="34" spans="1:6" s="42" customFormat="1" ht="12" customHeight="1" x14ac:dyDescent="0.2">
      <c r="A34" s="94" t="s">
        <v>156</v>
      </c>
      <c r="B34" s="95" t="s">
        <v>157</v>
      </c>
      <c r="C34" s="96">
        <v>2.8899999999999999E-2</v>
      </c>
      <c r="D34" s="96">
        <v>2.1999999999999999E-2</v>
      </c>
      <c r="E34" s="96">
        <v>2.8899999999999999E-2</v>
      </c>
      <c r="F34" s="96">
        <v>2.1999999999999999E-2</v>
      </c>
    </row>
    <row r="35" spans="1:6" s="42" customFormat="1" ht="12" customHeight="1" x14ac:dyDescent="0.2">
      <c r="A35" s="94" t="s">
        <v>158</v>
      </c>
      <c r="B35" s="95" t="s">
        <v>159</v>
      </c>
      <c r="C35" s="96">
        <v>4.4999999999999997E-3</v>
      </c>
      <c r="D35" s="96">
        <v>3.3999999999999998E-3</v>
      </c>
      <c r="E35" s="96">
        <v>4.4999999999999997E-3</v>
      </c>
      <c r="F35" s="96">
        <v>3.3999999999999998E-3</v>
      </c>
    </row>
    <row r="36" spans="1:6" s="42" customFormat="1" ht="12" customHeight="1" x14ac:dyDescent="0.2">
      <c r="A36" s="97" t="s">
        <v>160</v>
      </c>
      <c r="B36" s="98" t="s">
        <v>148</v>
      </c>
      <c r="C36" s="99">
        <f>SUM(C31:C35)</f>
        <v>0.11219999999999999</v>
      </c>
      <c r="D36" s="99">
        <f>SUM(D31:D35)</f>
        <v>8.5300000000000001E-2</v>
      </c>
      <c r="E36" s="99">
        <f>SUM(E31:E35)</f>
        <v>0.11219999999999999</v>
      </c>
      <c r="F36" s="99">
        <f>SUM(F31:F35)</f>
        <v>8.5300000000000001E-2</v>
      </c>
    </row>
    <row r="37" spans="1:6" s="42" customFormat="1" ht="12" customHeight="1" x14ac:dyDescent="0.2">
      <c r="A37" s="350" t="s">
        <v>161</v>
      </c>
      <c r="B37" s="350"/>
      <c r="C37" s="350"/>
      <c r="D37" s="350"/>
      <c r="E37" s="350"/>
      <c r="F37" s="350"/>
    </row>
    <row r="38" spans="1:6" s="42" customFormat="1" ht="12" customHeight="1" x14ac:dyDescent="0.2">
      <c r="A38" s="94" t="s">
        <v>162</v>
      </c>
      <c r="B38" s="95" t="s">
        <v>163</v>
      </c>
      <c r="C38" s="96">
        <v>9.7900000000000001E-2</v>
      </c>
      <c r="D38" s="96">
        <v>3.6400000000000002E-2</v>
      </c>
      <c r="E38" s="96">
        <v>0.1744</v>
      </c>
      <c r="F38" s="96">
        <v>6.8400000000000002E-2</v>
      </c>
    </row>
    <row r="39" spans="1:6" s="42" customFormat="1" ht="34.799999999999997" customHeight="1" x14ac:dyDescent="0.2">
      <c r="A39" s="94" t="s">
        <v>164</v>
      </c>
      <c r="B39" s="95" t="s">
        <v>165</v>
      </c>
      <c r="C39" s="96">
        <v>4.4999999999999997E-3</v>
      </c>
      <c r="D39" s="96">
        <v>3.3999999999999998E-3</v>
      </c>
      <c r="E39" s="96">
        <v>4.7000000000000002E-3</v>
      </c>
      <c r="F39" s="96">
        <v>3.5999999999999999E-3</v>
      </c>
    </row>
    <row r="40" spans="1:6" s="42" customFormat="1" ht="12" customHeight="1" x14ac:dyDescent="0.2">
      <c r="A40" s="97" t="s">
        <v>166</v>
      </c>
      <c r="B40" s="98" t="s">
        <v>148</v>
      </c>
      <c r="C40" s="99">
        <f>SUM(C38:C39)</f>
        <v>0.1024</v>
      </c>
      <c r="D40" s="99">
        <f>SUM(D38:D39)</f>
        <v>3.9800000000000002E-2</v>
      </c>
      <c r="E40" s="99">
        <f>SUM(E38:E39)</f>
        <v>0.17910000000000001</v>
      </c>
      <c r="F40" s="99">
        <f>SUM(F38:F39)</f>
        <v>7.2000000000000008E-2</v>
      </c>
    </row>
    <row r="41" spans="1:6" x14ac:dyDescent="0.3">
      <c r="A41" s="364" t="s">
        <v>167</v>
      </c>
      <c r="B41" s="364"/>
      <c r="C41" s="99">
        <f>SUM(C40,C36,C29,C17)</f>
        <v>0.90659999999999985</v>
      </c>
      <c r="D41" s="99">
        <f>SUM(D40,D36,D29,D17)</f>
        <v>0.52899999999999991</v>
      </c>
      <c r="E41" s="99">
        <f>SUM(E40,E36,E29,E17)</f>
        <v>1.1333</v>
      </c>
      <c r="F41" s="99">
        <f>SUM(F40,F36,F29,F17)</f>
        <v>0.71120000000000005</v>
      </c>
    </row>
  </sheetData>
  <mergeCells count="14">
    <mergeCell ref="A1:F1"/>
    <mergeCell ref="A2:B2"/>
    <mergeCell ref="C2:D2"/>
    <mergeCell ref="A3:D3"/>
    <mergeCell ref="A41:B41"/>
    <mergeCell ref="A18:F18"/>
    <mergeCell ref="A30:F30"/>
    <mergeCell ref="A37:F37"/>
    <mergeCell ref="A4:F4"/>
    <mergeCell ref="A5:A6"/>
    <mergeCell ref="B5:B6"/>
    <mergeCell ref="C5:D5"/>
    <mergeCell ref="E5:F5"/>
    <mergeCell ref="A7:F7"/>
  </mergeCells>
  <printOptions horizontalCentered="1" verticalCentered="1"/>
  <pageMargins left="1.1023622047244095" right="0.51181102362204722" top="0" bottom="0.78740157480314965" header="0.31496062992125984" footer="0.31496062992125984"/>
  <pageSetup paperSize="9" scale="6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10</vt:i4>
      </vt:variant>
    </vt:vector>
  </HeadingPairs>
  <TitlesOfParts>
    <vt:vector size="23" baseType="lpstr">
      <vt:lpstr>GERAL</vt:lpstr>
      <vt:lpstr>QCI</vt:lpstr>
      <vt:lpstr>RES</vt:lpstr>
      <vt:lpstr>ORÇ</vt:lpstr>
      <vt:lpstr>CRON</vt:lpstr>
      <vt:lpstr>CCU</vt:lpstr>
      <vt:lpstr>BDI</vt:lpstr>
      <vt:lpstr>MC</vt:lpstr>
      <vt:lpstr>LS</vt:lpstr>
      <vt:lpstr>RES DES</vt:lpstr>
      <vt:lpstr>ORÇ (2)</vt:lpstr>
      <vt:lpstr>CCU (2)</vt:lpstr>
      <vt:lpstr>BDI (2)</vt:lpstr>
      <vt:lpstr>BDI!Area_de_impressao</vt:lpstr>
      <vt:lpstr>'BDI (2)'!Area_de_impressao</vt:lpstr>
      <vt:lpstr>CCU!Area_de_impressao</vt:lpstr>
      <vt:lpstr>'CCU (2)'!Area_de_impressao</vt:lpstr>
      <vt:lpstr>CRON!Area_de_impressao</vt:lpstr>
      <vt:lpstr>GERAL!Area_de_impressao</vt:lpstr>
      <vt:lpstr>MC!Area_de_impressao</vt:lpstr>
      <vt:lpstr>ORÇ!Area_de_impressao</vt:lpstr>
      <vt:lpstr>'ORÇ (2)'!Area_de_impressao</vt:lpstr>
      <vt:lpstr>QCI!Area_de_impressao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Giesinger</dc:creator>
  <cp:lastModifiedBy>Sarah Giesinger</cp:lastModifiedBy>
  <cp:lastPrinted>2026-02-06T14:11:12Z</cp:lastPrinted>
  <dcterms:created xsi:type="dcterms:W3CDTF">2025-11-26T12:38:32Z</dcterms:created>
  <dcterms:modified xsi:type="dcterms:W3CDTF">2026-03-24T13:35:03Z</dcterms:modified>
</cp:coreProperties>
</file>