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h\Desktop\SADA\PARALELEPÍPEDO - TERESINA - 3.853,00 m²\8. ORÇAMENTO\"/>
    </mc:Choice>
  </mc:AlternateContent>
  <xr:revisionPtr revIDLastSave="0" documentId="13_ncr:1_{C5A9468A-EFA5-47DE-B3A8-D012356F8777}" xr6:coauthVersionLast="47" xr6:coauthVersionMax="47" xr10:uidLastSave="{00000000-0000-0000-0000-000000000000}"/>
  <bookViews>
    <workbookView xWindow="-108" yWindow="-108" windowWidth="23256" windowHeight="12456" activeTab="4" xr2:uid="{13F8F0FA-2A72-40E4-84A8-32EF0E93C519}"/>
  </bookViews>
  <sheets>
    <sheet name="GERAL" sheetId="1" r:id="rId1"/>
    <sheet name="QCI" sheetId="6" r:id="rId2"/>
    <sheet name="RES" sheetId="2" r:id="rId3"/>
    <sheet name="ORÇ" sheetId="7" r:id="rId4"/>
    <sheet name="CRON" sheetId="15" r:id="rId5"/>
    <sheet name="CCU" sheetId="9" r:id="rId6"/>
    <sheet name="BDI" sheetId="8" r:id="rId7"/>
    <sheet name="MC" sheetId="3" r:id="rId8"/>
    <sheet name="LS" sheetId="5" r:id="rId9"/>
    <sheet name="RES DES" sheetId="11" r:id="rId10"/>
    <sheet name="ORÇ (2)" sheetId="12" r:id="rId11"/>
    <sheet name="CCU (2)" sheetId="13" r:id="rId12"/>
    <sheet name="BDI (2)" sheetId="14" r:id="rId13"/>
  </sheets>
  <externalReferences>
    <externalReference r:id="rId14"/>
    <externalReference r:id="rId15"/>
  </externalReferences>
  <definedNames>
    <definedName name="_xlnm.Print_Area" localSheetId="6">BDI!$A$1:$H$71</definedName>
    <definedName name="_xlnm.Print_Area" localSheetId="12">'BDI (2)'!$A$1:$H$71</definedName>
    <definedName name="_xlnm.Print_Area" localSheetId="5">CCU!$A$1:$G$99</definedName>
    <definedName name="_xlnm.Print_Area" localSheetId="11">'CCU (2)'!$A$1:$G$99</definedName>
    <definedName name="_xlnm.Print_Area" localSheetId="4">CRON!$A$1:$F$94</definedName>
    <definedName name="_xlnm.Print_Area" localSheetId="0">GERAL!$A$1:$I$23</definedName>
    <definedName name="_xlnm.Print_Area" localSheetId="7">MC!$A$1:$E$290</definedName>
    <definedName name="_xlnm.Print_Area" localSheetId="3">ORÇ!$A$1:$H$104</definedName>
    <definedName name="_xlnm.Print_Area" localSheetId="10">'ORÇ (2)'!$A$1:$H$104</definedName>
    <definedName name="_xlnm.Print_Area" localSheetId="1">QCI!$A$1:$D$24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5" i="15" l="1"/>
  <c r="C91" i="15"/>
  <c r="E94" i="15"/>
  <c r="F94" i="15" s="1"/>
  <c r="D93" i="15" s="1"/>
  <c r="D91" i="15"/>
  <c r="F93" i="15" s="1"/>
  <c r="F87" i="15"/>
  <c r="F84" i="15"/>
  <c r="F81" i="15"/>
  <c r="F78" i="15"/>
  <c r="F75" i="15"/>
  <c r="E87" i="15"/>
  <c r="E84" i="15"/>
  <c r="E81" i="15"/>
  <c r="E78" i="15"/>
  <c r="E75" i="15"/>
  <c r="F71" i="15"/>
  <c r="F68" i="15"/>
  <c r="F65" i="15"/>
  <c r="F62" i="15"/>
  <c r="F59" i="15"/>
  <c r="E71" i="15"/>
  <c r="E68" i="15"/>
  <c r="E65" i="15"/>
  <c r="E62" i="15"/>
  <c r="E59" i="15"/>
  <c r="F55" i="15"/>
  <c r="E55" i="15"/>
  <c r="F52" i="15"/>
  <c r="E52" i="15"/>
  <c r="F49" i="15"/>
  <c r="F91" i="15" s="1"/>
  <c r="E49" i="15"/>
  <c r="E91" i="15" s="1"/>
  <c r="F46" i="15"/>
  <c r="E46" i="15"/>
  <c r="F43" i="15"/>
  <c r="E43" i="15"/>
  <c r="B39" i="15"/>
  <c r="B55" i="15" s="1"/>
  <c r="B71" i="15" s="1"/>
  <c r="B87" i="15" s="1"/>
  <c r="B36" i="15"/>
  <c r="B52" i="15" s="1"/>
  <c r="B68" i="15" s="1"/>
  <c r="B84" i="15" s="1"/>
  <c r="B33" i="15"/>
  <c r="B49" i="15" s="1"/>
  <c r="B65" i="15" s="1"/>
  <c r="B81" i="15" s="1"/>
  <c r="B30" i="15"/>
  <c r="B46" i="15" s="1"/>
  <c r="B62" i="15" s="1"/>
  <c r="B78" i="15" s="1"/>
  <c r="D87" i="15"/>
  <c r="D84" i="15"/>
  <c r="D81" i="15"/>
  <c r="D78" i="15"/>
  <c r="D75" i="15"/>
  <c r="A74" i="15"/>
  <c r="D71" i="15"/>
  <c r="D68" i="15"/>
  <c r="D65" i="15"/>
  <c r="D62" i="15"/>
  <c r="D59" i="15"/>
  <c r="A58" i="15"/>
  <c r="D55" i="15"/>
  <c r="D52" i="15"/>
  <c r="D49" i="15"/>
  <c r="D46" i="15"/>
  <c r="D43" i="15"/>
  <c r="A42" i="15"/>
  <c r="F36" i="15"/>
  <c r="E36" i="15"/>
  <c r="F33" i="15"/>
  <c r="E33" i="15"/>
  <c r="F30" i="15"/>
  <c r="E30" i="15"/>
  <c r="F27" i="15"/>
  <c r="E27" i="15"/>
  <c r="D39" i="15"/>
  <c r="D36" i="15"/>
  <c r="D33" i="15"/>
  <c r="D30" i="15"/>
  <c r="D27" i="15"/>
  <c r="A26" i="15"/>
  <c r="D23" i="15"/>
  <c r="E23" i="15" s="1"/>
  <c r="D20" i="15"/>
  <c r="E20" i="15" s="1"/>
  <c r="D17" i="15"/>
  <c r="D14" i="15"/>
  <c r="D11" i="15"/>
  <c r="F11" i="15" s="1"/>
  <c r="D7" i="15"/>
  <c r="F7" i="15" s="1"/>
  <c r="D5" i="15"/>
  <c r="F5" i="15"/>
  <c r="E5" i="15"/>
  <c r="B23" i="15"/>
  <c r="B20" i="15"/>
  <c r="B17" i="15"/>
  <c r="B14" i="15"/>
  <c r="B11" i="15"/>
  <c r="B27" i="15" s="1"/>
  <c r="B43" i="15" s="1"/>
  <c r="B59" i="15" s="1"/>
  <c r="B75" i="15" s="1"/>
  <c r="A10" i="15"/>
  <c r="B7" i="15"/>
  <c r="B5" i="15"/>
  <c r="B4" i="15"/>
  <c r="E22" i="1"/>
  <c r="E21" i="1"/>
  <c r="D22" i="1"/>
  <c r="H22" i="1" s="1"/>
  <c r="D21" i="1"/>
  <c r="H21" i="1" s="1"/>
  <c r="A4" i="6"/>
  <c r="A3" i="6"/>
  <c r="C11" i="6"/>
  <c r="C21" i="6"/>
  <c r="C18" i="6"/>
  <c r="C15" i="6"/>
  <c r="C13" i="6"/>
  <c r="C8" i="6"/>
  <c r="B22" i="6"/>
  <c r="B21" i="6"/>
  <c r="B19" i="6"/>
  <c r="B18" i="6"/>
  <c r="B16" i="6"/>
  <c r="B15" i="6"/>
  <c r="B13" i="6"/>
  <c r="A13" i="6"/>
  <c r="A11" i="6"/>
  <c r="A8" i="6"/>
  <c r="G91" i="15" l="1"/>
  <c r="E93" i="15"/>
  <c r="C36" i="15"/>
  <c r="C33" i="15"/>
  <c r="C30" i="15"/>
  <c r="C87" i="15"/>
  <c r="C11" i="15"/>
  <c r="C27" i="15"/>
  <c r="C14" i="15"/>
  <c r="C75" i="15"/>
  <c r="C78" i="15"/>
  <c r="C46" i="15"/>
  <c r="C81" i="15"/>
  <c r="C84" i="15"/>
  <c r="C68" i="15"/>
  <c r="C43" i="15"/>
  <c r="C59" i="15"/>
  <c r="C49" i="15"/>
  <c r="C62" i="15"/>
  <c r="C52" i="15"/>
  <c r="C65" i="15"/>
  <c r="C55" i="15"/>
  <c r="C71" i="15"/>
  <c r="C5" i="15"/>
  <c r="C17" i="15"/>
  <c r="C20" i="15"/>
  <c r="F20" i="15"/>
  <c r="F23" i="15"/>
  <c r="C39" i="15"/>
  <c r="F39" i="15"/>
  <c r="C23" i="15"/>
  <c r="E39" i="15"/>
  <c r="C7" i="15"/>
  <c r="E11" i="15"/>
  <c r="E7" i="15"/>
  <c r="E14" i="15"/>
  <c r="F14" i="15"/>
  <c r="E17" i="15"/>
  <c r="F17" i="15"/>
  <c r="C23" i="6"/>
  <c r="G22" i="1" s="1"/>
  <c r="E92" i="15"/>
  <c r="E23" i="6" l="1"/>
  <c r="D21" i="6"/>
  <c r="D18" i="6"/>
  <c r="D15" i="6"/>
  <c r="D13" i="6"/>
  <c r="G21" i="1" s="1"/>
  <c r="D8" i="6"/>
  <c r="D11" i="6"/>
  <c r="F92" i="15"/>
  <c r="D23" i="6" l="1"/>
  <c r="C6" i="1" l="1"/>
  <c r="C7" i="1" s="1"/>
  <c r="E14" i="11"/>
  <c r="E13" i="11"/>
  <c r="E12" i="11"/>
  <c r="E11" i="11"/>
  <c r="E10" i="11"/>
  <c r="E8" i="11"/>
  <c r="E7" i="11"/>
  <c r="E6" i="11" s="1"/>
  <c r="F16" i="11" s="1"/>
  <c r="G28" i="12"/>
  <c r="F28" i="12"/>
  <c r="F66" i="12" s="1"/>
  <c r="G27" i="12"/>
  <c r="G65" i="12" s="1"/>
  <c r="F27" i="12"/>
  <c r="F65" i="12" s="1"/>
  <c r="G24" i="12"/>
  <c r="F24" i="12"/>
  <c r="G23" i="12"/>
  <c r="G61" i="12" s="1"/>
  <c r="H61" i="12" s="1"/>
  <c r="F23" i="12"/>
  <c r="F61" i="12" s="1"/>
  <c r="G20" i="12"/>
  <c r="F20" i="12"/>
  <c r="F77" i="12" s="1"/>
  <c r="G19" i="12"/>
  <c r="F19" i="12"/>
  <c r="F38" i="12" s="1"/>
  <c r="G16" i="12"/>
  <c r="F16" i="12"/>
  <c r="F54" i="12" s="1"/>
  <c r="G13" i="12"/>
  <c r="G51" i="12" s="1"/>
  <c r="F13" i="12"/>
  <c r="F32" i="12" s="1"/>
  <c r="G9" i="12"/>
  <c r="F9" i="12"/>
  <c r="G8" i="12"/>
  <c r="F8" i="12"/>
  <c r="F3" i="14"/>
  <c r="F2" i="14"/>
  <c r="F3" i="12"/>
  <c r="G3" i="13" s="1" a="1"/>
  <c r="G3" i="13" s="1"/>
  <c r="F2" i="12"/>
  <c r="G2" i="13" s="1" a="1"/>
  <c r="G2" i="13" s="1"/>
  <c r="H62" i="14"/>
  <c r="I58" i="14"/>
  <c r="I57" i="14"/>
  <c r="I56" i="14"/>
  <c r="K44" i="14"/>
  <c r="D36" i="14"/>
  <c r="D35" i="14"/>
  <c r="K30" i="14"/>
  <c r="J30" i="14"/>
  <c r="D30" i="14" s="1"/>
  <c r="K28" i="14"/>
  <c r="J28" i="14"/>
  <c r="D28" i="14"/>
  <c r="K27" i="14"/>
  <c r="J27" i="14"/>
  <c r="K24" i="14"/>
  <c r="J24" i="14"/>
  <c r="D24" i="14" s="1"/>
  <c r="K22" i="14"/>
  <c r="J22" i="14"/>
  <c r="D22" i="14" s="1"/>
  <c r="H17" i="14"/>
  <c r="B17" i="14"/>
  <c r="H16" i="14"/>
  <c r="H15" i="14"/>
  <c r="H14" i="14"/>
  <c r="H13" i="14"/>
  <c r="H12" i="14"/>
  <c r="H18" i="14" s="1"/>
  <c r="H8" i="14"/>
  <c r="D8" i="14"/>
  <c r="H7" i="14"/>
  <c r="H9" i="14" s="1"/>
  <c r="D7" i="14"/>
  <c r="D9" i="14" s="1"/>
  <c r="B9" i="14" s="1"/>
  <c r="K41" i="14" s="1"/>
  <c r="E3" i="14"/>
  <c r="D3" i="14"/>
  <c r="A3" i="14"/>
  <c r="D2" i="14"/>
  <c r="A2" i="14"/>
  <c r="F3" i="13"/>
  <c r="E3" i="13"/>
  <c r="A3" i="13"/>
  <c r="E2" i="13"/>
  <c r="A2" i="13"/>
  <c r="E104" i="12"/>
  <c r="E103" i="12"/>
  <c r="E100" i="12"/>
  <c r="E99" i="12"/>
  <c r="E96" i="12"/>
  <c r="E95" i="12"/>
  <c r="H95" i="12" s="1"/>
  <c r="E92" i="12"/>
  <c r="E89" i="12"/>
  <c r="A87" i="12"/>
  <c r="F85" i="12"/>
  <c r="E85" i="12"/>
  <c r="G84" i="12"/>
  <c r="H84" i="12" s="1"/>
  <c r="F84" i="12"/>
  <c r="E84" i="12"/>
  <c r="G81" i="12"/>
  <c r="H81" i="12" s="1"/>
  <c r="E81" i="12"/>
  <c r="G80" i="12"/>
  <c r="F80" i="12"/>
  <c r="E80" i="12"/>
  <c r="H80" i="12" s="1"/>
  <c r="E77" i="12"/>
  <c r="E76" i="12"/>
  <c r="E73" i="12"/>
  <c r="F70" i="12"/>
  <c r="E70" i="12"/>
  <c r="A68" i="12"/>
  <c r="G66" i="12"/>
  <c r="E66" i="12"/>
  <c r="M19" i="12" s="1"/>
  <c r="E65" i="12"/>
  <c r="F62" i="12"/>
  <c r="E62" i="12"/>
  <c r="E61" i="12"/>
  <c r="E58" i="12"/>
  <c r="G57" i="12"/>
  <c r="E57" i="12"/>
  <c r="M14" i="12" s="1"/>
  <c r="E54" i="12"/>
  <c r="E51" i="12"/>
  <c r="A49" i="12"/>
  <c r="E47" i="12"/>
  <c r="E46" i="12"/>
  <c r="G43" i="12"/>
  <c r="F43" i="12"/>
  <c r="E43" i="12"/>
  <c r="M17" i="12" s="1"/>
  <c r="F42" i="12"/>
  <c r="E42" i="12"/>
  <c r="H42" i="12" s="1"/>
  <c r="E39" i="12"/>
  <c r="G38" i="12"/>
  <c r="H38" i="12" s="1"/>
  <c r="E38" i="12"/>
  <c r="E35" i="12"/>
  <c r="E32" i="12"/>
  <c r="M12" i="12" s="1"/>
  <c r="A30" i="12"/>
  <c r="G47" i="12"/>
  <c r="H47" i="12" s="1"/>
  <c r="F47" i="12"/>
  <c r="E28" i="12"/>
  <c r="E27" i="12"/>
  <c r="M18" i="12" s="1"/>
  <c r="H24" i="12"/>
  <c r="G100" i="12"/>
  <c r="H100" i="12" s="1"/>
  <c r="F100" i="12"/>
  <c r="E24" i="12"/>
  <c r="G42" i="12"/>
  <c r="F99" i="12"/>
  <c r="E23" i="12"/>
  <c r="G77" i="12"/>
  <c r="H77" i="12" s="1"/>
  <c r="E20" i="12"/>
  <c r="M15" i="12" s="1"/>
  <c r="G95" i="12"/>
  <c r="F95" i="12"/>
  <c r="E19" i="12"/>
  <c r="G54" i="12"/>
  <c r="H54" i="12" s="1"/>
  <c r="H53" i="12" s="1"/>
  <c r="E16" i="12"/>
  <c r="M13" i="12" s="1"/>
  <c r="E13" i="12"/>
  <c r="A11" i="12"/>
  <c r="H9" i="12"/>
  <c r="E9" i="12"/>
  <c r="E8" i="12"/>
  <c r="H8" i="12" s="1"/>
  <c r="E3" i="12"/>
  <c r="D3" i="12"/>
  <c r="A3" i="12"/>
  <c r="D2" i="12"/>
  <c r="A2" i="12"/>
  <c r="D14" i="11"/>
  <c r="B14" i="11"/>
  <c r="D13" i="11"/>
  <c r="B13" i="11"/>
  <c r="D12" i="11"/>
  <c r="B12" i="11"/>
  <c r="D11" i="11"/>
  <c r="B11" i="11"/>
  <c r="D10" i="11"/>
  <c r="B10" i="11"/>
  <c r="E9" i="11"/>
  <c r="D8" i="11"/>
  <c r="B8" i="11"/>
  <c r="D7" i="11"/>
  <c r="B7" i="11"/>
  <c r="F3" i="11"/>
  <c r="A3" i="11"/>
  <c r="C2" i="11"/>
  <c r="A2" i="11"/>
  <c r="M13" i="7"/>
  <c r="M14" i="7"/>
  <c r="M15" i="7"/>
  <c r="M19" i="7"/>
  <c r="M18" i="7"/>
  <c r="M17" i="7"/>
  <c r="M16" i="7"/>
  <c r="M12" i="7"/>
  <c r="G28" i="7"/>
  <c r="F28" i="7"/>
  <c r="G27" i="7"/>
  <c r="F27" i="7"/>
  <c r="G24" i="7"/>
  <c r="F24" i="7"/>
  <c r="G23" i="7"/>
  <c r="F23" i="7"/>
  <c r="G20" i="7"/>
  <c r="F20" i="7"/>
  <c r="G19" i="7"/>
  <c r="F19" i="7"/>
  <c r="G16" i="7"/>
  <c r="F16" i="7"/>
  <c r="G13" i="7"/>
  <c r="F13" i="7"/>
  <c r="G9" i="7"/>
  <c r="F9" i="7"/>
  <c r="G8" i="7"/>
  <c r="F8" i="7"/>
  <c r="D27" i="14" l="1"/>
  <c r="G32" i="12"/>
  <c r="G89" i="12"/>
  <c r="H89" i="12" s="1"/>
  <c r="H88" i="12" s="1"/>
  <c r="H13" i="12"/>
  <c r="H12" i="12" s="1"/>
  <c r="G70" i="12"/>
  <c r="H70" i="12" s="1"/>
  <c r="H69" i="12" s="1"/>
  <c r="F89" i="12"/>
  <c r="H23" i="12"/>
  <c r="H22" i="12" s="1"/>
  <c r="H51" i="12"/>
  <c r="H50" i="12" s="1"/>
  <c r="H62" i="12"/>
  <c r="H60" i="12" s="1"/>
  <c r="H7" i="12"/>
  <c r="H79" i="12"/>
  <c r="H65" i="12"/>
  <c r="H64" i="12" s="1"/>
  <c r="H92" i="12"/>
  <c r="H91" i="12" s="1"/>
  <c r="I11" i="14"/>
  <c r="B18" i="14"/>
  <c r="H96" i="12"/>
  <c r="H94" i="12" s="1"/>
  <c r="F73" i="12"/>
  <c r="F96" i="12"/>
  <c r="G73" i="12"/>
  <c r="H73" i="12" s="1"/>
  <c r="H72" i="12" s="1"/>
  <c r="H68" i="12" s="1"/>
  <c r="M16" i="12"/>
  <c r="H43" i="12"/>
  <c r="H41" i="12" s="1"/>
  <c r="H66" i="12"/>
  <c r="F103" i="12"/>
  <c r="H32" i="12"/>
  <c r="H31" i="12" s="1"/>
  <c r="F92" i="12"/>
  <c r="G103" i="12"/>
  <c r="H103" i="12" s="1"/>
  <c r="H27" i="12"/>
  <c r="H26" i="12" s="1"/>
  <c r="G39" i="12"/>
  <c r="H39" i="12" s="1"/>
  <c r="H37" i="12" s="1"/>
  <c r="F51" i="12"/>
  <c r="H57" i="12"/>
  <c r="G62" i="12"/>
  <c r="G85" i="12"/>
  <c r="H85" i="12" s="1"/>
  <c r="H83" i="12" s="1"/>
  <c r="G92" i="12"/>
  <c r="H20" i="12"/>
  <c r="F57" i="12"/>
  <c r="F39" i="12"/>
  <c r="F46" i="12"/>
  <c r="F76" i="12"/>
  <c r="F35" i="12"/>
  <c r="G46" i="12"/>
  <c r="H46" i="12" s="1"/>
  <c r="H45" i="12" s="1"/>
  <c r="F58" i="12"/>
  <c r="G76" i="12"/>
  <c r="H76" i="12" s="1"/>
  <c r="H75" i="12" s="1"/>
  <c r="F81" i="12"/>
  <c r="G99" i="12"/>
  <c r="H99" i="12" s="1"/>
  <c r="H98" i="12" s="1"/>
  <c r="F104" i="12"/>
  <c r="G96" i="12"/>
  <c r="G58" i="12"/>
  <c r="H58" i="12" s="1"/>
  <c r="G104" i="12"/>
  <c r="H104" i="12" s="1"/>
  <c r="H28" i="12"/>
  <c r="H19" i="12"/>
  <c r="H18" i="12" s="1"/>
  <c r="H16" i="12"/>
  <c r="H15" i="12" s="1"/>
  <c r="H11" i="12" s="1"/>
  <c r="G35" i="12"/>
  <c r="H35" i="12" s="1"/>
  <c r="H34" i="12" s="1"/>
  <c r="H62" i="8"/>
  <c r="I58" i="8"/>
  <c r="I57" i="8"/>
  <c r="I56" i="8"/>
  <c r="K44" i="8"/>
  <c r="D36" i="8"/>
  <c r="D35" i="8"/>
  <c r="K30" i="8"/>
  <c r="J30" i="8"/>
  <c r="K28" i="8"/>
  <c r="J28" i="8"/>
  <c r="D28" i="8" s="1"/>
  <c r="K27" i="8"/>
  <c r="J27" i="8"/>
  <c r="D27" i="8" s="1"/>
  <c r="K24" i="8"/>
  <c r="J24" i="8"/>
  <c r="D24" i="8" s="1"/>
  <c r="K22" i="8"/>
  <c r="J22" i="8"/>
  <c r="D22" i="8" s="1"/>
  <c r="H18" i="8"/>
  <c r="B18" i="8" s="1"/>
  <c r="H17" i="8"/>
  <c r="B17" i="8"/>
  <c r="H16" i="8"/>
  <c r="H15" i="8"/>
  <c r="H14" i="8"/>
  <c r="H13" i="8"/>
  <c r="H12" i="8"/>
  <c r="H9" i="8"/>
  <c r="D9" i="8"/>
  <c r="B9" i="8" s="1"/>
  <c r="K41" i="8" s="1"/>
  <c r="H8" i="8"/>
  <c r="D8" i="8"/>
  <c r="H7" i="8"/>
  <c r="D7" i="8"/>
  <c r="E3" i="9"/>
  <c r="F3" i="9"/>
  <c r="G3" i="9"/>
  <c r="A3" i="9"/>
  <c r="A2" i="9"/>
  <c r="D30" i="8" l="1"/>
  <c r="H102" i="12"/>
  <c r="H87" i="12"/>
  <c r="B34" i="14"/>
  <c r="D34" i="14" s="1"/>
  <c r="G33" i="14"/>
  <c r="G37" i="14" s="1"/>
  <c r="I59" i="14" s="1"/>
  <c r="I60" i="14" s="1"/>
  <c r="I61" i="14" s="1"/>
  <c r="F33" i="14"/>
  <c r="F34" i="14"/>
  <c r="H30" i="12"/>
  <c r="K43" i="14"/>
  <c r="K42" i="14"/>
  <c r="G62" i="14" s="1"/>
  <c r="H56" i="12"/>
  <c r="H49" i="12" s="1"/>
  <c r="K43" i="8"/>
  <c r="K42" i="8"/>
  <c r="I11" i="8"/>
  <c r="F60" i="3"/>
  <c r="F52" i="3"/>
  <c r="F43" i="3"/>
  <c r="F38" i="3"/>
  <c r="F31" i="3"/>
  <c r="F25" i="3"/>
  <c r="F3" i="8"/>
  <c r="E3" i="8"/>
  <c r="D3" i="8"/>
  <c r="A3" i="8"/>
  <c r="A2" i="8"/>
  <c r="B8" i="2"/>
  <c r="B7" i="2"/>
  <c r="H9" i="7"/>
  <c r="E8" i="2" s="1"/>
  <c r="E9" i="7"/>
  <c r="D8" i="2" s="1"/>
  <c r="E8" i="7"/>
  <c r="H8" i="7" s="1"/>
  <c r="F32" i="7"/>
  <c r="E104" i="7"/>
  <c r="E103" i="7"/>
  <c r="E100" i="7"/>
  <c r="E99" i="7"/>
  <c r="E96" i="7"/>
  <c r="E95" i="7"/>
  <c r="E92" i="7"/>
  <c r="E89" i="7"/>
  <c r="A87" i="7"/>
  <c r="E85" i="7"/>
  <c r="E84" i="7"/>
  <c r="E81" i="7"/>
  <c r="E80" i="7"/>
  <c r="E77" i="7"/>
  <c r="E76" i="7"/>
  <c r="E73" i="7"/>
  <c r="E70" i="7"/>
  <c r="A68" i="7"/>
  <c r="E62" i="7"/>
  <c r="E61" i="7"/>
  <c r="E58" i="7"/>
  <c r="E57" i="7"/>
  <c r="E54" i="7"/>
  <c r="E51" i="7"/>
  <c r="A49" i="7"/>
  <c r="E47" i="7"/>
  <c r="E46" i="7"/>
  <c r="E43" i="7"/>
  <c r="E42" i="7"/>
  <c r="E39" i="7"/>
  <c r="E38" i="7"/>
  <c r="E35" i="7"/>
  <c r="E32" i="7"/>
  <c r="F35" i="7"/>
  <c r="A30" i="7"/>
  <c r="E28" i="7"/>
  <c r="E27" i="7"/>
  <c r="E24" i="7"/>
  <c r="E23" i="7"/>
  <c r="E20" i="7"/>
  <c r="E19" i="7"/>
  <c r="E16" i="7"/>
  <c r="H16" i="7" s="1"/>
  <c r="H15" i="7" s="1"/>
  <c r="E13" i="7"/>
  <c r="H13" i="7" s="1"/>
  <c r="H12" i="7" s="1"/>
  <c r="A11" i="7"/>
  <c r="F3" i="7"/>
  <c r="E3" i="7"/>
  <c r="D3" i="7"/>
  <c r="A3" i="7"/>
  <c r="A2" i="7"/>
  <c r="G104" i="7"/>
  <c r="F104" i="7"/>
  <c r="H104" i="7"/>
  <c r="G103" i="7"/>
  <c r="H103" i="7" s="1"/>
  <c r="F103" i="7"/>
  <c r="G100" i="7"/>
  <c r="F100" i="7"/>
  <c r="H100" i="7"/>
  <c r="G99" i="7"/>
  <c r="F99" i="7"/>
  <c r="G96" i="7"/>
  <c r="F96" i="7"/>
  <c r="G95" i="7"/>
  <c r="F95" i="7"/>
  <c r="G92" i="7"/>
  <c r="F92" i="7"/>
  <c r="G89" i="7"/>
  <c r="F89" i="7"/>
  <c r="G85" i="7"/>
  <c r="H85" i="7" s="1"/>
  <c r="F85" i="7"/>
  <c r="G84" i="7"/>
  <c r="H84" i="7" s="1"/>
  <c r="F84" i="7"/>
  <c r="G81" i="7"/>
  <c r="H81" i="7" s="1"/>
  <c r="F81" i="7"/>
  <c r="G80" i="7"/>
  <c r="F80" i="7"/>
  <c r="G77" i="7"/>
  <c r="H77" i="7" s="1"/>
  <c r="F77" i="7"/>
  <c r="G76" i="7"/>
  <c r="H76" i="7" s="1"/>
  <c r="F76" i="7"/>
  <c r="G73" i="7"/>
  <c r="F73" i="7"/>
  <c r="G70" i="7"/>
  <c r="F70" i="7"/>
  <c r="G66" i="7"/>
  <c r="F66" i="7"/>
  <c r="G65" i="7"/>
  <c r="F65" i="7"/>
  <c r="G62" i="7"/>
  <c r="H62" i="7" s="1"/>
  <c r="F62" i="7"/>
  <c r="G61" i="7"/>
  <c r="H61" i="7" s="1"/>
  <c r="H60" i="7" s="1"/>
  <c r="F61" i="7"/>
  <c r="G58" i="7"/>
  <c r="H58" i="7" s="1"/>
  <c r="F58" i="7"/>
  <c r="G57" i="7"/>
  <c r="H57" i="7" s="1"/>
  <c r="F57" i="7"/>
  <c r="G54" i="7"/>
  <c r="F54" i="7"/>
  <c r="G51" i="7"/>
  <c r="H51" i="7" s="1"/>
  <c r="H50" i="7" s="1"/>
  <c r="F51" i="7"/>
  <c r="G47" i="7"/>
  <c r="F47" i="7"/>
  <c r="H47" i="7"/>
  <c r="G46" i="7"/>
  <c r="F46" i="7"/>
  <c r="G43" i="7"/>
  <c r="F43" i="7"/>
  <c r="G42" i="7"/>
  <c r="F42" i="7"/>
  <c r="G39" i="7"/>
  <c r="F39" i="7"/>
  <c r="G38" i="7"/>
  <c r="H38" i="7" s="1"/>
  <c r="F38" i="7"/>
  <c r="G35" i="7"/>
  <c r="H35" i="7"/>
  <c r="H34" i="7" s="1"/>
  <c r="G32" i="7"/>
  <c r="H32" i="7" s="1"/>
  <c r="H31" i="7" s="1"/>
  <c r="H28" i="7"/>
  <c r="H27" i="7"/>
  <c r="H24" i="7"/>
  <c r="H23" i="7"/>
  <c r="H22" i="7" s="1"/>
  <c r="H20" i="7"/>
  <c r="H19" i="7"/>
  <c r="H18" i="7" s="1"/>
  <c r="F41" i="5"/>
  <c r="E41" i="5"/>
  <c r="F4" i="1" s="1"/>
  <c r="F40" i="5"/>
  <c r="E40" i="5"/>
  <c r="D40" i="5"/>
  <c r="C40" i="5"/>
  <c r="C41" i="5" s="1"/>
  <c r="I4" i="1" s="1"/>
  <c r="F36" i="5"/>
  <c r="E36" i="5"/>
  <c r="D36" i="5"/>
  <c r="D41" i="5" s="1"/>
  <c r="C36" i="5"/>
  <c r="F29" i="5"/>
  <c r="E29" i="5"/>
  <c r="D29" i="5"/>
  <c r="C29" i="5"/>
  <c r="F17" i="5"/>
  <c r="E17" i="5"/>
  <c r="D17" i="5"/>
  <c r="C17" i="5"/>
  <c r="G58" i="14" l="1"/>
  <c r="D58" i="14"/>
  <c r="G68" i="14"/>
  <c r="G59" i="14"/>
  <c r="H56" i="7"/>
  <c r="H54" i="7"/>
  <c r="H53" i="7" s="1"/>
  <c r="H26" i="7"/>
  <c r="H89" i="7"/>
  <c r="H88" i="7" s="1"/>
  <c r="H92" i="7"/>
  <c r="H91" i="7" s="1"/>
  <c r="H95" i="7"/>
  <c r="G33" i="8"/>
  <c r="G37" i="8" s="1"/>
  <c r="I59" i="8" s="1"/>
  <c r="I60" i="8" s="1"/>
  <c r="I61" i="8" s="1"/>
  <c r="F33" i="8"/>
  <c r="F34" i="8"/>
  <c r="B34" i="8"/>
  <c r="D34" i="8" s="1"/>
  <c r="H96" i="7"/>
  <c r="H94" i="7" s="1"/>
  <c r="H87" i="7" s="1"/>
  <c r="E14" i="2" s="1"/>
  <c r="H73" i="7"/>
  <c r="H72" i="7" s="1"/>
  <c r="H39" i="7"/>
  <c r="H11" i="7"/>
  <c r="E10" i="2" s="1"/>
  <c r="H42" i="7"/>
  <c r="H70" i="7"/>
  <c r="H69" i="7" s="1"/>
  <c r="H43" i="7"/>
  <c r="H99" i="7"/>
  <c r="H98" i="7" s="1"/>
  <c r="H46" i="7"/>
  <c r="H45" i="7" s="1"/>
  <c r="H80" i="7"/>
  <c r="H79" i="7" s="1"/>
  <c r="H7" i="7"/>
  <c r="E7" i="2"/>
  <c r="H37" i="7"/>
  <c r="H83" i="7"/>
  <c r="D7" i="2"/>
  <c r="H102" i="7"/>
  <c r="H75" i="7"/>
  <c r="I3" i="1" l="1" a="1"/>
  <c r="I3" i="1" s="1"/>
  <c r="E2" i="11" s="1"/>
  <c r="I62" i="14"/>
  <c r="D59" i="14" s="1"/>
  <c r="H68" i="7"/>
  <c r="E13" i="2" s="1"/>
  <c r="G68" i="8"/>
  <c r="G59" i="8"/>
  <c r="G58" i="8"/>
  <c r="D58" i="8"/>
  <c r="G62" i="8"/>
  <c r="H41" i="7"/>
  <c r="H30" i="7" s="1"/>
  <c r="E11" i="2" s="1"/>
  <c r="A2" i="6"/>
  <c r="F2" i="5"/>
  <c r="F3" i="5"/>
  <c r="A3" i="5"/>
  <c r="C2" i="5"/>
  <c r="A2" i="5"/>
  <c r="F3" i="1" l="1"/>
  <c r="I62" i="8"/>
  <c r="D59" i="8" s="1"/>
  <c r="B12" i="2"/>
  <c r="B236" i="3"/>
  <c r="B181" i="3"/>
  <c r="B126" i="3"/>
  <c r="C96" i="3"/>
  <c r="C90" i="3"/>
  <c r="C85" i="3"/>
  <c r="C84" i="3"/>
  <c r="C79" i="3"/>
  <c r="C78" i="3"/>
  <c r="C74" i="3"/>
  <c r="B71" i="3"/>
  <c r="C59" i="3"/>
  <c r="C41" i="3"/>
  <c r="C35" i="3"/>
  <c r="C30" i="3"/>
  <c r="C24" i="3"/>
  <c r="C29" i="3"/>
  <c r="C23" i="3"/>
  <c r="B16" i="3"/>
  <c r="E2" i="2" l="1"/>
  <c r="G2" i="9" s="1"/>
  <c r="E2" i="5"/>
  <c r="B14" i="2"/>
  <c r="B13" i="2"/>
  <c r="B11" i="2"/>
  <c r="B10" i="2"/>
  <c r="E2" i="3"/>
  <c r="D3" i="3"/>
  <c r="C289" i="3"/>
  <c r="C285" i="3"/>
  <c r="C261" i="3"/>
  <c r="C263" i="3" s="1"/>
  <c r="C255" i="3"/>
  <c r="C258" i="3" s="1"/>
  <c r="C250" i="3"/>
  <c r="C249" i="3"/>
  <c r="C251" i="3" s="1"/>
  <c r="C267" i="3" s="1"/>
  <c r="C244" i="3"/>
  <c r="C243" i="3"/>
  <c r="C245" i="3" s="1"/>
  <c r="C14" i="1" s="1"/>
  <c r="C239" i="3"/>
  <c r="C279" i="3" s="1"/>
  <c r="C234" i="3"/>
  <c r="C230" i="3"/>
  <c r="C224" i="3"/>
  <c r="C200" i="3"/>
  <c r="C206" i="3" s="1"/>
  <c r="C208" i="3" s="1"/>
  <c r="C195" i="3"/>
  <c r="C194" i="3"/>
  <c r="C189" i="3"/>
  <c r="C190" i="3" s="1"/>
  <c r="C13" i="1" s="1"/>
  <c r="D13" i="2" s="1"/>
  <c r="C188" i="3"/>
  <c r="C184" i="3"/>
  <c r="C179" i="3"/>
  <c r="C175" i="3"/>
  <c r="C140" i="3"/>
  <c r="C139" i="3"/>
  <c r="C134" i="3"/>
  <c r="C133" i="3"/>
  <c r="C129" i="3"/>
  <c r="C169" i="3" s="1"/>
  <c r="C124" i="3"/>
  <c r="C120" i="3"/>
  <c r="C93" i="3"/>
  <c r="C86" i="3"/>
  <c r="C80" i="3"/>
  <c r="C114" i="3"/>
  <c r="C69" i="3"/>
  <c r="C65" i="3"/>
  <c r="C38" i="3"/>
  <c r="C31" i="3"/>
  <c r="C47" i="3" s="1"/>
  <c r="C25" i="3"/>
  <c r="C14" i="3"/>
  <c r="C10" i="3"/>
  <c r="A3" i="2"/>
  <c r="A3" i="3" s="1"/>
  <c r="C2" i="2"/>
  <c r="A2" i="2"/>
  <c r="A2" i="3" s="1"/>
  <c r="E6" i="2"/>
  <c r="I22" i="1"/>
  <c r="I21" i="1"/>
  <c r="D16" i="1"/>
  <c r="C2" i="3" l="1"/>
  <c r="E2" i="9"/>
  <c r="D2" i="8"/>
  <c r="D2" i="7"/>
  <c r="E65" i="7"/>
  <c r="H65" i="7" s="1"/>
  <c r="F65" i="3"/>
  <c r="E66" i="7"/>
  <c r="H66" i="7" s="1"/>
  <c r="F69" i="3"/>
  <c r="D2" i="3"/>
  <c r="F2" i="7"/>
  <c r="F2" i="8"/>
  <c r="C10" i="1"/>
  <c r="D10" i="2" s="1"/>
  <c r="C55" i="3"/>
  <c r="C60" i="3" s="1"/>
  <c r="C102" i="3"/>
  <c r="C11" i="1"/>
  <c r="D11" i="2" s="1"/>
  <c r="D14" i="2"/>
  <c r="C196" i="3"/>
  <c r="C212" i="3" s="1"/>
  <c r="C217" i="3" s="1"/>
  <c r="C141" i="3"/>
  <c r="C157" i="3" s="1"/>
  <c r="C162" i="3" s="1"/>
  <c r="C135" i="3"/>
  <c r="C12" i="1" s="1"/>
  <c r="D12" i="2" s="1"/>
  <c r="C220" i="3"/>
  <c r="C225" i="3" s="1"/>
  <c r="C52" i="3"/>
  <c r="C107" i="3"/>
  <c r="C110" i="3"/>
  <c r="C115" i="3" s="1"/>
  <c r="C275" i="3"/>
  <c r="C280" i="3" s="1"/>
  <c r="C272" i="3"/>
  <c r="C98" i="3"/>
  <c r="C203" i="3"/>
  <c r="C43" i="3"/>
  <c r="C145" i="3"/>
  <c r="H64" i="7" l="1"/>
  <c r="H49" i="7" s="1"/>
  <c r="E12" i="2" s="1"/>
  <c r="E9" i="2" s="1"/>
  <c r="F16" i="2" s="1"/>
  <c r="B6" i="1" s="1"/>
  <c r="C165" i="3"/>
  <c r="C170" i="3" s="1"/>
  <c r="C16" i="1"/>
  <c r="C148" i="3"/>
  <c r="C151" i="3"/>
  <c r="C153" i="3" s="1"/>
  <c r="B7" i="1" l="1"/>
  <c r="F3" i="2"/>
  <c r="E3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<sst xmlns="http://schemas.openxmlformats.org/spreadsheetml/2006/main" count="1861" uniqueCount="363">
  <si>
    <t>OBRA</t>
  </si>
  <si>
    <t xml:space="preserve">PAVIMENTAÇÃO EM PARALELEPÍPEDO DE VIAS </t>
  </si>
  <si>
    <t>SINAPI SEM DESONERAÇÃO</t>
  </si>
  <si>
    <t>SINAPI COM DESONERAÇÃO</t>
  </si>
  <si>
    <t>MUNICÍPIO</t>
  </si>
  <si>
    <t>TERESINA</t>
  </si>
  <si>
    <t>LOCALIDADE</t>
  </si>
  <si>
    <t>DIVERSAS</t>
  </si>
  <si>
    <t>BDI</t>
  </si>
  <si>
    <t>ZONA</t>
  </si>
  <si>
    <t xml:space="preserve">URBANA 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</si>
  <si>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</si>
  <si>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</si>
  <si>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</si>
  <si>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</si>
  <si>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</si>
  <si>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</si>
  <si>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</si>
  <si>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Rua Elias Aragão</t>
  </si>
  <si>
    <t>m²</t>
  </si>
  <si>
    <t>Rua Doze - Loteamento Orgmar Monteiro</t>
  </si>
  <si>
    <t>Rua São José - Trecho 01</t>
  </si>
  <si>
    <t>Rua São José - Trecho 02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</si>
  <si>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</si>
  <si>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</si>
  <si>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</si>
  <si>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</si>
  <si>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</si>
  <si>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</si>
  <si>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Execução de pavimento em paralelepípedos, rejuntamento com argamassa traço 1:3 (cimento e areia)</t>
  </si>
  <si>
    <t>Assentamento de guia (meio-fio), confeccionada em concreto pré-fabricado, dimensões 100x15x13x30 (comprimento x base inferiror x base superior x altura), para vias urbanas ( m )</t>
  </si>
  <si>
    <t xml:space="preserve">PLANILHA RESUMO - SEM DESONERAÇÃO </t>
  </si>
  <si>
    <t>HORISTA: 113,33%
MENSALISTA: 71,12%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</si>
  <si>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</si>
  <si>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</si>
  <si>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</si>
  <si>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</si>
  <si>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</si>
  <si>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</si>
  <si>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</si>
  <si>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</si>
  <si>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</si>
  <si>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Placa de Obra em chapa de aço galvanizado</t>
  </si>
  <si>
    <t>Administração local da obra</t>
  </si>
  <si>
    <t>mês</t>
  </si>
  <si>
    <t>2.0</t>
  </si>
  <si>
    <t>PAVIMENTAÇÃO DE VIAS EM PARALELEPÍPEDO</t>
  </si>
  <si>
    <t>2.1</t>
  </si>
  <si>
    <t>2.2</t>
  </si>
  <si>
    <t>2.3</t>
  </si>
  <si>
    <t>2.4</t>
  </si>
  <si>
    <t>TOTAL GERAL ORÇAMENTÁRIO..................................................R$</t>
  </si>
  <si>
    <t>MEMÓRIA DE CÁLCULO</t>
  </si>
  <si>
    <t>Comprimento</t>
  </si>
  <si>
    <t>m</t>
  </si>
  <si>
    <t>Largura</t>
  </si>
  <si>
    <t>Quantidade</t>
  </si>
  <si>
    <t>u n</t>
  </si>
  <si>
    <t xml:space="preserve">Área total </t>
  </si>
  <si>
    <t xml:space="preserve">Quantidade </t>
  </si>
  <si>
    <t>Quantidade (medição atual)</t>
  </si>
  <si>
    <t>Comprimento =</t>
  </si>
  <si>
    <t>Largura da rua =</t>
  </si>
  <si>
    <t xml:space="preserve">DMT Obra à Jazida </t>
  </si>
  <si>
    <t xml:space="preserve">Km </t>
  </si>
  <si>
    <t>TERRAPLENAGEM</t>
  </si>
  <si>
    <t>Regularização em superficies em terra com motoniveladora</t>
  </si>
  <si>
    <t>Área total (projeto)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</si>
  <si>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</si>
  <si>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</si>
  <si>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</si>
  <si>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</si>
  <si>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</si>
  <si>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</si>
  <si>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</si>
  <si>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und</t>
  </si>
  <si>
    <t xml:space="preserve">Contenção </t>
  </si>
  <si>
    <t>Comprimento total (projeto)</t>
  </si>
  <si>
    <t>4.2</t>
  </si>
  <si>
    <t>Execução de sarjeta de concreto usinado, moldada in loco em trecho reto, 30 cm base x 3 cm altura</t>
  </si>
  <si>
    <t>5.0</t>
  </si>
  <si>
    <t xml:space="preserve">TRANSPORTE </t>
  </si>
  <si>
    <t>5.1</t>
  </si>
  <si>
    <t>Transporte com caminhão basculante de 10 m³, em via urbana pavimentada, dmt até 30 km (unidade: txkm). af_07/2020</t>
  </si>
  <si>
    <t>Área</t>
  </si>
  <si>
    <t xml:space="preserve">Consumo </t>
  </si>
  <si>
    <t>mil/m²</t>
  </si>
  <si>
    <t xml:space="preserve">Volume </t>
  </si>
  <si>
    <t>m³/m²</t>
  </si>
  <si>
    <t xml:space="preserve">Peso Específico </t>
  </si>
  <si>
    <t>t/m³</t>
  </si>
  <si>
    <t xml:space="preserve">DMT </t>
  </si>
  <si>
    <t>Km</t>
  </si>
  <si>
    <t xml:space="preserve">Total </t>
  </si>
  <si>
    <t>txKm</t>
  </si>
  <si>
    <t>5.2</t>
  </si>
  <si>
    <t>Transporte com caminhão basculante de 10 m³, em via urbana pavimentada, adicional para dmt excedente a 30 km (unidade: txkm). af_07/2020</t>
  </si>
  <si>
    <t>6.0</t>
  </si>
  <si>
    <t xml:space="preserve">SINALIZAÇÃO </t>
  </si>
  <si>
    <t>6.1</t>
  </si>
  <si>
    <t xml:space="preserve">Placa esmaltada para identificação de nome de rua, dimensões 45 x 20 cm com tubo de aço - 2 placas </t>
  </si>
  <si>
    <t>Quantidade projeto</t>
  </si>
  <si>
    <t>Quantidade total (medição atual)</t>
  </si>
  <si>
    <t>6.2</t>
  </si>
  <si>
    <t>Fornecimento e instalação de suporte metálico galvanizado para placas de sinalização em solo, com h= de 2,5 m e diâmetro de 2''. af_03/2022</t>
  </si>
  <si>
    <t>1.2</t>
  </si>
  <si>
    <t>2.5</t>
  </si>
  <si>
    <t>Cabeça de Rua - Rua Doze - Loteamento Orgmar Monteiro</t>
  </si>
  <si>
    <t>Pedreira no Município de Nazária</t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</si>
  <si>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</si>
  <si>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</si>
  <si>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</si>
  <si>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</si>
  <si>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</si>
  <si>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</si>
  <si>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</si>
  <si>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</si>
  <si>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</si>
  <si>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</si>
  <si>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</si>
  <si>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</si>
  <si>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</si>
  <si>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</si>
  <si>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</si>
  <si>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</si>
  <si>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</si>
  <si>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</si>
  <si>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</si>
  <si>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</si>
  <si>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</si>
  <si>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</si>
  <si>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</si>
  <si>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</si>
  <si>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</si>
  <si>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</si>
  <si>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</si>
  <si>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</si>
  <si>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</si>
  <si>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</si>
  <si>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</si>
  <si>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</si>
  <si>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</si>
  <si>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</si>
  <si>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</si>
  <si>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</si>
  <si>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</si>
  <si>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</si>
  <si>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</si>
  <si>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</si>
  <si>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</si>
  <si>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</si>
  <si>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</si>
  <si>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</si>
  <si>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</si>
  <si>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</si>
  <si>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</si>
  <si>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</si>
  <si>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</si>
  <si>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</si>
  <si>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</si>
  <si>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</si>
  <si>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</si>
  <si>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</si>
  <si>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</si>
  <si>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</si>
  <si>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</si>
  <si>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</si>
  <si>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</si>
  <si>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</si>
  <si>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</si>
  <si>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</si>
  <si>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</si>
  <si>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</si>
  <si>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</si>
  <si>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</si>
  <si>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</si>
  <si>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</si>
  <si>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 xml:space="preserve">ENCARGOS   SOCIAIS   SOBRE   A   MÃO   DE   OBRA </t>
  </si>
  <si>
    <t xml:space="preserve">QUADRO DE COMPOSIÇÃO DO INVESTIMENTO - QCI </t>
  </si>
  <si>
    <t xml:space="preserve">DISCRIMINAÇÃO </t>
  </si>
  <si>
    <t xml:space="preserve">ITEM </t>
  </si>
  <si>
    <t>VALOR R$</t>
  </si>
  <si>
    <t xml:space="preserve">SERVIÇOS COMPLEMENTARES </t>
  </si>
  <si>
    <t>SINALIZAÇÃO</t>
  </si>
  <si>
    <t>TOTAL:</t>
  </si>
  <si>
    <t>A</t>
  </si>
  <si>
    <t>PREÇO</t>
  </si>
  <si>
    <t>UNIT. SEM BDI</t>
  </si>
  <si>
    <t>UNIT. COM BDI</t>
  </si>
  <si>
    <t>TOTAL</t>
  </si>
  <si>
    <t>103689/SINAPI PI</t>
  </si>
  <si>
    <t>COMP. SADA 01</t>
  </si>
  <si>
    <t>COMP. SADA 02</t>
  </si>
  <si>
    <t>COMP. SADA 03</t>
  </si>
  <si>
    <t>Execução de sarjeta de concreto usinado, moldada in loco em trecho reto, 30 cm base x  3 cm altura</t>
  </si>
  <si>
    <t>t.Km</t>
  </si>
  <si>
    <t>COMP. SADA 04</t>
  </si>
  <si>
    <t>COMP. SADA 05</t>
  </si>
  <si>
    <t>TIPO DE BDI</t>
  </si>
  <si>
    <t>X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</si>
  <si>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</si>
  <si>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</si>
  <si>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</si>
  <si>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</si>
  <si>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</si>
  <si>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</si>
  <si>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</si>
  <si>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</si>
  <si>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</si>
  <si>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</si>
  <si>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</si>
  <si>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</si>
  <si>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</si>
  <si>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</si>
  <si>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</si>
  <si>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</si>
  <si>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</si>
  <si>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</si>
  <si>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</si>
  <si>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</si>
  <si>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</si>
  <si>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</si>
  <si>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</si>
  <si>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</si>
  <si>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</si>
  <si>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</si>
  <si>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</si>
  <si>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</si>
  <si>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</si>
  <si>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</si>
  <si>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</si>
  <si>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</si>
  <si>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</si>
  <si>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</si>
  <si>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</si>
  <si>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</si>
  <si>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</si>
  <si>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</si>
  <si>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</si>
  <si>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</si>
  <si>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</si>
  <si>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t>BDI (BONIFICAÇÃO E DESPESAS INDIRETAS)</t>
  </si>
  <si>
    <t xml:space="preserve">PLANILHA ORÇAMENTÁRIA  - SEM DESONERAÇÃO </t>
  </si>
  <si>
    <t>Composições Principais</t>
  </si>
  <si>
    <t>Código</t>
  </si>
  <si>
    <t>Banco</t>
  </si>
  <si>
    <t>Descrição</t>
  </si>
  <si>
    <t>Und</t>
  </si>
  <si>
    <t>Quant.</t>
  </si>
  <si>
    <t>Valor Unit</t>
  </si>
  <si>
    <t xml:space="preserve"> 103689 </t>
  </si>
  <si>
    <t>SINAPI</t>
  </si>
  <si>
    <t>FORNECIMENTO E INSTALAÇÃO DE PLACA DE OBRA COM CHAPA GALVANIZADA E ESTRUTURA DE MADEIRA. AF_03/2022_PS</t>
  </si>
  <si>
    <t xml:space="preserve"> 88262 </t>
  </si>
  <si>
    <t>CARPINTEIRO DE FORMAS COM ENCARGOS COMPLEMENTARES</t>
  </si>
  <si>
    <t>H</t>
  </si>
  <si>
    <t xml:space="preserve"> 102234 </t>
  </si>
  <si>
    <t>PINTURA IMUNIZANTE PARA MADEIRA, 2 DEMÃOS. AF_01/2021</t>
  </si>
  <si>
    <t xml:space="preserve"> 88316 </t>
  </si>
  <si>
    <t>SERVENTE COM ENCARGOS COMPLEMENTARES</t>
  </si>
  <si>
    <t xml:space="preserve"> 00005065 </t>
  </si>
  <si>
    <t>PREGO DE ACO POLIDO COM CABECA 10 X 10 (7/8 X 17)</t>
  </si>
  <si>
    <t>KG</t>
  </si>
  <si>
    <t xml:space="preserve"> 00005069 </t>
  </si>
  <si>
    <t>PREGO DE ACO POLIDO COM CABECA 17 X 27 (2 1/2 X 11)</t>
  </si>
  <si>
    <t xml:space="preserve"> 00004509 </t>
  </si>
  <si>
    <t>SARRAFO *2,5 X 10* CM EM PINUS, MISTA OU EQUIVALENTE DA REGIAO - BRUTA</t>
  </si>
  <si>
    <t>M</t>
  </si>
  <si>
    <t xml:space="preserve"> 00004813 </t>
  </si>
  <si>
    <t>PLACA DE OBRA (PARA CONSTRUCAO CIVIL) EM CHAPA GALVANIZADA *N. 22*, ADESIVADA, DE *2,4 X 1,2* M (SEM POSTES PARA FIXACAO)</t>
  </si>
  <si>
    <t>LS =&gt;</t>
  </si>
  <si>
    <t>MO com LS =&gt;</t>
  </si>
  <si>
    <t>Valor com BDI =&gt;</t>
  </si>
  <si>
    <t xml:space="preserve"> COMPOSIÇÃO SADA 02 </t>
  </si>
  <si>
    <t>Próprio</t>
  </si>
  <si>
    <t>ADMINISTRAÇÃO LOCAL DA OBRA</t>
  </si>
  <si>
    <t xml:space="preserve"> 90776 </t>
  </si>
  <si>
    <t>ENCARREGADO GERAL COM ENCARGOS COMPLEMENTARES</t>
  </si>
  <si>
    <t xml:space="preserve"> 90766 </t>
  </si>
  <si>
    <t>ALMOXARIFE COM ENCARGOS COMPLEMENTARES</t>
  </si>
  <si>
    <t xml:space="preserve"> 90777 </t>
  </si>
  <si>
    <t>ENGENHEIRO CIVIL DE OBRA JUNIOR COM ENCARGOS COMPLEMENTARES</t>
  </si>
  <si>
    <t xml:space="preserve"> 100575 </t>
  </si>
  <si>
    <t>REGULARIZAÇÃO DE SUPERFÍCIES COM MOTONIVELADORA. AF_09/2024</t>
  </si>
  <si>
    <t xml:space="preserve"> 5934 </t>
  </si>
  <si>
    <t>MOTONIVELADORA POTÊNCIA BÁSICA LÍQUIDA (PRIMEIRA MARCHA) 125 HP, PESO BRUTO 13032 KG, LARGURA DA LÂMINA DE 3,7 M - CHI DIURNO. AF_06/2014</t>
  </si>
  <si>
    <t>CHI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</si>
  <si>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</si>
  <si>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</si>
  <si>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5932 </t>
  </si>
  <si>
    <t>MOTONIVELADORA POTÊNCIA BÁSICA LÍQUIDA (PRIMEIRA MARCHA) 125 HP, PESO BRUTO 13032 KG, LARGURA DA LÂMINA DE 3,7 M - CHP DIURNO. AF_06/2014</t>
  </si>
  <si>
    <t>CHP</t>
  </si>
  <si>
    <t xml:space="preserve"> COMPOSIÇÃO SADA 08 </t>
  </si>
  <si>
    <t>REFERÊNCIA SINAPI (101169) - EXECUÇÃO DE PAVIMENTO EM PARALELEPÍPEDOS, REJUNTAMENTO COM ARGAMASSA TRAÇO 1:3 (CIMENTO E AREIA). AF_05/2020</t>
  </si>
  <si>
    <t xml:space="preserve"> 88260 </t>
  </si>
  <si>
    <t>CALCETEIRO COM ENCARGOS COMPLEMENTARES</t>
  </si>
  <si>
    <t xml:space="preserve"> 5685 </t>
  </si>
  <si>
    <t>ROLO COMPACTADOR VIBRATÓRIO DE UM CILINDRO AÇO LISO, POTÊNCIA 80 HP, PESO OPERACIONAL MÁXIMO 8,1 T, IMPACTO DINÂMICO 16,15 / 9,5 T, LARGURA DE TRABALHO 1,68 M - CHI DIURNO. AF_06/2014</t>
  </si>
  <si>
    <t xml:space="preserve"> 88628 </t>
  </si>
  <si>
    <t>ARGAMASSA TRAÇO 1:3 (EM VOLUME DE CIMENTO E AREIA MÉDIA ÚMIDA), PREPARO MECÂNICO COM BETONEIRA 400 L. AF_08/2019</t>
  </si>
  <si>
    <t>m³</t>
  </si>
  <si>
    <t xml:space="preserve"> COMPOSIÇÃO SADA 06 </t>
  </si>
  <si>
    <t>Desmonte manual de rocha de origem arenitica</t>
  </si>
  <si>
    <t>Milheiro</t>
  </si>
  <si>
    <t xml:space="preserve"> 5684 </t>
  </si>
  <si>
    <t>ROLO COMPACTADOR VIBRATÓRIO DE UM CILINDRO AÇO LISO, POTÊNCIA 80 HP, PESO OPERACIONAL MÁXIMO 8,1 T, IMPACTO DINÂMICO 16,15 / 9,5 T, LARGURA DE TRABALHO 1,68 M - CHP DIURNO. AF_06/2014</t>
  </si>
  <si>
    <t xml:space="preserve"> 00000367 </t>
  </si>
  <si>
    <t>AREIA GROSSA - POSTO JAZIDA/FORNECEDOR (RETIRADO NA JAZIDA, SEM TRANSPORTE)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</si>
  <si>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</si>
  <si>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</si>
  <si>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 xml:space="preserve"> 88309 </t>
  </si>
  <si>
    <t>PEDREIRO COM ENCARGOS COMPLEMENTARES</t>
  </si>
  <si>
    <t xml:space="preserve"> 88629 </t>
  </si>
  <si>
    <t>ARGAMASSA TRAÇO 1:3 (EM VOLUME DE CIMENTO E AREIA MÉDIA ÚMIDA), PREPARO MANUAL. AF_08/2019</t>
  </si>
  <si>
    <t xml:space="preserve"> 00004059 </t>
  </si>
  <si>
    <t>MEIO-FIO OU GUIA DE CONCRETO, PRE-MOLDADO, COMP 1 M, *30 X 12/15* CM (H X L1/L2)</t>
  </si>
  <si>
    <t xml:space="preserve"> 00000370 </t>
  </si>
  <si>
    <t>AREIA MEDIA - POSTO JAZIDA/FORNECEDOR (RETIRADO NA JAZIDA, SEM TRANSPORTE)</t>
  </si>
  <si>
    <t xml:space="preserve"> COMPOSIÇÃO SADA 003 </t>
  </si>
  <si>
    <t xml:space="preserve"> 00034492 </t>
  </si>
  <si>
    <t>CONCRETO USINADO BOMBEAVEL, CLASSE DE RESISTENCIA C20, COM BRITA 0 E 1, SLUMP = 100 +/- 20 MM, EXCLUI SERVICO DE BOMBEAMENTO (NBR 8953)</t>
  </si>
  <si>
    <t xml:space="preserve"> 00004517 </t>
  </si>
  <si>
    <t>SARRAFO *2,5 X 7,5* CM EM PINUS, MISTA OU EQUIVALENTE DA REGIAO - BRUTA</t>
  </si>
  <si>
    <t xml:space="preserve"> 00006212 </t>
  </si>
  <si>
    <t>TABUA *2,5 X 30 CM EM PINUS, MISTA OU EQUIVALENTE DA REGIAO - BRUTA</t>
  </si>
  <si>
    <t xml:space="preserve"> 95878 </t>
  </si>
  <si>
    <t>TRANSPORTE COM CAMINHÃO BASCULANTE DE 10 M³, EM VIA URBANA PAVIMENTADA, DMT ATÉ 30 KM (UNIDADE: TXKM). AF_07/2020</t>
  </si>
  <si>
    <t>TXKM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</si>
  <si>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</si>
  <si>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</si>
  <si>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 xml:space="preserve"> 91387 </t>
  </si>
  <si>
    <t>CAMINHÃO BASCULANTE 10 M3, TRUCADO CABINE SIMPLES, PESO BRUTO TOTAL 23.000 KG, CARGA ÚTIL MÁXIMA 15.935 KG, DISTÂNCIA ENTRE EIXOS 4,80 M, POTÊNCIA 230 CV INCLUSIVE CAÇAMBA METÁLICA - CHI DIURNO. AF_06/2014</t>
  </si>
  <si>
    <t xml:space="preserve"> 93596 </t>
  </si>
  <si>
    <t>TRANSPORTE COM CAMINHÃO BASCULANTE DE 10 M³, EM VIA URBANA PAVIMENTADA, ADICIONAL PARA DMT EXCEDENTE A 30 KM (UNIDADE: TXKM). AF_07/2020</t>
  </si>
  <si>
    <t xml:space="preserve"> COMPOSIÇÃO SADA 004 </t>
  </si>
  <si>
    <t>Placa esmaltada para identificação de nome de rua, dimensões 45 x 20 cm com tubo de aço - 2 placas</t>
  </si>
  <si>
    <t xml:space="preserve"> 88278 </t>
  </si>
  <si>
    <t>MONTADOR DE ESTRUTURAS METÁLICAS COM ENCARGOS COMPLEMENTARES</t>
  </si>
  <si>
    <t xml:space="preserve"> 00034723 </t>
  </si>
  <si>
    <t>PLACA DE SINALIZACAO EM CHAPA DE ACO NUM 16 COM PINTURA REFLETIVA</t>
  </si>
  <si>
    <t xml:space="preserve"> 00011927 </t>
  </si>
  <si>
    <t>ABRACADEIRA, GALVANIZADA/ZINCADA, ROSCA SEM FIM, PARAFUSO INOX, LARGURA FITA *12,6 A *14 MM, D = 2" A 2 1/2"</t>
  </si>
  <si>
    <t>UN</t>
  </si>
  <si>
    <t xml:space="preserve"> COMPOSIÇÃO SADA 005 </t>
  </si>
  <si>
    <t xml:space="preserve"> 102486 </t>
  </si>
  <si>
    <t>CONCRETO FCK = 15MPA, TRAÇO 1:3,4:3,4 (EM MASSA SECA DE CIMENTO/ AREIA MÉDIA/ SEIXO ROLADO) - PREPARO MANUAL. AF_05/2021</t>
  </si>
  <si>
    <t xml:space="preserve"> 00021148 </t>
  </si>
  <si>
    <t>TUBO ACO CARBONO SEM COSTURA 2", E= *3,91* MM, SCHEDULE 40, *5,43* KG/M</t>
  </si>
  <si>
    <t>COMPOSIÇÕES PRINCIPAIS - SEM DESONERAÇÃO</t>
  </si>
  <si>
    <t>min</t>
  </si>
  <si>
    <t>max</t>
  </si>
  <si>
    <t>LISTA DE ERROS</t>
  </si>
  <si>
    <t>SINAPI 12/2025</t>
  </si>
  <si>
    <t>HORISTA: 90,66%
MENSALISTA: 52,90%</t>
  </si>
  <si>
    <t xml:space="preserve">PLANILHA ORÇAMENTÁRIA  - COM DESONERAÇÃO </t>
  </si>
  <si>
    <t>COMPOSIÇÕES PRINCIPAIS - COM DESONERAÇÃO</t>
  </si>
  <si>
    <t>CRONOGRAMA FÍSICO-FINANCEIRO</t>
  </si>
  <si>
    <t>DISCRIMINAÇÃO DOS SERVIÇOS</t>
  </si>
  <si>
    <t>PESO                      (%)</t>
  </si>
  <si>
    <t>VALOR DAS OBRAS E SERVIÇOS  (R$)</t>
  </si>
  <si>
    <t>DIAS</t>
  </si>
  <si>
    <t>VALOR TOTAL (R$)</t>
  </si>
  <si>
    <t>TOTAL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</si>
</sst>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_(* #,##0.00_);_(* \(#,##0.00\);_(* &quot;-&quot;??_);_(@_)"/>
    <numFmt numFmtId="166" formatCode="&quot;R$&quot;\ #,##0.00"/>
    <numFmt numFmtId="167" formatCode="#,##0.00;[Red]#,##0.00"/>
    <numFmt numFmtId="168" formatCode="&quot;R$&quot;\ #,##0.00;[Red]&quot;R$&quot;\ #,##0.00"/>
    <numFmt numFmtId="169" formatCode="_(* #,##0.000_);_(* \(#,##0.000\);_(* &quot;-&quot;??_);_(@_)"/>
    <numFmt numFmtId="170" formatCode="0.0000"/>
    <numFmt numFmtId="171" formatCode="0.0000%"/>
    <numFmt numFmtId="172" formatCode="#,##0.0000000"/>
    <numFmt numFmtId="173" formatCode="_(&quot;R$ &quot;* #,##0.00_);_(&quot;R$ &quot;* \(#,##0.00\);_(&quot;R$ &quot;* &quot;-&quot;??_);_(@_)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color rgb="FF000000"/>
      <name val="Arial"/>
      <family val="2"/>
    </font>
    <font>
      <sz val="8"/>
      <color rgb="FF00B0F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Times New Roman"/>
      <family val="1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CCCCCC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11" fillId="0" borderId="0"/>
    <xf numFmtId="165" fontId="9" fillId="0" borderId="0" applyFont="0" applyFill="0" applyBorder="0" applyAlignment="0" applyProtection="0"/>
  </cellStyleXfs>
  <cellXfs count="438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vertical="center"/>
    </xf>
    <xf numFmtId="0" fontId="4" fillId="3" borderId="8" xfId="0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9" fontId="3" fillId="5" borderId="1" xfId="3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4" fontId="3" fillId="2" borderId="10" xfId="0" applyNumberFormat="1" applyFont="1" applyFill="1" applyBorder="1" applyAlignment="1">
      <alignment vertical="center"/>
    </xf>
    <xf numFmtId="4" fontId="3" fillId="2" borderId="1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67" fontId="8" fillId="0" borderId="12" xfId="1" applyNumberFormat="1" applyFont="1" applyFill="1" applyBorder="1" applyAlignment="1">
      <alignment horizontal="center" vertical="center" wrapText="1"/>
    </xf>
    <xf numFmtId="167" fontId="8" fillId="0" borderId="11" xfId="1" applyNumberFormat="1" applyFont="1" applyFill="1" applyBorder="1" applyAlignment="1">
      <alignment horizontal="center" vertical="center" wrapText="1"/>
    </xf>
    <xf numFmtId="168" fontId="6" fillId="6" borderId="1" xfId="1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/>
    <xf numFmtId="0" fontId="5" fillId="7" borderId="17" xfId="4" applyFont="1" applyFill="1" applyBorder="1" applyAlignment="1">
      <alignment vertical="top"/>
    </xf>
    <xf numFmtId="0" fontId="5" fillId="7" borderId="0" xfId="4" applyFont="1" applyFill="1" applyBorder="1" applyAlignment="1">
      <alignment vertical="center"/>
    </xf>
    <xf numFmtId="0" fontId="4" fillId="0" borderId="0" xfId="0" applyFont="1"/>
    <xf numFmtId="165" fontId="7" fillId="0" borderId="0" xfId="4" applyNumberFormat="1" applyFont="1" applyBorder="1"/>
    <xf numFmtId="165" fontId="7" fillId="0" borderId="17" xfId="4" applyNumberFormat="1" applyFont="1" applyBorder="1" applyAlignment="1">
      <alignment horizontal="center"/>
    </xf>
    <xf numFmtId="0" fontId="7" fillId="0" borderId="0" xfId="4" applyFont="1" applyFill="1" applyBorder="1" applyAlignment="1">
      <alignment horizontal="justify" wrapText="1"/>
    </xf>
    <xf numFmtId="165" fontId="7" fillId="0" borderId="0" xfId="5" applyFont="1" applyFill="1" applyBorder="1" applyAlignment="1"/>
    <xf numFmtId="165" fontId="7" fillId="0" borderId="16" xfId="4" applyNumberFormat="1" applyFont="1" applyBorder="1" applyAlignment="1">
      <alignment horizontal="center"/>
    </xf>
    <xf numFmtId="165" fontId="7" fillId="0" borderId="0" xfId="5" applyFont="1" applyBorder="1" applyAlignment="1"/>
    <xf numFmtId="165" fontId="5" fillId="0" borderId="16" xfId="4" applyNumberFormat="1" applyFont="1" applyBorder="1" applyAlignment="1">
      <alignment horizontal="center"/>
    </xf>
    <xf numFmtId="165" fontId="5" fillId="2" borderId="1" xfId="5" applyFont="1" applyFill="1" applyBorder="1" applyAlignment="1"/>
    <xf numFmtId="165" fontId="5" fillId="2" borderId="1" xfId="4" applyNumberFormat="1" applyFont="1" applyFill="1" applyBorder="1"/>
    <xf numFmtId="165" fontId="5" fillId="0" borderId="0" xfId="5" applyFont="1" applyFill="1" applyBorder="1" applyAlignment="1"/>
    <xf numFmtId="165" fontId="12" fillId="0" borderId="0" xfId="5" applyFont="1" applyBorder="1" applyAlignment="1"/>
    <xf numFmtId="165" fontId="5" fillId="0" borderId="0" xfId="4" applyNumberFormat="1" applyFont="1" applyFill="1" applyBorder="1"/>
    <xf numFmtId="0" fontId="5" fillId="0" borderId="17" xfId="4" applyFont="1" applyBorder="1" applyAlignment="1">
      <alignment vertical="top"/>
    </xf>
    <xf numFmtId="49" fontId="7" fillId="0" borderId="0" xfId="4" applyNumberFormat="1" applyFont="1" applyBorder="1" applyAlignment="1">
      <alignment vertical="center"/>
    </xf>
    <xf numFmtId="165" fontId="7" fillId="0" borderId="0" xfId="5" applyFont="1" applyBorder="1" applyAlignment="1">
      <alignment vertical="center"/>
    </xf>
    <xf numFmtId="165" fontId="7" fillId="0" borderId="0" xfId="4" applyNumberFormat="1" applyFont="1" applyBorder="1" applyAlignment="1">
      <alignment vertical="center"/>
    </xf>
    <xf numFmtId="165" fontId="7" fillId="0" borderId="0" xfId="5" applyFont="1" applyFill="1" applyBorder="1" applyAlignment="1">
      <alignment vertical="center"/>
    </xf>
    <xf numFmtId="165" fontId="5" fillId="4" borderId="16" xfId="4" applyNumberFormat="1" applyFont="1" applyFill="1" applyBorder="1" applyAlignment="1">
      <alignment horizontal="center"/>
    </xf>
    <xf numFmtId="165" fontId="5" fillId="0" borderId="17" xfId="4" applyNumberFormat="1" applyFont="1" applyBorder="1" applyAlignment="1">
      <alignment horizontal="center" vertical="top"/>
    </xf>
    <xf numFmtId="49" fontId="5" fillId="0" borderId="0" xfId="4" applyNumberFormat="1" applyFont="1" applyBorder="1" applyAlignment="1">
      <alignment wrapText="1"/>
    </xf>
    <xf numFmtId="0" fontId="7" fillId="0" borderId="0" xfId="4" applyFont="1" applyBorder="1" applyAlignment="1">
      <alignment vertical="center"/>
    </xf>
    <xf numFmtId="165" fontId="5" fillId="0" borderId="0" xfId="4" applyNumberFormat="1" applyFont="1" applyBorder="1" applyAlignment="1">
      <alignment horizontal="center" vertical="center"/>
    </xf>
    <xf numFmtId="0" fontId="5" fillId="0" borderId="0" xfId="4" applyFont="1" applyBorder="1" applyAlignment="1">
      <alignment horizontal="justify" wrapText="1"/>
    </xf>
    <xf numFmtId="165" fontId="7" fillId="0" borderId="10" xfId="4" applyNumberFormat="1" applyFont="1" applyBorder="1" applyAlignment="1">
      <alignment horizontal="center" vertical="top"/>
    </xf>
    <xf numFmtId="49" fontId="7" fillId="0" borderId="12" xfId="4" applyNumberFormat="1" applyFont="1" applyBorder="1"/>
    <xf numFmtId="0" fontId="7" fillId="0" borderId="12" xfId="4" applyFont="1" applyFill="1" applyBorder="1"/>
    <xf numFmtId="165" fontId="7" fillId="0" borderId="12" xfId="4" applyNumberFormat="1" applyFont="1" applyFill="1" applyBorder="1"/>
    <xf numFmtId="165" fontId="7" fillId="0" borderId="11" xfId="4" applyNumberFormat="1" applyFont="1" applyFill="1" applyBorder="1" applyAlignment="1">
      <alignment horizontal="center"/>
    </xf>
    <xf numFmtId="0" fontId="7" fillId="0" borderId="0" xfId="4" applyFont="1" applyBorder="1" applyAlignment="1">
      <alignment horizontal="justify" wrapText="1"/>
    </xf>
    <xf numFmtId="165" fontId="7" fillId="0" borderId="0" xfId="4" applyNumberFormat="1" applyFont="1" applyFill="1" applyBorder="1"/>
    <xf numFmtId="165" fontId="7" fillId="0" borderId="16" xfId="4" applyNumberFormat="1" applyFont="1" applyFill="1" applyBorder="1" applyAlignment="1">
      <alignment horizontal="center"/>
    </xf>
    <xf numFmtId="165" fontId="12" fillId="0" borderId="17" xfId="4" applyNumberFormat="1" applyFont="1" applyBorder="1" applyAlignment="1">
      <alignment horizontal="center"/>
    </xf>
    <xf numFmtId="0" fontId="12" fillId="0" borderId="0" xfId="4" applyFont="1" applyBorder="1" applyAlignment="1">
      <alignment horizontal="justify" wrapText="1"/>
    </xf>
    <xf numFmtId="165" fontId="12" fillId="0" borderId="0" xfId="4" applyNumberFormat="1" applyFont="1" applyBorder="1"/>
    <xf numFmtId="165" fontId="13" fillId="0" borderId="16" xfId="4" applyNumberFormat="1" applyFont="1" applyBorder="1" applyAlignment="1">
      <alignment horizontal="center"/>
    </xf>
    <xf numFmtId="165" fontId="7" fillId="0" borderId="10" xfId="4" applyNumberFormat="1" applyFont="1" applyBorder="1" applyAlignment="1">
      <alignment horizontal="center" vertical="center"/>
    </xf>
    <xf numFmtId="0" fontId="14" fillId="0" borderId="17" xfId="6" applyFont="1" applyBorder="1" applyAlignment="1">
      <alignment horizontal="left" vertical="top"/>
    </xf>
    <xf numFmtId="0" fontId="14" fillId="0" borderId="0" xfId="6" applyFont="1" applyBorder="1" applyAlignment="1">
      <alignment horizontal="left" vertical="top"/>
    </xf>
    <xf numFmtId="0" fontId="14" fillId="0" borderId="16" xfId="6" applyFont="1" applyBorder="1" applyAlignment="1">
      <alignment horizontal="left" vertical="top"/>
    </xf>
    <xf numFmtId="169" fontId="7" fillId="0" borderId="0" xfId="5" applyNumberFormat="1" applyFont="1" applyBorder="1" applyAlignment="1"/>
    <xf numFmtId="165" fontId="16" fillId="0" borderId="16" xfId="4" applyNumberFormat="1" applyFont="1" applyBorder="1" applyAlignment="1">
      <alignment horizontal="center"/>
    </xf>
    <xf numFmtId="165" fontId="17" fillId="0" borderId="16" xfId="4" applyNumberFormat="1" applyFont="1" applyBorder="1" applyAlignment="1">
      <alignment horizontal="center"/>
    </xf>
    <xf numFmtId="165" fontId="5" fillId="0" borderId="0" xfId="4" applyNumberFormat="1" applyFont="1" applyBorder="1"/>
    <xf numFmtId="0" fontId="7" fillId="0" borderId="12" xfId="4" applyFont="1" applyBorder="1"/>
    <xf numFmtId="165" fontId="7" fillId="0" borderId="12" xfId="4" applyNumberFormat="1" applyFont="1" applyBorder="1"/>
    <xf numFmtId="165" fontId="7" fillId="0" borderId="11" xfId="4" applyNumberFormat="1" applyFont="1" applyBorder="1" applyAlignment="1">
      <alignment horizontal="center"/>
    </xf>
    <xf numFmtId="165" fontId="7" fillId="0" borderId="5" xfId="4" applyNumberFormat="1" applyFont="1" applyBorder="1" applyAlignment="1">
      <alignment horizontal="center"/>
    </xf>
    <xf numFmtId="0" fontId="7" fillId="0" borderId="14" xfId="4" applyFont="1" applyBorder="1" applyAlignment="1">
      <alignment horizontal="justify" wrapText="1"/>
    </xf>
    <xf numFmtId="165" fontId="5" fillId="0" borderId="6" xfId="4" applyNumberFormat="1" applyFont="1" applyBorder="1" applyAlignment="1">
      <alignment horizontal="center"/>
    </xf>
    <xf numFmtId="0" fontId="14" fillId="0" borderId="0" xfId="6" applyFont="1" applyAlignment="1">
      <alignment horizontal="left" vertical="top"/>
    </xf>
    <xf numFmtId="165" fontId="7" fillId="4" borderId="0" xfId="5" applyFont="1" applyFill="1" applyBorder="1" applyAlignment="1"/>
    <xf numFmtId="0" fontId="14" fillId="0" borderId="5" xfId="6" applyFont="1" applyBorder="1" applyAlignment="1">
      <alignment horizontal="left" vertical="top"/>
    </xf>
    <xf numFmtId="0" fontId="14" fillId="0" borderId="14" xfId="6" applyFont="1" applyBorder="1" applyAlignment="1">
      <alignment horizontal="left" vertical="top"/>
    </xf>
    <xf numFmtId="0" fontId="14" fillId="0" borderId="6" xfId="6" applyFont="1" applyBorder="1" applyAlignment="1">
      <alignment horizontal="left" vertical="top"/>
    </xf>
    <xf numFmtId="165" fontId="5" fillId="0" borderId="1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 shrinkToFit="1"/>
    </xf>
    <xf numFmtId="44" fontId="9" fillId="0" borderId="4" xfId="0" applyNumberFormat="1" applyFont="1" applyBorder="1" applyAlignment="1">
      <alignment horizontal="center" vertical="center"/>
    </xf>
    <xf numFmtId="10" fontId="9" fillId="0" borderId="4" xfId="3" applyNumberFormat="1" applyFont="1" applyFill="1" applyBorder="1" applyAlignment="1">
      <alignment horizontal="center" vertical="center"/>
    </xf>
    <xf numFmtId="10" fontId="9" fillId="3" borderId="18" xfId="3" applyNumberFormat="1" applyFont="1" applyFill="1" applyBorder="1" applyAlignment="1">
      <alignment horizontal="center" vertical="center"/>
    </xf>
    <xf numFmtId="44" fontId="19" fillId="5" borderId="1" xfId="0" applyNumberFormat="1" applyFont="1" applyFill="1" applyBorder="1" applyAlignment="1">
      <alignment vertical="center"/>
    </xf>
    <xf numFmtId="10" fontId="19" fillId="5" borderId="1" xfId="3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justify" vertical="center"/>
    </xf>
    <xf numFmtId="10" fontId="4" fillId="0" borderId="1" xfId="0" applyNumberFormat="1" applyFont="1" applyFill="1" applyBorder="1" applyAlignment="1">
      <alignment horizontal="center" vertical="center"/>
    </xf>
    <xf numFmtId="43" fontId="5" fillId="6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7" fontId="8" fillId="0" borderId="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4" fontId="5" fillId="8" borderId="11" xfId="2" applyFont="1" applyFill="1" applyBorder="1" applyAlignment="1">
      <alignment vertical="center" wrapText="1"/>
    </xf>
    <xf numFmtId="0" fontId="5" fillId="0" borderId="0" xfId="4" applyFont="1" applyAlignment="1" applyProtection="1">
      <alignment horizontal="center" vertical="center"/>
      <protection hidden="1"/>
    </xf>
    <xf numFmtId="0" fontId="5" fillId="0" borderId="19" xfId="4" applyFont="1" applyBorder="1" applyAlignment="1" applyProtection="1">
      <alignment horizontal="center" vertical="center"/>
      <protection hidden="1"/>
    </xf>
    <xf numFmtId="0" fontId="5" fillId="0" borderId="8" xfId="4" applyFont="1" applyBorder="1" applyAlignment="1" applyProtection="1">
      <alignment horizontal="left" vertical="center"/>
      <protection hidden="1"/>
    </xf>
    <xf numFmtId="0" fontId="5" fillId="0" borderId="0" xfId="4" applyFont="1" applyAlignment="1" applyProtection="1">
      <alignment horizontal="left" vertical="center"/>
      <protection hidden="1"/>
    </xf>
    <xf numFmtId="0" fontId="5" fillId="0" borderId="8" xfId="4" applyFont="1" applyBorder="1" applyAlignment="1" applyProtection="1">
      <alignment vertical="center"/>
      <protection hidden="1"/>
    </xf>
    <xf numFmtId="0" fontId="7" fillId="0" borderId="10" xfId="4" applyFont="1" applyBorder="1" applyAlignment="1" applyProtection="1">
      <alignment vertical="center"/>
      <protection hidden="1"/>
    </xf>
    <xf numFmtId="2" fontId="5" fillId="0" borderId="1" xfId="4" applyNumberFormat="1" applyFont="1" applyBorder="1" applyAlignment="1" applyProtection="1">
      <alignment horizontal="center" vertical="center"/>
      <protection locked="0" hidden="1"/>
    </xf>
    <xf numFmtId="2" fontId="21" fillId="0" borderId="0" xfId="4" applyNumberFormat="1" applyFont="1" applyAlignment="1" applyProtection="1">
      <alignment horizontal="center" vertical="center"/>
      <protection hidden="1"/>
    </xf>
    <xf numFmtId="0" fontId="7" fillId="0" borderId="0" xfId="4" applyFont="1" applyAlignment="1" applyProtection="1">
      <alignment vertical="center"/>
      <protection hidden="1"/>
    </xf>
    <xf numFmtId="2" fontId="5" fillId="0" borderId="0" xfId="4" applyNumberFormat="1" applyFont="1" applyAlignment="1" applyProtection="1">
      <alignment horizontal="center" vertical="center"/>
      <protection locked="0" hidden="1"/>
    </xf>
    <xf numFmtId="2" fontId="21" fillId="0" borderId="19" xfId="4" applyNumberFormat="1" applyFont="1" applyBorder="1" applyAlignment="1" applyProtection="1">
      <alignment horizontal="center" vertical="center"/>
      <protection hidden="1"/>
    </xf>
    <xf numFmtId="0" fontId="7" fillId="0" borderId="0" xfId="4" applyFont="1" applyAlignment="1" applyProtection="1">
      <alignment vertical="center" wrapText="1"/>
      <protection hidden="1"/>
    </xf>
    <xf numFmtId="0" fontId="5" fillId="0" borderId="20" xfId="4" applyFont="1" applyBorder="1" applyAlignment="1" applyProtection="1">
      <alignment horizontal="center" vertical="center"/>
      <protection hidden="1"/>
    </xf>
    <xf numFmtId="2" fontId="21" fillId="0" borderId="22" xfId="4" applyNumberFormat="1" applyFont="1" applyBorder="1" applyAlignment="1" applyProtection="1">
      <alignment horizontal="center" vertical="center"/>
      <protection hidden="1"/>
    </xf>
    <xf numFmtId="2" fontId="21" fillId="0" borderId="23" xfId="4" applyNumberFormat="1" applyFont="1" applyBorder="1" applyAlignment="1" applyProtection="1">
      <alignment horizontal="center" vertical="center"/>
      <protection hidden="1"/>
    </xf>
    <xf numFmtId="2" fontId="5" fillId="0" borderId="0" xfId="4" applyNumberFormat="1" applyFont="1" applyAlignment="1" applyProtection="1">
      <alignment horizontal="center" vertical="center"/>
      <protection hidden="1"/>
    </xf>
    <xf numFmtId="2" fontId="5" fillId="0" borderId="25" xfId="4" applyNumberFormat="1" applyFont="1" applyBorder="1" applyAlignment="1" applyProtection="1">
      <alignment horizontal="center" vertical="center"/>
      <protection hidden="1"/>
    </xf>
    <xf numFmtId="2" fontId="5" fillId="0" borderId="26" xfId="4" applyNumberFormat="1" applyFont="1" applyBorder="1" applyAlignment="1" applyProtection="1">
      <alignment horizontal="center" vertical="center"/>
      <protection hidden="1"/>
    </xf>
    <xf numFmtId="0" fontId="5" fillId="0" borderId="8" xfId="4" applyFont="1" applyBorder="1" applyAlignment="1" applyProtection="1">
      <alignment horizontal="center" vertical="center"/>
      <protection hidden="1"/>
    </xf>
    <xf numFmtId="0" fontId="7" fillId="0" borderId="0" xfId="4" applyFont="1" applyAlignment="1" applyProtection="1">
      <alignment horizontal="right" vertical="center"/>
      <protection hidden="1"/>
    </xf>
    <xf numFmtId="0" fontId="7" fillId="0" borderId="22" xfId="4" applyFont="1" applyBorder="1" applyAlignment="1" applyProtection="1">
      <alignment horizontal="center" vertical="center"/>
      <protection hidden="1"/>
    </xf>
    <xf numFmtId="0" fontId="7" fillId="0" borderId="0" xfId="4" applyFont="1" applyAlignment="1" applyProtection="1">
      <alignment horizontal="center" vertical="center"/>
      <protection hidden="1"/>
    </xf>
    <xf numFmtId="0" fontId="5" fillId="0" borderId="25" xfId="4" applyFont="1" applyBorder="1" applyAlignment="1" applyProtection="1">
      <alignment horizontal="center" vertical="center"/>
      <protection hidden="1"/>
    </xf>
    <xf numFmtId="2" fontId="7" fillId="0" borderId="25" xfId="4" applyNumberFormat="1" applyFont="1" applyBorder="1" applyAlignment="1" applyProtection="1">
      <alignment horizontal="center" vertical="center"/>
      <protection hidden="1"/>
    </xf>
    <xf numFmtId="2" fontId="7" fillId="0" borderId="26" xfId="4" applyNumberFormat="1" applyFont="1" applyBorder="1" applyAlignment="1" applyProtection="1">
      <alignment horizontal="center" vertical="center"/>
      <protection hidden="1"/>
    </xf>
    <xf numFmtId="0" fontId="7" fillId="0" borderId="8" xfId="4" applyFont="1" applyBorder="1" applyAlignment="1" applyProtection="1">
      <alignment horizontal="center" vertical="center"/>
      <protection hidden="1"/>
    </xf>
    <xf numFmtId="2" fontId="7" fillId="0" borderId="19" xfId="4" applyNumberFormat="1" applyFont="1" applyBorder="1" applyAlignment="1" applyProtection="1">
      <alignment horizontal="center" vertical="center"/>
      <protection hidden="1"/>
    </xf>
    <xf numFmtId="0" fontId="7" fillId="0" borderId="10" xfId="4" applyFont="1" applyBorder="1" applyAlignment="1" applyProtection="1">
      <alignment horizontal="left" vertical="center"/>
      <protection hidden="1"/>
    </xf>
    <xf numFmtId="0" fontId="7" fillId="0" borderId="12" xfId="4" applyFont="1" applyBorder="1" applyAlignment="1" applyProtection="1">
      <alignment horizontal="center" vertical="center"/>
      <protection hidden="1"/>
    </xf>
    <xf numFmtId="0" fontId="7" fillId="0" borderId="12" xfId="4" applyFont="1" applyBorder="1" applyAlignment="1" applyProtection="1">
      <alignment horizontal="right" vertical="center"/>
      <protection hidden="1"/>
    </xf>
    <xf numFmtId="10" fontId="7" fillId="0" borderId="11" xfId="4" applyNumberFormat="1" applyFont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left" vertical="center"/>
      <protection hidden="1"/>
    </xf>
    <xf numFmtId="10" fontId="7" fillId="0" borderId="0" xfId="4" applyNumberFormat="1" applyFont="1" applyAlignment="1" applyProtection="1">
      <alignment horizontal="center" vertical="center"/>
      <protection hidden="1"/>
    </xf>
    <xf numFmtId="10" fontId="7" fillId="0" borderId="11" xfId="7" applyNumberFormat="1" applyFont="1" applyFill="1" applyBorder="1" applyAlignment="1" applyProtection="1">
      <alignment horizontal="center" vertical="center"/>
      <protection locked="0"/>
    </xf>
    <xf numFmtId="170" fontId="7" fillId="0" borderId="19" xfId="7" applyNumberFormat="1" applyFont="1" applyFill="1" applyBorder="1" applyAlignment="1" applyProtection="1">
      <alignment horizontal="center" vertical="center"/>
      <protection hidden="1"/>
    </xf>
    <xf numFmtId="10" fontId="7" fillId="0" borderId="0" xfId="7" applyNumberFormat="1" applyFont="1" applyFill="1" applyBorder="1" applyAlignment="1" applyProtection="1">
      <alignment horizontal="center" vertical="center"/>
      <protection hidden="1"/>
    </xf>
    <xf numFmtId="0" fontId="7" fillId="0" borderId="2" xfId="4" applyFont="1" applyBorder="1" applyAlignment="1" applyProtection="1">
      <alignment vertical="center"/>
      <protection hidden="1"/>
    </xf>
    <xf numFmtId="0" fontId="7" fillId="0" borderId="15" xfId="4" applyFont="1" applyBorder="1" applyAlignment="1" applyProtection="1">
      <alignment horizontal="center" vertical="center"/>
      <protection hidden="1"/>
    </xf>
    <xf numFmtId="0" fontId="7" fillId="0" borderId="15" xfId="4" applyFont="1" applyBorder="1" applyAlignment="1" applyProtection="1">
      <alignment horizontal="right" vertical="center"/>
      <protection hidden="1"/>
    </xf>
    <xf numFmtId="10" fontId="7" fillId="0" borderId="3" xfId="7" applyNumberFormat="1" applyFont="1" applyFill="1" applyBorder="1" applyAlignment="1" applyProtection="1">
      <alignment horizontal="center" vertical="center"/>
      <protection hidden="1"/>
    </xf>
    <xf numFmtId="170" fontId="5" fillId="0" borderId="19" xfId="7" applyNumberFormat="1" applyFont="1" applyFill="1" applyBorder="1" applyAlignment="1" applyProtection="1">
      <alignment horizontal="center" vertical="center"/>
      <protection hidden="1"/>
    </xf>
    <xf numFmtId="10" fontId="7" fillId="0" borderId="16" xfId="7" applyNumberFormat="1" applyFont="1" applyFill="1" applyBorder="1" applyAlignment="1" applyProtection="1">
      <alignment horizontal="center" vertical="center"/>
      <protection locked="0"/>
    </xf>
    <xf numFmtId="2" fontId="5" fillId="0" borderId="19" xfId="7" applyNumberFormat="1" applyFont="1" applyFill="1" applyBorder="1" applyAlignment="1" applyProtection="1">
      <alignment horizontal="center" vertical="center"/>
      <protection hidden="1"/>
    </xf>
    <xf numFmtId="0" fontId="7" fillId="0" borderId="5" xfId="4" applyFont="1" applyBorder="1" applyAlignment="1" applyProtection="1">
      <alignment horizontal="center" vertical="center"/>
      <protection hidden="1"/>
    </xf>
    <xf numFmtId="0" fontId="7" fillId="0" borderId="14" xfId="4" applyFont="1" applyBorder="1" applyAlignment="1" applyProtection="1">
      <alignment horizontal="center" vertical="center"/>
      <protection hidden="1"/>
    </xf>
    <xf numFmtId="0" fontId="7" fillId="0" borderId="14" xfId="4" applyFont="1" applyBorder="1" applyAlignment="1" applyProtection="1">
      <alignment horizontal="right" vertical="center"/>
      <protection hidden="1"/>
    </xf>
    <xf numFmtId="10" fontId="7" fillId="0" borderId="6" xfId="4" applyNumberFormat="1" applyFont="1" applyBorder="1" applyAlignment="1" applyProtection="1">
      <alignment horizontal="center" vertical="center"/>
      <protection locked="0"/>
    </xf>
    <xf numFmtId="0" fontId="7" fillId="0" borderId="17" xfId="4" applyFont="1" applyBorder="1" applyAlignment="1" applyProtection="1">
      <alignment vertical="center"/>
      <protection hidden="1"/>
    </xf>
    <xf numFmtId="10" fontId="7" fillId="0" borderId="16" xfId="7" applyNumberFormat="1" applyFont="1" applyFill="1" applyBorder="1" applyAlignment="1" applyProtection="1">
      <alignment horizontal="center" vertical="center"/>
      <protection hidden="1"/>
    </xf>
    <xf numFmtId="2" fontId="7" fillId="0" borderId="19" xfId="7" applyNumberFormat="1" applyFont="1" applyFill="1" applyBorder="1" applyAlignment="1" applyProtection="1">
      <alignment horizontal="center" vertical="center"/>
      <protection hidden="1"/>
    </xf>
    <xf numFmtId="0" fontId="7" fillId="0" borderId="17" xfId="4" applyFont="1" applyBorder="1" applyAlignment="1" applyProtection="1">
      <alignment horizontal="center" vertical="center"/>
      <protection hidden="1"/>
    </xf>
    <xf numFmtId="10" fontId="7" fillId="0" borderId="16" xfId="7" applyNumberFormat="1" applyFont="1" applyFill="1" applyBorder="1" applyAlignment="1" applyProtection="1">
      <alignment horizontal="center" vertical="center"/>
    </xf>
    <xf numFmtId="10" fontId="7" fillId="0" borderId="6" xfId="7" applyNumberFormat="1" applyFont="1" applyFill="1" applyBorder="1" applyAlignment="1" applyProtection="1">
      <alignment horizontal="center" vertical="center"/>
      <protection hidden="1"/>
    </xf>
    <xf numFmtId="0" fontId="7" fillId="0" borderId="20" xfId="4" applyFont="1" applyBorder="1" applyAlignment="1" applyProtection="1">
      <alignment horizontal="center" vertical="center"/>
      <protection hidden="1"/>
    </xf>
    <xf numFmtId="165" fontId="7" fillId="0" borderId="22" xfId="7" applyFont="1" applyFill="1" applyBorder="1" applyAlignment="1" applyProtection="1">
      <alignment horizontal="center" vertical="center"/>
      <protection hidden="1"/>
    </xf>
    <xf numFmtId="2" fontId="7" fillId="0" borderId="22" xfId="7" applyNumberFormat="1" applyFont="1" applyFill="1" applyBorder="1" applyAlignment="1" applyProtection="1">
      <alignment horizontal="center" vertical="center"/>
      <protection hidden="1"/>
    </xf>
    <xf numFmtId="2" fontId="5" fillId="0" borderId="23" xfId="7" applyNumberFormat="1" applyFont="1" applyFill="1" applyBorder="1" applyAlignment="1" applyProtection="1">
      <alignment horizontal="center" vertical="center"/>
      <protection hidden="1"/>
    </xf>
    <xf numFmtId="165" fontId="7" fillId="0" borderId="0" xfId="7" applyFont="1" applyFill="1" applyBorder="1" applyAlignment="1" applyProtection="1">
      <alignment horizontal="center" vertical="center"/>
      <protection hidden="1"/>
    </xf>
    <xf numFmtId="2" fontId="7" fillId="0" borderId="0" xfId="7" applyNumberFormat="1" applyFont="1" applyFill="1" applyBorder="1" applyAlignment="1" applyProtection="1">
      <alignment horizontal="center" vertical="center"/>
      <protection hidden="1"/>
    </xf>
    <xf numFmtId="2" fontId="5" fillId="0" borderId="0" xfId="7" applyNumberFormat="1" applyFont="1" applyFill="1" applyBorder="1" applyAlignment="1" applyProtection="1">
      <alignment horizontal="center" vertical="center"/>
      <protection hidden="1"/>
    </xf>
    <xf numFmtId="0" fontId="7" fillId="0" borderId="22" xfId="4" applyFont="1" applyBorder="1" applyAlignment="1" applyProtection="1">
      <alignment vertical="center"/>
      <protection hidden="1"/>
    </xf>
    <xf numFmtId="2" fontId="7" fillId="0" borderId="22" xfId="4" applyNumberFormat="1" applyFont="1" applyBorder="1" applyAlignment="1" applyProtection="1">
      <alignment horizontal="center" vertical="center"/>
      <protection hidden="1"/>
    </xf>
    <xf numFmtId="2" fontId="7" fillId="0" borderId="23" xfId="4" applyNumberFormat="1" applyFont="1" applyBorder="1" applyAlignment="1" applyProtection="1">
      <alignment horizontal="center" vertical="center"/>
      <protection hidden="1"/>
    </xf>
    <xf numFmtId="0" fontId="7" fillId="0" borderId="25" xfId="4" applyFont="1" applyBorder="1" applyAlignment="1" applyProtection="1">
      <alignment horizontal="center" vertical="center"/>
      <protection hidden="1"/>
    </xf>
    <xf numFmtId="0" fontId="7" fillId="0" borderId="1" xfId="4" applyFont="1" applyBorder="1" applyAlignment="1" applyProtection="1">
      <alignment horizontal="center" vertical="center"/>
      <protection hidden="1"/>
    </xf>
    <xf numFmtId="10" fontId="7" fillId="0" borderId="1" xfId="4" applyNumberFormat="1" applyFont="1" applyBorder="1" applyAlignment="1" applyProtection="1">
      <alignment horizontal="center" vertical="center"/>
      <protection hidden="1"/>
    </xf>
    <xf numFmtId="10" fontId="7" fillId="0" borderId="22" xfId="4" applyNumberFormat="1" applyFont="1" applyBorder="1" applyAlignment="1" applyProtection="1">
      <alignment horizontal="center" vertical="center"/>
      <protection hidden="1"/>
    </xf>
    <xf numFmtId="0" fontId="7" fillId="0" borderId="19" xfId="4" applyFont="1" applyBorder="1" applyAlignment="1" applyProtection="1">
      <alignment horizontal="center" vertical="center"/>
      <protection hidden="1"/>
    </xf>
    <xf numFmtId="10" fontId="5" fillId="0" borderId="28" xfId="7" applyNumberFormat="1" applyFont="1" applyFill="1" applyBorder="1" applyAlignment="1" applyProtection="1">
      <alignment horizontal="center" vertical="center"/>
      <protection hidden="1"/>
    </xf>
    <xf numFmtId="10" fontId="5" fillId="0" borderId="29" xfId="7" applyNumberFormat="1" applyFont="1" applyFill="1" applyBorder="1" applyAlignment="1" applyProtection="1">
      <alignment horizontal="center" vertical="center"/>
      <protection hidden="1"/>
    </xf>
    <xf numFmtId="10" fontId="5" fillId="0" borderId="0" xfId="7" applyNumberFormat="1" applyFont="1" applyFill="1" applyBorder="1" applyAlignment="1" applyProtection="1">
      <alignment horizontal="center" vertical="center"/>
      <protection hidden="1"/>
    </xf>
    <xf numFmtId="171" fontId="7" fillId="0" borderId="0" xfId="4" applyNumberFormat="1" applyFont="1" applyAlignment="1" applyProtection="1">
      <alignment horizontal="center" vertical="center"/>
      <protection locked="0" hidden="1"/>
    </xf>
    <xf numFmtId="2" fontId="7" fillId="0" borderId="0" xfId="4" applyNumberFormat="1" applyFont="1" applyAlignment="1" applyProtection="1">
      <alignment horizontal="center" vertical="center"/>
      <protection hidden="1"/>
    </xf>
    <xf numFmtId="171" fontId="7" fillId="0" borderId="0" xfId="4" applyNumberFormat="1" applyFont="1" applyAlignment="1" applyProtection="1">
      <alignment horizontal="center" vertical="center"/>
      <protection hidden="1"/>
    </xf>
    <xf numFmtId="0" fontId="7" fillId="0" borderId="10" xfId="4" applyFont="1" applyBorder="1" applyAlignment="1" applyProtection="1">
      <alignment horizontal="center" vertical="center"/>
      <protection hidden="1"/>
    </xf>
    <xf numFmtId="0" fontId="2" fillId="0" borderId="0" xfId="0" applyFont="1"/>
    <xf numFmtId="0" fontId="2" fillId="0" borderId="0" xfId="0" applyFont="1" applyFill="1"/>
    <xf numFmtId="0" fontId="16" fillId="0" borderId="0" xfId="0" applyFont="1"/>
    <xf numFmtId="43" fontId="16" fillId="0" borderId="0" xfId="0" applyNumberFormat="1" applyFont="1"/>
    <xf numFmtId="0" fontId="22" fillId="0" borderId="30" xfId="0" applyFont="1" applyFill="1" applyBorder="1" applyAlignment="1">
      <alignment horizontal="left" vertical="top" wrapText="1"/>
    </xf>
    <xf numFmtId="0" fontId="22" fillId="0" borderId="30" xfId="0" applyFont="1" applyFill="1" applyBorder="1" applyAlignment="1">
      <alignment horizontal="right" vertical="top" wrapText="1"/>
    </xf>
    <xf numFmtId="0" fontId="22" fillId="0" borderId="3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left" vertical="top" wrapText="1"/>
    </xf>
    <xf numFmtId="0" fontId="23" fillId="0" borderId="30" xfId="0" applyFont="1" applyFill="1" applyBorder="1" applyAlignment="1">
      <alignment horizontal="right" vertical="top" wrapText="1"/>
    </xf>
    <xf numFmtId="0" fontId="23" fillId="0" borderId="30" xfId="0" applyFont="1" applyFill="1" applyBorder="1" applyAlignment="1">
      <alignment horizontal="center" vertical="top" wrapText="1"/>
    </xf>
    <xf numFmtId="172" fontId="23" fillId="0" borderId="30" xfId="0" applyNumberFormat="1" applyFont="1" applyFill="1" applyBorder="1" applyAlignment="1">
      <alignment horizontal="right" vertical="top" wrapText="1"/>
    </xf>
    <xf numFmtId="4" fontId="23" fillId="0" borderId="30" xfId="0" applyNumberFormat="1" applyFont="1" applyFill="1" applyBorder="1" applyAlignment="1">
      <alignment horizontal="right" vertical="top" wrapText="1"/>
    </xf>
    <xf numFmtId="0" fontId="24" fillId="0" borderId="30" xfId="0" applyFont="1" applyFill="1" applyBorder="1" applyAlignment="1">
      <alignment horizontal="left" vertical="top" wrapText="1"/>
    </xf>
    <xf numFmtId="0" fontId="24" fillId="0" borderId="30" xfId="0" applyFont="1" applyFill="1" applyBorder="1" applyAlignment="1">
      <alignment horizontal="right" vertical="top" wrapText="1"/>
    </xf>
    <xf numFmtId="0" fontId="24" fillId="0" borderId="30" xfId="0" applyFont="1" applyFill="1" applyBorder="1" applyAlignment="1">
      <alignment horizontal="center" vertical="top" wrapText="1"/>
    </xf>
    <xf numFmtId="172" fontId="24" fillId="0" borderId="30" xfId="0" applyNumberFormat="1" applyFont="1" applyFill="1" applyBorder="1" applyAlignment="1">
      <alignment horizontal="right" vertical="top" wrapText="1"/>
    </xf>
    <xf numFmtId="4" fontId="24" fillId="0" borderId="30" xfId="0" applyNumberFormat="1" applyFont="1" applyFill="1" applyBorder="1" applyAlignment="1">
      <alignment horizontal="right" vertical="top" wrapText="1"/>
    </xf>
    <xf numFmtId="4" fontId="24" fillId="0" borderId="0" xfId="0" applyNumberFormat="1" applyFont="1" applyFill="1" applyAlignment="1">
      <alignment horizontal="right" vertical="top" wrapText="1"/>
    </xf>
    <xf numFmtId="0" fontId="23" fillId="0" borderId="31" xfId="0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right" vertical="top" wrapText="1"/>
    </xf>
    <xf numFmtId="2" fontId="5" fillId="0" borderId="1" xfId="0" applyNumberFormat="1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3" fillId="3" borderId="1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right" vertical="center"/>
    </xf>
    <xf numFmtId="0" fontId="19" fillId="5" borderId="11" xfId="0" applyFont="1" applyFill="1" applyBorder="1" applyAlignment="1">
      <alignment horizontal="right" vertical="center"/>
    </xf>
    <xf numFmtId="0" fontId="19" fillId="5" borderId="10" xfId="0" applyFont="1" applyFill="1" applyBorder="1" applyAlignment="1">
      <alignment horizontal="left" vertical="center"/>
    </xf>
    <xf numFmtId="0" fontId="19" fillId="5" borderId="12" xfId="0" applyFont="1" applyFill="1" applyBorder="1" applyAlignment="1">
      <alignment horizontal="left" vertical="center"/>
    </xf>
    <xf numFmtId="0" fontId="19" fillId="5" borderId="1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44" fontId="20" fillId="3" borderId="4" xfId="0" applyNumberFormat="1" applyFont="1" applyFill="1" applyBorder="1" applyAlignment="1">
      <alignment horizontal="center" vertical="center"/>
    </xf>
    <xf numFmtId="44" fontId="20" fillId="4" borderId="7" xfId="0" applyNumberFormat="1" applyFont="1" applyFill="1" applyBorder="1" applyAlignment="1">
      <alignment horizontal="center" vertical="center"/>
    </xf>
    <xf numFmtId="10" fontId="20" fillId="3" borderId="4" xfId="3" applyNumberFormat="1" applyFont="1" applyFill="1" applyBorder="1" applyAlignment="1">
      <alignment horizontal="center" vertical="center"/>
    </xf>
    <xf numFmtId="10" fontId="20" fillId="4" borderId="7" xfId="3" applyNumberFormat="1" applyFont="1" applyFill="1" applyBorder="1" applyAlignment="1">
      <alignment horizontal="center" vertical="center"/>
    </xf>
    <xf numFmtId="44" fontId="20" fillId="3" borderId="7" xfId="0" applyNumberFormat="1" applyFont="1" applyFill="1" applyBorder="1" applyAlignment="1">
      <alignment horizontal="center" vertical="center"/>
    </xf>
    <xf numFmtId="10" fontId="20" fillId="3" borderId="7" xfId="3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left" vertical="center"/>
    </xf>
    <xf numFmtId="44" fontId="20" fillId="3" borderId="1" xfId="0" applyNumberFormat="1" applyFont="1" applyFill="1" applyBorder="1" applyAlignment="1">
      <alignment horizontal="center" vertical="center"/>
    </xf>
    <xf numFmtId="10" fontId="20" fillId="0" borderId="3" xfId="3" applyNumberFormat="1" applyFont="1" applyFill="1" applyBorder="1" applyAlignment="1">
      <alignment horizontal="center" vertical="center"/>
    </xf>
    <xf numFmtId="10" fontId="20" fillId="0" borderId="6" xfId="3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44" fontId="20" fillId="0" borderId="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0" fontId="20" fillId="0" borderId="4" xfId="3" applyNumberFormat="1" applyFont="1" applyFill="1" applyBorder="1" applyAlignment="1">
      <alignment horizontal="center" vertical="center"/>
    </xf>
    <xf numFmtId="10" fontId="20" fillId="0" borderId="18" xfId="3" applyNumberFormat="1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166" fontId="6" fillId="2" borderId="12" xfId="0" applyNumberFormat="1" applyFont="1" applyFill="1" applyBorder="1" applyAlignment="1">
      <alignment horizontal="center" vertical="center" wrapText="1"/>
    </xf>
    <xf numFmtId="166" fontId="6" fillId="2" borderId="11" xfId="0" applyNumberFormat="1" applyFont="1" applyFill="1" applyBorder="1" applyAlignment="1">
      <alignment horizontal="center" vertical="center" wrapText="1"/>
    </xf>
    <xf numFmtId="167" fontId="8" fillId="0" borderId="10" xfId="1" applyNumberFormat="1" applyFont="1" applyFill="1" applyBorder="1" applyAlignment="1">
      <alignment horizontal="center" vertical="center" wrapText="1"/>
    </xf>
    <xf numFmtId="167" fontId="8" fillId="0" borderId="11" xfId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43" fontId="5" fillId="6" borderId="4" xfId="1" applyFont="1" applyFill="1" applyBorder="1" applyAlignment="1">
      <alignment horizontal="center" vertical="center"/>
    </xf>
    <xf numFmtId="43" fontId="5" fillId="6" borderId="7" xfId="1" applyFont="1" applyFill="1" applyBorder="1" applyAlignment="1">
      <alignment horizontal="center" vertical="center"/>
    </xf>
    <xf numFmtId="43" fontId="5" fillId="6" borderId="2" xfId="1" applyFont="1" applyFill="1" applyBorder="1" applyAlignment="1">
      <alignment horizontal="center" vertical="center"/>
    </xf>
    <xf numFmtId="43" fontId="5" fillId="6" borderId="3" xfId="1" applyFont="1" applyFill="1" applyBorder="1" applyAlignment="1">
      <alignment horizontal="center" vertical="center"/>
    </xf>
    <xf numFmtId="43" fontId="5" fillId="6" borderId="5" xfId="1" applyFont="1" applyFill="1" applyBorder="1" applyAlignment="1">
      <alignment horizontal="center" vertical="center"/>
    </xf>
    <xf numFmtId="43" fontId="5" fillId="6" borderId="6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4" fillId="0" borderId="0" xfId="0" applyFont="1" applyFill="1" applyAlignment="1">
      <alignment horizontal="right" vertical="top" wrapText="1"/>
    </xf>
    <xf numFmtId="0" fontId="25" fillId="0" borderId="32" xfId="0" applyFont="1" applyFill="1" applyBorder="1" applyAlignment="1">
      <alignment horizontal="center" wrapText="1"/>
    </xf>
    <xf numFmtId="0" fontId="5" fillId="6" borderId="1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2" xfId="4" applyFont="1" applyBorder="1" applyAlignment="1" applyProtection="1">
      <alignment horizontal="left" vertical="center"/>
      <protection hidden="1"/>
    </xf>
    <xf numFmtId="0" fontId="5" fillId="0" borderId="24" xfId="4" applyFont="1" applyBorder="1" applyAlignment="1" applyProtection="1">
      <alignment horizontal="left" vertical="center"/>
      <protection hidden="1"/>
    </xf>
    <xf numFmtId="0" fontId="5" fillId="0" borderId="25" xfId="4" applyFont="1" applyBorder="1" applyAlignment="1" applyProtection="1">
      <alignment horizontal="left" vertical="center"/>
      <protection hidden="1"/>
    </xf>
    <xf numFmtId="0" fontId="7" fillId="0" borderId="0" xfId="4" applyFont="1" applyAlignment="1" applyProtection="1">
      <alignment horizontal="center" vertical="center"/>
      <protection hidden="1"/>
    </xf>
    <xf numFmtId="171" fontId="7" fillId="0" borderId="0" xfId="4" applyNumberFormat="1" applyFont="1" applyAlignment="1" applyProtection="1">
      <alignment horizontal="center" vertical="center"/>
      <protection hidden="1"/>
    </xf>
    <xf numFmtId="2" fontId="7" fillId="0" borderId="0" xfId="4" applyNumberFormat="1" applyFont="1" applyAlignment="1" applyProtection="1">
      <alignment horizontal="center" vertical="center"/>
      <protection hidden="1"/>
    </xf>
    <xf numFmtId="171" fontId="7" fillId="0" borderId="12" xfId="4" applyNumberFormat="1" applyFont="1" applyBorder="1" applyAlignment="1" applyProtection="1">
      <alignment horizontal="center" vertical="center"/>
      <protection hidden="1"/>
    </xf>
    <xf numFmtId="171" fontId="7" fillId="0" borderId="11" xfId="4" applyNumberFormat="1" applyFont="1" applyBorder="1" applyAlignment="1" applyProtection="1">
      <alignment horizontal="center" vertical="center"/>
      <protection hidden="1"/>
    </xf>
    <xf numFmtId="0" fontId="5" fillId="0" borderId="27" xfId="4" applyFont="1" applyBorder="1" applyAlignment="1" applyProtection="1">
      <alignment horizontal="right" vertical="center"/>
      <protection hidden="1"/>
    </xf>
    <xf numFmtId="0" fontId="5" fillId="0" borderId="28" xfId="4" applyFont="1" applyBorder="1" applyAlignment="1" applyProtection="1">
      <alignment horizontal="right" vertical="center"/>
      <protection hidden="1"/>
    </xf>
    <xf numFmtId="0" fontId="7" fillId="0" borderId="17" xfId="4" applyFont="1" applyBorder="1" applyAlignment="1" applyProtection="1">
      <alignment horizontal="center" vertical="center"/>
      <protection hidden="1"/>
    </xf>
    <xf numFmtId="0" fontId="5" fillId="0" borderId="25" xfId="4" applyFont="1" applyBorder="1" applyAlignment="1" applyProtection="1">
      <alignment horizontal="center" vertical="center"/>
      <protection hidden="1"/>
    </xf>
    <xf numFmtId="0" fontId="5" fillId="6" borderId="1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17" fontId="5" fillId="7" borderId="0" xfId="4" applyNumberFormat="1" applyFont="1" applyFill="1" applyBorder="1" applyAlignment="1">
      <alignment horizontal="left" vertical="center"/>
    </xf>
    <xf numFmtId="0" fontId="5" fillId="7" borderId="0" xfId="4" applyFont="1" applyFill="1" applyBorder="1" applyAlignment="1">
      <alignment horizontal="left" vertical="center"/>
    </xf>
    <xf numFmtId="0" fontId="5" fillId="7" borderId="16" xfId="4" applyFont="1" applyFill="1" applyBorder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 wrapText="1"/>
    </xf>
    <xf numFmtId="49" fontId="7" fillId="0" borderId="11" xfId="4" applyNumberFormat="1" applyFont="1" applyBorder="1" applyAlignment="1">
      <alignment horizontal="left" vertical="center" wrapText="1"/>
    </xf>
    <xf numFmtId="165" fontId="15" fillId="0" borderId="16" xfId="4" applyNumberFormat="1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8" xfId="4" applyFont="1" applyBorder="1" applyAlignment="1" applyProtection="1">
      <alignment horizontal="left" vertical="center"/>
      <protection hidden="1"/>
    </xf>
    <xf numFmtId="0" fontId="5" fillId="0" borderId="0" xfId="4" applyFont="1" applyAlignment="1" applyProtection="1">
      <alignment horizontal="left" vertical="center"/>
      <protection hidden="1"/>
    </xf>
    <xf numFmtId="2" fontId="26" fillId="0" borderId="0" xfId="4" applyNumberFormat="1" applyFont="1" applyAlignment="1" applyProtection="1">
      <alignment horizontal="center" vertical="center"/>
      <protection hidden="1"/>
    </xf>
    <xf numFmtId="10" fontId="26" fillId="0" borderId="0" xfId="4" applyNumberFormat="1" applyFont="1" applyAlignment="1" applyProtection="1">
      <alignment horizontal="center" vertical="center"/>
      <protection hidden="1"/>
    </xf>
    <xf numFmtId="0" fontId="5" fillId="4" borderId="25" xfId="4" applyFont="1" applyFill="1" applyBorder="1" applyAlignment="1" applyProtection="1">
      <alignment horizontal="left" vertical="center"/>
      <protection hidden="1"/>
    </xf>
    <xf numFmtId="1" fontId="26" fillId="0" borderId="0" xfId="4" applyNumberFormat="1" applyFont="1" applyAlignment="1" applyProtection="1">
      <alignment horizontal="center" vertical="center"/>
      <protection hidden="1"/>
    </xf>
    <xf numFmtId="170" fontId="26" fillId="0" borderId="0" xfId="4" applyNumberFormat="1" applyFont="1" applyAlignment="1" applyProtection="1">
      <alignment horizontal="center" vertical="center"/>
      <protection hidden="1"/>
    </xf>
    <xf numFmtId="171" fontId="26" fillId="0" borderId="0" xfId="4" applyNumberFormat="1" applyFont="1" applyAlignment="1" applyProtection="1">
      <alignment horizontal="center" vertical="center"/>
      <protection hidden="1"/>
    </xf>
    <xf numFmtId="0" fontId="26" fillId="0" borderId="0" xfId="4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10" xfId="4" applyFont="1" applyFill="1" applyBorder="1" applyAlignment="1" applyProtection="1">
      <alignment vertical="center"/>
      <protection hidden="1"/>
    </xf>
    <xf numFmtId="2" fontId="5" fillId="0" borderId="1" xfId="4" applyNumberFormat="1" applyFont="1" applyFill="1" applyBorder="1" applyAlignment="1" applyProtection="1">
      <alignment horizontal="center" vertical="center"/>
      <protection locked="0" hidden="1"/>
    </xf>
    <xf numFmtId="0" fontId="5" fillId="0" borderId="21" xfId="4" applyFont="1" applyFill="1" applyBorder="1" applyAlignment="1" applyProtection="1">
      <alignment horizontal="left" vertical="center"/>
      <protection hidden="1"/>
    </xf>
    <xf numFmtId="0" fontId="5" fillId="0" borderId="0" xfId="4" applyFont="1" applyFill="1" applyAlignment="1" applyProtection="1">
      <alignment horizontal="center" vertical="center"/>
      <protection hidden="1"/>
    </xf>
    <xf numFmtId="0" fontId="5" fillId="0" borderId="22" xfId="4" applyFont="1" applyFill="1" applyBorder="1" applyAlignment="1" applyProtection="1">
      <alignment horizontal="center" vertical="center"/>
      <protection hidden="1"/>
    </xf>
    <xf numFmtId="0" fontId="5" fillId="0" borderId="22" xfId="4" applyFont="1" applyFill="1" applyBorder="1" applyAlignment="1" applyProtection="1">
      <alignment horizontal="center" vertical="center"/>
      <protection hidden="1"/>
    </xf>
    <xf numFmtId="0" fontId="7" fillId="0" borderId="22" xfId="4" applyFont="1" applyFill="1" applyBorder="1" applyAlignment="1" applyProtection="1">
      <alignment horizontal="center" vertical="center"/>
      <protection hidden="1"/>
    </xf>
    <xf numFmtId="2" fontId="5" fillId="0" borderId="21" xfId="4" applyNumberFormat="1" applyFont="1" applyFill="1" applyBorder="1" applyAlignment="1" applyProtection="1">
      <alignment horizontal="center" vertical="center"/>
      <protection hidden="1"/>
    </xf>
    <xf numFmtId="0" fontId="7" fillId="0" borderId="0" xfId="4" applyFont="1" applyFill="1" applyAlignment="1" applyProtection="1">
      <alignment horizontal="center" vertical="center"/>
      <protection hidden="1"/>
    </xf>
    <xf numFmtId="2" fontId="7" fillId="0" borderId="0" xfId="4" applyNumberFormat="1" applyFont="1" applyFill="1" applyAlignment="1" applyProtection="1">
      <alignment horizontal="center" vertical="center"/>
      <protection hidden="1"/>
    </xf>
    <xf numFmtId="165" fontId="7" fillId="4" borderId="0" xfId="5" applyFont="1" applyFill="1" applyBorder="1" applyAlignment="1">
      <alignment vertical="center"/>
    </xf>
    <xf numFmtId="0" fontId="24" fillId="0" borderId="30" xfId="0" applyFont="1" applyFill="1" applyBorder="1" applyAlignment="1">
      <alignment horizontal="left" vertical="top"/>
    </xf>
    <xf numFmtId="43" fontId="2" fillId="0" borderId="0" xfId="0" applyNumberFormat="1" applyFont="1" applyAlignment="1">
      <alignment wrapText="1"/>
    </xf>
    <xf numFmtId="167" fontId="2" fillId="0" borderId="0" xfId="0" applyNumberFormat="1" applyFont="1" applyAlignment="1">
      <alignment wrapText="1"/>
    </xf>
    <xf numFmtId="44" fontId="3" fillId="0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165" fontId="5" fillId="6" borderId="1" xfId="1" applyNumberFormat="1" applyFont="1" applyFill="1" applyBorder="1" applyAlignment="1">
      <alignment horizontal="center" vertical="center" wrapText="1"/>
    </xf>
    <xf numFmtId="165" fontId="5" fillId="6" borderId="1" xfId="1" applyNumberFormat="1" applyFont="1" applyFill="1" applyBorder="1" applyAlignment="1">
      <alignment horizontal="center" vertical="center"/>
    </xf>
    <xf numFmtId="1" fontId="5" fillId="6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horizontal="center" vertical="center" wrapText="1"/>
    </xf>
    <xf numFmtId="44" fontId="8" fillId="0" borderId="1" xfId="2" applyFont="1" applyFill="1" applyBorder="1" applyAlignment="1">
      <alignment horizontal="center" vertical="center" wrapText="1"/>
    </xf>
    <xf numFmtId="10" fontId="8" fillId="0" borderId="1" xfId="1" applyNumberFormat="1" applyFont="1" applyFill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0" fontId="8" fillId="0" borderId="1" xfId="0" applyNumberFormat="1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3" fontId="6" fillId="3" borderId="1" xfId="2" applyNumberFormat="1" applyFont="1" applyFill="1" applyBorder="1" applyAlignment="1">
      <alignment horizontal="center" vertical="center" wrapText="1"/>
    </xf>
    <xf numFmtId="173" fontId="5" fillId="3" borderId="1" xfId="2" applyNumberFormat="1" applyFont="1" applyFill="1" applyBorder="1" applyAlignment="1">
      <alignment horizontal="center" vertical="center" wrapText="1"/>
    </xf>
    <xf numFmtId="10" fontId="6" fillId="3" borderId="1" xfId="3" applyNumberFormat="1" applyFont="1" applyFill="1" applyBorder="1" applyAlignment="1">
      <alignment horizontal="center" vertical="center" wrapText="1"/>
    </xf>
    <xf numFmtId="10" fontId="5" fillId="3" borderId="1" xfId="3" applyNumberFormat="1" applyFont="1" applyFill="1" applyBorder="1" applyAlignment="1">
      <alignment horizontal="center" vertical="center" wrapText="1"/>
    </xf>
    <xf numFmtId="44" fontId="9" fillId="3" borderId="18" xfId="2" applyFont="1" applyFill="1" applyBorder="1" applyAlignment="1">
      <alignment horizontal="center" vertical="center"/>
    </xf>
    <xf numFmtId="44" fontId="0" fillId="0" borderId="0" xfId="0" applyNumberFormat="1"/>
    <xf numFmtId="0" fontId="19" fillId="0" borderId="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/>
    </xf>
    <xf numFmtId="0" fontId="10" fillId="3" borderId="18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center" vertical="center"/>
    </xf>
    <xf numFmtId="0" fontId="20" fillId="3" borderId="1" xfId="0" quotePrefix="1" applyFont="1" applyFill="1" applyBorder="1" applyAlignment="1">
      <alignment horizontal="justify" vertical="center"/>
    </xf>
    <xf numFmtId="0" fontId="19" fillId="3" borderId="7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justify" vertical="center"/>
    </xf>
    <xf numFmtId="44" fontId="4" fillId="0" borderId="10" xfId="2" applyFont="1" applyFill="1" applyBorder="1" applyAlignment="1">
      <alignment horizontal="center" vertical="center"/>
    </xf>
    <xf numFmtId="44" fontId="4" fillId="0" borderId="11" xfId="2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167" fontId="8" fillId="0" borderId="4" xfId="1" applyNumberFormat="1" applyFont="1" applyFill="1" applyBorder="1" applyAlignment="1">
      <alignment horizontal="center" vertical="center" wrapText="1"/>
    </xf>
    <xf numFmtId="167" fontId="8" fillId="0" borderId="7" xfId="1" applyNumberFormat="1" applyFont="1" applyFill="1" applyBorder="1" applyAlignment="1">
      <alignment horizontal="center" vertical="center" wrapText="1"/>
    </xf>
    <xf numFmtId="10" fontId="8" fillId="0" borderId="4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167" fontId="8" fillId="0" borderId="7" xfId="1" applyNumberFormat="1" applyFont="1" applyFill="1" applyBorder="1" applyAlignment="1">
      <alignment horizontal="center" vertical="center" wrapText="1"/>
    </xf>
    <xf numFmtId="10" fontId="8" fillId="0" borderId="1" xfId="3" applyNumberFormat="1" applyFont="1" applyFill="1" applyBorder="1" applyAlignment="1">
      <alignment horizontal="center" vertical="center" wrapText="1"/>
    </xf>
    <xf numFmtId="10" fontId="6" fillId="0" borderId="1" xfId="3" applyNumberFormat="1" applyFont="1" applyBorder="1" applyAlignment="1">
      <alignment horizontal="center" vertical="center" wrapText="1"/>
    </xf>
    <xf numFmtId="10" fontId="0" fillId="0" borderId="0" xfId="0" applyNumberFormat="1"/>
    <xf numFmtId="43" fontId="2" fillId="0" borderId="0" xfId="0" applyNumberFormat="1" applyFont="1"/>
    <xf numFmtId="173" fontId="2" fillId="0" borderId="0" xfId="0" applyNumberFormat="1" applyFont="1"/>
  </cellXfs>
  <cellStyles count="8">
    <cellStyle name="Moeda" xfId="2" builtinId="4"/>
    <cellStyle name="Normal" xfId="0" builtinId="0"/>
    <cellStyle name="Normal 2" xfId="4" xr:uid="{769DAC47-2725-425C-8DC8-F5DEF5CF894E}"/>
    <cellStyle name="Normal 4" xfId="6" xr:uid="{6C123349-2EA0-41A2-B374-F4DC87343F57}"/>
    <cellStyle name="Porcentagem" xfId="3" builtinId="5"/>
    <cellStyle name="Separador de milhares 2" xfId="7" xr:uid="{B7C079AB-6C2C-428F-A7F4-2194D432DF4F}"/>
    <cellStyle name="Vírgula" xfId="1" builtinId="3"/>
    <cellStyle name="Vírgula 2 2" xfId="5" xr:uid="{B60CE878-2AF5-4519-ADFD-5ED57BE575B3}"/>
  </cellStyles>
  <dxfs count="85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41</xdr:row>
      <xdr:rowOff>28575</xdr:rowOff>
    </xdr:from>
    <xdr:to>
      <xdr:col>6</xdr:col>
      <xdr:colOff>110977</xdr:colOff>
      <xdr:row>45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ECD41BD-535A-4878-AC1D-84C829C7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" y="8121015"/>
          <a:ext cx="6365092" cy="836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41</xdr:row>
      <xdr:rowOff>28575</xdr:rowOff>
    </xdr:from>
    <xdr:to>
      <xdr:col>6</xdr:col>
      <xdr:colOff>110977</xdr:colOff>
      <xdr:row>45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76042A-78D4-4536-8436-68E64454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" y="9667875"/>
          <a:ext cx="7462372" cy="98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ah\Desktop\SADA\PARALELEP&#205;PEDO%20-%20TERESINA%20-%203.853,00%20m&#178;\8.%20OR&#199;AMENTO\OR&#199;AMENTO%20(Recuperado%20Automaticamente).xlsx" TargetMode="External"/><Relationship Id="rId1" Type="http://schemas.openxmlformats.org/officeDocument/2006/relationships/externalLinkPath" Target="OR&#199;AMENTO%20(Recuperado%20Automaticament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RAL "/>
      <sheetName val="RESUMO SD "/>
      <sheetName val="ORÇAMENTO SD"/>
      <sheetName val="COMPOSIÇÕES UNITÁRIAS SD (2)"/>
      <sheetName val="BDI SD"/>
      <sheetName val="QCI "/>
      <sheetName val="RESUMO CD  "/>
      <sheetName val="MC"/>
      <sheetName val="ORÇAMENTO CD (2)"/>
      <sheetName val="COMPOSIÇÕES UNITÁRIAS CD "/>
      <sheetName val="CRONOGRAMA SD"/>
      <sheetName val="BDI CD"/>
      <sheetName val="ENCARGOS"/>
    </sheetNames>
    <sheetDataSet>
      <sheetData sheetId="0"/>
      <sheetData sheetId="1">
        <row r="3">
          <cell r="A3" t="str">
            <v>LOCAL: DIVERSAS</v>
          </cell>
        </row>
      </sheetData>
      <sheetData sheetId="2">
        <row r="14">
          <cell r="B14">
            <v>100575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>
        <row r="10">
          <cell r="H10">
            <v>33625</v>
          </cell>
        </row>
        <row r="16">
          <cell r="D16" t="str">
            <v>m²</v>
          </cell>
        </row>
        <row r="19">
          <cell r="D19" t="str">
            <v>m</v>
          </cell>
        </row>
      </sheetData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D456-DA73-40B7-A24F-1D3EAF0548F3}">
  <dimension ref="A1:J23"/>
  <sheetViews>
    <sheetView view="pageBreakPreview" zoomScale="120" zoomScaleNormal="100" zoomScaleSheetLayoutView="120" workbookViewId="0">
      <selection activeCell="K20" sqref="K20"/>
    </sheetView>
  </sheetViews>
  <sheetFormatPr defaultRowHeight="14.4" x14ac:dyDescent="0.3"/>
  <cols>
    <col min="1" max="1" width="13.44140625" customWidth="1"/>
    <col min="2" max="3" width="18.77734375" customWidth="1"/>
    <col min="4" max="9" width="13.77734375" customWidth="1"/>
  </cols>
  <sheetData>
    <row r="1" spans="1:10" ht="15" customHeight="1" x14ac:dyDescent="0.3">
      <c r="A1" s="1" t="s">
        <v>0</v>
      </c>
      <c r="B1" s="240" t="s">
        <v>1</v>
      </c>
      <c r="C1" s="240"/>
      <c r="D1" s="241" t="s">
        <v>2</v>
      </c>
      <c r="E1" s="242"/>
      <c r="F1" s="245" t="s">
        <v>352</v>
      </c>
      <c r="G1" s="241" t="s">
        <v>3</v>
      </c>
      <c r="H1" s="242"/>
      <c r="I1" s="245" t="s">
        <v>352</v>
      </c>
    </row>
    <row r="2" spans="1:10" ht="15" customHeight="1" x14ac:dyDescent="0.3">
      <c r="A2" s="1" t="s">
        <v>4</v>
      </c>
      <c r="B2" s="240" t="s">
        <v>5</v>
      </c>
      <c r="C2" s="240"/>
      <c r="D2" s="243"/>
      <c r="E2" s="244"/>
      <c r="F2" s="246"/>
      <c r="G2" s="243"/>
      <c r="H2" s="244"/>
      <c r="I2" s="246"/>
    </row>
    <row r="3" spans="1:10" ht="15" customHeight="1" x14ac:dyDescent="0.3">
      <c r="A3" s="1" t="s">
        <v>6</v>
      </c>
      <c r="B3" s="225" t="s">
        <v>7</v>
      </c>
      <c r="C3" s="225"/>
      <c r="D3" s="237" t="s">
        <v>8</v>
      </c>
      <c r="E3" s="237"/>
      <c r="F3" s="110">
        <f>BDI!G68</f>
        <v>0.21959999999999999</v>
      </c>
      <c r="G3" s="222" t="s">
        <v>8</v>
      </c>
      <c r="H3" s="222"/>
      <c r="I3" s="110" cm="1">
        <f t="array" ref="I3:J3">'BDI (2)'!G68:H68</f>
        <v>0.28139999999999998</v>
      </c>
      <c r="J3">
        <v>0</v>
      </c>
    </row>
    <row r="4" spans="1:10" ht="15" customHeight="1" x14ac:dyDescent="0.3">
      <c r="A4" s="1" t="s">
        <v>9</v>
      </c>
      <c r="B4" s="238" t="s">
        <v>10</v>
      </c>
      <c r="C4" s="238"/>
      <c r="D4" s="237" t="s">
        <v>11</v>
      </c>
      <c r="E4" s="237"/>
      <c r="F4" s="110">
        <f>LS!E41</f>
        <v>1.1333</v>
      </c>
      <c r="G4" s="222" t="s">
        <v>11</v>
      </c>
      <c r="H4" s="222"/>
      <c r="I4" s="110">
        <f>LS!C41</f>
        <v>0.90659999999999985</v>
      </c>
    </row>
    <row r="5" spans="1:10" ht="15" customHeight="1" x14ac:dyDescent="0.3">
      <c r="A5" s="2"/>
      <c r="B5" s="3" t="s">
        <v>12</v>
      </c>
      <c r="C5" s="3" t="s">
        <v>13</v>
      </c>
      <c r="D5" s="4"/>
      <c r="E5" s="4"/>
      <c r="F5" s="4"/>
      <c r="G5" s="4"/>
      <c r="H5" s="5"/>
    </row>
    <row r="6" spans="1:10" ht="15" customHeight="1" x14ac:dyDescent="0.3">
      <c r="A6" s="6" t="s">
        <v>14</v>
      </c>
      <c r="B6" s="378">
        <f>RES!F16</f>
        <v>545846.72</v>
      </c>
      <c r="C6" s="378">
        <f>'RES DES'!F16</f>
        <v>549015.93999999994</v>
      </c>
      <c r="D6" s="4"/>
      <c r="E6" s="4"/>
      <c r="F6" s="4"/>
      <c r="G6" s="7"/>
    </row>
    <row r="7" spans="1:10" ht="15" customHeight="1" x14ac:dyDescent="0.3">
      <c r="A7" s="6" t="s">
        <v>15</v>
      </c>
      <c r="B7" s="378">
        <f>B6/C16</f>
        <v>141.66797819880611</v>
      </c>
      <c r="C7" s="378">
        <f>C6/C16</f>
        <v>142.49051128990396</v>
      </c>
      <c r="D7" s="4"/>
      <c r="E7" s="4"/>
      <c r="F7" s="4"/>
      <c r="G7" s="7"/>
    </row>
    <row r="8" spans="1:10" ht="15" customHeight="1" x14ac:dyDescent="0.3">
      <c r="A8" s="8"/>
      <c r="B8" s="15"/>
      <c r="C8" s="7"/>
      <c r="D8" s="4"/>
      <c r="E8" s="4"/>
      <c r="F8" s="4"/>
      <c r="G8" s="4"/>
      <c r="H8" s="7"/>
    </row>
    <row r="9" spans="1:10" ht="15" customHeight="1" x14ac:dyDescent="0.3">
      <c r="A9" s="226" t="s">
        <v>16</v>
      </c>
      <c r="B9" s="227"/>
      <c r="C9" s="228" t="s">
        <v>17</v>
      </c>
      <c r="D9" s="227"/>
      <c r="E9" s="239"/>
      <c r="F9" s="239"/>
      <c r="G9" s="4"/>
      <c r="H9" s="4"/>
    </row>
    <row r="10" spans="1:10" ht="15" customHeight="1" x14ac:dyDescent="0.3">
      <c r="A10" s="223" t="s">
        <v>18</v>
      </c>
      <c r="B10" s="224"/>
      <c r="C10" s="18">
        <f>MC!C25</f>
        <v>1225</v>
      </c>
      <c r="D10" s="9" t="s">
        <v>19</v>
      </c>
      <c r="E10" s="10"/>
      <c r="F10" s="10"/>
      <c r="G10" s="4"/>
      <c r="H10" s="7"/>
    </row>
    <row r="11" spans="1:10" ht="15" customHeight="1" x14ac:dyDescent="0.3">
      <c r="A11" s="223" t="s">
        <v>20</v>
      </c>
      <c r="B11" s="224"/>
      <c r="C11" s="18">
        <f>MC!C80</f>
        <v>1050</v>
      </c>
      <c r="D11" s="9" t="s">
        <v>19</v>
      </c>
      <c r="E11" s="10"/>
      <c r="F11" s="10"/>
      <c r="G11" s="4"/>
      <c r="H11" s="7"/>
    </row>
    <row r="12" spans="1:10" ht="23.4" customHeight="1" x14ac:dyDescent="0.3">
      <c r="A12" s="223" t="s">
        <v>107</v>
      </c>
      <c r="B12" s="224"/>
      <c r="C12" s="18">
        <f>MC!C135</f>
        <v>36</v>
      </c>
      <c r="D12" s="9" t="s">
        <v>19</v>
      </c>
      <c r="E12" s="10"/>
      <c r="F12" s="10"/>
      <c r="G12" s="4"/>
      <c r="H12" s="7"/>
    </row>
    <row r="13" spans="1:10" ht="15" customHeight="1" x14ac:dyDescent="0.3">
      <c r="A13" s="223" t="s">
        <v>21</v>
      </c>
      <c r="B13" s="224"/>
      <c r="C13" s="18">
        <f>MC!C190</f>
        <v>810</v>
      </c>
      <c r="D13" s="9" t="s">
        <v>19</v>
      </c>
      <c r="E13" s="10"/>
      <c r="F13" s="10"/>
      <c r="G13" s="4"/>
      <c r="H13" s="7"/>
    </row>
    <row r="14" spans="1:10" ht="15" customHeight="1" x14ac:dyDescent="0.3">
      <c r="A14" s="223" t="s">
        <v>22</v>
      </c>
      <c r="B14" s="224"/>
      <c r="C14" s="18">
        <f>MC!C245</f>
        <v>732</v>
      </c>
      <c r="D14" s="9" t="s">
        <v>19</v>
      </c>
      <c r="E14" s="10"/>
      <c r="F14" s="10"/>
      <c r="G14" s="4"/>
      <c r="H14" s="7"/>
    </row>
    <row r="15" spans="1:10" ht="15" customHeight="1" x14ac:dyDescent="0.3">
      <c r="A15" s="4"/>
      <c r="B15" s="4"/>
      <c r="C15" s="11"/>
      <c r="D15" s="4"/>
      <c r="E15" s="4"/>
      <c r="F15" s="4"/>
      <c r="G15" s="7"/>
      <c r="H15" s="7"/>
    </row>
    <row r="16" spans="1:10" ht="15" customHeight="1" x14ac:dyDescent="0.3">
      <c r="A16" s="228" t="s">
        <v>23</v>
      </c>
      <c r="B16" s="227"/>
      <c r="C16" s="16">
        <f>SUM(C10:C14)</f>
        <v>3853</v>
      </c>
      <c r="D16" s="17" t="str">
        <f>D10</f>
        <v>m²</v>
      </c>
      <c r="E16" s="12"/>
      <c r="F16" s="11"/>
      <c r="G16" s="4"/>
      <c r="H16" s="4"/>
    </row>
    <row r="17" spans="1:9" ht="15" customHeight="1" x14ac:dyDescent="0.3">
      <c r="A17" s="4"/>
      <c r="B17" s="4"/>
      <c r="C17" s="4"/>
      <c r="D17" s="4"/>
      <c r="E17" s="4"/>
      <c r="F17" s="4"/>
      <c r="G17" s="4"/>
      <c r="H17" s="4"/>
    </row>
    <row r="18" spans="1:9" ht="15" customHeight="1" x14ac:dyDescent="0.3">
      <c r="A18" s="229"/>
      <c r="B18" s="229"/>
      <c r="C18" s="229"/>
      <c r="D18" s="229"/>
      <c r="E18" s="229"/>
      <c r="F18" s="229"/>
      <c r="G18" s="229"/>
      <c r="H18" s="4"/>
    </row>
    <row r="19" spans="1:9" ht="15" customHeight="1" x14ac:dyDescent="0.3">
      <c r="A19" s="230" t="s">
        <v>24</v>
      </c>
      <c r="B19" s="230"/>
      <c r="C19" s="230"/>
      <c r="D19" s="230"/>
      <c r="E19" s="230"/>
      <c r="F19" s="230"/>
      <c r="G19" s="230"/>
      <c r="H19" s="6" t="s">
        <v>25</v>
      </c>
    </row>
    <row r="20" spans="1:9" ht="15" customHeight="1" x14ac:dyDescent="0.3">
      <c r="A20" s="231" t="s">
        <v>26</v>
      </c>
      <c r="B20" s="232"/>
      <c r="C20" s="233"/>
      <c r="D20" s="13" t="s">
        <v>27</v>
      </c>
      <c r="E20" s="234" t="s">
        <v>14</v>
      </c>
      <c r="F20" s="232"/>
      <c r="G20" s="13" t="s">
        <v>28</v>
      </c>
      <c r="H20" s="14">
        <v>0.5</v>
      </c>
    </row>
    <row r="21" spans="1:9" ht="30" customHeight="1" x14ac:dyDescent="0.3">
      <c r="A21" s="235" t="s">
        <v>29</v>
      </c>
      <c r="B21" s="236"/>
      <c r="C21" s="225"/>
      <c r="D21" s="18">
        <f>ORÇ!M13</f>
        <v>3853</v>
      </c>
      <c r="E21" s="409">
        <f>QCI!C13</f>
        <v>373933.65</v>
      </c>
      <c r="F21" s="410"/>
      <c r="G21" s="411">
        <f>QCI!D13</f>
        <v>0.6850524813999066</v>
      </c>
      <c r="H21" s="18">
        <f>D21/2</f>
        <v>1926.5</v>
      </c>
      <c r="I21" s="10" t="str">
        <f>'[1]ORÇAMENTO CD (2)'!D16</f>
        <v>m²</v>
      </c>
    </row>
    <row r="22" spans="1:9" ht="30" customHeight="1" x14ac:dyDescent="0.3">
      <c r="A22" s="225" t="s">
        <v>30</v>
      </c>
      <c r="B22" s="225"/>
      <c r="C22" s="225"/>
      <c r="D22" s="18">
        <f>ORÇ!E19+ORÇ!E38+ORÇ!E57+ORÇ!E76+ORÇ!E95</f>
        <v>1226</v>
      </c>
      <c r="E22" s="409">
        <f>ORÇ!H19+ORÇ!H38+ORÇ!H57+ORÇ!H76+ORÇ!H95</f>
        <v>68815.37999999999</v>
      </c>
      <c r="F22" s="410"/>
      <c r="G22" s="411">
        <f>E22/QCI!C23</f>
        <v>0.12607088671339822</v>
      </c>
      <c r="H22" s="18">
        <f>D22/2</f>
        <v>613</v>
      </c>
      <c r="I22" s="10" t="str">
        <f>'[1]ORÇAMENTO CD (2)'!D19</f>
        <v>m</v>
      </c>
    </row>
    <row r="23" spans="1:9" x14ac:dyDescent="0.3">
      <c r="A23" s="4"/>
      <c r="B23" s="4"/>
      <c r="C23" s="4"/>
      <c r="D23" s="4"/>
      <c r="E23" s="4"/>
      <c r="F23" s="4"/>
      <c r="G23" s="4"/>
      <c r="H23" s="4"/>
    </row>
  </sheetData>
  <mergeCells count="29">
    <mergeCell ref="B1:C1"/>
    <mergeCell ref="D1:E2"/>
    <mergeCell ref="F1:F2"/>
    <mergeCell ref="I1:I2"/>
    <mergeCell ref="B2:C2"/>
    <mergeCell ref="G1:H2"/>
    <mergeCell ref="E21:F21"/>
    <mergeCell ref="B3:C3"/>
    <mergeCell ref="D3:E3"/>
    <mergeCell ref="B4:C4"/>
    <mergeCell ref="D4:E4"/>
    <mergeCell ref="C9:D9"/>
    <mergeCell ref="E9:F9"/>
    <mergeCell ref="G3:H3"/>
    <mergeCell ref="G4:H4"/>
    <mergeCell ref="A12:B12"/>
    <mergeCell ref="A22:C22"/>
    <mergeCell ref="E22:F22"/>
    <mergeCell ref="A9:B9"/>
    <mergeCell ref="A10:B10"/>
    <mergeCell ref="A11:B11"/>
    <mergeCell ref="A13:B13"/>
    <mergeCell ref="A14:B14"/>
    <mergeCell ref="A16:B16"/>
    <mergeCell ref="A18:G18"/>
    <mergeCell ref="A19:G19"/>
    <mergeCell ref="A20:C20"/>
    <mergeCell ref="E20:F20"/>
    <mergeCell ref="A21:C21"/>
  </mergeCells>
  <phoneticPr fontId="18" type="noConversion"/>
  <printOptions horizontalCentered="1"/>
  <pageMargins left="0.70866141732283472" right="0.51181102362204722" top="1.7716535433070868" bottom="0.78740157480314965" header="0.31496062992125984" footer="0.31496062992125984"/>
  <pageSetup paperSize="9" scale="96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E0AA-9B0A-49C0-A420-2909316B11D5}">
  <sheetPr>
    <pageSetUpPr fitToPage="1"/>
  </sheetPr>
  <dimension ref="A1:F22"/>
  <sheetViews>
    <sheetView view="pageBreakPreview" zoomScale="120" zoomScaleNormal="100" zoomScaleSheetLayoutView="120" workbookViewId="0">
      <selection activeCell="J12" sqref="I12:J12"/>
    </sheetView>
  </sheetViews>
  <sheetFormatPr defaultRowHeight="14.4" x14ac:dyDescent="0.3"/>
  <cols>
    <col min="1" max="1" width="10.77734375" customWidth="1"/>
    <col min="2" max="2" width="50.77734375" customWidth="1"/>
    <col min="3" max="4" width="10.77734375" customWidth="1"/>
    <col min="5" max="6" width="20.77734375" customWidth="1"/>
  </cols>
  <sheetData>
    <row r="1" spans="1:6" ht="25.05" customHeight="1" x14ac:dyDescent="0.3">
      <c r="A1" s="287" t="s">
        <v>31</v>
      </c>
      <c r="B1" s="287"/>
      <c r="C1" s="287"/>
      <c r="D1" s="287"/>
      <c r="E1" s="287"/>
      <c r="F1" s="288"/>
    </row>
    <row r="2" spans="1:6" ht="19.95" customHeight="1" x14ac:dyDescent="0.3">
      <c r="A2" s="289" t="str">
        <f>CONCATENATE("PAVIMENTAÇÃO DE VIAS PÚBLICAS NO MUNÍCIO DE ",GERAL!B2," - PI")</f>
        <v>PAVIMENTAÇÃO DE VIAS PÚBLICAS NO MUNÍCIO DE TERESINA - PI</v>
      </c>
      <c r="B2" s="290"/>
      <c r="C2" s="291" t="str">
        <f>CONCATENATE("FONTE: ", GERAL!F1)</f>
        <v>FONTE: SINAPI 12/2025</v>
      </c>
      <c r="D2" s="291"/>
      <c r="E2" s="20" t="str">
        <f>CONCATENATE("COM DESONERAÇÃO
 BDI: ",TEXT(GERAL!I3,"0,00%"))</f>
        <v>COM DESONERAÇÃO
 BDI: 28,14%</v>
      </c>
      <c r="F2" s="121" t="s">
        <v>353</v>
      </c>
    </row>
    <row r="3" spans="1:6" ht="19.95" customHeight="1" x14ac:dyDescent="0.3">
      <c r="A3" s="292" t="str">
        <f>CONCATENATE("LOCALIDADE: ", GERAL!B3)</f>
        <v>LOCALIDADE: DIVERSAS</v>
      </c>
      <c r="B3" s="293"/>
      <c r="C3" s="293"/>
      <c r="D3" s="293"/>
      <c r="E3" s="35" t="s">
        <v>33</v>
      </c>
      <c r="F3" s="97">
        <f>GERAL!C16</f>
        <v>3853</v>
      </c>
    </row>
    <row r="4" spans="1:6" ht="15" customHeight="1" x14ac:dyDescent="0.3">
      <c r="A4" s="294" t="s">
        <v>34</v>
      </c>
      <c r="B4" s="294" t="s">
        <v>35</v>
      </c>
      <c r="C4" s="294" t="s">
        <v>36</v>
      </c>
      <c r="D4" s="297" t="s">
        <v>37</v>
      </c>
      <c r="E4" s="299" t="s">
        <v>38</v>
      </c>
      <c r="F4" s="300"/>
    </row>
    <row r="5" spans="1:6" ht="15" customHeight="1" x14ac:dyDescent="0.3">
      <c r="A5" s="295"/>
      <c r="B5" s="295"/>
      <c r="C5" s="295"/>
      <c r="D5" s="298"/>
      <c r="E5" s="301"/>
      <c r="F5" s="302"/>
    </row>
    <row r="6" spans="1:6" ht="15" customHeight="1" x14ac:dyDescent="0.3">
      <c r="A6" s="23" t="s">
        <v>39</v>
      </c>
      <c r="B6" s="281" t="s">
        <v>40</v>
      </c>
      <c r="C6" s="282"/>
      <c r="D6" s="282"/>
      <c r="E6" s="283">
        <f>SUM(E7:F8)</f>
        <v>21646.82</v>
      </c>
      <c r="F6" s="284"/>
    </row>
    <row r="7" spans="1:6" ht="15" customHeight="1" x14ac:dyDescent="0.3">
      <c r="A7" s="24" t="s">
        <v>41</v>
      </c>
      <c r="B7" s="25" t="str">
        <f>ORÇ!C8</f>
        <v>Placa de Obra em chapa de aço galvanizado</v>
      </c>
      <c r="C7" s="26" t="s">
        <v>19</v>
      </c>
      <c r="D7" s="27">
        <f>ORÇ!E8</f>
        <v>6</v>
      </c>
      <c r="E7" s="285">
        <f>'ORÇ (2)'!H8</f>
        <v>3543.72</v>
      </c>
      <c r="F7" s="286"/>
    </row>
    <row r="8" spans="1:6" ht="15" customHeight="1" x14ac:dyDescent="0.3">
      <c r="A8" s="24" t="s">
        <v>41</v>
      </c>
      <c r="B8" s="25" t="str">
        <f>ORÇ!C9</f>
        <v>Administração local da obra</v>
      </c>
      <c r="C8" s="26" t="s">
        <v>44</v>
      </c>
      <c r="D8" s="27">
        <f>ORÇ!E9</f>
        <v>2</v>
      </c>
      <c r="E8" s="285">
        <f>'ORÇ (2)'!H9</f>
        <v>18103.099999999999</v>
      </c>
      <c r="F8" s="286"/>
    </row>
    <row r="9" spans="1:6" ht="15" customHeight="1" x14ac:dyDescent="0.3">
      <c r="A9" s="23" t="s">
        <v>45</v>
      </c>
      <c r="B9" s="281" t="s">
        <v>46</v>
      </c>
      <c r="C9" s="282"/>
      <c r="D9" s="282"/>
      <c r="E9" s="283">
        <f>SUM(E10:F14)</f>
        <v>527369.12</v>
      </c>
      <c r="F9" s="284"/>
    </row>
    <row r="10" spans="1:6" ht="15" customHeight="1" x14ac:dyDescent="0.3">
      <c r="A10" s="24" t="s">
        <v>47</v>
      </c>
      <c r="B10" s="25" t="str">
        <f>GERAL!A10</f>
        <v>Rua Elias Aragão</v>
      </c>
      <c r="C10" s="26" t="s">
        <v>19</v>
      </c>
      <c r="D10" s="28">
        <f>GERAL!C10</f>
        <v>1225</v>
      </c>
      <c r="E10" s="285">
        <f>'ORÇ (2)'!H11</f>
        <v>163887.5</v>
      </c>
      <c r="F10" s="286"/>
    </row>
    <row r="11" spans="1:6" ht="15" customHeight="1" x14ac:dyDescent="0.3">
      <c r="A11" s="24" t="s">
        <v>48</v>
      </c>
      <c r="B11" s="25" t="str">
        <f>GERAL!A11</f>
        <v>Rua Doze - Loteamento Orgmar Monteiro</v>
      </c>
      <c r="C11" s="26" t="s">
        <v>19</v>
      </c>
      <c r="D11" s="28">
        <f>GERAL!C11</f>
        <v>1050</v>
      </c>
      <c r="E11" s="285">
        <f>'ORÇ (2)'!H30</f>
        <v>144956.1</v>
      </c>
      <c r="F11" s="286"/>
    </row>
    <row r="12" spans="1:6" ht="15" customHeight="1" x14ac:dyDescent="0.3">
      <c r="A12" s="24" t="s">
        <v>49</v>
      </c>
      <c r="B12" s="25" t="str">
        <f>GERAL!A12</f>
        <v>Cabeça de Rua - Rua Doze - Loteamento Orgmar Monteiro</v>
      </c>
      <c r="C12" s="26" t="s">
        <v>19</v>
      </c>
      <c r="D12" s="28">
        <f>GERAL!C12</f>
        <v>36</v>
      </c>
      <c r="E12" s="285">
        <f>'ORÇ (2)'!H49</f>
        <v>4923.2199999999993</v>
      </c>
      <c r="F12" s="286"/>
    </row>
    <row r="13" spans="1:6" ht="15" customHeight="1" x14ac:dyDescent="0.3">
      <c r="A13" s="24" t="s">
        <v>50</v>
      </c>
      <c r="B13" s="25" t="str">
        <f>GERAL!A13</f>
        <v>Rua São José - Trecho 01</v>
      </c>
      <c r="C13" s="26" t="s">
        <v>19</v>
      </c>
      <c r="D13" s="28">
        <f>GERAL!C13</f>
        <v>810</v>
      </c>
      <c r="E13" s="285">
        <f>'ORÇ (2)'!H68</f>
        <v>112134.64000000001</v>
      </c>
      <c r="F13" s="286"/>
    </row>
    <row r="14" spans="1:6" ht="15" customHeight="1" x14ac:dyDescent="0.3">
      <c r="A14" s="24" t="s">
        <v>106</v>
      </c>
      <c r="B14" s="25" t="str">
        <f>GERAL!A14</f>
        <v>Rua São José - Trecho 02</v>
      </c>
      <c r="C14" s="26" t="s">
        <v>19</v>
      </c>
      <c r="D14" s="28">
        <f>GERAL!C14</f>
        <v>732</v>
      </c>
      <c r="E14" s="285">
        <f>'ORÇ (2)'!H87</f>
        <v>101467.65999999999</v>
      </c>
      <c r="F14" s="286"/>
    </row>
    <row r="15" spans="1:6" ht="15" customHeight="1" x14ac:dyDescent="0.3">
      <c r="A15" s="29"/>
      <c r="B15" s="30"/>
      <c r="C15" s="30"/>
      <c r="D15" s="31"/>
      <c r="E15" s="31"/>
      <c r="F15" s="32"/>
    </row>
    <row r="16" spans="1:6" ht="15" customHeight="1" x14ac:dyDescent="0.3">
      <c r="A16" s="296" t="s">
        <v>51</v>
      </c>
      <c r="B16" s="296"/>
      <c r="C16" s="296"/>
      <c r="D16" s="296"/>
      <c r="E16" s="296"/>
      <c r="F16" s="33">
        <f>E6+E9</f>
        <v>549015.93999999994</v>
      </c>
    </row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30" customHeight="1" x14ac:dyDescent="0.3"/>
    <row r="22" ht="30" customHeight="1" x14ac:dyDescent="0.3"/>
  </sheetData>
  <mergeCells count="21">
    <mergeCell ref="E10:F10"/>
    <mergeCell ref="E11:F11"/>
    <mergeCell ref="E12:F12"/>
    <mergeCell ref="E13:F13"/>
    <mergeCell ref="E14:F14"/>
    <mergeCell ref="A16:E16"/>
    <mergeCell ref="B6:D6"/>
    <mergeCell ref="E6:F6"/>
    <mergeCell ref="E7:F7"/>
    <mergeCell ref="E8:F8"/>
    <mergeCell ref="B9:D9"/>
    <mergeCell ref="E9:F9"/>
    <mergeCell ref="A1:F1"/>
    <mergeCell ref="A2:B2"/>
    <mergeCell ref="C2:D2"/>
    <mergeCell ref="A3:D3"/>
    <mergeCell ref="A4:A5"/>
    <mergeCell ref="B4:B5"/>
    <mergeCell ref="C4:C5"/>
    <mergeCell ref="D4:D5"/>
    <mergeCell ref="E4:F5"/>
  </mergeCells>
  <printOptions horizontalCentered="1"/>
  <pageMargins left="1.1023622047244095" right="0.51181102362204722" top="2.1653543307086616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241E-5277-4D4F-ABBA-DB0A1F946D41}">
  <sheetPr>
    <pageSetUpPr fitToPage="1"/>
  </sheetPr>
  <dimension ref="A1:M105"/>
  <sheetViews>
    <sheetView view="pageBreakPreview" zoomScale="80" zoomScaleNormal="100" zoomScaleSheetLayoutView="80" workbookViewId="0">
      <selection activeCell="A29" sqref="A29:H29"/>
    </sheetView>
  </sheetViews>
  <sheetFormatPr defaultRowHeight="14.4" x14ac:dyDescent="0.3"/>
  <cols>
    <col min="1" max="1" width="10.77734375" customWidth="1"/>
    <col min="2" max="2" width="14.88671875" customWidth="1"/>
    <col min="3" max="3" width="50.77734375" customWidth="1"/>
    <col min="4" max="4" width="14.77734375" customWidth="1"/>
    <col min="5" max="5" width="10.77734375" customWidth="1"/>
    <col min="6" max="8" width="13.77734375" customWidth="1"/>
    <col min="13" max="13" width="9.109375" bestFit="1" customWidth="1"/>
  </cols>
  <sheetData>
    <row r="1" spans="1:13" ht="25.05" customHeight="1" x14ac:dyDescent="0.3">
      <c r="A1" s="307" t="s">
        <v>354</v>
      </c>
      <c r="B1" s="308"/>
      <c r="C1" s="308"/>
      <c r="D1" s="308"/>
      <c r="E1" s="308"/>
      <c r="F1" s="308"/>
      <c r="G1" s="308"/>
      <c r="H1" s="308"/>
    </row>
    <row r="2" spans="1:13" ht="19.95" customHeight="1" x14ac:dyDescent="0.3">
      <c r="A2" s="309" t="str">
        <f>RES!A2</f>
        <v>PAVIMENTAÇÃO DE VIAS PÚBLICAS NO MUNÍCIO DE TERESINA - PI</v>
      </c>
      <c r="B2" s="309"/>
      <c r="C2" s="309"/>
      <c r="D2" s="306" t="str">
        <f>RES!C2</f>
        <v>FONTE: SINAPI 12/2025</v>
      </c>
      <c r="E2" s="306"/>
      <c r="F2" s="306" t="str">
        <f>'RES DES'!E2</f>
        <v>COM DESONERAÇÃO
 BDI: 28,14%</v>
      </c>
      <c r="G2" s="306"/>
      <c r="H2" s="306"/>
    </row>
    <row r="3" spans="1:13" ht="19.95" customHeight="1" x14ac:dyDescent="0.3">
      <c r="A3" s="321" t="str">
        <f>RES!A3</f>
        <v>LOCALIDADE: DIVERSAS</v>
      </c>
      <c r="B3" s="321"/>
      <c r="C3" s="321"/>
      <c r="D3" s="101" t="str">
        <f>RES!E3</f>
        <v>ÁREA TOTAL (m²):</v>
      </c>
      <c r="E3" s="123">
        <f>RES!F3</f>
        <v>3853</v>
      </c>
      <c r="F3" s="306" t="str">
        <f>'RES DES'!F2</f>
        <v>HORISTA: 90,66%
MENSALISTA: 52,90%</v>
      </c>
      <c r="G3" s="306"/>
      <c r="H3" s="306"/>
    </row>
    <row r="4" spans="1:13" ht="15" customHeight="1" x14ac:dyDescent="0.3">
      <c r="A4" s="303"/>
      <c r="B4" s="304"/>
      <c r="C4" s="304"/>
      <c r="D4" s="304"/>
      <c r="E4" s="304"/>
      <c r="F4" s="304"/>
      <c r="G4" s="304"/>
      <c r="H4" s="305"/>
    </row>
    <row r="5" spans="1:13" ht="15" customHeight="1" x14ac:dyDescent="0.3">
      <c r="A5" s="287" t="s">
        <v>34</v>
      </c>
      <c r="B5" s="319" t="s">
        <v>109</v>
      </c>
      <c r="C5" s="287" t="s">
        <v>35</v>
      </c>
      <c r="D5" s="287" t="s">
        <v>36</v>
      </c>
      <c r="E5" s="317" t="s">
        <v>37</v>
      </c>
      <c r="F5" s="317" t="s">
        <v>186</v>
      </c>
      <c r="G5" s="317"/>
      <c r="H5" s="317"/>
    </row>
    <row r="6" spans="1:13" ht="15" customHeight="1" x14ac:dyDescent="0.3">
      <c r="A6" s="287"/>
      <c r="B6" s="320"/>
      <c r="C6" s="287"/>
      <c r="D6" s="287"/>
      <c r="E6" s="317"/>
      <c r="F6" s="111" t="s">
        <v>187</v>
      </c>
      <c r="G6" s="111" t="s">
        <v>188</v>
      </c>
      <c r="H6" s="112" t="s">
        <v>189</v>
      </c>
    </row>
    <row r="7" spans="1:13" s="119" customFormat="1" ht="15" customHeight="1" x14ac:dyDescent="0.3">
      <c r="A7" s="117" t="s">
        <v>39</v>
      </c>
      <c r="B7" s="281" t="s">
        <v>40</v>
      </c>
      <c r="C7" s="282"/>
      <c r="D7" s="282"/>
      <c r="E7" s="282"/>
      <c r="F7" s="318"/>
      <c r="G7" s="318"/>
      <c r="H7" s="118">
        <f>SUM(H8:H9)</f>
        <v>21646.82</v>
      </c>
    </row>
    <row r="8" spans="1:13" s="119" customFormat="1" ht="15" customHeight="1" x14ac:dyDescent="0.3">
      <c r="A8" s="98" t="s">
        <v>41</v>
      </c>
      <c r="B8" s="98" t="s">
        <v>190</v>
      </c>
      <c r="C8" s="113" t="s">
        <v>42</v>
      </c>
      <c r="D8" s="98" t="s">
        <v>19</v>
      </c>
      <c r="E8" s="120">
        <f>MC!C10</f>
        <v>6</v>
      </c>
      <c r="F8" s="120">
        <f>'CCU (2)'!G7</f>
        <v>460.92</v>
      </c>
      <c r="G8" s="28">
        <f>'CCU (2)'!G16</f>
        <v>590.62</v>
      </c>
      <c r="H8" s="28">
        <f>ROUND(E8*G8,2)</f>
        <v>3543.72</v>
      </c>
    </row>
    <row r="9" spans="1:13" s="119" customFormat="1" ht="15" customHeight="1" x14ac:dyDescent="0.3">
      <c r="A9" s="98" t="s">
        <v>105</v>
      </c>
      <c r="B9" s="98" t="s">
        <v>191</v>
      </c>
      <c r="C9" s="113" t="s">
        <v>43</v>
      </c>
      <c r="D9" s="98" t="s">
        <v>44</v>
      </c>
      <c r="E9" s="120">
        <f>MC!C14</f>
        <v>2</v>
      </c>
      <c r="F9" s="120">
        <f>'CCU (2)'!G19</f>
        <v>7063.8</v>
      </c>
      <c r="G9" s="28">
        <f>'CCU (2)'!G24</f>
        <v>9051.5499999999993</v>
      </c>
      <c r="H9" s="28">
        <f>ROUND(E9*G9,2)</f>
        <v>18103.099999999999</v>
      </c>
    </row>
    <row r="10" spans="1:13" s="119" customFormat="1" ht="15" customHeight="1" x14ac:dyDescent="0.3">
      <c r="A10" s="312"/>
      <c r="B10" s="313"/>
      <c r="C10" s="313"/>
      <c r="D10" s="313"/>
      <c r="E10" s="313"/>
      <c r="F10" s="313"/>
      <c r="G10" s="313"/>
      <c r="H10" s="314"/>
    </row>
    <row r="11" spans="1:13" s="119" customFormat="1" ht="15" customHeight="1" x14ac:dyDescent="0.3">
      <c r="A11" s="315" t="str">
        <f>MC!B16</f>
        <v>Rua Elias Aragão</v>
      </c>
      <c r="B11" s="316"/>
      <c r="C11" s="316"/>
      <c r="D11" s="316"/>
      <c r="E11" s="316"/>
      <c r="F11" s="316"/>
      <c r="G11" s="316"/>
      <c r="H11" s="124">
        <f>SUM(H12,H15,H18,H22,H26)</f>
        <v>163887.5</v>
      </c>
    </row>
    <row r="12" spans="1:13" s="119" customFormat="1" ht="15" customHeight="1" x14ac:dyDescent="0.3">
      <c r="A12" s="117" t="s">
        <v>45</v>
      </c>
      <c r="B12" s="310" t="s">
        <v>65</v>
      </c>
      <c r="C12" s="310"/>
      <c r="D12" s="310"/>
      <c r="E12" s="310"/>
      <c r="F12" s="310"/>
      <c r="G12" s="310"/>
      <c r="H12" s="118">
        <f>H13</f>
        <v>869.75</v>
      </c>
      <c r="M12" s="376">
        <f>E13+E32+E51+E70+E89</f>
        <v>3853</v>
      </c>
    </row>
    <row r="13" spans="1:13" s="119" customFormat="1" ht="15" customHeight="1" x14ac:dyDescent="0.3">
      <c r="A13" s="98" t="s">
        <v>47</v>
      </c>
      <c r="B13" s="98">
        <v>100575</v>
      </c>
      <c r="C13" s="114" t="s">
        <v>66</v>
      </c>
      <c r="D13" s="26" t="s">
        <v>19</v>
      </c>
      <c r="E13" s="120">
        <f>MC!C25</f>
        <v>1225</v>
      </c>
      <c r="F13" s="120">
        <f>'CCU (2)'!G27</f>
        <v>0.56000000000000005</v>
      </c>
      <c r="G13" s="28">
        <f>'CCU (2)'!G33</f>
        <v>0.71</v>
      </c>
      <c r="H13" s="28">
        <f>ROUND(E13*G13,2)</f>
        <v>869.75</v>
      </c>
      <c r="M13" s="377">
        <f>E16+E35+E54+E73+E92</f>
        <v>3853</v>
      </c>
    </row>
    <row r="14" spans="1:13" s="119" customFormat="1" ht="15" customHeight="1" x14ac:dyDescent="0.3">
      <c r="A14" s="311"/>
      <c r="B14" s="311"/>
      <c r="C14" s="311"/>
      <c r="D14" s="311"/>
      <c r="E14" s="311"/>
      <c r="F14" s="311"/>
      <c r="G14" s="311"/>
      <c r="H14" s="311"/>
      <c r="M14" s="377">
        <f>E19+E38+E57+E76+E95</f>
        <v>1226</v>
      </c>
    </row>
    <row r="15" spans="1:13" s="119" customFormat="1" ht="15" customHeight="1" x14ac:dyDescent="0.3">
      <c r="A15" s="117" t="s">
        <v>68</v>
      </c>
      <c r="B15" s="310" t="s">
        <v>69</v>
      </c>
      <c r="C15" s="310"/>
      <c r="D15" s="310"/>
      <c r="E15" s="310"/>
      <c r="F15" s="310"/>
      <c r="G15" s="310"/>
      <c r="H15" s="118">
        <f>SUM(H16:H16)</f>
        <v>118763.75</v>
      </c>
      <c r="M15" s="377">
        <f>E20+E39+E58+E77+E96</f>
        <v>1226</v>
      </c>
    </row>
    <row r="16" spans="1:13" s="119" customFormat="1" ht="25.05" customHeight="1" x14ac:dyDescent="0.3">
      <c r="A16" s="98" t="s">
        <v>70</v>
      </c>
      <c r="B16" s="98" t="s">
        <v>192</v>
      </c>
      <c r="C16" s="114" t="s">
        <v>29</v>
      </c>
      <c r="D16" s="26" t="s">
        <v>19</v>
      </c>
      <c r="E16" s="120">
        <f>MC!C31</f>
        <v>1225</v>
      </c>
      <c r="F16" s="120">
        <f>'CCU (2)'!G36</f>
        <v>75.66</v>
      </c>
      <c r="G16" s="28">
        <f>'CCU (2)'!G45</f>
        <v>96.95</v>
      </c>
      <c r="H16" s="28">
        <f>ROUND(E16*G16,2)</f>
        <v>118763.75</v>
      </c>
      <c r="M16" s="377">
        <f>E23+E42+E61+E80+E99</f>
        <v>18351.069999999996</v>
      </c>
    </row>
    <row r="17" spans="1:13" s="119" customFormat="1" ht="15" customHeight="1" x14ac:dyDescent="0.3">
      <c r="A17" s="311"/>
      <c r="B17" s="311"/>
      <c r="C17" s="311"/>
      <c r="D17" s="311"/>
      <c r="E17" s="311"/>
      <c r="F17" s="311"/>
      <c r="G17" s="311"/>
      <c r="H17" s="311"/>
      <c r="M17" s="377">
        <f>E24+E43+E62+E81+E100</f>
        <v>3180.8500000000004</v>
      </c>
    </row>
    <row r="18" spans="1:13" s="119" customFormat="1" ht="15" customHeight="1" x14ac:dyDescent="0.3">
      <c r="A18" s="117" t="s">
        <v>71</v>
      </c>
      <c r="B18" s="310" t="s">
        <v>72</v>
      </c>
      <c r="C18" s="310"/>
      <c r="D18" s="310"/>
      <c r="E18" s="310"/>
      <c r="F18" s="310"/>
      <c r="G18" s="310"/>
      <c r="H18" s="118">
        <f>SUM(H19:H20)</f>
        <v>30005.5</v>
      </c>
      <c r="M18" s="377">
        <f>E27+E46+E65+E84+E103</f>
        <v>0.92</v>
      </c>
    </row>
    <row r="19" spans="1:13" s="119" customFormat="1" ht="25.05" customHeight="1" x14ac:dyDescent="0.3">
      <c r="A19" s="98" t="s">
        <v>73</v>
      </c>
      <c r="B19" s="98">
        <v>94273</v>
      </c>
      <c r="C19" s="114" t="s">
        <v>74</v>
      </c>
      <c r="D19" s="26" t="s">
        <v>54</v>
      </c>
      <c r="E19" s="120">
        <f>MC!C38</f>
        <v>350</v>
      </c>
      <c r="F19" s="120">
        <f>'CCU (2)'!G48</f>
        <v>45.12</v>
      </c>
      <c r="G19" s="28">
        <f>'CCU (2)'!G55</f>
        <v>57.81</v>
      </c>
      <c r="H19" s="28">
        <f>ROUND(E19*G19,2)</f>
        <v>20233.5</v>
      </c>
      <c r="M19" s="377">
        <f>E28+E47+E66+E85+E104</f>
        <v>8</v>
      </c>
    </row>
    <row r="20" spans="1:13" s="119" customFormat="1" ht="25.05" customHeight="1" x14ac:dyDescent="0.3">
      <c r="A20" s="98" t="s">
        <v>78</v>
      </c>
      <c r="B20" s="98" t="s">
        <v>193</v>
      </c>
      <c r="C20" s="114" t="s">
        <v>194</v>
      </c>
      <c r="D20" s="26" t="s">
        <v>54</v>
      </c>
      <c r="E20" s="120">
        <f>MC!C43</f>
        <v>350</v>
      </c>
      <c r="F20" s="120">
        <f>'CCU (2)'!G58</f>
        <v>21.79</v>
      </c>
      <c r="G20" s="28">
        <f>'CCU (2)'!G66</f>
        <v>27.92</v>
      </c>
      <c r="H20" s="28">
        <f>ROUND(E20*G20,2)</f>
        <v>9772</v>
      </c>
    </row>
    <row r="21" spans="1:13" s="119" customFormat="1" ht="15" customHeight="1" x14ac:dyDescent="0.3">
      <c r="A21" s="311"/>
      <c r="B21" s="311"/>
      <c r="C21" s="311"/>
      <c r="D21" s="311"/>
      <c r="E21" s="311"/>
      <c r="F21" s="311"/>
      <c r="G21" s="311"/>
      <c r="H21" s="311"/>
    </row>
    <row r="22" spans="1:13" s="119" customFormat="1" ht="15" customHeight="1" x14ac:dyDescent="0.3">
      <c r="A22" s="117" t="s">
        <v>80</v>
      </c>
      <c r="B22" s="310" t="s">
        <v>81</v>
      </c>
      <c r="C22" s="310"/>
      <c r="D22" s="310"/>
      <c r="E22" s="310"/>
      <c r="F22" s="310"/>
      <c r="G22" s="310"/>
      <c r="H22" s="118">
        <f>SUM(H23:H24)</f>
        <v>12886.310000000001</v>
      </c>
    </row>
    <row r="23" spans="1:13" s="119" customFormat="1" ht="25.05" customHeight="1" x14ac:dyDescent="0.3">
      <c r="A23" s="98" t="s">
        <v>82</v>
      </c>
      <c r="B23" s="98">
        <v>95878</v>
      </c>
      <c r="C23" s="114" t="s">
        <v>83</v>
      </c>
      <c r="D23" s="26" t="s">
        <v>195</v>
      </c>
      <c r="E23" s="120">
        <f>MC!C52</f>
        <v>5834.43</v>
      </c>
      <c r="F23" s="120">
        <f>'CCU (2)'!G69</f>
        <v>1.62</v>
      </c>
      <c r="G23" s="28">
        <f>'CCU (2)'!G73</f>
        <v>2.0699999999999998</v>
      </c>
      <c r="H23" s="28">
        <f>ROUND(E23*G23,2)</f>
        <v>12077.27</v>
      </c>
    </row>
    <row r="24" spans="1:13" s="119" customFormat="1" ht="25.05" customHeight="1" x14ac:dyDescent="0.3">
      <c r="A24" s="98" t="s">
        <v>95</v>
      </c>
      <c r="B24" s="98">
        <v>93596</v>
      </c>
      <c r="C24" s="114" t="s">
        <v>96</v>
      </c>
      <c r="D24" s="26" t="s">
        <v>195</v>
      </c>
      <c r="E24" s="120">
        <f>MC!C60</f>
        <v>1011.3</v>
      </c>
      <c r="F24" s="120">
        <f>'CCU (2)'!G76</f>
        <v>0.63</v>
      </c>
      <c r="G24" s="28">
        <f>'CCU (2)'!G80</f>
        <v>0.8</v>
      </c>
      <c r="H24" s="28">
        <f>ROUND(E24*G24,2)</f>
        <v>809.04</v>
      </c>
    </row>
    <row r="25" spans="1:13" s="119" customFormat="1" ht="15" customHeight="1" x14ac:dyDescent="0.3">
      <c r="A25" s="311"/>
      <c r="B25" s="311"/>
      <c r="C25" s="311"/>
      <c r="D25" s="311"/>
      <c r="E25" s="311"/>
      <c r="F25" s="311"/>
      <c r="G25" s="311"/>
      <c r="H25" s="311"/>
    </row>
    <row r="26" spans="1:13" s="119" customFormat="1" ht="15" customHeight="1" x14ac:dyDescent="0.3">
      <c r="A26" s="117" t="s">
        <v>97</v>
      </c>
      <c r="B26" s="310" t="s">
        <v>183</v>
      </c>
      <c r="C26" s="310"/>
      <c r="D26" s="310"/>
      <c r="E26" s="310"/>
      <c r="F26" s="310"/>
      <c r="G26" s="310"/>
      <c r="H26" s="118">
        <f>SUM(H27:H28)</f>
        <v>1362.19</v>
      </c>
    </row>
    <row r="27" spans="1:13" s="119" customFormat="1" ht="25.05" customHeight="1" x14ac:dyDescent="0.3">
      <c r="A27" s="98" t="s">
        <v>99</v>
      </c>
      <c r="B27" s="98" t="s">
        <v>196</v>
      </c>
      <c r="C27" s="114" t="s">
        <v>100</v>
      </c>
      <c r="D27" s="26" t="s">
        <v>19</v>
      </c>
      <c r="E27" s="120">
        <f>MC!C65</f>
        <v>0.23</v>
      </c>
      <c r="F27" s="120">
        <f>'CCU (2)'!G83</f>
        <v>974.51</v>
      </c>
      <c r="G27" s="28">
        <f>'CCU (2)'!G89</f>
        <v>1248.73</v>
      </c>
      <c r="H27" s="28">
        <f>ROUND(E27*G27,2)</f>
        <v>287.20999999999998</v>
      </c>
    </row>
    <row r="28" spans="1:13" s="119" customFormat="1" ht="25.05" customHeight="1" x14ac:dyDescent="0.3">
      <c r="A28" s="98" t="s">
        <v>99</v>
      </c>
      <c r="B28" s="98" t="s">
        <v>197</v>
      </c>
      <c r="C28" s="114" t="s">
        <v>104</v>
      </c>
      <c r="D28" s="26" t="s">
        <v>75</v>
      </c>
      <c r="E28" s="120">
        <f>MC!C69</f>
        <v>2</v>
      </c>
      <c r="F28" s="120">
        <f>'CCU (2)'!G92</f>
        <v>419.46</v>
      </c>
      <c r="G28" s="28">
        <f>'CCU (2)'!G98</f>
        <v>537.49</v>
      </c>
      <c r="H28" s="28">
        <f>ROUND(E28*G28,2)</f>
        <v>1074.98</v>
      </c>
    </row>
    <row r="29" spans="1:13" s="119" customFormat="1" ht="15" customHeight="1" x14ac:dyDescent="0.3">
      <c r="A29" s="312"/>
      <c r="B29" s="313"/>
      <c r="C29" s="313"/>
      <c r="D29" s="313"/>
      <c r="E29" s="313"/>
      <c r="F29" s="313"/>
      <c r="G29" s="313"/>
      <c r="H29" s="314"/>
    </row>
    <row r="30" spans="1:13" s="119" customFormat="1" ht="15" customHeight="1" x14ac:dyDescent="0.3">
      <c r="A30" s="315" t="str">
        <f>MC!B71</f>
        <v>Rua Doze - Loteamento Orgmar Monteiro</v>
      </c>
      <c r="B30" s="316"/>
      <c r="C30" s="316"/>
      <c r="D30" s="316"/>
      <c r="E30" s="316"/>
      <c r="F30" s="316"/>
      <c r="G30" s="316"/>
      <c r="H30" s="124">
        <f>SUM(H31,H34,H37,H41,H45)</f>
        <v>144956.1</v>
      </c>
    </row>
    <row r="31" spans="1:13" s="119" customFormat="1" ht="15" customHeight="1" x14ac:dyDescent="0.3">
      <c r="A31" s="117" t="s">
        <v>45</v>
      </c>
      <c r="B31" s="310" t="s">
        <v>65</v>
      </c>
      <c r="C31" s="310"/>
      <c r="D31" s="310"/>
      <c r="E31" s="310"/>
      <c r="F31" s="310"/>
      <c r="G31" s="310"/>
      <c r="H31" s="118">
        <f>H32</f>
        <v>745.5</v>
      </c>
    </row>
    <row r="32" spans="1:13" s="119" customFormat="1" ht="15" customHeight="1" x14ac:dyDescent="0.3">
      <c r="A32" s="98" t="s">
        <v>47</v>
      </c>
      <c r="B32" s="98">
        <v>100575</v>
      </c>
      <c r="C32" s="114" t="s">
        <v>66</v>
      </c>
      <c r="D32" s="26" t="s">
        <v>19</v>
      </c>
      <c r="E32" s="120">
        <f>MC!C80</f>
        <v>1050</v>
      </c>
      <c r="F32" s="120">
        <f>F13</f>
        <v>0.56000000000000005</v>
      </c>
      <c r="G32" s="28">
        <f>G13</f>
        <v>0.71</v>
      </c>
      <c r="H32" s="28">
        <f>ROUND(E32*G32,2)</f>
        <v>745.5</v>
      </c>
    </row>
    <row r="33" spans="1:8" s="119" customFormat="1" ht="15" customHeight="1" x14ac:dyDescent="0.3">
      <c r="A33" s="311"/>
      <c r="B33" s="311"/>
      <c r="C33" s="311"/>
      <c r="D33" s="311"/>
      <c r="E33" s="311"/>
      <c r="F33" s="311"/>
      <c r="G33" s="311"/>
      <c r="H33" s="311"/>
    </row>
    <row r="34" spans="1:8" s="119" customFormat="1" ht="15" customHeight="1" x14ac:dyDescent="0.3">
      <c r="A34" s="117" t="s">
        <v>68</v>
      </c>
      <c r="B34" s="310" t="s">
        <v>69</v>
      </c>
      <c r="C34" s="310"/>
      <c r="D34" s="310"/>
      <c r="E34" s="310"/>
      <c r="F34" s="310"/>
      <c r="G34" s="310"/>
      <c r="H34" s="118">
        <f>SUM(H35:H35)</f>
        <v>101797.5</v>
      </c>
    </row>
    <row r="35" spans="1:8" s="119" customFormat="1" ht="25.05" customHeight="1" x14ac:dyDescent="0.3">
      <c r="A35" s="98" t="s">
        <v>70</v>
      </c>
      <c r="B35" s="98" t="s">
        <v>192</v>
      </c>
      <c r="C35" s="114" t="s">
        <v>29</v>
      </c>
      <c r="D35" s="26" t="s">
        <v>19</v>
      </c>
      <c r="E35" s="120">
        <f>MC!C86</f>
        <v>1050</v>
      </c>
      <c r="F35" s="120">
        <f>F16</f>
        <v>75.66</v>
      </c>
      <c r="G35" s="28">
        <f>G16</f>
        <v>96.95</v>
      </c>
      <c r="H35" s="28">
        <f>ROUND(E35*G35,2)</f>
        <v>101797.5</v>
      </c>
    </row>
    <row r="36" spans="1:8" s="119" customFormat="1" ht="15" customHeight="1" x14ac:dyDescent="0.3">
      <c r="A36" s="311"/>
      <c r="B36" s="311"/>
      <c r="C36" s="311"/>
      <c r="D36" s="311"/>
      <c r="E36" s="311"/>
      <c r="F36" s="311"/>
      <c r="G36" s="311"/>
      <c r="H36" s="311"/>
    </row>
    <row r="37" spans="1:8" s="119" customFormat="1" ht="15" customHeight="1" x14ac:dyDescent="0.3">
      <c r="A37" s="117" t="s">
        <v>71</v>
      </c>
      <c r="B37" s="310" t="s">
        <v>72</v>
      </c>
      <c r="C37" s="310"/>
      <c r="D37" s="310"/>
      <c r="E37" s="310"/>
      <c r="F37" s="310"/>
      <c r="G37" s="310"/>
      <c r="H37" s="118">
        <f>SUM(H38:H39)</f>
        <v>30005.5</v>
      </c>
    </row>
    <row r="38" spans="1:8" s="119" customFormat="1" ht="25.05" customHeight="1" x14ac:dyDescent="0.3">
      <c r="A38" s="98" t="s">
        <v>73</v>
      </c>
      <c r="B38" s="98">
        <v>94273</v>
      </c>
      <c r="C38" s="114" t="s">
        <v>74</v>
      </c>
      <c r="D38" s="26" t="s">
        <v>54</v>
      </c>
      <c r="E38" s="120">
        <f>MC!C93</f>
        <v>350</v>
      </c>
      <c r="F38" s="120">
        <f>F19</f>
        <v>45.12</v>
      </c>
      <c r="G38" s="28">
        <f>G19</f>
        <v>57.81</v>
      </c>
      <c r="H38" s="28">
        <f>ROUND(E38*G38,2)</f>
        <v>20233.5</v>
      </c>
    </row>
    <row r="39" spans="1:8" s="119" customFormat="1" ht="25.05" customHeight="1" x14ac:dyDescent="0.3">
      <c r="A39" s="98" t="s">
        <v>78</v>
      </c>
      <c r="B39" s="98" t="s">
        <v>193</v>
      </c>
      <c r="C39" s="114" t="s">
        <v>194</v>
      </c>
      <c r="D39" s="26" t="s">
        <v>54</v>
      </c>
      <c r="E39" s="120">
        <f>MC!C98</f>
        <v>350</v>
      </c>
      <c r="F39" s="120">
        <f>F20</f>
        <v>21.79</v>
      </c>
      <c r="G39" s="28">
        <f>G20</f>
        <v>27.92</v>
      </c>
      <c r="H39" s="28">
        <f>ROUND(E39*G39,2)</f>
        <v>9772</v>
      </c>
    </row>
    <row r="40" spans="1:8" s="119" customFormat="1" ht="15" customHeight="1" x14ac:dyDescent="0.3">
      <c r="A40" s="311"/>
      <c r="B40" s="311"/>
      <c r="C40" s="311"/>
      <c r="D40" s="311"/>
      <c r="E40" s="311"/>
      <c r="F40" s="311"/>
      <c r="G40" s="311"/>
      <c r="H40" s="311"/>
    </row>
    <row r="41" spans="1:8" s="119" customFormat="1" ht="15" customHeight="1" x14ac:dyDescent="0.3">
      <c r="A41" s="117" t="s">
        <v>80</v>
      </c>
      <c r="B41" s="310" t="s">
        <v>81</v>
      </c>
      <c r="C41" s="310"/>
      <c r="D41" s="310"/>
      <c r="E41" s="310"/>
      <c r="F41" s="310"/>
      <c r="G41" s="310"/>
      <c r="H41" s="118">
        <f>SUM(H42:H43)</f>
        <v>11045.41</v>
      </c>
    </row>
    <row r="42" spans="1:8" s="119" customFormat="1" ht="25.05" customHeight="1" x14ac:dyDescent="0.3">
      <c r="A42" s="98" t="s">
        <v>82</v>
      </c>
      <c r="B42" s="98">
        <v>95878</v>
      </c>
      <c r="C42" s="114" t="s">
        <v>83</v>
      </c>
      <c r="D42" s="26" t="s">
        <v>195</v>
      </c>
      <c r="E42" s="120">
        <f>MC!C107</f>
        <v>5000.9399999999996</v>
      </c>
      <c r="F42" s="120">
        <f>F23</f>
        <v>1.62</v>
      </c>
      <c r="G42" s="28">
        <f>G23</f>
        <v>2.0699999999999998</v>
      </c>
      <c r="H42" s="28">
        <f>ROUND(E42*G42,2)</f>
        <v>10351.950000000001</v>
      </c>
    </row>
    <row r="43" spans="1:8" s="119" customFormat="1" ht="25.05" customHeight="1" x14ac:dyDescent="0.3">
      <c r="A43" s="98" t="s">
        <v>95</v>
      </c>
      <c r="B43" s="98">
        <v>93596</v>
      </c>
      <c r="C43" s="114" t="s">
        <v>96</v>
      </c>
      <c r="D43" s="26" t="s">
        <v>195</v>
      </c>
      <c r="E43" s="120">
        <f>MC!C115</f>
        <v>866.83</v>
      </c>
      <c r="F43" s="120">
        <f>F24</f>
        <v>0.63</v>
      </c>
      <c r="G43" s="28">
        <f>G24</f>
        <v>0.8</v>
      </c>
      <c r="H43" s="28">
        <f>ROUND(E43*G43,2)</f>
        <v>693.46</v>
      </c>
    </row>
    <row r="44" spans="1:8" s="119" customFormat="1" ht="15" customHeight="1" x14ac:dyDescent="0.3">
      <c r="A44" s="311"/>
      <c r="B44" s="311"/>
      <c r="C44" s="311"/>
      <c r="D44" s="311"/>
      <c r="E44" s="311"/>
      <c r="F44" s="311"/>
      <c r="G44" s="311"/>
      <c r="H44" s="311"/>
    </row>
    <row r="45" spans="1:8" s="119" customFormat="1" ht="15" customHeight="1" x14ac:dyDescent="0.3">
      <c r="A45" s="117" t="s">
        <v>97</v>
      </c>
      <c r="B45" s="310" t="s">
        <v>183</v>
      </c>
      <c r="C45" s="310"/>
      <c r="D45" s="310"/>
      <c r="E45" s="310"/>
      <c r="F45" s="310"/>
      <c r="G45" s="310"/>
      <c r="H45" s="118">
        <f>SUM(H46:H47)</f>
        <v>1362.19</v>
      </c>
    </row>
    <row r="46" spans="1:8" s="119" customFormat="1" ht="25.05" customHeight="1" x14ac:dyDescent="0.3">
      <c r="A46" s="98" t="s">
        <v>99</v>
      </c>
      <c r="B46" s="98" t="s">
        <v>196</v>
      </c>
      <c r="C46" s="114" t="s">
        <v>100</v>
      </c>
      <c r="D46" s="26" t="s">
        <v>19</v>
      </c>
      <c r="E46" s="120">
        <f>MC!C120</f>
        <v>0.23</v>
      </c>
      <c r="F46" s="120">
        <f>F27</f>
        <v>974.51</v>
      </c>
      <c r="G46" s="28">
        <f>G27</f>
        <v>1248.73</v>
      </c>
      <c r="H46" s="28">
        <f>ROUND(E46*G46,2)</f>
        <v>287.20999999999998</v>
      </c>
    </row>
    <row r="47" spans="1:8" s="119" customFormat="1" ht="25.05" customHeight="1" x14ac:dyDescent="0.3">
      <c r="A47" s="98" t="s">
        <v>99</v>
      </c>
      <c r="B47" s="98" t="s">
        <v>197</v>
      </c>
      <c r="C47" s="114" t="s">
        <v>104</v>
      </c>
      <c r="D47" s="26" t="s">
        <v>75</v>
      </c>
      <c r="E47" s="120">
        <f>MC!C124</f>
        <v>2</v>
      </c>
      <c r="F47" s="120">
        <f>F28</f>
        <v>419.46</v>
      </c>
      <c r="G47" s="28">
        <f>G28</f>
        <v>537.49</v>
      </c>
      <c r="H47" s="28">
        <f>ROUND(E47*G47,2)</f>
        <v>1074.98</v>
      </c>
    </row>
    <row r="48" spans="1:8" s="119" customFormat="1" ht="15" customHeight="1" x14ac:dyDescent="0.3">
      <c r="A48" s="312"/>
      <c r="B48" s="313"/>
      <c r="C48" s="313"/>
      <c r="D48" s="313"/>
      <c r="E48" s="313"/>
      <c r="F48" s="313"/>
      <c r="G48" s="313"/>
      <c r="H48" s="314"/>
    </row>
    <row r="49" spans="1:8" s="119" customFormat="1" ht="15" customHeight="1" x14ac:dyDescent="0.3">
      <c r="A49" s="315" t="str">
        <f>MC!B126</f>
        <v>Cabeça de Rua - Rua Doze - Loteamento Orgmar Monteiro</v>
      </c>
      <c r="B49" s="316"/>
      <c r="C49" s="316"/>
      <c r="D49" s="316"/>
      <c r="E49" s="316"/>
      <c r="F49" s="316"/>
      <c r="G49" s="316"/>
      <c r="H49" s="124">
        <f>SUM(H50,H53,H56,H60,H64)</f>
        <v>4923.2199999999993</v>
      </c>
    </row>
    <row r="50" spans="1:8" s="119" customFormat="1" ht="15" customHeight="1" x14ac:dyDescent="0.3">
      <c r="A50" s="117" t="s">
        <v>45</v>
      </c>
      <c r="B50" s="310" t="s">
        <v>65</v>
      </c>
      <c r="C50" s="310"/>
      <c r="D50" s="310"/>
      <c r="E50" s="310"/>
      <c r="F50" s="310"/>
      <c r="G50" s="310"/>
      <c r="H50" s="118">
        <f>H51</f>
        <v>25.56</v>
      </c>
    </row>
    <row r="51" spans="1:8" s="119" customFormat="1" ht="15" customHeight="1" x14ac:dyDescent="0.3">
      <c r="A51" s="98" t="s">
        <v>47</v>
      </c>
      <c r="B51" s="98">
        <v>100575</v>
      </c>
      <c r="C51" s="114" t="s">
        <v>66</v>
      </c>
      <c r="D51" s="26" t="s">
        <v>19</v>
      </c>
      <c r="E51" s="120">
        <f>MC!C135</f>
        <v>36</v>
      </c>
      <c r="F51" s="120">
        <f>F13</f>
        <v>0.56000000000000005</v>
      </c>
      <c r="G51" s="28">
        <f>G13</f>
        <v>0.71</v>
      </c>
      <c r="H51" s="28">
        <f>ROUND(E51*G51,2)</f>
        <v>25.56</v>
      </c>
    </row>
    <row r="52" spans="1:8" s="119" customFormat="1" ht="15" customHeight="1" x14ac:dyDescent="0.3">
      <c r="A52" s="311"/>
      <c r="B52" s="311"/>
      <c r="C52" s="311"/>
      <c r="D52" s="311"/>
      <c r="E52" s="311"/>
      <c r="F52" s="311"/>
      <c r="G52" s="311"/>
      <c r="H52" s="311"/>
    </row>
    <row r="53" spans="1:8" s="119" customFormat="1" ht="15" customHeight="1" x14ac:dyDescent="0.3">
      <c r="A53" s="117" t="s">
        <v>68</v>
      </c>
      <c r="B53" s="310" t="s">
        <v>69</v>
      </c>
      <c r="C53" s="310"/>
      <c r="D53" s="310"/>
      <c r="E53" s="310"/>
      <c r="F53" s="310"/>
      <c r="G53" s="310"/>
      <c r="H53" s="118">
        <f>SUM(H54:H54)</f>
        <v>3490.2</v>
      </c>
    </row>
    <row r="54" spans="1:8" s="119" customFormat="1" ht="25.05" customHeight="1" x14ac:dyDescent="0.3">
      <c r="A54" s="98" t="s">
        <v>70</v>
      </c>
      <c r="B54" s="98" t="s">
        <v>192</v>
      </c>
      <c r="C54" s="114" t="s">
        <v>29</v>
      </c>
      <c r="D54" s="26" t="s">
        <v>19</v>
      </c>
      <c r="E54" s="120">
        <f>MC!C141</f>
        <v>36</v>
      </c>
      <c r="F54" s="120">
        <f>F16</f>
        <v>75.66</v>
      </c>
      <c r="G54" s="28">
        <f>G16</f>
        <v>96.95</v>
      </c>
      <c r="H54" s="28">
        <f>ROUND(E54*G54,2)</f>
        <v>3490.2</v>
      </c>
    </row>
    <row r="55" spans="1:8" s="119" customFormat="1" ht="15" customHeight="1" x14ac:dyDescent="0.3">
      <c r="A55" s="311"/>
      <c r="B55" s="311"/>
      <c r="C55" s="311"/>
      <c r="D55" s="311"/>
      <c r="E55" s="311"/>
      <c r="F55" s="311"/>
      <c r="G55" s="311"/>
      <c r="H55" s="311"/>
    </row>
    <row r="56" spans="1:8" s="119" customFormat="1" ht="15" customHeight="1" x14ac:dyDescent="0.3">
      <c r="A56" s="117" t="s">
        <v>71</v>
      </c>
      <c r="B56" s="310" t="s">
        <v>72</v>
      </c>
      <c r="C56" s="310"/>
      <c r="D56" s="310"/>
      <c r="E56" s="310"/>
      <c r="F56" s="310"/>
      <c r="G56" s="310"/>
      <c r="H56" s="118">
        <f>SUM(H57:H58)</f>
        <v>1028.76</v>
      </c>
    </row>
    <row r="57" spans="1:8" s="119" customFormat="1" ht="25.05" customHeight="1" x14ac:dyDescent="0.3">
      <c r="A57" s="98" t="s">
        <v>73</v>
      </c>
      <c r="B57" s="98">
        <v>94273</v>
      </c>
      <c r="C57" s="114" t="s">
        <v>74</v>
      </c>
      <c r="D57" s="26" t="s">
        <v>54</v>
      </c>
      <c r="E57" s="120">
        <f>MC!C148</f>
        <v>12</v>
      </c>
      <c r="F57" s="120">
        <f>F19</f>
        <v>45.12</v>
      </c>
      <c r="G57" s="28">
        <f>G19</f>
        <v>57.81</v>
      </c>
      <c r="H57" s="28">
        <f>ROUND(E57*G57,2)</f>
        <v>693.72</v>
      </c>
    </row>
    <row r="58" spans="1:8" s="119" customFormat="1" ht="25.05" customHeight="1" x14ac:dyDescent="0.3">
      <c r="A58" s="98" t="s">
        <v>78</v>
      </c>
      <c r="B58" s="98" t="s">
        <v>193</v>
      </c>
      <c r="C58" s="114" t="s">
        <v>194</v>
      </c>
      <c r="D58" s="26" t="s">
        <v>54</v>
      </c>
      <c r="E58" s="120">
        <f>MC!C153</f>
        <v>12</v>
      </c>
      <c r="F58" s="120">
        <f>F20</f>
        <v>21.79</v>
      </c>
      <c r="G58" s="28">
        <f>G20</f>
        <v>27.92</v>
      </c>
      <c r="H58" s="28">
        <f>ROUND(E58*G58,2)</f>
        <v>335.04</v>
      </c>
    </row>
    <row r="59" spans="1:8" s="119" customFormat="1" ht="15" customHeight="1" x14ac:dyDescent="0.3">
      <c r="A59" s="311"/>
      <c r="B59" s="311"/>
      <c r="C59" s="311"/>
      <c r="D59" s="311"/>
      <c r="E59" s="311"/>
      <c r="F59" s="311"/>
      <c r="G59" s="311"/>
      <c r="H59" s="311"/>
    </row>
    <row r="60" spans="1:8" s="119" customFormat="1" ht="15" customHeight="1" x14ac:dyDescent="0.3">
      <c r="A60" s="117" t="s">
        <v>80</v>
      </c>
      <c r="B60" s="310" t="s">
        <v>81</v>
      </c>
      <c r="C60" s="310"/>
      <c r="D60" s="310"/>
      <c r="E60" s="310"/>
      <c r="F60" s="310"/>
      <c r="G60" s="310"/>
      <c r="H60" s="118">
        <f>SUM(H61:H62)</f>
        <v>378.70000000000005</v>
      </c>
    </row>
    <row r="61" spans="1:8" s="119" customFormat="1" ht="25.05" customHeight="1" x14ac:dyDescent="0.3">
      <c r="A61" s="98" t="s">
        <v>82</v>
      </c>
      <c r="B61" s="98">
        <v>95878</v>
      </c>
      <c r="C61" s="114" t="s">
        <v>83</v>
      </c>
      <c r="D61" s="26" t="s">
        <v>195</v>
      </c>
      <c r="E61" s="120">
        <f>MC!C162</f>
        <v>171.46</v>
      </c>
      <c r="F61" s="120">
        <f>F23</f>
        <v>1.62</v>
      </c>
      <c r="G61" s="28">
        <f>G23</f>
        <v>2.0699999999999998</v>
      </c>
      <c r="H61" s="28">
        <f>ROUND(E61*G61,2)</f>
        <v>354.92</v>
      </c>
    </row>
    <row r="62" spans="1:8" s="119" customFormat="1" ht="25.05" customHeight="1" x14ac:dyDescent="0.3">
      <c r="A62" s="98" t="s">
        <v>95</v>
      </c>
      <c r="B62" s="98">
        <v>93596</v>
      </c>
      <c r="C62" s="114" t="s">
        <v>96</v>
      </c>
      <c r="D62" s="26" t="s">
        <v>195</v>
      </c>
      <c r="E62" s="120">
        <f>MC!C170</f>
        <v>29.72</v>
      </c>
      <c r="F62" s="120">
        <f>F24</f>
        <v>0.63</v>
      </c>
      <c r="G62" s="28">
        <f>G24</f>
        <v>0.8</v>
      </c>
      <c r="H62" s="28">
        <f>ROUND(E62*G62,2)</f>
        <v>23.78</v>
      </c>
    </row>
    <row r="63" spans="1:8" s="119" customFormat="1" ht="15" customHeight="1" x14ac:dyDescent="0.3">
      <c r="A63" s="311"/>
      <c r="B63" s="311"/>
      <c r="C63" s="311"/>
      <c r="D63" s="311"/>
      <c r="E63" s="311"/>
      <c r="F63" s="311"/>
      <c r="G63" s="311"/>
      <c r="H63" s="311"/>
    </row>
    <row r="64" spans="1:8" s="119" customFormat="1" ht="15" customHeight="1" x14ac:dyDescent="0.3">
      <c r="A64" s="117" t="s">
        <v>97</v>
      </c>
      <c r="B64" s="310" t="s">
        <v>183</v>
      </c>
      <c r="C64" s="310"/>
      <c r="D64" s="310"/>
      <c r="E64" s="310"/>
      <c r="F64" s="310"/>
      <c r="G64" s="310"/>
      <c r="H64" s="118">
        <f>SUM(H65:H66)</f>
        <v>0</v>
      </c>
    </row>
    <row r="65" spans="1:8" s="119" customFormat="1" ht="25.05" customHeight="1" x14ac:dyDescent="0.3">
      <c r="A65" s="98" t="s">
        <v>99</v>
      </c>
      <c r="B65" s="98" t="s">
        <v>196</v>
      </c>
      <c r="C65" s="114" t="s">
        <v>100</v>
      </c>
      <c r="D65" s="26" t="s">
        <v>19</v>
      </c>
      <c r="E65" s="120">
        <f>MC!C175</f>
        <v>0</v>
      </c>
      <c r="F65" s="120">
        <f>F27</f>
        <v>974.51</v>
      </c>
      <c r="G65" s="28">
        <f>G27</f>
        <v>1248.73</v>
      </c>
      <c r="H65" s="28">
        <f>ROUND(E65*G65,2)</f>
        <v>0</v>
      </c>
    </row>
    <row r="66" spans="1:8" s="119" customFormat="1" ht="25.05" customHeight="1" x14ac:dyDescent="0.3">
      <c r="A66" s="98" t="s">
        <v>99</v>
      </c>
      <c r="B66" s="98" t="s">
        <v>197</v>
      </c>
      <c r="C66" s="114" t="s">
        <v>104</v>
      </c>
      <c r="D66" s="26" t="s">
        <v>75</v>
      </c>
      <c r="E66" s="120">
        <f>MC!C179</f>
        <v>0</v>
      </c>
      <c r="F66" s="120">
        <f>F28</f>
        <v>419.46</v>
      </c>
      <c r="G66" s="28">
        <f>G28</f>
        <v>537.49</v>
      </c>
      <c r="H66" s="28">
        <f>ROUND(E66*G66,2)</f>
        <v>0</v>
      </c>
    </row>
    <row r="67" spans="1:8" s="119" customFormat="1" ht="15" customHeight="1" x14ac:dyDescent="0.3">
      <c r="A67" s="312"/>
      <c r="B67" s="313"/>
      <c r="C67" s="313"/>
      <c r="D67" s="313"/>
      <c r="E67" s="313"/>
      <c r="F67" s="313"/>
      <c r="G67" s="313"/>
      <c r="H67" s="314"/>
    </row>
    <row r="68" spans="1:8" s="119" customFormat="1" ht="15" customHeight="1" x14ac:dyDescent="0.3">
      <c r="A68" s="315" t="str">
        <f>MC!B181</f>
        <v>Rua São José - Trecho 01</v>
      </c>
      <c r="B68" s="316"/>
      <c r="C68" s="316"/>
      <c r="D68" s="316"/>
      <c r="E68" s="316"/>
      <c r="F68" s="316"/>
      <c r="G68" s="316"/>
      <c r="H68" s="124">
        <f>SUM(H69,H72,H75,H79,H83)</f>
        <v>112134.64000000001</v>
      </c>
    </row>
    <row r="69" spans="1:8" s="119" customFormat="1" ht="15" customHeight="1" x14ac:dyDescent="0.3">
      <c r="A69" s="117" t="s">
        <v>45</v>
      </c>
      <c r="B69" s="310" t="s">
        <v>65</v>
      </c>
      <c r="C69" s="310"/>
      <c r="D69" s="310"/>
      <c r="E69" s="310"/>
      <c r="F69" s="310"/>
      <c r="G69" s="310"/>
      <c r="H69" s="118">
        <f>H70</f>
        <v>575.1</v>
      </c>
    </row>
    <row r="70" spans="1:8" s="119" customFormat="1" ht="15" customHeight="1" x14ac:dyDescent="0.3">
      <c r="A70" s="98" t="s">
        <v>47</v>
      </c>
      <c r="B70" s="98">
        <v>100575</v>
      </c>
      <c r="C70" s="114" t="s">
        <v>66</v>
      </c>
      <c r="D70" s="26" t="s">
        <v>19</v>
      </c>
      <c r="E70" s="120">
        <f>MC!C190</f>
        <v>810</v>
      </c>
      <c r="F70" s="120">
        <f>F13</f>
        <v>0.56000000000000005</v>
      </c>
      <c r="G70" s="28">
        <f>G13</f>
        <v>0.71</v>
      </c>
      <c r="H70" s="28">
        <f>ROUND(E70*G70,2)</f>
        <v>575.1</v>
      </c>
    </row>
    <row r="71" spans="1:8" s="119" customFormat="1" ht="15" customHeight="1" x14ac:dyDescent="0.3">
      <c r="A71" s="311"/>
      <c r="B71" s="311"/>
      <c r="C71" s="311"/>
      <c r="D71" s="311"/>
      <c r="E71" s="311"/>
      <c r="F71" s="311"/>
      <c r="G71" s="311"/>
      <c r="H71" s="311"/>
    </row>
    <row r="72" spans="1:8" s="119" customFormat="1" ht="15" customHeight="1" x14ac:dyDescent="0.3">
      <c r="A72" s="117" t="s">
        <v>68</v>
      </c>
      <c r="B72" s="310" t="s">
        <v>69</v>
      </c>
      <c r="C72" s="310"/>
      <c r="D72" s="310"/>
      <c r="E72" s="310"/>
      <c r="F72" s="310"/>
      <c r="G72" s="310"/>
      <c r="H72" s="118">
        <f>SUM(H73:H73)</f>
        <v>78529.5</v>
      </c>
    </row>
    <row r="73" spans="1:8" s="119" customFormat="1" ht="25.05" customHeight="1" x14ac:dyDescent="0.3">
      <c r="A73" s="98" t="s">
        <v>70</v>
      </c>
      <c r="B73" s="98" t="s">
        <v>192</v>
      </c>
      <c r="C73" s="114" t="s">
        <v>29</v>
      </c>
      <c r="D73" s="26" t="s">
        <v>19</v>
      </c>
      <c r="E73" s="120">
        <f>MC!C196</f>
        <v>810</v>
      </c>
      <c r="F73" s="120">
        <f>F16</f>
        <v>75.66</v>
      </c>
      <c r="G73" s="28">
        <f>G16</f>
        <v>96.95</v>
      </c>
      <c r="H73" s="28">
        <f>ROUND(E73*G73,2)</f>
        <v>78529.5</v>
      </c>
    </row>
    <row r="74" spans="1:8" s="119" customFormat="1" ht="15" customHeight="1" x14ac:dyDescent="0.3">
      <c r="A74" s="311"/>
      <c r="B74" s="311"/>
      <c r="C74" s="311"/>
      <c r="D74" s="311"/>
      <c r="E74" s="311"/>
      <c r="F74" s="311"/>
      <c r="G74" s="311"/>
      <c r="H74" s="311"/>
    </row>
    <row r="75" spans="1:8" s="119" customFormat="1" ht="15" customHeight="1" x14ac:dyDescent="0.3">
      <c r="A75" s="117" t="s">
        <v>71</v>
      </c>
      <c r="B75" s="310" t="s">
        <v>72</v>
      </c>
      <c r="C75" s="310"/>
      <c r="D75" s="310"/>
      <c r="E75" s="310"/>
      <c r="F75" s="310"/>
      <c r="G75" s="310"/>
      <c r="H75" s="118">
        <f>SUM(H76:H77)</f>
        <v>23147.1</v>
      </c>
    </row>
    <row r="76" spans="1:8" s="119" customFormat="1" ht="25.05" customHeight="1" x14ac:dyDescent="0.3">
      <c r="A76" s="98" t="s">
        <v>73</v>
      </c>
      <c r="B76" s="98">
        <v>94273</v>
      </c>
      <c r="C76" s="114" t="s">
        <v>74</v>
      </c>
      <c r="D76" s="26" t="s">
        <v>54</v>
      </c>
      <c r="E76" s="120">
        <f>MC!C203</f>
        <v>270</v>
      </c>
      <c r="F76" s="120">
        <f>F19</f>
        <v>45.12</v>
      </c>
      <c r="G76" s="28">
        <f>G19</f>
        <v>57.81</v>
      </c>
      <c r="H76" s="28">
        <f>ROUND(E76*G76,2)</f>
        <v>15608.7</v>
      </c>
    </row>
    <row r="77" spans="1:8" s="119" customFormat="1" ht="25.05" customHeight="1" x14ac:dyDescent="0.3">
      <c r="A77" s="98" t="s">
        <v>78</v>
      </c>
      <c r="B77" s="98" t="s">
        <v>193</v>
      </c>
      <c r="C77" s="114" t="s">
        <v>194</v>
      </c>
      <c r="D77" s="26" t="s">
        <v>54</v>
      </c>
      <c r="E77" s="120">
        <f>MC!C208</f>
        <v>270</v>
      </c>
      <c r="F77" s="120">
        <f>F20</f>
        <v>21.79</v>
      </c>
      <c r="G77" s="28">
        <f>G20</f>
        <v>27.92</v>
      </c>
      <c r="H77" s="28">
        <f>ROUND(E77*G77,2)</f>
        <v>7538.4</v>
      </c>
    </row>
    <row r="78" spans="1:8" s="119" customFormat="1" ht="15" customHeight="1" x14ac:dyDescent="0.3">
      <c r="A78" s="311"/>
      <c r="B78" s="311"/>
      <c r="C78" s="311"/>
      <c r="D78" s="311"/>
      <c r="E78" s="311"/>
      <c r="F78" s="311"/>
      <c r="G78" s="311"/>
      <c r="H78" s="311"/>
    </row>
    <row r="79" spans="1:8" s="119" customFormat="1" ht="15" customHeight="1" x14ac:dyDescent="0.3">
      <c r="A79" s="117" t="s">
        <v>80</v>
      </c>
      <c r="B79" s="310" t="s">
        <v>81</v>
      </c>
      <c r="C79" s="310"/>
      <c r="D79" s="310"/>
      <c r="E79" s="310"/>
      <c r="F79" s="310"/>
      <c r="G79" s="310"/>
      <c r="H79" s="118">
        <f>SUM(H80:H81)</f>
        <v>8520.75</v>
      </c>
    </row>
    <row r="80" spans="1:8" s="119" customFormat="1" ht="25.05" customHeight="1" x14ac:dyDescent="0.3">
      <c r="A80" s="98" t="s">
        <v>82</v>
      </c>
      <c r="B80" s="98">
        <v>95878</v>
      </c>
      <c r="C80" s="114" t="s">
        <v>83</v>
      </c>
      <c r="D80" s="26" t="s">
        <v>195</v>
      </c>
      <c r="E80" s="120">
        <f>MC!C217</f>
        <v>3857.87</v>
      </c>
      <c r="F80" s="120">
        <f>F23</f>
        <v>1.62</v>
      </c>
      <c r="G80" s="28">
        <f>G23</f>
        <v>2.0699999999999998</v>
      </c>
      <c r="H80" s="28">
        <f>ROUND(E80*G80,2)</f>
        <v>7985.79</v>
      </c>
    </row>
    <row r="81" spans="1:8" s="119" customFormat="1" ht="25.05" customHeight="1" x14ac:dyDescent="0.3">
      <c r="A81" s="98" t="s">
        <v>95</v>
      </c>
      <c r="B81" s="98">
        <v>93596</v>
      </c>
      <c r="C81" s="114" t="s">
        <v>96</v>
      </c>
      <c r="D81" s="26" t="s">
        <v>195</v>
      </c>
      <c r="E81" s="120">
        <f>MC!C225</f>
        <v>668.7</v>
      </c>
      <c r="F81" s="120">
        <f>F24</f>
        <v>0.63</v>
      </c>
      <c r="G81" s="28">
        <f>G24</f>
        <v>0.8</v>
      </c>
      <c r="H81" s="28">
        <f>ROUND(E81*G81,2)</f>
        <v>534.96</v>
      </c>
    </row>
    <row r="82" spans="1:8" s="119" customFormat="1" ht="15" customHeight="1" x14ac:dyDescent="0.3">
      <c r="A82" s="311"/>
      <c r="B82" s="311"/>
      <c r="C82" s="311"/>
      <c r="D82" s="311"/>
      <c r="E82" s="311"/>
      <c r="F82" s="311"/>
      <c r="G82" s="311"/>
      <c r="H82" s="311"/>
    </row>
    <row r="83" spans="1:8" s="119" customFormat="1" ht="15" customHeight="1" x14ac:dyDescent="0.3">
      <c r="A83" s="117" t="s">
        <v>97</v>
      </c>
      <c r="B83" s="310" t="s">
        <v>183</v>
      </c>
      <c r="C83" s="310"/>
      <c r="D83" s="310"/>
      <c r="E83" s="310"/>
      <c r="F83" s="310"/>
      <c r="G83" s="310"/>
      <c r="H83" s="118">
        <f>SUM(H84:H85)</f>
        <v>1362.19</v>
      </c>
    </row>
    <row r="84" spans="1:8" s="119" customFormat="1" ht="25.05" customHeight="1" x14ac:dyDescent="0.3">
      <c r="A84" s="98" t="s">
        <v>99</v>
      </c>
      <c r="B84" s="98" t="s">
        <v>196</v>
      </c>
      <c r="C84" s="114" t="s">
        <v>100</v>
      </c>
      <c r="D84" s="26" t="s">
        <v>19</v>
      </c>
      <c r="E84" s="120">
        <f>MC!C230</f>
        <v>0.23</v>
      </c>
      <c r="F84" s="120">
        <f>F27</f>
        <v>974.51</v>
      </c>
      <c r="G84" s="28">
        <f>G27</f>
        <v>1248.73</v>
      </c>
      <c r="H84" s="28">
        <f>ROUND(E84*G84,2)</f>
        <v>287.20999999999998</v>
      </c>
    </row>
    <row r="85" spans="1:8" s="119" customFormat="1" ht="25.05" customHeight="1" x14ac:dyDescent="0.3">
      <c r="A85" s="98" t="s">
        <v>99</v>
      </c>
      <c r="B85" s="98" t="s">
        <v>197</v>
      </c>
      <c r="C85" s="114" t="s">
        <v>104</v>
      </c>
      <c r="D85" s="26" t="s">
        <v>75</v>
      </c>
      <c r="E85" s="120">
        <f>MC!C234</f>
        <v>2</v>
      </c>
      <c r="F85" s="120">
        <f>F28</f>
        <v>419.46</v>
      </c>
      <c r="G85" s="28">
        <f>G28</f>
        <v>537.49</v>
      </c>
      <c r="H85" s="28">
        <f>ROUND(E85*G85,2)</f>
        <v>1074.98</v>
      </c>
    </row>
    <row r="86" spans="1:8" s="119" customFormat="1" ht="15" customHeight="1" x14ac:dyDescent="0.3">
      <c r="A86" s="312"/>
      <c r="B86" s="313"/>
      <c r="C86" s="313"/>
      <c r="D86" s="313"/>
      <c r="E86" s="313"/>
      <c r="F86" s="313"/>
      <c r="G86" s="313"/>
      <c r="H86" s="314"/>
    </row>
    <row r="87" spans="1:8" s="119" customFormat="1" ht="15" customHeight="1" x14ac:dyDescent="0.3">
      <c r="A87" s="315" t="str">
        <f>MC!B236</f>
        <v>Rua São José - Trecho 02</v>
      </c>
      <c r="B87" s="316"/>
      <c r="C87" s="316"/>
      <c r="D87" s="316"/>
      <c r="E87" s="316"/>
      <c r="F87" s="316"/>
      <c r="G87" s="316"/>
      <c r="H87" s="124">
        <f>SUM(H88,H91,H94,H98,H102)</f>
        <v>101467.65999999999</v>
      </c>
    </row>
    <row r="88" spans="1:8" s="119" customFormat="1" ht="15" customHeight="1" x14ac:dyDescent="0.3">
      <c r="A88" s="117" t="s">
        <v>45</v>
      </c>
      <c r="B88" s="310" t="s">
        <v>65</v>
      </c>
      <c r="C88" s="310"/>
      <c r="D88" s="310"/>
      <c r="E88" s="310"/>
      <c r="F88" s="310"/>
      <c r="G88" s="310"/>
      <c r="H88" s="118">
        <f>H89</f>
        <v>519.72</v>
      </c>
    </row>
    <row r="89" spans="1:8" s="119" customFormat="1" ht="15" customHeight="1" x14ac:dyDescent="0.3">
      <c r="A89" s="98" t="s">
        <v>47</v>
      </c>
      <c r="B89" s="98">
        <v>100575</v>
      </c>
      <c r="C89" s="114" t="s">
        <v>66</v>
      </c>
      <c r="D89" s="26" t="s">
        <v>19</v>
      </c>
      <c r="E89" s="120">
        <f>MC!C245</f>
        <v>732</v>
      </c>
      <c r="F89" s="120">
        <f>F13</f>
        <v>0.56000000000000005</v>
      </c>
      <c r="G89" s="28">
        <f>G13</f>
        <v>0.71</v>
      </c>
      <c r="H89" s="28">
        <f>ROUND(E89*G89,2)</f>
        <v>519.72</v>
      </c>
    </row>
    <row r="90" spans="1:8" s="119" customFormat="1" ht="15" customHeight="1" x14ac:dyDescent="0.3">
      <c r="A90" s="311"/>
      <c r="B90" s="311"/>
      <c r="C90" s="311"/>
      <c r="D90" s="311"/>
      <c r="E90" s="311"/>
      <c r="F90" s="311"/>
      <c r="G90" s="311"/>
      <c r="H90" s="311"/>
    </row>
    <row r="91" spans="1:8" s="119" customFormat="1" ht="15" customHeight="1" x14ac:dyDescent="0.3">
      <c r="A91" s="117" t="s">
        <v>68</v>
      </c>
      <c r="B91" s="310" t="s">
        <v>69</v>
      </c>
      <c r="C91" s="310"/>
      <c r="D91" s="310"/>
      <c r="E91" s="310"/>
      <c r="F91" s="310"/>
      <c r="G91" s="310"/>
      <c r="H91" s="118">
        <f>SUM(H92:H92)</f>
        <v>70967.399999999994</v>
      </c>
    </row>
    <row r="92" spans="1:8" s="119" customFormat="1" ht="25.05" customHeight="1" x14ac:dyDescent="0.3">
      <c r="A92" s="98" t="s">
        <v>70</v>
      </c>
      <c r="B92" s="98" t="s">
        <v>192</v>
      </c>
      <c r="C92" s="114" t="s">
        <v>29</v>
      </c>
      <c r="D92" s="26" t="s">
        <v>19</v>
      </c>
      <c r="E92" s="120">
        <f>MC!C251</f>
        <v>732</v>
      </c>
      <c r="F92" s="120">
        <f>F16</f>
        <v>75.66</v>
      </c>
      <c r="G92" s="28">
        <f>G16</f>
        <v>96.95</v>
      </c>
      <c r="H92" s="28">
        <f>ROUND(E92*G92,2)</f>
        <v>70967.399999999994</v>
      </c>
    </row>
    <row r="93" spans="1:8" s="119" customFormat="1" ht="15" customHeight="1" x14ac:dyDescent="0.3">
      <c r="A93" s="311"/>
      <c r="B93" s="311"/>
      <c r="C93" s="311"/>
      <c r="D93" s="311"/>
      <c r="E93" s="311"/>
      <c r="F93" s="311"/>
      <c r="G93" s="311"/>
      <c r="H93" s="311"/>
    </row>
    <row r="94" spans="1:8" s="119" customFormat="1" ht="15" customHeight="1" x14ac:dyDescent="0.3">
      <c r="A94" s="117" t="s">
        <v>71</v>
      </c>
      <c r="B94" s="310" t="s">
        <v>72</v>
      </c>
      <c r="C94" s="310"/>
      <c r="D94" s="310"/>
      <c r="E94" s="310"/>
      <c r="F94" s="310"/>
      <c r="G94" s="310"/>
      <c r="H94" s="118">
        <f>SUM(H95:H96)</f>
        <v>20918.12</v>
      </c>
    </row>
    <row r="95" spans="1:8" s="119" customFormat="1" ht="25.05" customHeight="1" x14ac:dyDescent="0.3">
      <c r="A95" s="98" t="s">
        <v>73</v>
      </c>
      <c r="B95" s="98">
        <v>94273</v>
      </c>
      <c r="C95" s="114" t="s">
        <v>74</v>
      </c>
      <c r="D95" s="26" t="s">
        <v>54</v>
      </c>
      <c r="E95" s="120">
        <f>MC!C258</f>
        <v>244</v>
      </c>
      <c r="F95" s="120">
        <f>F19</f>
        <v>45.12</v>
      </c>
      <c r="G95" s="28">
        <f>G19</f>
        <v>57.81</v>
      </c>
      <c r="H95" s="28">
        <f>ROUND(E95*G95,2)</f>
        <v>14105.64</v>
      </c>
    </row>
    <row r="96" spans="1:8" s="119" customFormat="1" ht="25.05" customHeight="1" x14ac:dyDescent="0.3">
      <c r="A96" s="98" t="s">
        <v>78</v>
      </c>
      <c r="B96" s="98" t="s">
        <v>193</v>
      </c>
      <c r="C96" s="114" t="s">
        <v>194</v>
      </c>
      <c r="D96" s="26" t="s">
        <v>54</v>
      </c>
      <c r="E96" s="120">
        <f>MC!C263</f>
        <v>244</v>
      </c>
      <c r="F96" s="120">
        <f>F20</f>
        <v>21.79</v>
      </c>
      <c r="G96" s="28">
        <f>G20</f>
        <v>27.92</v>
      </c>
      <c r="H96" s="28">
        <f>ROUND(E96*G96,2)</f>
        <v>6812.48</v>
      </c>
    </row>
    <row r="97" spans="1:8" s="119" customFormat="1" ht="15" customHeight="1" x14ac:dyDescent="0.3">
      <c r="A97" s="311"/>
      <c r="B97" s="311"/>
      <c r="C97" s="311"/>
      <c r="D97" s="311"/>
      <c r="E97" s="311"/>
      <c r="F97" s="311"/>
      <c r="G97" s="311"/>
      <c r="H97" s="311"/>
    </row>
    <row r="98" spans="1:8" s="119" customFormat="1" ht="15" customHeight="1" x14ac:dyDescent="0.3">
      <c r="A98" s="117" t="s">
        <v>80</v>
      </c>
      <c r="B98" s="310" t="s">
        <v>81</v>
      </c>
      <c r="C98" s="310"/>
      <c r="D98" s="310"/>
      <c r="E98" s="310"/>
      <c r="F98" s="310"/>
      <c r="G98" s="310"/>
      <c r="H98" s="118">
        <f>SUM(H99:H100)</f>
        <v>7700.23</v>
      </c>
    </row>
    <row r="99" spans="1:8" s="119" customFormat="1" ht="25.05" customHeight="1" x14ac:dyDescent="0.3">
      <c r="A99" s="98" t="s">
        <v>82</v>
      </c>
      <c r="B99" s="98">
        <v>95878</v>
      </c>
      <c r="C99" s="114" t="s">
        <v>83</v>
      </c>
      <c r="D99" s="26" t="s">
        <v>195</v>
      </c>
      <c r="E99" s="120">
        <f>MC!C272</f>
        <v>3486.37</v>
      </c>
      <c r="F99" s="120">
        <f>F23</f>
        <v>1.62</v>
      </c>
      <c r="G99" s="28">
        <f>G23</f>
        <v>2.0699999999999998</v>
      </c>
      <c r="H99" s="28">
        <f>ROUND(E99*G99,2)</f>
        <v>7216.79</v>
      </c>
    </row>
    <row r="100" spans="1:8" s="119" customFormat="1" ht="25.05" customHeight="1" x14ac:dyDescent="0.3">
      <c r="A100" s="98" t="s">
        <v>95</v>
      </c>
      <c r="B100" s="98">
        <v>93596</v>
      </c>
      <c r="C100" s="114" t="s">
        <v>96</v>
      </c>
      <c r="D100" s="26" t="s">
        <v>195</v>
      </c>
      <c r="E100" s="120">
        <f>MC!C280</f>
        <v>604.29999999999995</v>
      </c>
      <c r="F100" s="120">
        <f>F24</f>
        <v>0.63</v>
      </c>
      <c r="G100" s="28">
        <f>G24</f>
        <v>0.8</v>
      </c>
      <c r="H100" s="28">
        <f>ROUND(E100*G100,2)</f>
        <v>483.44</v>
      </c>
    </row>
    <row r="101" spans="1:8" s="119" customFormat="1" ht="15" customHeight="1" x14ac:dyDescent="0.3">
      <c r="A101" s="311"/>
      <c r="B101" s="311"/>
      <c r="C101" s="311"/>
      <c r="D101" s="311"/>
      <c r="E101" s="311"/>
      <c r="F101" s="311"/>
      <c r="G101" s="311"/>
      <c r="H101" s="311"/>
    </row>
    <row r="102" spans="1:8" s="119" customFormat="1" ht="15" customHeight="1" x14ac:dyDescent="0.3">
      <c r="A102" s="117" t="s">
        <v>97</v>
      </c>
      <c r="B102" s="310" t="s">
        <v>183</v>
      </c>
      <c r="C102" s="310"/>
      <c r="D102" s="310"/>
      <c r="E102" s="310"/>
      <c r="F102" s="310"/>
      <c r="G102" s="310"/>
      <c r="H102" s="118">
        <f>SUM(H103:H104)</f>
        <v>1362.19</v>
      </c>
    </row>
    <row r="103" spans="1:8" s="119" customFormat="1" ht="25.05" customHeight="1" x14ac:dyDescent="0.3">
      <c r="A103" s="98" t="s">
        <v>99</v>
      </c>
      <c r="B103" s="98" t="s">
        <v>196</v>
      </c>
      <c r="C103" s="114" t="s">
        <v>100</v>
      </c>
      <c r="D103" s="26" t="s">
        <v>19</v>
      </c>
      <c r="E103" s="120">
        <f>MC!C285</f>
        <v>0.23</v>
      </c>
      <c r="F103" s="120">
        <f>F27</f>
        <v>974.51</v>
      </c>
      <c r="G103" s="28">
        <f>G27</f>
        <v>1248.73</v>
      </c>
      <c r="H103" s="28">
        <f>ROUND(E103*G103,2)</f>
        <v>287.20999999999998</v>
      </c>
    </row>
    <row r="104" spans="1:8" s="119" customFormat="1" ht="25.05" customHeight="1" x14ac:dyDescent="0.3">
      <c r="A104" s="98" t="s">
        <v>99</v>
      </c>
      <c r="B104" s="98" t="s">
        <v>197</v>
      </c>
      <c r="C104" s="114" t="s">
        <v>104</v>
      </c>
      <c r="D104" s="26" t="s">
        <v>75</v>
      </c>
      <c r="E104" s="120">
        <f>MC!C289</f>
        <v>2</v>
      </c>
      <c r="F104" s="120">
        <f>F28</f>
        <v>419.46</v>
      </c>
      <c r="G104" s="28">
        <f>G28</f>
        <v>537.49</v>
      </c>
      <c r="H104" s="28">
        <f>ROUND(E104*G104,2)</f>
        <v>1074.98</v>
      </c>
    </row>
    <row r="105" spans="1:8" s="119" customFormat="1" ht="15" customHeight="1" x14ac:dyDescent="0.3">
      <c r="A105" s="312"/>
      <c r="B105" s="313"/>
      <c r="C105" s="313"/>
      <c r="D105" s="313"/>
      <c r="E105" s="313"/>
      <c r="F105" s="313"/>
      <c r="G105" s="313"/>
      <c r="H105" s="314"/>
    </row>
  </sheetData>
  <mergeCells count="70">
    <mergeCell ref="A101:H101"/>
    <mergeCell ref="B102:G102"/>
    <mergeCell ref="A105:H105"/>
    <mergeCell ref="A90:H90"/>
    <mergeCell ref="B91:G91"/>
    <mergeCell ref="A93:H93"/>
    <mergeCell ref="B94:G94"/>
    <mergeCell ref="A97:H97"/>
    <mergeCell ref="B98:G98"/>
    <mergeCell ref="B79:G79"/>
    <mergeCell ref="A82:H82"/>
    <mergeCell ref="B83:G83"/>
    <mergeCell ref="A86:H86"/>
    <mergeCell ref="A87:G87"/>
    <mergeCell ref="B88:G88"/>
    <mergeCell ref="B69:G69"/>
    <mergeCell ref="A71:H71"/>
    <mergeCell ref="B72:G72"/>
    <mergeCell ref="A74:H74"/>
    <mergeCell ref="B75:G75"/>
    <mergeCell ref="A78:H78"/>
    <mergeCell ref="A59:H59"/>
    <mergeCell ref="B60:G60"/>
    <mergeCell ref="A63:H63"/>
    <mergeCell ref="B64:G64"/>
    <mergeCell ref="A67:H67"/>
    <mergeCell ref="A68:G68"/>
    <mergeCell ref="A49:G49"/>
    <mergeCell ref="B50:G50"/>
    <mergeCell ref="A52:H52"/>
    <mergeCell ref="B53:G53"/>
    <mergeCell ref="A55:H55"/>
    <mergeCell ref="B56:G56"/>
    <mergeCell ref="B37:G37"/>
    <mergeCell ref="A40:H40"/>
    <mergeCell ref="B41:G41"/>
    <mergeCell ref="A44:H44"/>
    <mergeCell ref="B45:G45"/>
    <mergeCell ref="A48:H48"/>
    <mergeCell ref="A29:H29"/>
    <mergeCell ref="A30:G30"/>
    <mergeCell ref="B31:G31"/>
    <mergeCell ref="A33:H33"/>
    <mergeCell ref="B34:G34"/>
    <mergeCell ref="A36:H36"/>
    <mergeCell ref="A17:H17"/>
    <mergeCell ref="B18:G18"/>
    <mergeCell ref="A21:H21"/>
    <mergeCell ref="B22:G22"/>
    <mergeCell ref="A25:H25"/>
    <mergeCell ref="B26:G26"/>
    <mergeCell ref="B7:G7"/>
    <mergeCell ref="A10:H10"/>
    <mergeCell ref="A11:G11"/>
    <mergeCell ref="B12:G12"/>
    <mergeCell ref="A14:H14"/>
    <mergeCell ref="B15:G15"/>
    <mergeCell ref="A4:H4"/>
    <mergeCell ref="A5:A6"/>
    <mergeCell ref="B5:B6"/>
    <mergeCell ref="C5:C6"/>
    <mergeCell ref="D5:D6"/>
    <mergeCell ref="E5:E6"/>
    <mergeCell ref="F5:H5"/>
    <mergeCell ref="A1:H1"/>
    <mergeCell ref="A2:C2"/>
    <mergeCell ref="D2:E2"/>
    <mergeCell ref="F2:H2"/>
    <mergeCell ref="A3:C3"/>
    <mergeCell ref="F3:H3"/>
  </mergeCells>
  <printOptions horizontalCentered="1"/>
  <pageMargins left="1.1023622047244095" right="0.51181102362204722" top="1.5748031496062993" bottom="0.78740157480314965" header="0.31496062992125984" footer="0.31496062992125984"/>
  <pageSetup paperSize="9" scale="59" fitToHeight="0" orientation="portrait" r:id="rId1"/>
  <headerFooter>
    <oddHeader>&amp;C&amp;G</oddHeader>
  </headerFooter>
  <rowBreaks count="1" manualBreakCount="1">
    <brk id="4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EF7D-F4AB-4B92-8067-9952A52FF87C}">
  <sheetPr>
    <pageSetUpPr fitToPage="1"/>
  </sheetPr>
  <dimension ref="A1:I99"/>
  <sheetViews>
    <sheetView view="pageBreakPreview" zoomScale="80" zoomScaleNormal="100" zoomScaleSheetLayoutView="80" workbookViewId="0">
      <selection activeCell="K93" sqref="K93"/>
    </sheetView>
  </sheetViews>
  <sheetFormatPr defaultRowHeight="14.4" x14ac:dyDescent="0.3"/>
  <cols>
    <col min="1" max="1" width="17.21875" customWidth="1"/>
    <col min="2" max="2" width="14.88671875" customWidth="1"/>
    <col min="3" max="3" width="60.77734375" style="119" customWidth="1"/>
    <col min="4" max="4" width="13.44140625" customWidth="1"/>
    <col min="5" max="5" width="13.77734375" customWidth="1"/>
    <col min="6" max="7" width="15.77734375" customWidth="1"/>
  </cols>
  <sheetData>
    <row r="1" spans="1:9" ht="25.05" customHeight="1" x14ac:dyDescent="0.3">
      <c r="A1" s="320" t="s">
        <v>355</v>
      </c>
      <c r="B1" s="324"/>
      <c r="C1" s="324"/>
      <c r="D1" s="324"/>
      <c r="E1" s="324"/>
      <c r="F1" s="324"/>
      <c r="G1" s="324"/>
    </row>
    <row r="2" spans="1:9" ht="19.95" customHeight="1" x14ac:dyDescent="0.3">
      <c r="A2" s="289" t="str">
        <f>RES!A2</f>
        <v>PAVIMENTAÇÃO DE VIAS PÚBLICAS NO MUNÍCIO DE TERESINA - PI</v>
      </c>
      <c r="B2" s="290"/>
      <c r="C2" s="290"/>
      <c r="D2" s="290"/>
      <c r="E2" s="325" t="str">
        <f>RES!C2</f>
        <v>FONTE: SINAPI 12/2025</v>
      </c>
      <c r="F2" s="326"/>
      <c r="G2" s="116" t="str" cm="1">
        <f t="array" ref="G2:I2">'ORÇ (2)'!F2:H2</f>
        <v>COM DESONERAÇÃO
 BDI: 28,14%</v>
      </c>
      <c r="H2">
        <v>0</v>
      </c>
      <c r="I2">
        <v>0</v>
      </c>
    </row>
    <row r="3" spans="1:9" ht="19.95" customHeight="1" x14ac:dyDescent="0.3">
      <c r="A3" s="292" t="str">
        <f>RES!A3</f>
        <v>LOCALIDADE: DIVERSAS</v>
      </c>
      <c r="B3" s="293"/>
      <c r="C3" s="293"/>
      <c r="D3" s="293"/>
      <c r="E3" s="122" t="str">
        <f>RES!E3</f>
        <v>ÁREA TOTAL (m²):</v>
      </c>
      <c r="F3" s="220">
        <f>RES!F3</f>
        <v>3853</v>
      </c>
      <c r="G3" s="116" t="str" cm="1">
        <f t="array" ref="G3:I3">'ORÇ (2)'!F3:H3</f>
        <v>HORISTA: 90,66%
MENSALISTA: 52,90%</v>
      </c>
      <c r="H3">
        <v>0</v>
      </c>
      <c r="I3">
        <v>0</v>
      </c>
    </row>
    <row r="4" spans="1:9" ht="15" customHeight="1" x14ac:dyDescent="0.3">
      <c r="A4" s="303"/>
      <c r="B4" s="304"/>
      <c r="C4" s="304"/>
      <c r="D4" s="304"/>
      <c r="E4" s="304"/>
      <c r="F4" s="304"/>
      <c r="G4" s="305"/>
    </row>
    <row r="5" spans="1:9" s="221" customFormat="1" ht="22.95" customHeight="1" x14ac:dyDescent="0.3">
      <c r="A5" s="323" t="s">
        <v>243</v>
      </c>
      <c r="B5" s="323"/>
      <c r="C5" s="323"/>
      <c r="D5" s="323"/>
      <c r="E5" s="323"/>
      <c r="F5" s="323"/>
      <c r="G5" s="323"/>
    </row>
    <row r="6" spans="1:9" s="39" customFormat="1" ht="19.95" customHeight="1" x14ac:dyDescent="0.3">
      <c r="A6" s="205" t="s">
        <v>244</v>
      </c>
      <c r="B6" s="204" t="s">
        <v>245</v>
      </c>
      <c r="C6" s="204" t="s">
        <v>246</v>
      </c>
      <c r="D6" s="206" t="s">
        <v>247</v>
      </c>
      <c r="E6" s="205" t="s">
        <v>248</v>
      </c>
      <c r="F6" s="205" t="s">
        <v>249</v>
      </c>
      <c r="G6" s="205" t="s">
        <v>157</v>
      </c>
    </row>
    <row r="7" spans="1:9" s="39" customFormat="1" ht="27" customHeight="1" x14ac:dyDescent="0.3">
      <c r="A7" s="208" t="s">
        <v>250</v>
      </c>
      <c r="B7" s="207" t="s">
        <v>251</v>
      </c>
      <c r="C7" s="207" t="s">
        <v>252</v>
      </c>
      <c r="D7" s="209" t="s">
        <v>19</v>
      </c>
      <c r="E7" s="210">
        <v>1</v>
      </c>
      <c r="F7" s="211">
        <v>460.92</v>
      </c>
      <c r="G7" s="211">
        <v>460.92</v>
      </c>
    </row>
    <row r="8" spans="1:9" x14ac:dyDescent="0.3">
      <c r="A8" s="213" t="s">
        <v>253</v>
      </c>
      <c r="B8" s="212" t="s">
        <v>251</v>
      </c>
      <c r="C8" s="212" t="s">
        <v>254</v>
      </c>
      <c r="D8" s="214" t="s">
        <v>255</v>
      </c>
      <c r="E8" s="215">
        <v>0.37290000000000001</v>
      </c>
      <c r="F8" s="216">
        <v>24.77</v>
      </c>
      <c r="G8" s="216">
        <v>9.23</v>
      </c>
    </row>
    <row r="9" spans="1:9" x14ac:dyDescent="0.3">
      <c r="A9" s="213" t="s">
        <v>258</v>
      </c>
      <c r="B9" s="212" t="s">
        <v>251</v>
      </c>
      <c r="C9" s="212" t="s">
        <v>259</v>
      </c>
      <c r="D9" s="214" t="s">
        <v>255</v>
      </c>
      <c r="E9" s="215">
        <v>1.1186</v>
      </c>
      <c r="F9" s="216">
        <v>20.100000000000001</v>
      </c>
      <c r="G9" s="216">
        <v>22.48</v>
      </c>
    </row>
    <row r="10" spans="1:9" x14ac:dyDescent="0.3">
      <c r="A10" s="213" t="s">
        <v>256</v>
      </c>
      <c r="B10" s="212" t="s">
        <v>251</v>
      </c>
      <c r="C10" s="375" t="s">
        <v>257</v>
      </c>
      <c r="D10" s="214" t="s">
        <v>19</v>
      </c>
      <c r="E10" s="215">
        <v>0.5</v>
      </c>
      <c r="F10" s="216">
        <v>24.31</v>
      </c>
      <c r="G10" s="216">
        <v>12.15</v>
      </c>
    </row>
    <row r="11" spans="1:9" x14ac:dyDescent="0.3">
      <c r="A11" s="213" t="s">
        <v>263</v>
      </c>
      <c r="B11" s="212" t="s">
        <v>251</v>
      </c>
      <c r="C11" s="212" t="s">
        <v>264</v>
      </c>
      <c r="D11" s="214" t="s">
        <v>262</v>
      </c>
      <c r="E11" s="215">
        <v>1.32E-2</v>
      </c>
      <c r="F11" s="216">
        <v>20.74</v>
      </c>
      <c r="G11" s="216">
        <v>0.27</v>
      </c>
    </row>
    <row r="12" spans="1:9" x14ac:dyDescent="0.3">
      <c r="A12" s="213" t="s">
        <v>260</v>
      </c>
      <c r="B12" s="212" t="s">
        <v>251</v>
      </c>
      <c r="C12" s="375" t="s">
        <v>261</v>
      </c>
      <c r="D12" s="214" t="s">
        <v>262</v>
      </c>
      <c r="E12" s="215">
        <v>1.1299999999999999E-2</v>
      </c>
      <c r="F12" s="216">
        <v>38.700000000000003</v>
      </c>
      <c r="G12" s="216">
        <v>0.43</v>
      </c>
    </row>
    <row r="13" spans="1:9" ht="39.6" x14ac:dyDescent="0.3">
      <c r="A13" s="213" t="s">
        <v>268</v>
      </c>
      <c r="B13" s="212" t="s">
        <v>251</v>
      </c>
      <c r="C13" s="212" t="s">
        <v>269</v>
      </c>
      <c r="D13" s="214" t="s">
        <v>19</v>
      </c>
      <c r="E13" s="215">
        <v>1</v>
      </c>
      <c r="F13" s="216">
        <v>400</v>
      </c>
      <c r="G13" s="216">
        <v>400</v>
      </c>
    </row>
    <row r="14" spans="1:9" ht="26.4" x14ac:dyDescent="0.3">
      <c r="A14" s="213" t="s">
        <v>265</v>
      </c>
      <c r="B14" s="212" t="s">
        <v>251</v>
      </c>
      <c r="C14" s="212" t="s">
        <v>266</v>
      </c>
      <c r="D14" s="214" t="s">
        <v>267</v>
      </c>
      <c r="E14" s="215">
        <v>3.2082999999999999</v>
      </c>
      <c r="F14" s="216">
        <v>5.0999999999999996</v>
      </c>
      <c r="G14" s="216">
        <v>16.36</v>
      </c>
    </row>
    <row r="15" spans="1:9" x14ac:dyDescent="0.3">
      <c r="A15" s="219"/>
      <c r="B15" s="219"/>
      <c r="C15" s="219"/>
      <c r="D15" s="219" t="s">
        <v>270</v>
      </c>
      <c r="E15" s="217">
        <v>0</v>
      </c>
      <c r="F15" s="219" t="s">
        <v>271</v>
      </c>
      <c r="G15" s="217">
        <v>26.17</v>
      </c>
    </row>
    <row r="16" spans="1:9" ht="15" customHeight="1" thickBot="1" x14ac:dyDescent="0.35">
      <c r="A16" s="219"/>
      <c r="B16" s="219"/>
      <c r="C16" s="219"/>
      <c r="D16" s="219"/>
      <c r="E16" s="322" t="s">
        <v>272</v>
      </c>
      <c r="F16" s="322"/>
      <c r="G16" s="217">
        <v>590.62</v>
      </c>
    </row>
    <row r="17" spans="1:7" ht="15" thickTop="1" x14ac:dyDescent="0.3">
      <c r="A17" s="218"/>
      <c r="B17" s="218"/>
      <c r="C17" s="218"/>
      <c r="D17" s="218"/>
      <c r="E17" s="218"/>
      <c r="F17" s="218"/>
      <c r="G17" s="218"/>
    </row>
    <row r="18" spans="1:7" x14ac:dyDescent="0.3">
      <c r="A18" s="205" t="s">
        <v>244</v>
      </c>
      <c r="B18" s="204" t="s">
        <v>245</v>
      </c>
      <c r="C18" s="204" t="s">
        <v>246</v>
      </c>
      <c r="D18" s="206" t="s">
        <v>247</v>
      </c>
      <c r="E18" s="205" t="s">
        <v>248</v>
      </c>
      <c r="F18" s="205" t="s">
        <v>249</v>
      </c>
      <c r="G18" s="205" t="s">
        <v>157</v>
      </c>
    </row>
    <row r="19" spans="1:7" s="119" customFormat="1" ht="26.4" x14ac:dyDescent="0.3">
      <c r="A19" s="208" t="s">
        <v>273</v>
      </c>
      <c r="B19" s="207" t="s">
        <v>274</v>
      </c>
      <c r="C19" s="207" t="s">
        <v>275</v>
      </c>
      <c r="D19" s="209" t="s">
        <v>44</v>
      </c>
      <c r="E19" s="210">
        <v>1</v>
      </c>
      <c r="F19" s="211">
        <v>7063.8</v>
      </c>
      <c r="G19" s="211">
        <v>7063.8</v>
      </c>
    </row>
    <row r="20" spans="1:7" x14ac:dyDescent="0.3">
      <c r="A20" s="213" t="s">
        <v>276</v>
      </c>
      <c r="B20" s="212" t="s">
        <v>251</v>
      </c>
      <c r="C20" s="212" t="s">
        <v>277</v>
      </c>
      <c r="D20" s="214" t="s">
        <v>255</v>
      </c>
      <c r="E20" s="215">
        <v>60</v>
      </c>
      <c r="F20" s="216">
        <v>34.96</v>
      </c>
      <c r="G20" s="216">
        <v>2097.6</v>
      </c>
    </row>
    <row r="21" spans="1:7" x14ac:dyDescent="0.3">
      <c r="A21" s="213" t="s">
        <v>278</v>
      </c>
      <c r="B21" s="212" t="s">
        <v>251</v>
      </c>
      <c r="C21" s="212" t="s">
        <v>279</v>
      </c>
      <c r="D21" s="214" t="s">
        <v>255</v>
      </c>
      <c r="E21" s="215">
        <v>60</v>
      </c>
      <c r="F21" s="216">
        <v>23.66</v>
      </c>
      <c r="G21" s="216">
        <v>1419.6</v>
      </c>
    </row>
    <row r="22" spans="1:7" ht="26.4" x14ac:dyDescent="0.3">
      <c r="A22" s="213" t="s">
        <v>280</v>
      </c>
      <c r="B22" s="212" t="s">
        <v>251</v>
      </c>
      <c r="C22" s="212" t="s">
        <v>281</v>
      </c>
      <c r="D22" s="214" t="s">
        <v>255</v>
      </c>
      <c r="E22" s="215">
        <v>30</v>
      </c>
      <c r="F22" s="216">
        <v>118.22</v>
      </c>
      <c r="G22" s="216">
        <v>3546.6</v>
      </c>
    </row>
    <row r="23" spans="1:7" x14ac:dyDescent="0.3">
      <c r="A23" s="219"/>
      <c r="B23" s="219"/>
      <c r="C23" s="219"/>
      <c r="D23" s="219" t="s">
        <v>270</v>
      </c>
      <c r="E23" s="217">
        <v>0</v>
      </c>
      <c r="F23" s="219" t="s">
        <v>271</v>
      </c>
      <c r="G23" s="217">
        <v>6242.7</v>
      </c>
    </row>
    <row r="24" spans="1:7" ht="15" customHeight="1" thickBot="1" x14ac:dyDescent="0.35">
      <c r="A24" s="219"/>
      <c r="B24" s="219"/>
      <c r="C24" s="219"/>
      <c r="D24" s="219"/>
      <c r="E24" s="322" t="s">
        <v>272</v>
      </c>
      <c r="F24" s="322"/>
      <c r="G24" s="217">
        <v>9051.5499999999993</v>
      </c>
    </row>
    <row r="25" spans="1:7" ht="15" thickTop="1" x14ac:dyDescent="0.3">
      <c r="A25" s="218"/>
      <c r="B25" s="218"/>
      <c r="C25" s="218"/>
      <c r="D25" s="218"/>
      <c r="E25" s="218"/>
      <c r="F25" s="218"/>
      <c r="G25" s="218"/>
    </row>
    <row r="26" spans="1:7" x14ac:dyDescent="0.3">
      <c r="A26" s="205" t="s">
        <v>244</v>
      </c>
      <c r="B26" s="204" t="s">
        <v>245</v>
      </c>
      <c r="C26" s="204" t="s">
        <v>246</v>
      </c>
      <c r="D26" s="206" t="s">
        <v>247</v>
      </c>
      <c r="E26" s="205" t="s">
        <v>248</v>
      </c>
      <c r="F26" s="205" t="s">
        <v>249</v>
      </c>
      <c r="G26" s="205" t="s">
        <v>157</v>
      </c>
    </row>
    <row r="27" spans="1:7" ht="26.4" x14ac:dyDescent="0.3">
      <c r="A27" s="208" t="s">
        <v>282</v>
      </c>
      <c r="B27" s="207" t="s">
        <v>251</v>
      </c>
      <c r="C27" s="207" t="s">
        <v>283</v>
      </c>
      <c r="D27" s="209" t="s">
        <v>19</v>
      </c>
      <c r="E27" s="210">
        <v>1</v>
      </c>
      <c r="F27" s="211">
        <v>0.56000000000000005</v>
      </c>
      <c r="G27" s="211">
        <v>0.56000000000000005</v>
      </c>
    </row>
    <row r="28" spans="1:7" x14ac:dyDescent="0.3">
      <c r="A28" s="213" t="s">
        <v>258</v>
      </c>
      <c r="B28" s="212" t="s">
        <v>251</v>
      </c>
      <c r="C28" s="212" t="s">
        <v>259</v>
      </c>
      <c r="D28" s="214" t="s">
        <v>255</v>
      </c>
      <c r="E28" s="215">
        <v>1.0342999999999999E-3</v>
      </c>
      <c r="F28" s="216">
        <v>20.100000000000001</v>
      </c>
      <c r="G28" s="216">
        <v>0.02</v>
      </c>
    </row>
    <row r="29" spans="1:7" s="119" customFormat="1" ht="39.6" x14ac:dyDescent="0.3">
      <c r="A29" s="213" t="s">
        <v>284</v>
      </c>
      <c r="B29" s="212" t="s">
        <v>251</v>
      </c>
      <c r="C29" s="212" t="s">
        <v>285</v>
      </c>
      <c r="D29" s="214" t="s">
        <v>286</v>
      </c>
      <c r="E29" s="215">
        <v>7.3180000000000001E-4</v>
      </c>
      <c r="F29" s="216">
        <v>106.42</v>
      </c>
      <c r="G29" s="216">
        <v>7.0000000000000007E-2</v>
      </c>
    </row>
    <row r="30" spans="1:7" s="119" customFormat="1" ht="39.6" x14ac:dyDescent="0.3">
      <c r="A30" s="213" t="s">
        <v>289</v>
      </c>
      <c r="B30" s="212" t="s">
        <v>251</v>
      </c>
      <c r="C30" s="212" t="s">
        <v>290</v>
      </c>
      <c r="D30" s="214" t="s">
        <v>291</v>
      </c>
      <c r="E30" s="215">
        <v>3.0249999999999998E-4</v>
      </c>
      <c r="F30" s="216">
        <v>266.91000000000003</v>
      </c>
      <c r="G30" s="216">
        <v>0.08</v>
      </c>
    </row>
    <row r="31" spans="1:7" s="119" customFormat="1" ht="52.8" x14ac:dyDescent="0.3">
      <c r="A31" s="213" t="s">
        <v>287</v>
      </c>
      <c r="B31" s="212" t="s">
        <v>251</v>
      </c>
      <c r="C31" s="212" t="s">
        <v>288</v>
      </c>
      <c r="D31" s="214" t="s">
        <v>286</v>
      </c>
      <c r="E31" s="215">
        <v>6.0956999999999999E-3</v>
      </c>
      <c r="F31" s="216">
        <v>64.09</v>
      </c>
      <c r="G31" s="216">
        <v>0.39</v>
      </c>
    </row>
    <row r="32" spans="1:7" x14ac:dyDescent="0.3">
      <c r="A32" s="219"/>
      <c r="B32" s="219"/>
      <c r="C32" s="219"/>
      <c r="D32" s="219" t="s">
        <v>270</v>
      </c>
      <c r="E32" s="217">
        <v>0</v>
      </c>
      <c r="F32" s="219" t="s">
        <v>271</v>
      </c>
      <c r="G32" s="217">
        <v>0.15</v>
      </c>
    </row>
    <row r="33" spans="1:7" ht="15" customHeight="1" thickBot="1" x14ac:dyDescent="0.35">
      <c r="A33" s="219"/>
      <c r="B33" s="219"/>
      <c r="C33" s="219"/>
      <c r="D33" s="219"/>
      <c r="E33" s="322" t="s">
        <v>272</v>
      </c>
      <c r="F33" s="322"/>
      <c r="G33" s="217">
        <v>0.71</v>
      </c>
    </row>
    <row r="34" spans="1:7" ht="15" thickTop="1" x14ac:dyDescent="0.3">
      <c r="A34" s="218"/>
      <c r="B34" s="218"/>
      <c r="C34" s="218"/>
      <c r="D34" s="218"/>
      <c r="E34" s="218"/>
      <c r="F34" s="218"/>
      <c r="G34" s="218"/>
    </row>
    <row r="35" spans="1:7" x14ac:dyDescent="0.3">
      <c r="A35" s="205" t="s">
        <v>244</v>
      </c>
      <c r="B35" s="204" t="s">
        <v>245</v>
      </c>
      <c r="C35" s="204" t="s">
        <v>246</v>
      </c>
      <c r="D35" s="206" t="s">
        <v>247</v>
      </c>
      <c r="E35" s="205" t="s">
        <v>248</v>
      </c>
      <c r="F35" s="205" t="s">
        <v>249</v>
      </c>
      <c r="G35" s="205" t="s">
        <v>157</v>
      </c>
    </row>
    <row r="36" spans="1:7" s="119" customFormat="1" ht="39.6" x14ac:dyDescent="0.3">
      <c r="A36" s="208" t="s">
        <v>292</v>
      </c>
      <c r="B36" s="207" t="s">
        <v>274</v>
      </c>
      <c r="C36" s="207" t="s">
        <v>293</v>
      </c>
      <c r="D36" s="209" t="s">
        <v>19</v>
      </c>
      <c r="E36" s="210">
        <v>1</v>
      </c>
      <c r="F36" s="211">
        <v>75.66</v>
      </c>
      <c r="G36" s="211">
        <v>75.66</v>
      </c>
    </row>
    <row r="37" spans="1:7" x14ac:dyDescent="0.3">
      <c r="A37" s="213" t="s">
        <v>258</v>
      </c>
      <c r="B37" s="212" t="s">
        <v>251</v>
      </c>
      <c r="C37" s="212" t="s">
        <v>259</v>
      </c>
      <c r="D37" s="214" t="s">
        <v>255</v>
      </c>
      <c r="E37" s="215">
        <v>0.40210000000000001</v>
      </c>
      <c r="F37" s="216">
        <v>20.100000000000001</v>
      </c>
      <c r="G37" s="216">
        <v>8.08</v>
      </c>
    </row>
    <row r="38" spans="1:7" x14ac:dyDescent="0.3">
      <c r="A38" s="213" t="s">
        <v>294</v>
      </c>
      <c r="B38" s="212" t="s">
        <v>251</v>
      </c>
      <c r="C38" s="212" t="s">
        <v>295</v>
      </c>
      <c r="D38" s="214" t="s">
        <v>255</v>
      </c>
      <c r="E38" s="215">
        <v>0.40210000000000001</v>
      </c>
      <c r="F38" s="216">
        <v>24.99</v>
      </c>
      <c r="G38" s="216">
        <v>10.039999999999999</v>
      </c>
    </row>
    <row r="39" spans="1:7" s="119" customFormat="1" ht="52.8" x14ac:dyDescent="0.3">
      <c r="A39" s="213" t="s">
        <v>296</v>
      </c>
      <c r="B39" s="212" t="s">
        <v>251</v>
      </c>
      <c r="C39" s="212" t="s">
        <v>297</v>
      </c>
      <c r="D39" s="214" t="s">
        <v>286</v>
      </c>
      <c r="E39" s="215">
        <v>0.13089999999999999</v>
      </c>
      <c r="F39" s="216">
        <v>62.51</v>
      </c>
      <c r="G39" s="216">
        <v>8.18</v>
      </c>
    </row>
    <row r="40" spans="1:7" ht="39.6" x14ac:dyDescent="0.3">
      <c r="A40" s="213" t="s">
        <v>298</v>
      </c>
      <c r="B40" s="212" t="s">
        <v>251</v>
      </c>
      <c r="C40" s="212" t="s">
        <v>299</v>
      </c>
      <c r="D40" s="214" t="s">
        <v>300</v>
      </c>
      <c r="E40" s="215">
        <v>2.0400000000000001E-2</v>
      </c>
      <c r="F40" s="216">
        <v>692.7</v>
      </c>
      <c r="G40" s="216">
        <v>14.13</v>
      </c>
    </row>
    <row r="41" spans="1:7" ht="26.4" x14ac:dyDescent="0.3">
      <c r="A41" s="213" t="s">
        <v>301</v>
      </c>
      <c r="B41" s="212" t="s">
        <v>274</v>
      </c>
      <c r="C41" s="212" t="s">
        <v>302</v>
      </c>
      <c r="D41" s="214" t="s">
        <v>303</v>
      </c>
      <c r="E41" s="215">
        <v>4.2000000000000003E-2</v>
      </c>
      <c r="F41" s="216">
        <v>566.24</v>
      </c>
      <c r="G41" s="216">
        <v>23.78</v>
      </c>
    </row>
    <row r="42" spans="1:7" s="119" customFormat="1" ht="52.8" x14ac:dyDescent="0.3">
      <c r="A42" s="213" t="s">
        <v>304</v>
      </c>
      <c r="B42" s="212" t="s">
        <v>251</v>
      </c>
      <c r="C42" s="212" t="s">
        <v>305</v>
      </c>
      <c r="D42" s="214" t="s">
        <v>291</v>
      </c>
      <c r="E42" s="215">
        <v>3.0999999999999999E-3</v>
      </c>
      <c r="F42" s="216">
        <v>157.59</v>
      </c>
      <c r="G42" s="216">
        <v>0.48</v>
      </c>
    </row>
    <row r="43" spans="1:7" ht="26.4" x14ac:dyDescent="0.3">
      <c r="A43" s="213" t="s">
        <v>306</v>
      </c>
      <c r="B43" s="212" t="s">
        <v>251</v>
      </c>
      <c r="C43" s="212" t="s">
        <v>307</v>
      </c>
      <c r="D43" s="214" t="s">
        <v>300</v>
      </c>
      <c r="E43" s="215">
        <v>0.114</v>
      </c>
      <c r="F43" s="216">
        <v>96.24</v>
      </c>
      <c r="G43" s="216">
        <v>10.97</v>
      </c>
    </row>
    <row r="44" spans="1:7" x14ac:dyDescent="0.3">
      <c r="A44" s="219"/>
      <c r="B44" s="219"/>
      <c r="C44" s="219"/>
      <c r="D44" s="219" t="s">
        <v>270</v>
      </c>
      <c r="E44" s="217">
        <v>0</v>
      </c>
      <c r="F44" s="219" t="s">
        <v>271</v>
      </c>
      <c r="G44" s="217">
        <v>32.82</v>
      </c>
    </row>
    <row r="45" spans="1:7" ht="15" customHeight="1" thickBot="1" x14ac:dyDescent="0.35">
      <c r="A45" s="219"/>
      <c r="B45" s="219"/>
      <c r="C45" s="219"/>
      <c r="D45" s="219"/>
      <c r="E45" s="322" t="s">
        <v>272</v>
      </c>
      <c r="F45" s="322"/>
      <c r="G45" s="217">
        <v>96.95</v>
      </c>
    </row>
    <row r="46" spans="1:7" ht="15" thickTop="1" x14ac:dyDescent="0.3">
      <c r="A46" s="218"/>
      <c r="B46" s="218"/>
      <c r="C46" s="218"/>
      <c r="D46" s="218"/>
      <c r="E46" s="218"/>
      <c r="F46" s="218"/>
      <c r="G46" s="218"/>
    </row>
    <row r="47" spans="1:7" x14ac:dyDescent="0.3">
      <c r="A47" s="205" t="s">
        <v>244</v>
      </c>
      <c r="B47" s="204" t="s">
        <v>245</v>
      </c>
      <c r="C47" s="204" t="s">
        <v>246</v>
      </c>
      <c r="D47" s="206" t="s">
        <v>247</v>
      </c>
      <c r="E47" s="205" t="s">
        <v>248</v>
      </c>
      <c r="F47" s="205" t="s">
        <v>249</v>
      </c>
      <c r="G47" s="205" t="s">
        <v>157</v>
      </c>
    </row>
    <row r="48" spans="1:7" s="119" customFormat="1" ht="52.8" x14ac:dyDescent="0.3">
      <c r="A48" s="208" t="s">
        <v>308</v>
      </c>
      <c r="B48" s="207" t="s">
        <v>251</v>
      </c>
      <c r="C48" s="207" t="s">
        <v>309</v>
      </c>
      <c r="D48" s="209" t="s">
        <v>267</v>
      </c>
      <c r="E48" s="210">
        <v>1</v>
      </c>
      <c r="F48" s="211">
        <v>45.12</v>
      </c>
      <c r="G48" s="211">
        <v>45.12</v>
      </c>
    </row>
    <row r="49" spans="1:7" x14ac:dyDescent="0.3">
      <c r="A49" s="213" t="s">
        <v>258</v>
      </c>
      <c r="B49" s="212" t="s">
        <v>251</v>
      </c>
      <c r="C49" s="212" t="s">
        <v>259</v>
      </c>
      <c r="D49" s="214" t="s">
        <v>255</v>
      </c>
      <c r="E49" s="215">
        <v>0.2296</v>
      </c>
      <c r="F49" s="216">
        <v>20.100000000000001</v>
      </c>
      <c r="G49" s="216">
        <v>4.6100000000000003</v>
      </c>
    </row>
    <row r="50" spans="1:7" x14ac:dyDescent="0.3">
      <c r="A50" s="213" t="s">
        <v>310</v>
      </c>
      <c r="B50" s="212" t="s">
        <v>251</v>
      </c>
      <c r="C50" s="212" t="s">
        <v>311</v>
      </c>
      <c r="D50" s="214" t="s">
        <v>255</v>
      </c>
      <c r="E50" s="215">
        <v>0.2296</v>
      </c>
      <c r="F50" s="216">
        <v>25.17</v>
      </c>
      <c r="G50" s="216">
        <v>5.77</v>
      </c>
    </row>
    <row r="51" spans="1:7" s="119" customFormat="1" ht="26.4" x14ac:dyDescent="0.3">
      <c r="A51" s="213" t="s">
        <v>312</v>
      </c>
      <c r="B51" s="212" t="s">
        <v>251</v>
      </c>
      <c r="C51" s="212" t="s">
        <v>313</v>
      </c>
      <c r="D51" s="214" t="s">
        <v>300</v>
      </c>
      <c r="E51" s="215">
        <v>1.8E-3</v>
      </c>
      <c r="F51" s="216">
        <v>776.17</v>
      </c>
      <c r="G51" s="216">
        <v>1.39</v>
      </c>
    </row>
    <row r="52" spans="1:7" ht="26.4" x14ac:dyDescent="0.3">
      <c r="A52" s="213" t="s">
        <v>314</v>
      </c>
      <c r="B52" s="212" t="s">
        <v>251</v>
      </c>
      <c r="C52" s="212" t="s">
        <v>315</v>
      </c>
      <c r="D52" s="214" t="s">
        <v>267</v>
      </c>
      <c r="E52" s="215">
        <v>1.0049999999999999</v>
      </c>
      <c r="F52" s="216">
        <v>32.57</v>
      </c>
      <c r="G52" s="216">
        <v>32.729999999999997</v>
      </c>
    </row>
    <row r="53" spans="1:7" ht="26.4" x14ac:dyDescent="0.3">
      <c r="A53" s="213" t="s">
        <v>316</v>
      </c>
      <c r="B53" s="212" t="s">
        <v>251</v>
      </c>
      <c r="C53" s="212" t="s">
        <v>317</v>
      </c>
      <c r="D53" s="214" t="s">
        <v>300</v>
      </c>
      <c r="E53" s="215">
        <v>6.6E-3</v>
      </c>
      <c r="F53" s="216">
        <v>95</v>
      </c>
      <c r="G53" s="216">
        <v>0.62</v>
      </c>
    </row>
    <row r="54" spans="1:7" x14ac:dyDescent="0.3">
      <c r="A54" s="219"/>
      <c r="B54" s="219"/>
      <c r="C54" s="219"/>
      <c r="D54" s="219" t="s">
        <v>270</v>
      </c>
      <c r="E54" s="217">
        <v>0</v>
      </c>
      <c r="F54" s="219" t="s">
        <v>271</v>
      </c>
      <c r="G54" s="217">
        <v>7.56</v>
      </c>
    </row>
    <row r="55" spans="1:7" ht="15" customHeight="1" thickBot="1" x14ac:dyDescent="0.35">
      <c r="A55" s="219"/>
      <c r="B55" s="219"/>
      <c r="C55" s="219"/>
      <c r="D55" s="219"/>
      <c r="E55" s="322" t="s">
        <v>272</v>
      </c>
      <c r="F55" s="322"/>
      <c r="G55" s="217">
        <v>57.81</v>
      </c>
    </row>
    <row r="56" spans="1:7" ht="15" thickTop="1" x14ac:dyDescent="0.3">
      <c r="A56" s="218"/>
      <c r="B56" s="218"/>
      <c r="C56" s="218"/>
      <c r="D56" s="218"/>
      <c r="E56" s="218"/>
      <c r="F56" s="218"/>
      <c r="G56" s="218"/>
    </row>
    <row r="57" spans="1:7" x14ac:dyDescent="0.3">
      <c r="A57" s="205" t="s">
        <v>244</v>
      </c>
      <c r="B57" s="204" t="s">
        <v>245</v>
      </c>
      <c r="C57" s="204" t="s">
        <v>246</v>
      </c>
      <c r="D57" s="206" t="s">
        <v>247</v>
      </c>
      <c r="E57" s="205" t="s">
        <v>248</v>
      </c>
      <c r="F57" s="205" t="s">
        <v>249</v>
      </c>
      <c r="G57" s="205" t="s">
        <v>157</v>
      </c>
    </row>
    <row r="58" spans="1:7" s="119" customFormat="1" ht="26.4" x14ac:dyDescent="0.3">
      <c r="A58" s="208" t="s">
        <v>318</v>
      </c>
      <c r="B58" s="207" t="s">
        <v>274</v>
      </c>
      <c r="C58" s="207" t="s">
        <v>194</v>
      </c>
      <c r="D58" s="209" t="s">
        <v>54</v>
      </c>
      <c r="E58" s="210">
        <v>1</v>
      </c>
      <c r="F58" s="211">
        <v>21.79</v>
      </c>
      <c r="G58" s="211">
        <v>21.79</v>
      </c>
    </row>
    <row r="59" spans="1:7" x14ac:dyDescent="0.3">
      <c r="A59" s="213" t="s">
        <v>258</v>
      </c>
      <c r="B59" s="212" t="s">
        <v>251</v>
      </c>
      <c r="C59" s="212" t="s">
        <v>259</v>
      </c>
      <c r="D59" s="214" t="s">
        <v>255</v>
      </c>
      <c r="E59" s="215">
        <v>0.2326</v>
      </c>
      <c r="F59" s="216">
        <v>20.100000000000001</v>
      </c>
      <c r="G59" s="216">
        <v>4.67</v>
      </c>
    </row>
    <row r="60" spans="1:7" x14ac:dyDescent="0.3">
      <c r="A60" s="213" t="s">
        <v>310</v>
      </c>
      <c r="B60" s="212" t="s">
        <v>251</v>
      </c>
      <c r="C60" s="212" t="s">
        <v>311</v>
      </c>
      <c r="D60" s="214" t="s">
        <v>255</v>
      </c>
      <c r="E60" s="215">
        <v>0.2326</v>
      </c>
      <c r="F60" s="216">
        <v>25.17</v>
      </c>
      <c r="G60" s="216">
        <v>5.85</v>
      </c>
    </row>
    <row r="61" spans="1:7" s="119" customFormat="1" ht="39.6" x14ac:dyDescent="0.3">
      <c r="A61" s="213" t="s">
        <v>319</v>
      </c>
      <c r="B61" s="212" t="s">
        <v>251</v>
      </c>
      <c r="C61" s="212" t="s">
        <v>320</v>
      </c>
      <c r="D61" s="214" t="s">
        <v>300</v>
      </c>
      <c r="E61" s="215">
        <v>1.4999999999999999E-2</v>
      </c>
      <c r="F61" s="216">
        <v>550</v>
      </c>
      <c r="G61" s="216">
        <v>8.25</v>
      </c>
    </row>
    <row r="62" spans="1:7" ht="26.4" x14ac:dyDescent="0.3">
      <c r="A62" s="213" t="s">
        <v>321</v>
      </c>
      <c r="B62" s="212" t="s">
        <v>251</v>
      </c>
      <c r="C62" s="212" t="s">
        <v>322</v>
      </c>
      <c r="D62" s="214" t="s">
        <v>267</v>
      </c>
      <c r="E62" s="215">
        <v>0.2</v>
      </c>
      <c r="F62" s="216">
        <v>3.52</v>
      </c>
      <c r="G62" s="216">
        <v>0.7</v>
      </c>
    </row>
    <row r="63" spans="1:7" ht="26.4" x14ac:dyDescent="0.3">
      <c r="A63" s="213" t="s">
        <v>323</v>
      </c>
      <c r="B63" s="212" t="s">
        <v>251</v>
      </c>
      <c r="C63" s="212" t="s">
        <v>324</v>
      </c>
      <c r="D63" s="214" t="s">
        <v>267</v>
      </c>
      <c r="E63" s="215">
        <v>8.3299999999999999E-2</v>
      </c>
      <c r="F63" s="216">
        <v>16.670000000000002</v>
      </c>
      <c r="G63" s="216">
        <v>1.38</v>
      </c>
    </row>
    <row r="64" spans="1:7" ht="26.4" x14ac:dyDescent="0.3">
      <c r="A64" s="213" t="s">
        <v>316</v>
      </c>
      <c r="B64" s="212" t="s">
        <v>251</v>
      </c>
      <c r="C64" s="212" t="s">
        <v>317</v>
      </c>
      <c r="D64" s="214" t="s">
        <v>300</v>
      </c>
      <c r="E64" s="215">
        <v>9.9000000000000008E-3</v>
      </c>
      <c r="F64" s="216">
        <v>95</v>
      </c>
      <c r="G64" s="216">
        <v>0.94</v>
      </c>
    </row>
    <row r="65" spans="1:7" x14ac:dyDescent="0.3">
      <c r="A65" s="219"/>
      <c r="B65" s="219"/>
      <c r="C65" s="219"/>
      <c r="D65" s="219" t="s">
        <v>270</v>
      </c>
      <c r="E65" s="217">
        <v>0</v>
      </c>
      <c r="F65" s="219" t="s">
        <v>271</v>
      </c>
      <c r="G65" s="217">
        <v>7.46</v>
      </c>
    </row>
    <row r="66" spans="1:7" ht="15" customHeight="1" thickBot="1" x14ac:dyDescent="0.35">
      <c r="A66" s="219"/>
      <c r="B66" s="219"/>
      <c r="C66" s="219"/>
      <c r="D66" s="219"/>
      <c r="E66" s="322" t="s">
        <v>272</v>
      </c>
      <c r="F66" s="322"/>
      <c r="G66" s="217">
        <v>27.92</v>
      </c>
    </row>
    <row r="67" spans="1:7" ht="15" thickTop="1" x14ac:dyDescent="0.3">
      <c r="A67" s="218"/>
      <c r="B67" s="218"/>
      <c r="C67" s="218"/>
      <c r="D67" s="218"/>
      <c r="E67" s="218"/>
      <c r="F67" s="218"/>
      <c r="G67" s="218"/>
    </row>
    <row r="68" spans="1:7" x14ac:dyDescent="0.3">
      <c r="A68" s="205" t="s">
        <v>244</v>
      </c>
      <c r="B68" s="204" t="s">
        <v>245</v>
      </c>
      <c r="C68" s="204" t="s">
        <v>246</v>
      </c>
      <c r="D68" s="206" t="s">
        <v>247</v>
      </c>
      <c r="E68" s="205" t="s">
        <v>248</v>
      </c>
      <c r="F68" s="205" t="s">
        <v>249</v>
      </c>
      <c r="G68" s="205" t="s">
        <v>157</v>
      </c>
    </row>
    <row r="69" spans="1:7" s="119" customFormat="1" ht="39.6" x14ac:dyDescent="0.3">
      <c r="A69" s="208" t="s">
        <v>325</v>
      </c>
      <c r="B69" s="207" t="s">
        <v>251</v>
      </c>
      <c r="C69" s="207" t="s">
        <v>326</v>
      </c>
      <c r="D69" s="209" t="s">
        <v>327</v>
      </c>
      <c r="E69" s="210">
        <v>1</v>
      </c>
      <c r="F69" s="211">
        <v>1.62</v>
      </c>
      <c r="G69" s="211">
        <v>1.62</v>
      </c>
    </row>
    <row r="70" spans="1:7" s="119" customFormat="1" ht="52.8" x14ac:dyDescent="0.3">
      <c r="A70" s="213" t="s">
        <v>330</v>
      </c>
      <c r="B70" s="212" t="s">
        <v>251</v>
      </c>
      <c r="C70" s="212" t="s">
        <v>331</v>
      </c>
      <c r="D70" s="214" t="s">
        <v>286</v>
      </c>
      <c r="E70" s="215">
        <v>2.3999999999999998E-3</v>
      </c>
      <c r="F70" s="216">
        <v>68.459999999999994</v>
      </c>
      <c r="G70" s="216">
        <v>0.16</v>
      </c>
    </row>
    <row r="71" spans="1:7" s="119" customFormat="1" ht="52.8" x14ac:dyDescent="0.3">
      <c r="A71" s="213" t="s">
        <v>328</v>
      </c>
      <c r="B71" s="212" t="s">
        <v>251</v>
      </c>
      <c r="C71" s="212" t="s">
        <v>329</v>
      </c>
      <c r="D71" s="214" t="s">
        <v>291</v>
      </c>
      <c r="E71" s="215">
        <v>5.5999999999999999E-3</v>
      </c>
      <c r="F71" s="216">
        <v>261.88</v>
      </c>
      <c r="G71" s="216">
        <v>1.46</v>
      </c>
    </row>
    <row r="72" spans="1:7" x14ac:dyDescent="0.3">
      <c r="A72" s="219"/>
      <c r="B72" s="219"/>
      <c r="C72" s="219"/>
      <c r="D72" s="219" t="s">
        <v>270</v>
      </c>
      <c r="E72" s="217">
        <v>0</v>
      </c>
      <c r="F72" s="219" t="s">
        <v>271</v>
      </c>
      <c r="G72" s="217">
        <v>0.14000000000000001</v>
      </c>
    </row>
    <row r="73" spans="1:7" ht="15" customHeight="1" thickBot="1" x14ac:dyDescent="0.35">
      <c r="A73" s="219"/>
      <c r="B73" s="219"/>
      <c r="C73" s="219"/>
      <c r="D73" s="219"/>
      <c r="E73" s="322" t="s">
        <v>272</v>
      </c>
      <c r="F73" s="322"/>
      <c r="G73" s="217">
        <v>2.0699999999999998</v>
      </c>
    </row>
    <row r="74" spans="1:7" ht="15" thickTop="1" x14ac:dyDescent="0.3">
      <c r="A74" s="218"/>
      <c r="B74" s="218"/>
      <c r="C74" s="218"/>
      <c r="D74" s="218"/>
      <c r="E74" s="218"/>
      <c r="F74" s="218"/>
      <c r="G74" s="218"/>
    </row>
    <row r="75" spans="1:7" x14ac:dyDescent="0.3">
      <c r="A75" s="205" t="s">
        <v>244</v>
      </c>
      <c r="B75" s="204" t="s">
        <v>245</v>
      </c>
      <c r="C75" s="204" t="s">
        <v>246</v>
      </c>
      <c r="D75" s="206" t="s">
        <v>247</v>
      </c>
      <c r="E75" s="205" t="s">
        <v>248</v>
      </c>
      <c r="F75" s="205" t="s">
        <v>249</v>
      </c>
      <c r="G75" s="205" t="s">
        <v>157</v>
      </c>
    </row>
    <row r="76" spans="1:7" s="119" customFormat="1" ht="39.6" x14ac:dyDescent="0.3">
      <c r="A76" s="208" t="s">
        <v>332</v>
      </c>
      <c r="B76" s="207" t="s">
        <v>251</v>
      </c>
      <c r="C76" s="207" t="s">
        <v>333</v>
      </c>
      <c r="D76" s="209" t="s">
        <v>327</v>
      </c>
      <c r="E76" s="210">
        <v>1</v>
      </c>
      <c r="F76" s="211">
        <v>0.63</v>
      </c>
      <c r="G76" s="211">
        <v>0.63</v>
      </c>
    </row>
    <row r="77" spans="1:7" s="119" customFormat="1" ht="52.8" x14ac:dyDescent="0.3">
      <c r="A77" s="213" t="s">
        <v>328</v>
      </c>
      <c r="B77" s="212" t="s">
        <v>251</v>
      </c>
      <c r="C77" s="212" t="s">
        <v>329</v>
      </c>
      <c r="D77" s="214" t="s">
        <v>291</v>
      </c>
      <c r="E77" s="215">
        <v>2.2000000000000001E-3</v>
      </c>
      <c r="F77" s="216">
        <v>261.88</v>
      </c>
      <c r="G77" s="216">
        <v>0.56999999999999995</v>
      </c>
    </row>
    <row r="78" spans="1:7" s="119" customFormat="1" ht="52.8" x14ac:dyDescent="0.3">
      <c r="A78" s="213" t="s">
        <v>330</v>
      </c>
      <c r="B78" s="212" t="s">
        <v>251</v>
      </c>
      <c r="C78" s="212" t="s">
        <v>331</v>
      </c>
      <c r="D78" s="214" t="s">
        <v>286</v>
      </c>
      <c r="E78" s="215">
        <v>1E-3</v>
      </c>
      <c r="F78" s="216">
        <v>68.459999999999994</v>
      </c>
      <c r="G78" s="216">
        <v>0.06</v>
      </c>
    </row>
    <row r="79" spans="1:7" x14ac:dyDescent="0.3">
      <c r="A79" s="219"/>
      <c r="B79" s="219"/>
      <c r="C79" s="219"/>
      <c r="D79" s="219" t="s">
        <v>270</v>
      </c>
      <c r="E79" s="217">
        <v>0</v>
      </c>
      <c r="F79" s="219" t="s">
        <v>271</v>
      </c>
      <c r="G79" s="217">
        <v>0.05</v>
      </c>
    </row>
    <row r="80" spans="1:7" ht="15" customHeight="1" thickBot="1" x14ac:dyDescent="0.35">
      <c r="A80" s="219"/>
      <c r="B80" s="219"/>
      <c r="C80" s="219"/>
      <c r="D80" s="219"/>
      <c r="E80" s="322" t="s">
        <v>272</v>
      </c>
      <c r="F80" s="322"/>
      <c r="G80" s="217">
        <v>0.8</v>
      </c>
    </row>
    <row r="81" spans="1:7" ht="15" thickTop="1" x14ac:dyDescent="0.3">
      <c r="A81" s="218"/>
      <c r="B81" s="218"/>
      <c r="C81" s="218"/>
      <c r="D81" s="218"/>
      <c r="E81" s="218"/>
      <c r="F81" s="218"/>
      <c r="G81" s="218"/>
    </row>
    <row r="82" spans="1:7" x14ac:dyDescent="0.3">
      <c r="A82" s="205" t="s">
        <v>244</v>
      </c>
      <c r="B82" s="204" t="s">
        <v>245</v>
      </c>
      <c r="C82" s="204" t="s">
        <v>246</v>
      </c>
      <c r="D82" s="206" t="s">
        <v>247</v>
      </c>
      <c r="E82" s="205" t="s">
        <v>248</v>
      </c>
      <c r="F82" s="205" t="s">
        <v>249</v>
      </c>
      <c r="G82" s="205" t="s">
        <v>157</v>
      </c>
    </row>
    <row r="83" spans="1:7" s="119" customFormat="1" ht="26.4" x14ac:dyDescent="0.3">
      <c r="A83" s="208" t="s">
        <v>334</v>
      </c>
      <c r="B83" s="207" t="s">
        <v>274</v>
      </c>
      <c r="C83" s="207" t="s">
        <v>335</v>
      </c>
      <c r="D83" s="209" t="s">
        <v>19</v>
      </c>
      <c r="E83" s="210">
        <v>1</v>
      </c>
      <c r="F83" s="211">
        <v>974.51</v>
      </c>
      <c r="G83" s="211">
        <v>974.51</v>
      </c>
    </row>
    <row r="84" spans="1:7" ht="26.4" x14ac:dyDescent="0.3">
      <c r="A84" s="213" t="s">
        <v>336</v>
      </c>
      <c r="B84" s="212" t="s">
        <v>251</v>
      </c>
      <c r="C84" s="212" t="s">
        <v>337</v>
      </c>
      <c r="D84" s="214" t="s">
        <v>255</v>
      </c>
      <c r="E84" s="215">
        <v>0.25269999999999998</v>
      </c>
      <c r="F84" s="216">
        <v>20.59</v>
      </c>
      <c r="G84" s="216">
        <v>5.2</v>
      </c>
    </row>
    <row r="85" spans="1:7" x14ac:dyDescent="0.3">
      <c r="A85" s="213" t="s">
        <v>258</v>
      </c>
      <c r="B85" s="212" t="s">
        <v>251</v>
      </c>
      <c r="C85" s="212" t="s">
        <v>259</v>
      </c>
      <c r="D85" s="214" t="s">
        <v>255</v>
      </c>
      <c r="E85" s="215">
        <v>0.75819999999999999</v>
      </c>
      <c r="F85" s="216">
        <v>20.100000000000001</v>
      </c>
      <c r="G85" s="216">
        <v>15.23</v>
      </c>
    </row>
    <row r="86" spans="1:7" ht="26.4" x14ac:dyDescent="0.3">
      <c r="A86" s="213" t="s">
        <v>338</v>
      </c>
      <c r="B86" s="212" t="s">
        <v>251</v>
      </c>
      <c r="C86" s="212" t="s">
        <v>339</v>
      </c>
      <c r="D86" s="214" t="s">
        <v>19</v>
      </c>
      <c r="E86" s="215">
        <v>1</v>
      </c>
      <c r="F86" s="216">
        <v>924</v>
      </c>
      <c r="G86" s="216">
        <v>924</v>
      </c>
    </row>
    <row r="87" spans="1:7" ht="39.6" customHeight="1" x14ac:dyDescent="0.3">
      <c r="A87" s="213" t="s">
        <v>340</v>
      </c>
      <c r="B87" s="212" t="s">
        <v>251</v>
      </c>
      <c r="C87" s="212" t="s">
        <v>341</v>
      </c>
      <c r="D87" s="214" t="s">
        <v>342</v>
      </c>
      <c r="E87" s="215">
        <v>4</v>
      </c>
      <c r="F87" s="216">
        <v>7.52</v>
      </c>
      <c r="G87" s="216">
        <v>30.08</v>
      </c>
    </row>
    <row r="88" spans="1:7" x14ac:dyDescent="0.3">
      <c r="A88" s="219"/>
      <c r="B88" s="219"/>
      <c r="C88" s="219"/>
      <c r="D88" s="219" t="s">
        <v>270</v>
      </c>
      <c r="E88" s="217">
        <v>0</v>
      </c>
      <c r="F88" s="219" t="s">
        <v>271</v>
      </c>
      <c r="G88" s="217">
        <v>14.1</v>
      </c>
    </row>
    <row r="89" spans="1:7" ht="15" customHeight="1" thickBot="1" x14ac:dyDescent="0.35">
      <c r="A89" s="219"/>
      <c r="B89" s="219"/>
      <c r="C89" s="219"/>
      <c r="D89" s="219"/>
      <c r="E89" s="322" t="s">
        <v>272</v>
      </c>
      <c r="F89" s="322"/>
      <c r="G89" s="217">
        <v>1248.73</v>
      </c>
    </row>
    <row r="90" spans="1:7" ht="15" thickTop="1" x14ac:dyDescent="0.3">
      <c r="A90" s="218"/>
      <c r="B90" s="218"/>
      <c r="C90" s="218"/>
      <c r="D90" s="218"/>
      <c r="E90" s="218"/>
      <c r="F90" s="218"/>
      <c r="G90" s="218"/>
    </row>
    <row r="91" spans="1:7" x14ac:dyDescent="0.3">
      <c r="A91" s="205" t="s">
        <v>244</v>
      </c>
      <c r="B91" s="204" t="s">
        <v>245</v>
      </c>
      <c r="C91" s="204" t="s">
        <v>246</v>
      </c>
      <c r="D91" s="206" t="s">
        <v>247</v>
      </c>
      <c r="E91" s="205" t="s">
        <v>248</v>
      </c>
      <c r="F91" s="205" t="s">
        <v>249</v>
      </c>
      <c r="G91" s="205" t="s">
        <v>157</v>
      </c>
    </row>
    <row r="92" spans="1:7" s="119" customFormat="1" ht="26.4" x14ac:dyDescent="0.3">
      <c r="A92" s="208" t="s">
        <v>343</v>
      </c>
      <c r="B92" s="207" t="s">
        <v>274</v>
      </c>
      <c r="C92" s="207" t="s">
        <v>104</v>
      </c>
      <c r="D92" s="209" t="s">
        <v>75</v>
      </c>
      <c r="E92" s="210">
        <v>1</v>
      </c>
      <c r="F92" s="211">
        <v>419.46</v>
      </c>
      <c r="G92" s="211">
        <v>419.46</v>
      </c>
    </row>
    <row r="93" spans="1:7" ht="39.6" x14ac:dyDescent="0.3">
      <c r="A93" s="213" t="s">
        <v>344</v>
      </c>
      <c r="B93" s="212" t="s">
        <v>251</v>
      </c>
      <c r="C93" s="212" t="s">
        <v>345</v>
      </c>
      <c r="D93" s="214" t="s">
        <v>300</v>
      </c>
      <c r="E93" s="215">
        <v>2.3699999999999999E-2</v>
      </c>
      <c r="F93" s="216">
        <v>1008.74</v>
      </c>
      <c r="G93" s="216">
        <v>23.9</v>
      </c>
    </row>
    <row r="94" spans="1:7" x14ac:dyDescent="0.3">
      <c r="A94" s="213" t="s">
        <v>258</v>
      </c>
      <c r="B94" s="212" t="s">
        <v>251</v>
      </c>
      <c r="C94" s="212" t="s">
        <v>259</v>
      </c>
      <c r="D94" s="214" t="s">
        <v>255</v>
      </c>
      <c r="E94" s="215">
        <v>0.64129999999999998</v>
      </c>
      <c r="F94" s="216">
        <v>20.100000000000001</v>
      </c>
      <c r="G94" s="216">
        <v>12.89</v>
      </c>
    </row>
    <row r="95" spans="1:7" ht="26.4" x14ac:dyDescent="0.3">
      <c r="A95" s="213" t="s">
        <v>336</v>
      </c>
      <c r="B95" s="212" t="s">
        <v>251</v>
      </c>
      <c r="C95" s="212" t="s">
        <v>337</v>
      </c>
      <c r="D95" s="214" t="s">
        <v>255</v>
      </c>
      <c r="E95" s="215">
        <v>0.21379999999999999</v>
      </c>
      <c r="F95" s="216">
        <v>20.59</v>
      </c>
      <c r="G95" s="216">
        <v>4.4000000000000004</v>
      </c>
    </row>
    <row r="96" spans="1:7" ht="26.4" x14ac:dyDescent="0.3">
      <c r="A96" s="213" t="s">
        <v>346</v>
      </c>
      <c r="B96" s="212" t="s">
        <v>251</v>
      </c>
      <c r="C96" s="212" t="s">
        <v>347</v>
      </c>
      <c r="D96" s="214" t="s">
        <v>267</v>
      </c>
      <c r="E96" s="215">
        <v>3.3</v>
      </c>
      <c r="F96" s="216">
        <v>114.63</v>
      </c>
      <c r="G96" s="216">
        <v>378.27</v>
      </c>
    </row>
    <row r="97" spans="1:7" x14ac:dyDescent="0.3">
      <c r="A97" s="219"/>
      <c r="B97" s="219"/>
      <c r="C97" s="219"/>
      <c r="D97" s="219" t="s">
        <v>270</v>
      </c>
      <c r="E97" s="217">
        <v>0</v>
      </c>
      <c r="F97" s="219" t="s">
        <v>271</v>
      </c>
      <c r="G97" s="217">
        <v>13.92</v>
      </c>
    </row>
    <row r="98" spans="1:7" ht="14.4" customHeight="1" x14ac:dyDescent="0.3">
      <c r="A98" s="219"/>
      <c r="B98" s="219"/>
      <c r="C98" s="219"/>
      <c r="D98" s="219"/>
      <c r="E98" s="322" t="s">
        <v>272</v>
      </c>
      <c r="F98" s="322"/>
      <c r="G98" s="217">
        <v>537.49</v>
      </c>
    </row>
    <row r="99" spans="1:7" x14ac:dyDescent="0.3">
      <c r="A99" s="39"/>
      <c r="B99" s="39"/>
      <c r="C99" s="221"/>
      <c r="D99" s="39"/>
      <c r="E99" s="39"/>
      <c r="F99" s="39"/>
      <c r="G99" s="39"/>
    </row>
  </sheetData>
  <mergeCells count="16">
    <mergeCell ref="E73:F73"/>
    <mergeCell ref="E80:F80"/>
    <mergeCell ref="E89:F89"/>
    <mergeCell ref="E98:F98"/>
    <mergeCell ref="E16:F16"/>
    <mergeCell ref="E24:F24"/>
    <mergeCell ref="E33:F33"/>
    <mergeCell ref="E45:F45"/>
    <mergeCell ref="E55:F55"/>
    <mergeCell ref="E66:F66"/>
    <mergeCell ref="A1:G1"/>
    <mergeCell ref="A2:D2"/>
    <mergeCell ref="E2:F2"/>
    <mergeCell ref="A3:D3"/>
    <mergeCell ref="A4:G4"/>
    <mergeCell ref="A5:G5"/>
  </mergeCells>
  <printOptions horizontalCentered="1"/>
  <pageMargins left="1.1023622047244095" right="0.51181102362204722" top="1.5748031496062993" bottom="0.78740157480314965" header="0.31496062992125984" footer="0.31496062992125984"/>
  <pageSetup paperSize="9" scale="55" fitToHeight="0" orientation="portrait" r:id="rId1"/>
  <headerFooter>
    <oddHeader>&amp;C&amp;G</oddHeader>
  </headerFooter>
  <rowBreaks count="2" manualBreakCount="2">
    <brk id="45" max="6" man="1"/>
    <brk id="80" max="6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9F0E-D3A0-43AB-8466-B2F34651ED9B}">
  <sheetPr>
    <pageSetUpPr fitToPage="1"/>
  </sheetPr>
  <dimension ref="A1:Y100"/>
  <sheetViews>
    <sheetView view="pageBreakPreview" zoomScaleNormal="100" zoomScaleSheetLayoutView="100" workbookViewId="0">
      <selection activeCell="K7" sqref="K7"/>
    </sheetView>
  </sheetViews>
  <sheetFormatPr defaultRowHeight="14.4" x14ac:dyDescent="0.3"/>
  <cols>
    <col min="1" max="1" width="10.77734375" customWidth="1"/>
    <col min="2" max="2" width="17.77734375" customWidth="1"/>
    <col min="3" max="3" width="50.77734375" customWidth="1"/>
    <col min="4" max="4" width="14.77734375" customWidth="1"/>
    <col min="5" max="5" width="10.77734375" customWidth="1"/>
    <col min="6" max="8" width="13.77734375" customWidth="1"/>
  </cols>
  <sheetData>
    <row r="1" spans="1:25" ht="25.05" customHeight="1" x14ac:dyDescent="0.3">
      <c r="A1" s="307" t="s">
        <v>241</v>
      </c>
      <c r="B1" s="308"/>
      <c r="C1" s="308"/>
      <c r="D1" s="308"/>
      <c r="E1" s="308"/>
      <c r="F1" s="308"/>
      <c r="G1" s="308"/>
      <c r="H1" s="308"/>
    </row>
    <row r="2" spans="1:25" ht="19.95" customHeight="1" x14ac:dyDescent="0.3">
      <c r="A2" s="309" t="str">
        <f>RES!A2</f>
        <v>PAVIMENTAÇÃO DE VIAS PÚBLICAS NO MUNÍCIO DE TERESINA - PI</v>
      </c>
      <c r="B2" s="309"/>
      <c r="C2" s="309"/>
      <c r="D2" s="306" t="str">
        <f>RES!C2</f>
        <v>FONTE: SINAPI 12/2025</v>
      </c>
      <c r="E2" s="306"/>
      <c r="F2" s="306" t="str">
        <f>'RES DES'!E2</f>
        <v>COM DESONERAÇÃO
 BDI: 28,14%</v>
      </c>
      <c r="G2" s="306"/>
      <c r="H2" s="306"/>
    </row>
    <row r="3" spans="1:25" ht="19.95" customHeight="1" x14ac:dyDescent="0.3">
      <c r="A3" s="321" t="str">
        <f>RES!A3</f>
        <v>LOCALIDADE: DIVERSAS</v>
      </c>
      <c r="B3" s="321"/>
      <c r="C3" s="321"/>
      <c r="D3" s="101" t="str">
        <f>RES!E3</f>
        <v>ÁREA TOTAL (m²):</v>
      </c>
      <c r="E3" s="123">
        <f>RES!F3</f>
        <v>3853</v>
      </c>
      <c r="F3" s="306" t="str">
        <f>'ORÇ (2)'!F3</f>
        <v>HORISTA: 90,66%
MENSALISTA: 52,90%</v>
      </c>
      <c r="G3" s="306"/>
      <c r="H3" s="306"/>
    </row>
    <row r="4" spans="1:25" ht="15" customHeight="1" x14ac:dyDescent="0.3">
      <c r="A4" s="303"/>
      <c r="B4" s="304"/>
      <c r="C4" s="304"/>
      <c r="D4" s="304"/>
      <c r="E4" s="304"/>
      <c r="F4" s="304"/>
      <c r="G4" s="304"/>
      <c r="H4" s="305"/>
    </row>
    <row r="5" spans="1:25" s="119" customFormat="1" ht="15" customHeight="1" x14ac:dyDescent="0.3">
      <c r="A5" s="349" t="s">
        <v>198</v>
      </c>
      <c r="B5" s="350"/>
      <c r="C5" s="125"/>
      <c r="D5" s="125"/>
      <c r="E5" s="125"/>
      <c r="F5" s="125"/>
      <c r="G5" s="125"/>
      <c r="H5" s="126"/>
      <c r="I5" s="351"/>
      <c r="J5" s="352"/>
      <c r="K5" s="352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119" customFormat="1" ht="15" customHeight="1" x14ac:dyDescent="0.3">
      <c r="A6" s="127"/>
      <c r="B6" s="128"/>
      <c r="C6" s="125"/>
      <c r="D6" s="125"/>
      <c r="E6" s="125"/>
      <c r="F6" s="125"/>
      <c r="G6" s="125"/>
      <c r="H6" s="126"/>
      <c r="I6" s="351"/>
      <c r="J6" s="352"/>
      <c r="K6" s="352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119" customFormat="1" ht="15" customHeight="1" x14ac:dyDescent="0.3">
      <c r="A7" s="129"/>
      <c r="B7" s="364" t="s">
        <v>13</v>
      </c>
      <c r="C7" s="365" t="s">
        <v>199</v>
      </c>
      <c r="D7" s="132">
        <f>IF(C7="x",1,0)</f>
        <v>1</v>
      </c>
      <c r="E7" s="133"/>
      <c r="F7" s="134"/>
      <c r="G7" s="197"/>
      <c r="H7" s="135">
        <f>IF(F7="x",1,0)</f>
        <v>0</v>
      </c>
      <c r="I7" s="351"/>
      <c r="J7" s="352"/>
      <c r="K7" s="352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119" customFormat="1" ht="15" customHeight="1" x14ac:dyDescent="0.3">
      <c r="A8" s="129"/>
      <c r="B8" s="364" t="s">
        <v>12</v>
      </c>
      <c r="C8" s="365"/>
      <c r="D8" s="132">
        <f>IF(C8="x",1,0)</f>
        <v>0</v>
      </c>
      <c r="E8" s="136"/>
      <c r="F8" s="134"/>
      <c r="G8" s="197"/>
      <c r="H8" s="135">
        <f>IF(F8="x",1,0)</f>
        <v>0</v>
      </c>
      <c r="I8" s="351"/>
      <c r="J8" s="352"/>
      <c r="K8" s="352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119" customFormat="1" ht="15" customHeight="1" thickBot="1" x14ac:dyDescent="0.35">
      <c r="A9" s="137"/>
      <c r="B9" s="366" t="str">
        <f>IF(D9&gt;1,"SELECIONE SOMENTE UM TIPO DE BDI",IF(D9=0,"SELECIONE UM TIPO DE BDI",""))</f>
        <v/>
      </c>
      <c r="C9" s="366"/>
      <c r="D9" s="138">
        <f>SUM(D7:D8)</f>
        <v>1</v>
      </c>
      <c r="E9" s="327"/>
      <c r="F9" s="327"/>
      <c r="G9" s="327"/>
      <c r="H9" s="139">
        <f>SUM(H7:H8)</f>
        <v>0</v>
      </c>
      <c r="I9" s="351"/>
      <c r="J9" s="352"/>
      <c r="K9" s="352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119" customFormat="1" ht="15" customHeight="1" thickBot="1" x14ac:dyDescent="0.35">
      <c r="A10" s="125"/>
      <c r="B10" s="367"/>
      <c r="C10" s="367"/>
      <c r="D10" s="125"/>
      <c r="E10" s="125"/>
      <c r="F10" s="125"/>
      <c r="G10" s="140"/>
      <c r="H10" s="140"/>
      <c r="I10" s="351"/>
      <c r="J10" s="352"/>
      <c r="K10" s="352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119" customFormat="1" ht="25.05" customHeight="1" x14ac:dyDescent="0.3">
      <c r="A11" s="328"/>
      <c r="B11" s="353"/>
      <c r="C11" s="147"/>
      <c r="D11" s="147"/>
      <c r="E11" s="147"/>
      <c r="F11" s="147"/>
      <c r="G11" s="141"/>
      <c r="H11" s="142"/>
      <c r="I11" s="351">
        <f>IF(H18&lt;&gt;0,VLOOKUP("x",G12:I17,3,FALSE),0)</f>
        <v>2</v>
      </c>
      <c r="J11" s="352"/>
      <c r="K11" s="352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119" customFormat="1" ht="15" customHeight="1" x14ac:dyDescent="0.3">
      <c r="A12" s="143"/>
      <c r="B12" s="125"/>
      <c r="C12" s="125"/>
      <c r="D12" s="125"/>
      <c r="E12" s="125"/>
      <c r="F12" s="144" t="s">
        <v>200</v>
      </c>
      <c r="G12" s="131"/>
      <c r="H12" s="135">
        <f t="shared" ref="H12:H17" si="0">IF(G12="x",1,0)</f>
        <v>0</v>
      </c>
      <c r="I12" s="351">
        <v>1</v>
      </c>
      <c r="J12" s="352"/>
      <c r="K12" s="35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119" customFormat="1" ht="15" customHeight="1" x14ac:dyDescent="0.3">
      <c r="A13" s="143"/>
      <c r="B13" s="125"/>
      <c r="C13" s="125"/>
      <c r="D13" s="125"/>
      <c r="E13" s="125"/>
      <c r="F13" s="144" t="s">
        <v>201</v>
      </c>
      <c r="G13" s="131" t="s">
        <v>199</v>
      </c>
      <c r="H13" s="135">
        <f t="shared" si="0"/>
        <v>1</v>
      </c>
      <c r="I13" s="351">
        <v>2</v>
      </c>
      <c r="J13" s="352"/>
      <c r="K13" s="352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119" customFormat="1" ht="25.05" customHeight="1" x14ac:dyDescent="0.3">
      <c r="A14" s="143"/>
      <c r="B14" s="125"/>
      <c r="C14" s="125"/>
      <c r="D14" s="125"/>
      <c r="E14" s="125"/>
      <c r="F14" s="144" t="s">
        <v>202</v>
      </c>
      <c r="G14" s="131"/>
      <c r="H14" s="135">
        <f t="shared" si="0"/>
        <v>0</v>
      </c>
      <c r="I14" s="351">
        <v>3</v>
      </c>
      <c r="J14" s="352"/>
      <c r="K14" s="352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119" customFormat="1" ht="25.05" customHeight="1" x14ac:dyDescent="0.3">
      <c r="A15" s="143"/>
      <c r="B15" s="125"/>
      <c r="C15" s="125"/>
      <c r="D15" s="125"/>
      <c r="E15" s="125"/>
      <c r="F15" s="144" t="s">
        <v>203</v>
      </c>
      <c r="G15" s="131"/>
      <c r="H15" s="135">
        <f t="shared" si="0"/>
        <v>0</v>
      </c>
      <c r="I15" s="351">
        <v>4</v>
      </c>
      <c r="J15" s="352"/>
      <c r="K15" s="352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119" customFormat="1" ht="15" customHeight="1" x14ac:dyDescent="0.3">
      <c r="A16" s="143"/>
      <c r="B16" s="125"/>
      <c r="C16" s="125"/>
      <c r="D16" s="125"/>
      <c r="E16" s="125"/>
      <c r="F16" s="144" t="s">
        <v>204</v>
      </c>
      <c r="G16" s="131"/>
      <c r="H16" s="135">
        <f t="shared" si="0"/>
        <v>0</v>
      </c>
      <c r="I16" s="351">
        <v>5</v>
      </c>
      <c r="J16" s="352"/>
      <c r="K16" s="352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119" customFormat="1" ht="15" customHeight="1" x14ac:dyDescent="0.3">
      <c r="A17" s="143"/>
      <c r="B17" s="330" t="str">
        <f>IF(AND(C7="x",G17="x"),"NÃO HÁ DESONERAÇÃO PARA FORNECIMENTO DE MATERIAIS","")</f>
        <v/>
      </c>
      <c r="C17" s="330"/>
      <c r="D17" s="330"/>
      <c r="E17" s="125"/>
      <c r="F17" s="144" t="s">
        <v>205</v>
      </c>
      <c r="G17" s="131"/>
      <c r="H17" s="135">
        <f t="shared" si="0"/>
        <v>0</v>
      </c>
      <c r="I17" s="351">
        <v>6</v>
      </c>
      <c r="J17" s="352"/>
      <c r="K17" s="352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119" customFormat="1" ht="25.05" customHeight="1" thickBot="1" x14ac:dyDescent="0.35">
      <c r="A18" s="137"/>
      <c r="B18" s="368" t="str">
        <f>IF(H18&gt;1,"SELECIONE SOMENTE UM TIPO DE SERVIÇO",IF(H18=0,"SELECIONE UM TIPO DE SERVIÇO",""))</f>
        <v/>
      </c>
      <c r="C18" s="368"/>
      <c r="D18" s="369"/>
      <c r="E18" s="369"/>
      <c r="F18" s="370"/>
      <c r="G18" s="371"/>
      <c r="H18" s="139">
        <f>SUM(H12:H17)</f>
        <v>1</v>
      </c>
      <c r="I18" s="351"/>
      <c r="J18" s="352"/>
      <c r="K18" s="352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19" customFormat="1" ht="25.05" customHeight="1" thickBot="1" x14ac:dyDescent="0.35">
      <c r="A19" s="125"/>
      <c r="B19" s="367"/>
      <c r="C19" s="367"/>
      <c r="D19" s="367"/>
      <c r="E19" s="372"/>
      <c r="F19" s="372"/>
      <c r="G19" s="373"/>
      <c r="H19" s="197"/>
      <c r="I19" s="351"/>
      <c r="J19" s="352"/>
      <c r="K19" s="352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119" customFormat="1" ht="15" customHeight="1" x14ac:dyDescent="0.3">
      <c r="A20" s="328" t="s">
        <v>206</v>
      </c>
      <c r="B20" s="329"/>
      <c r="C20" s="147"/>
      <c r="D20" s="147"/>
      <c r="E20" s="338"/>
      <c r="F20" s="338"/>
      <c r="G20" s="148" t="s">
        <v>28</v>
      </c>
      <c r="H20" s="149"/>
      <c r="I20" s="351"/>
      <c r="J20" s="352"/>
      <c r="K20" s="352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119" customFormat="1" ht="15" customHeight="1" x14ac:dyDescent="0.3">
      <c r="A21" s="150"/>
      <c r="B21" s="146"/>
      <c r="C21" s="146"/>
      <c r="D21" s="146"/>
      <c r="E21" s="146"/>
      <c r="F21" s="146"/>
      <c r="G21" s="197"/>
      <c r="H21" s="151"/>
      <c r="I21" s="351"/>
      <c r="J21" s="352" t="s">
        <v>349</v>
      </c>
      <c r="K21" s="352" t="s">
        <v>350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119" customFormat="1" ht="25.05" customHeight="1" x14ac:dyDescent="0.3">
      <c r="A22" s="150"/>
      <c r="B22" s="152" t="s">
        <v>207</v>
      </c>
      <c r="C22" s="153"/>
      <c r="D22" s="153" t="str">
        <f>IF(AND(G22&gt;=J22,G22&lt;=K22),"","FORA DO LIMITE")</f>
        <v/>
      </c>
      <c r="E22" s="153"/>
      <c r="F22" s="154" t="s">
        <v>208</v>
      </c>
      <c r="G22" s="155">
        <v>3.7999999999999999E-2</v>
      </c>
      <c r="H22" s="151"/>
      <c r="I22" s="351"/>
      <c r="J22" s="352">
        <f>VLOOKUP($I$13,[2]Referências!A10:D16,2,FALSE)</f>
        <v>3.7999999999999999E-2</v>
      </c>
      <c r="K22" s="352">
        <f>VLOOKUP($I$13,[2]Referências!A10:D16,4,FALSE)</f>
        <v>4.6699999999999998E-2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119" customFormat="1" ht="25.05" customHeight="1" x14ac:dyDescent="0.3">
      <c r="A23" s="150"/>
      <c r="B23" s="156"/>
      <c r="C23" s="146"/>
      <c r="D23" s="146"/>
      <c r="E23" s="146"/>
      <c r="F23" s="144"/>
      <c r="G23" s="157"/>
      <c r="H23" s="151"/>
      <c r="I23" s="351"/>
      <c r="J23" s="352"/>
      <c r="K23" s="352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119" customFormat="1" ht="15" customHeight="1" x14ac:dyDescent="0.3">
      <c r="A24" s="150"/>
      <c r="B24" s="152" t="s">
        <v>209</v>
      </c>
      <c r="C24" s="153"/>
      <c r="D24" s="153" t="str">
        <f>IF(AND(G24&gt;=J24,G24&lt;=K24),"","FORA DO LIMITE")</f>
        <v/>
      </c>
      <c r="E24" s="153"/>
      <c r="F24" s="154" t="s">
        <v>210</v>
      </c>
      <c r="G24" s="158">
        <v>1.0200000000000001E-2</v>
      </c>
      <c r="H24" s="159"/>
      <c r="I24" s="351"/>
      <c r="J24" s="352">
        <f>VLOOKUP($I$13,[2]Referências!A37:D43,2,FALSE)</f>
        <v>1.0200000000000001E-2</v>
      </c>
      <c r="K24" s="352">
        <f>VLOOKUP($I$13,[2]Referências!A37:D43,4,FALSE)</f>
        <v>1.21E-2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119" customFormat="1" ht="15" customHeight="1" x14ac:dyDescent="0.3">
      <c r="A25" s="150"/>
      <c r="B25" s="156"/>
      <c r="C25" s="146"/>
      <c r="D25" s="146"/>
      <c r="E25" s="146"/>
      <c r="F25" s="144"/>
      <c r="G25" s="160"/>
      <c r="H25" s="159"/>
      <c r="I25" s="351"/>
      <c r="J25" s="352"/>
      <c r="K25" s="352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119" customFormat="1" ht="15" customHeight="1" x14ac:dyDescent="0.3">
      <c r="A26" s="150"/>
      <c r="B26" s="161" t="s">
        <v>211</v>
      </c>
      <c r="C26" s="162"/>
      <c r="D26" s="162"/>
      <c r="E26" s="162"/>
      <c r="F26" s="163"/>
      <c r="G26" s="164"/>
      <c r="H26" s="165"/>
      <c r="I26" s="351"/>
      <c r="J26" s="352"/>
      <c r="K26" s="352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119" customFormat="1" ht="15" customHeight="1" x14ac:dyDescent="0.3">
      <c r="A27" s="150"/>
      <c r="B27" s="175"/>
      <c r="C27" s="146"/>
      <c r="D27" s="146" t="str">
        <f>IF(AND(G27&gt;=J27,G27&lt;=K27),"","FORA DO LIMITE")</f>
        <v/>
      </c>
      <c r="E27" s="146"/>
      <c r="F27" s="144" t="s">
        <v>212</v>
      </c>
      <c r="G27" s="166">
        <v>3.2000000000000002E-3</v>
      </c>
      <c r="H27" s="167"/>
      <c r="I27" s="351"/>
      <c r="J27" s="352">
        <f>VLOOKUP($I$13,[2]Referências!A19:D25,2,FALSE)</f>
        <v>3.2000000000000002E-3</v>
      </c>
      <c r="K27" s="352">
        <f>VLOOKUP($I$13,[2]Referências!A19:D25,4,FALSE)</f>
        <v>7.4000000000000003E-3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119" customFormat="1" ht="15" customHeight="1" x14ac:dyDescent="0.3">
      <c r="A28" s="150"/>
      <c r="B28" s="168"/>
      <c r="C28" s="169"/>
      <c r="D28" s="169" t="str">
        <f>IF(AND(G28&gt;=J28,G28&lt;=K28),"","FORA DO LIMITE")</f>
        <v/>
      </c>
      <c r="E28" s="169"/>
      <c r="F28" s="170" t="s">
        <v>213</v>
      </c>
      <c r="G28" s="171">
        <v>7.1999999999999998E-3</v>
      </c>
      <c r="H28" s="151"/>
      <c r="I28" s="351"/>
      <c r="J28" s="352">
        <f>VLOOKUP($I$13,[2]Referências!A28:D34,2,FALSE)</f>
        <v>5.0000000000000001E-3</v>
      </c>
      <c r="K28" s="352">
        <f>VLOOKUP($I$13,[2]Referências!A28:D34,4,FALSE)</f>
        <v>9.7000000000000003E-3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s="119" customFormat="1" ht="15" customHeight="1" x14ac:dyDescent="0.3">
      <c r="A29" s="150"/>
      <c r="B29" s="146"/>
      <c r="C29" s="146"/>
      <c r="D29" s="146"/>
      <c r="E29" s="146"/>
      <c r="F29" s="144"/>
      <c r="G29" s="160"/>
      <c r="H29" s="167"/>
      <c r="I29" s="351"/>
      <c r="J29" s="352"/>
      <c r="K29" s="352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119" customFormat="1" ht="25.05" customHeight="1" x14ac:dyDescent="0.3">
      <c r="A30" s="150"/>
      <c r="B30" s="130" t="s">
        <v>214</v>
      </c>
      <c r="C30" s="153"/>
      <c r="D30" s="153" t="str">
        <f>IF(AND(G30&gt;=J30,G30&lt;=K30),"","FORA DO LIMITE")</f>
        <v/>
      </c>
      <c r="E30" s="153"/>
      <c r="F30" s="154" t="s">
        <v>215</v>
      </c>
      <c r="G30" s="158">
        <v>7.4999999999999997E-2</v>
      </c>
      <c r="H30" s="167"/>
      <c r="I30" s="351"/>
      <c r="J30" s="352">
        <f>VLOOKUP($I$13,[2]Referências!A46:D52,2,FALSE)</f>
        <v>6.6400000000000001E-2</v>
      </c>
      <c r="K30" s="352">
        <f>VLOOKUP($I$13,[2]Referências!A46:D52,4,FALSE)</f>
        <v>8.6900000000000005E-2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119" customFormat="1" ht="15" customHeight="1" x14ac:dyDescent="0.3">
      <c r="A31" s="150"/>
      <c r="B31" s="146"/>
      <c r="C31" s="146"/>
      <c r="D31" s="146"/>
      <c r="E31" s="146"/>
      <c r="F31" s="144"/>
      <c r="G31" s="160"/>
      <c r="H31" s="167"/>
      <c r="I31" s="351"/>
      <c r="J31" s="352"/>
      <c r="K31" s="352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119" customFormat="1" ht="15" customHeight="1" x14ac:dyDescent="0.3">
      <c r="A32" s="150"/>
      <c r="B32" s="161" t="s">
        <v>216</v>
      </c>
      <c r="C32" s="162"/>
      <c r="D32" s="162"/>
      <c r="E32" s="162"/>
      <c r="F32" s="163"/>
      <c r="G32" s="164"/>
      <c r="H32" s="167"/>
      <c r="I32" s="351"/>
      <c r="J32" s="352"/>
      <c r="K32" s="35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s="119" customFormat="1" ht="25.05" customHeight="1" x14ac:dyDescent="0.3">
      <c r="A33" s="150"/>
      <c r="B33" s="172"/>
      <c r="C33" s="146"/>
      <c r="D33" s="146"/>
      <c r="E33" s="146"/>
      <c r="F33" s="144" t="str">
        <f>IF(AND(C7="X",C7&lt;&gt;C8,I11&lt;&gt;6,F8&lt;&gt;"X"),"INSS =","")</f>
        <v>INSS =</v>
      </c>
      <c r="G33" s="173">
        <f>IF(AND(C7="x",I11&lt;&gt;6,B9&lt;&gt;"SELECIONE SOMENTE UM TIPO DE BDI"),K33,"")</f>
        <v>4.4999999999999998E-2</v>
      </c>
      <c r="H33" s="174"/>
      <c r="I33" s="351"/>
      <c r="J33" s="352">
        <v>0</v>
      </c>
      <c r="K33" s="352">
        <v>4.4999999999999998E-2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s="119" customFormat="1" ht="25.05" customHeight="1" x14ac:dyDescent="0.3">
      <c r="A34" s="150"/>
      <c r="B34" s="337" t="str">
        <f>IF(AND(G34&lt;&gt;"",I11=6),"APAGUE O PERCENTUAL DESTA LINHA","")</f>
        <v/>
      </c>
      <c r="C34" s="330"/>
      <c r="D34" s="146" t="str">
        <f>IF(B34="APAGUE O PERCENTUAL DESTA LINHA","",IF(AND(G34&gt;=J34,G34&lt;=K34),"","FORA DO LIMITE"))</f>
        <v/>
      </c>
      <c r="E34" s="146"/>
      <c r="F34" s="144" t="str">
        <f>IF(I11=6,"","ISSQN =")</f>
        <v>ISSQN =</v>
      </c>
      <c r="G34" s="166">
        <v>0.03</v>
      </c>
      <c r="H34" s="174"/>
      <c r="I34" s="351"/>
      <c r="J34" s="352">
        <v>1.2E-2</v>
      </c>
      <c r="K34" s="352">
        <v>0.03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s="119" customFormat="1" ht="15" customHeight="1" x14ac:dyDescent="0.3">
      <c r="A35" s="150"/>
      <c r="B35" s="175"/>
      <c r="C35" s="146"/>
      <c r="D35" s="146" t="str">
        <f>IF(AND(G35&gt;=J35,G35&lt;=K35),"","FORA DO LIMITE")</f>
        <v/>
      </c>
      <c r="E35" s="146"/>
      <c r="F35" s="144" t="s">
        <v>217</v>
      </c>
      <c r="G35" s="176">
        <v>6.4999999999999997E-3</v>
      </c>
      <c r="H35" s="174"/>
      <c r="I35" s="351"/>
      <c r="J35" s="352">
        <v>6.4999999999999997E-3</v>
      </c>
      <c r="K35" s="352">
        <v>6.4999999999999997E-3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s="119" customFormat="1" ht="15" customHeight="1" x14ac:dyDescent="0.3">
      <c r="A36" s="150"/>
      <c r="B36" s="175"/>
      <c r="C36" s="146"/>
      <c r="D36" s="146" t="str">
        <f>IF(AND(G36&gt;=J36,G36&lt;=K36),"","FORA DO LIMITE")</f>
        <v/>
      </c>
      <c r="E36" s="146"/>
      <c r="F36" s="144" t="s">
        <v>218</v>
      </c>
      <c r="G36" s="176">
        <v>0.03</v>
      </c>
      <c r="H36" s="174"/>
      <c r="I36" s="351"/>
      <c r="J36" s="352">
        <v>0.03</v>
      </c>
      <c r="K36" s="352">
        <v>0.03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s="119" customFormat="1" ht="25.05" customHeight="1" x14ac:dyDescent="0.3">
      <c r="A37" s="150"/>
      <c r="B37" s="168"/>
      <c r="C37" s="169"/>
      <c r="D37" s="169"/>
      <c r="E37" s="169"/>
      <c r="F37" s="170" t="s">
        <v>219</v>
      </c>
      <c r="G37" s="177">
        <f>SUM(G33:G36)</f>
        <v>0.1115</v>
      </c>
      <c r="H37" s="167"/>
      <c r="I37" s="351"/>
      <c r="J37" s="352"/>
      <c r="K37" s="352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s="119" customFormat="1" ht="25.05" customHeight="1" thickBot="1" x14ac:dyDescent="0.35">
      <c r="A38" s="178"/>
      <c r="B38" s="145"/>
      <c r="C38" s="145"/>
      <c r="D38" s="145"/>
      <c r="E38" s="145"/>
      <c r="F38" s="179"/>
      <c r="G38" s="180"/>
      <c r="H38" s="181"/>
      <c r="I38" s="351"/>
      <c r="J38" s="352"/>
      <c r="K38" s="352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s="119" customFormat="1" ht="15" customHeight="1" thickBot="1" x14ac:dyDescent="0.35">
      <c r="A39" s="146"/>
      <c r="B39" s="146"/>
      <c r="C39" s="146"/>
      <c r="D39" s="146"/>
      <c r="E39" s="146"/>
      <c r="F39" s="182"/>
      <c r="G39" s="183"/>
      <c r="H39" s="184"/>
      <c r="I39" s="351"/>
      <c r="J39" s="352"/>
      <c r="K39" s="352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s="119" customFormat="1" ht="15" customHeight="1" x14ac:dyDescent="0.3">
      <c r="A40" s="328" t="s">
        <v>220</v>
      </c>
      <c r="B40" s="329"/>
      <c r="C40" s="147"/>
      <c r="D40" s="147"/>
      <c r="E40" s="147"/>
      <c r="F40" s="147"/>
      <c r="G40" s="148"/>
      <c r="H40" s="149"/>
      <c r="I40" s="351"/>
      <c r="J40" s="352" t="s">
        <v>351</v>
      </c>
      <c r="K40" s="352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s="119" customFormat="1" ht="25.05" customHeight="1" x14ac:dyDescent="0.3">
      <c r="A41" s="150"/>
      <c r="B41" s="146"/>
      <c r="C41" s="146"/>
      <c r="D41" s="146"/>
      <c r="E41" s="146"/>
      <c r="F41" s="146"/>
      <c r="G41" s="197"/>
      <c r="H41" s="151"/>
      <c r="I41" s="351"/>
      <c r="J41" s="354">
        <v>1</v>
      </c>
      <c r="K41" s="352" t="str">
        <f>IF(OR(B9="SELECIONE UM TIPO DE BDI",B9="SELECIONE SOMENTE UM TIPO DE BDI"),"VER TIPO DE BDI","OK")</f>
        <v>OK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s="119" customFormat="1" ht="25.05" customHeight="1" x14ac:dyDescent="0.3">
      <c r="A42" s="150"/>
      <c r="B42" s="146"/>
      <c r="C42" s="146"/>
      <c r="D42" s="146"/>
      <c r="E42" s="146"/>
      <c r="F42" s="146"/>
      <c r="G42" s="197"/>
      <c r="H42" s="151"/>
      <c r="I42" s="351"/>
      <c r="J42" s="354">
        <v>2</v>
      </c>
      <c r="K42" s="352" t="str">
        <f>IF(OR(B18="SELECIONE SOMENTE UM TIPO DE SERVIÇO",B18="SELECIONE UM TIPO DE SERVIÇO",B17="NÃO HÁ DESONERAÇÃO PARA FORNECIMENTO DE MATERIAIS"),"VER TIPO DE SERVIÇO","OK")</f>
        <v>OK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s="119" customFormat="1" ht="15" customHeight="1" x14ac:dyDescent="0.3">
      <c r="A43" s="150"/>
      <c r="B43" s="146"/>
      <c r="C43" s="146"/>
      <c r="D43" s="146"/>
      <c r="E43" s="146"/>
      <c r="F43" s="146"/>
      <c r="G43" s="197"/>
      <c r="H43" s="151"/>
      <c r="I43" s="351"/>
      <c r="J43" s="354">
        <v>3</v>
      </c>
      <c r="K43" s="352" t="str">
        <f>IF(OR(B19="SELECIONE SOMENTE UM TIPO DE SERVIÇO",B19="SELECIONE UM TIPO DE SERVIÇO",B18="NÃO HÁ DESONERAÇÃO PARA FORNECIMENTO DE MATERIAIS"),"VER TIPO DE SERVIÇO","OK")</f>
        <v>OK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s="119" customFormat="1" ht="15" customHeight="1" x14ac:dyDescent="0.3">
      <c r="A44" s="150"/>
      <c r="B44" s="146"/>
      <c r="C44" s="146"/>
      <c r="D44" s="146"/>
      <c r="E44" s="146"/>
      <c r="F44" s="146"/>
      <c r="G44" s="197"/>
      <c r="H44" s="151"/>
      <c r="I44" s="351"/>
      <c r="J44" s="354">
        <v>4</v>
      </c>
      <c r="K44" s="352" t="str">
        <f>IF(OR(B20="SELECIONE SOMENTE UM TIPO DE SERVIÇO",B20="SELECIONE UM TIPO DE SERVIÇO",B19="NÃO HÁ DESONERAÇÃO PARA FORNECIMENTO DE MATERIAIS"),"VER TIPO DE SERVIÇO","OK")</f>
        <v>OK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s="119" customFormat="1" ht="15" customHeight="1" x14ac:dyDescent="0.3">
      <c r="A45" s="150"/>
      <c r="B45" s="146"/>
      <c r="C45" s="146"/>
      <c r="D45" s="146"/>
      <c r="E45" s="146"/>
      <c r="F45" s="146"/>
      <c r="G45" s="197"/>
      <c r="H45" s="151"/>
      <c r="I45" s="351"/>
      <c r="J45" s="354"/>
      <c r="K45" s="352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s="119" customFormat="1" ht="15" customHeight="1" x14ac:dyDescent="0.3">
      <c r="A46" s="150"/>
      <c r="B46" s="146"/>
      <c r="C46" s="146"/>
      <c r="D46" s="146"/>
      <c r="E46" s="146"/>
      <c r="F46" s="146"/>
      <c r="G46" s="197"/>
      <c r="H46" s="151"/>
      <c r="I46" s="351"/>
      <c r="J46" s="352"/>
      <c r="K46" s="352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s="119" customFormat="1" ht="15" customHeight="1" x14ac:dyDescent="0.3">
      <c r="A47" s="150"/>
      <c r="B47" s="146"/>
      <c r="C47" s="146"/>
      <c r="D47" s="146"/>
      <c r="E47" s="146"/>
      <c r="F47" s="146"/>
      <c r="G47" s="197"/>
      <c r="H47" s="151"/>
      <c r="I47" s="351"/>
      <c r="J47" s="352"/>
      <c r="K47" s="352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s="119" customFormat="1" ht="15" customHeight="1" x14ac:dyDescent="0.3">
      <c r="A48" s="150" t="s">
        <v>221</v>
      </c>
      <c r="B48" s="133" t="s">
        <v>222</v>
      </c>
      <c r="C48" s="146"/>
      <c r="D48" s="146"/>
      <c r="E48" s="146"/>
      <c r="F48" s="146"/>
      <c r="G48" s="197"/>
      <c r="H48" s="151"/>
      <c r="I48" s="351"/>
      <c r="J48" s="352"/>
      <c r="K48" s="352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s="119" customFormat="1" ht="25.05" customHeight="1" x14ac:dyDescent="0.3">
      <c r="A49" s="150" t="s">
        <v>223</v>
      </c>
      <c r="B49" s="133" t="s">
        <v>224</v>
      </c>
      <c r="C49" s="146"/>
      <c r="D49" s="146"/>
      <c r="E49" s="146"/>
      <c r="F49" s="146"/>
      <c r="G49" s="197"/>
      <c r="H49" s="151"/>
      <c r="I49" s="351"/>
      <c r="J49" s="352"/>
      <c r="K49" s="352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s="119" customFormat="1" ht="15" customHeight="1" x14ac:dyDescent="0.3">
      <c r="A50" s="150" t="s">
        <v>225</v>
      </c>
      <c r="B50" s="133" t="s">
        <v>226</v>
      </c>
      <c r="C50" s="146"/>
      <c r="D50" s="146"/>
      <c r="E50" s="146"/>
      <c r="F50" s="146"/>
      <c r="G50" s="197"/>
      <c r="H50" s="151"/>
      <c r="I50" s="351"/>
      <c r="J50" s="352"/>
      <c r="K50" s="352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s="119" customFormat="1" ht="15" customHeight="1" x14ac:dyDescent="0.3">
      <c r="A51" s="150" t="s">
        <v>210</v>
      </c>
      <c r="B51" s="133" t="s">
        <v>227</v>
      </c>
      <c r="C51" s="146"/>
      <c r="D51" s="146"/>
      <c r="E51" s="146"/>
      <c r="F51" s="146"/>
      <c r="G51" s="197"/>
      <c r="H51" s="151"/>
      <c r="I51" s="351"/>
      <c r="J51" s="352"/>
      <c r="K51" s="352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s="119" customFormat="1" ht="25.05" customHeight="1" x14ac:dyDescent="0.3">
      <c r="A52" s="150" t="s">
        <v>215</v>
      </c>
      <c r="B52" s="133" t="s">
        <v>228</v>
      </c>
      <c r="C52" s="146"/>
      <c r="D52" s="146"/>
      <c r="E52" s="146"/>
      <c r="F52" s="146"/>
      <c r="G52" s="197"/>
      <c r="H52" s="151"/>
      <c r="I52" s="351"/>
      <c r="J52" s="352"/>
      <c r="K52" s="3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s="119" customFormat="1" ht="25.05" customHeight="1" x14ac:dyDescent="0.3">
      <c r="A53" s="150" t="s">
        <v>229</v>
      </c>
      <c r="B53" s="133" t="s">
        <v>230</v>
      </c>
      <c r="C53" s="146"/>
      <c r="D53" s="146"/>
      <c r="E53" s="146"/>
      <c r="F53" s="146"/>
      <c r="G53" s="197"/>
      <c r="H53" s="151"/>
      <c r="I53" s="351"/>
      <c r="J53" s="352"/>
      <c r="K53" s="352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s="119" customFormat="1" ht="15" customHeight="1" thickBot="1" x14ac:dyDescent="0.35">
      <c r="A54" s="178"/>
      <c r="B54" s="185"/>
      <c r="C54" s="145"/>
      <c r="D54" s="145"/>
      <c r="E54" s="145"/>
      <c r="F54" s="145"/>
      <c r="G54" s="186"/>
      <c r="H54" s="187"/>
      <c r="I54" s="351"/>
      <c r="J54" s="352"/>
      <c r="K54" s="352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s="119" customFormat="1" ht="15" customHeight="1" thickBot="1" x14ac:dyDescent="0.35">
      <c r="A55" s="146"/>
      <c r="B55" s="133"/>
      <c r="C55" s="146"/>
      <c r="D55" s="146"/>
      <c r="E55" s="146"/>
      <c r="F55" s="146"/>
      <c r="G55" s="197"/>
      <c r="H55" s="197"/>
      <c r="I55" s="351"/>
      <c r="J55" s="352"/>
      <c r="K55" s="352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s="119" customFormat="1" ht="25.05" customHeight="1" x14ac:dyDescent="0.3">
      <c r="A56" s="328" t="s">
        <v>231</v>
      </c>
      <c r="B56" s="329"/>
      <c r="C56" s="188"/>
      <c r="D56" s="188"/>
      <c r="E56" s="329" t="s">
        <v>232</v>
      </c>
      <c r="F56" s="329"/>
      <c r="G56" s="148"/>
      <c r="H56" s="149"/>
      <c r="I56" s="355">
        <f>SUM(1+G22,G27,G28)</f>
        <v>1.0484000000000002</v>
      </c>
      <c r="J56" s="352"/>
      <c r="K56" s="352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s="119" customFormat="1" ht="25.05" customHeight="1" x14ac:dyDescent="0.3">
      <c r="A57" s="127"/>
      <c r="B57" s="128"/>
      <c r="C57" s="146"/>
      <c r="D57" s="146"/>
      <c r="E57" s="146"/>
      <c r="F57" s="146"/>
      <c r="G57" s="197"/>
      <c r="H57" s="151"/>
      <c r="I57" s="351">
        <f>1+G24</f>
        <v>1.0102</v>
      </c>
      <c r="J57" s="352"/>
      <c r="K57" s="352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s="119" customFormat="1" ht="15" customHeight="1" x14ac:dyDescent="0.3">
      <c r="A58" s="150"/>
      <c r="B58" s="189" t="s">
        <v>233</v>
      </c>
      <c r="C58" s="190">
        <v>0.19600000000000001</v>
      </c>
      <c r="D58" s="156" t="str">
        <f>IF(AND(C58&gt;I61,C8="X"),"BDI ABAIXO","")</f>
        <v/>
      </c>
      <c r="E58" s="189" t="s">
        <v>233</v>
      </c>
      <c r="F58" s="190">
        <v>0.25600000000000001</v>
      </c>
      <c r="G58" s="156" t="str">
        <f>IF(AND(F58&gt;I61,C7="X"),"BDI ABAIXO","")</f>
        <v/>
      </c>
      <c r="H58" s="151"/>
      <c r="I58" s="351">
        <f>1+G30</f>
        <v>1.075</v>
      </c>
      <c r="J58" s="352"/>
      <c r="K58" s="352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s="119" customFormat="1" ht="15" customHeight="1" x14ac:dyDescent="0.3">
      <c r="A59" s="150"/>
      <c r="B59" s="189" t="s">
        <v>234</v>
      </c>
      <c r="C59" s="190">
        <v>0.24229999999999999</v>
      </c>
      <c r="D59" s="156" t="str">
        <f>IF(AND(C59&lt;I62,C8="X"),"BDI ACIMA","")</f>
        <v/>
      </c>
      <c r="E59" s="189" t="s">
        <v>234</v>
      </c>
      <c r="F59" s="190">
        <v>0.30520000000000003</v>
      </c>
      <c r="G59" s="156" t="str">
        <f>IF(AND(F59&lt;I61,C7="X"),"BDI ACIMA","")</f>
        <v/>
      </c>
      <c r="H59" s="151"/>
      <c r="I59" s="351">
        <f>1-G37</f>
        <v>0.88849999999999996</v>
      </c>
      <c r="J59" s="352"/>
      <c r="K59" s="352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s="119" customFormat="1" ht="25.05" customHeight="1" thickBot="1" x14ac:dyDescent="0.35">
      <c r="A60" s="178"/>
      <c r="B60" s="185"/>
      <c r="C60" s="145"/>
      <c r="D60" s="191"/>
      <c r="E60" s="145"/>
      <c r="F60" s="191"/>
      <c r="G60" s="186"/>
      <c r="H60" s="187"/>
      <c r="I60" s="351">
        <f>I56*I57*I58/I59</f>
        <v>1.2814020326392799</v>
      </c>
      <c r="J60" s="352"/>
      <c r="K60" s="352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1:25" s="119" customFormat="1" ht="25.05" customHeight="1" thickBot="1" x14ac:dyDescent="0.35">
      <c r="A61" s="146"/>
      <c r="B61" s="146"/>
      <c r="C61" s="146"/>
      <c r="D61" s="146"/>
      <c r="E61" s="146"/>
      <c r="F61" s="146"/>
      <c r="G61" s="197"/>
      <c r="H61" s="197"/>
      <c r="I61" s="351">
        <f>ROUND(I60-1,4)</f>
        <v>0.28139999999999998</v>
      </c>
      <c r="J61" s="352"/>
      <c r="K61" s="352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s="119" customFormat="1" ht="15" customHeight="1" thickBot="1" x14ac:dyDescent="0.35">
      <c r="A62" s="146"/>
      <c r="B62" s="146"/>
      <c r="C62" s="146"/>
      <c r="D62" s="192"/>
      <c r="E62" s="335" t="s">
        <v>235</v>
      </c>
      <c r="F62" s="336"/>
      <c r="G62" s="193">
        <f>IF(AND(K41="OK",K42="OK",K43="OK",K44="OK"),I61,IF(K41="VER TIPO DE BDI","VER TIPO DE BDI",IF(K42="VER TIPO DE SERVIÇO","VER TIPO DE SERVIÇO",IF(K43="VER PERCENTUAIS","VER PERCENTUAIS",IF(K44="BDI FORA DO LIMITE","BDI FORA DO LIMITE","VÁRIOS ERROS")))))</f>
        <v>0.28139999999999998</v>
      </c>
      <c r="H62" s="194" t="str">
        <f>IF(AND(M62&gt;=P62,M62&lt;=Q62),"","FORA DO LIMITE")</f>
        <v/>
      </c>
      <c r="I62" s="356">
        <f>G68</f>
        <v>0.28139999999999998</v>
      </c>
      <c r="J62" s="352"/>
      <c r="K62" s="35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1:25" s="119" customFormat="1" ht="15" customHeight="1" x14ac:dyDescent="0.3">
      <c r="A63" s="146"/>
      <c r="B63" s="146"/>
      <c r="C63" s="146"/>
      <c r="D63" s="146"/>
      <c r="E63" s="125"/>
      <c r="F63" s="125"/>
      <c r="G63" s="195"/>
      <c r="H63" s="195"/>
      <c r="I63" s="357"/>
      <c r="J63" s="352"/>
      <c r="K63" s="352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s="119" customFormat="1" ht="15" customHeight="1" x14ac:dyDescent="0.3">
      <c r="A64" s="125"/>
      <c r="B64" s="128" t="s">
        <v>236</v>
      </c>
      <c r="C64" s="125"/>
      <c r="D64" s="125"/>
      <c r="E64" s="146"/>
      <c r="F64" s="146"/>
      <c r="G64" s="146"/>
      <c r="H64" s="146"/>
      <c r="I64" s="357"/>
      <c r="J64" s="352"/>
      <c r="K64" s="352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1:25" s="119" customFormat="1" ht="15" customHeight="1" x14ac:dyDescent="0.3">
      <c r="A65" s="133"/>
      <c r="B65" s="11" t="s">
        <v>237</v>
      </c>
      <c r="C65" s="11"/>
      <c r="D65" s="11"/>
      <c r="E65" s="146"/>
      <c r="F65" s="146"/>
      <c r="G65" s="331"/>
      <c r="H65" s="331"/>
      <c r="I65" s="351"/>
      <c r="J65" s="352"/>
      <c r="K65" s="352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1:25" s="119" customFormat="1" ht="15" customHeight="1" x14ac:dyDescent="0.3">
      <c r="A66" s="146"/>
      <c r="B66" s="11" t="s">
        <v>238</v>
      </c>
      <c r="C66" s="196"/>
      <c r="D66" s="146"/>
      <c r="E66" s="146"/>
      <c r="F66" s="146"/>
      <c r="G66" s="332"/>
      <c r="H66" s="332"/>
      <c r="I66" s="351"/>
      <c r="J66" s="352"/>
      <c r="K66" s="352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s="119" customFormat="1" ht="15" customHeight="1" x14ac:dyDescent="0.3">
      <c r="A67" s="146"/>
      <c r="B67" s="11" t="s">
        <v>239</v>
      </c>
      <c r="C67" s="146"/>
      <c r="D67" s="146"/>
      <c r="E67" s="146"/>
      <c r="F67" s="198"/>
      <c r="G67" s="197"/>
      <c r="H67" s="197"/>
      <c r="I67" s="351"/>
      <c r="J67" s="352"/>
      <c r="K67" s="352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5" s="119" customFormat="1" ht="25.05" customHeight="1" x14ac:dyDescent="0.3">
      <c r="A68" s="146"/>
      <c r="B68" s="146"/>
      <c r="C68" s="146"/>
      <c r="D68" s="146"/>
      <c r="E68" s="146"/>
      <c r="F68" s="199" t="s">
        <v>240</v>
      </c>
      <c r="G68" s="333">
        <f>I61</f>
        <v>0.28139999999999998</v>
      </c>
      <c r="H68" s="334"/>
      <c r="I68" s="351"/>
      <c r="J68" s="352"/>
      <c r="K68" s="352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s="119" customFormat="1" ht="15" customHeight="1" x14ac:dyDescent="0.3">
      <c r="A69" s="358"/>
      <c r="B69" s="358"/>
      <c r="C69" s="359"/>
      <c r="D69" s="360"/>
      <c r="E69" s="359"/>
      <c r="F69" s="359"/>
      <c r="G69" s="360"/>
      <c r="H69" s="360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s="119" customFormat="1" ht="15" customHeight="1" x14ac:dyDescent="0.3">
      <c r="A70" s="358"/>
      <c r="B70" s="358"/>
      <c r="C70" s="359"/>
      <c r="D70" s="360"/>
      <c r="E70" s="359"/>
      <c r="F70" s="359"/>
      <c r="G70" s="360"/>
      <c r="H70" s="36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s="119" customFormat="1" ht="25.05" customHeight="1" x14ac:dyDescent="0.3">
      <c r="A71" s="361"/>
      <c r="B71" s="361"/>
      <c r="C71" s="362"/>
      <c r="D71" s="363"/>
      <c r="E71" s="362"/>
      <c r="F71" s="362"/>
      <c r="G71" s="363"/>
      <c r="H71" s="36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s="119" customFormat="1" ht="25.05" customHeight="1" x14ac:dyDescent="0.3">
      <c r="A72" s="361"/>
      <c r="B72" s="361"/>
      <c r="C72" s="362"/>
      <c r="D72" s="363"/>
      <c r="E72" s="362"/>
      <c r="F72" s="362"/>
      <c r="G72" s="363"/>
      <c r="H72" s="36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s="119" customFormat="1" ht="15" customHeight="1" x14ac:dyDescent="0.3">
      <c r="A73" s="361"/>
      <c r="B73" s="361"/>
      <c r="C73" s="362"/>
      <c r="D73" s="363"/>
      <c r="E73" s="362"/>
      <c r="F73" s="362"/>
      <c r="G73" s="363"/>
      <c r="H73" s="36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s="119" customFormat="1" ht="15" customHeight="1" x14ac:dyDescent="0.3">
      <c r="A74" s="361"/>
      <c r="B74" s="361"/>
      <c r="C74" s="362"/>
      <c r="D74" s="363"/>
      <c r="E74" s="362"/>
      <c r="F74" s="362"/>
      <c r="G74" s="363"/>
      <c r="H74" s="36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s="119" customFormat="1" ht="25.05" customHeight="1" x14ac:dyDescent="0.3">
      <c r="A75" s="361"/>
      <c r="B75" s="361"/>
      <c r="C75" s="362"/>
      <c r="D75" s="363"/>
      <c r="E75" s="362"/>
      <c r="F75" s="362"/>
      <c r="G75" s="363"/>
      <c r="H75" s="36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s="119" customFormat="1" ht="25.05" customHeight="1" x14ac:dyDescent="0.3">
      <c r="A76" s="361"/>
      <c r="B76" s="361"/>
      <c r="C76" s="362"/>
      <c r="D76" s="363"/>
      <c r="E76" s="362"/>
      <c r="F76" s="362"/>
      <c r="G76" s="363"/>
      <c r="H76" s="36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s="119" customFormat="1" ht="15" customHeight="1" x14ac:dyDescent="0.3">
      <c r="A77" s="361"/>
      <c r="B77" s="361"/>
      <c r="C77" s="362"/>
      <c r="D77" s="363"/>
      <c r="E77" s="362"/>
      <c r="F77" s="362"/>
      <c r="G77" s="363"/>
      <c r="H77" s="36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s="119" customFormat="1" ht="15" customHeight="1" x14ac:dyDescent="0.3">
      <c r="A78" s="361"/>
      <c r="B78" s="361"/>
      <c r="C78" s="362"/>
      <c r="D78" s="363"/>
      <c r="E78" s="362"/>
      <c r="F78" s="362"/>
      <c r="G78" s="363"/>
      <c r="H78" s="36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s="119" customFormat="1" ht="25.05" customHeight="1" x14ac:dyDescent="0.3"/>
    <row r="80" spans="1:25" s="119" customFormat="1" ht="25.05" customHeight="1" x14ac:dyDescent="0.3"/>
    <row r="81" s="119" customFormat="1" ht="15" customHeight="1" x14ac:dyDescent="0.3"/>
    <row r="82" s="119" customFormat="1" ht="15" customHeight="1" x14ac:dyDescent="0.3"/>
    <row r="83" s="119" customFormat="1" ht="15" customHeight="1" x14ac:dyDescent="0.3"/>
    <row r="84" s="119" customFormat="1" ht="15" customHeight="1" x14ac:dyDescent="0.3"/>
    <row r="85" s="119" customFormat="1" ht="15" customHeight="1" x14ac:dyDescent="0.3"/>
    <row r="86" s="119" customFormat="1" ht="15" customHeight="1" x14ac:dyDescent="0.3"/>
    <row r="87" s="119" customFormat="1" ht="25.05" customHeight="1" x14ac:dyDescent="0.3"/>
    <row r="88" s="119" customFormat="1" ht="15" customHeight="1" x14ac:dyDescent="0.3"/>
    <row r="89" s="119" customFormat="1" ht="15" customHeight="1" x14ac:dyDescent="0.3"/>
    <row r="90" s="119" customFormat="1" ht="25.05" customHeight="1" x14ac:dyDescent="0.3"/>
    <row r="91" s="119" customFormat="1" ht="25.05" customHeight="1" x14ac:dyDescent="0.3"/>
    <row r="92" s="119" customFormat="1" ht="15" customHeight="1" x14ac:dyDescent="0.3"/>
    <row r="93" s="119" customFormat="1" ht="15" customHeight="1" x14ac:dyDescent="0.3"/>
    <row r="94" s="119" customFormat="1" ht="25.05" customHeight="1" x14ac:dyDescent="0.3"/>
    <row r="95" s="119" customFormat="1" ht="25.05" customHeight="1" x14ac:dyDescent="0.3"/>
    <row r="96" s="119" customFormat="1" ht="15" customHeight="1" x14ac:dyDescent="0.3"/>
    <row r="97" s="119" customFormat="1" ht="15" customHeight="1" x14ac:dyDescent="0.3"/>
    <row r="98" s="119" customFormat="1" ht="25.05" customHeight="1" x14ac:dyDescent="0.3"/>
    <row r="99" s="119" customFormat="1" ht="25.05" customHeight="1" x14ac:dyDescent="0.3"/>
    <row r="100" s="119" customFormat="1" ht="15" customHeight="1" x14ac:dyDescent="0.3"/>
  </sheetData>
  <mergeCells count="23">
    <mergeCell ref="E62:F62"/>
    <mergeCell ref="G65:H65"/>
    <mergeCell ref="G66:H66"/>
    <mergeCell ref="G68:H68"/>
    <mergeCell ref="B18:C18"/>
    <mergeCell ref="A20:B20"/>
    <mergeCell ref="E20:F20"/>
    <mergeCell ref="B34:C34"/>
    <mergeCell ref="A40:B40"/>
    <mergeCell ref="A56:B56"/>
    <mergeCell ref="E56:F56"/>
    <mergeCell ref="A4:H4"/>
    <mergeCell ref="A5:B5"/>
    <mergeCell ref="B9:C9"/>
    <mergeCell ref="E9:G9"/>
    <mergeCell ref="A11:B11"/>
    <mergeCell ref="B17:D17"/>
    <mergeCell ref="A1:H1"/>
    <mergeCell ref="A2:C2"/>
    <mergeCell ref="D2:E2"/>
    <mergeCell ref="F2:H2"/>
    <mergeCell ref="A3:C3"/>
    <mergeCell ref="F3:H3"/>
  </mergeCells>
  <conditionalFormatting sqref="B9">
    <cfRule type="cellIs" dxfId="23" priority="19" operator="equal">
      <formula>"SELECIONE SOMENTE UM TIPO DE BDI"</formula>
    </cfRule>
  </conditionalFormatting>
  <conditionalFormatting sqref="B17">
    <cfRule type="cellIs" dxfId="22" priority="6" operator="equal">
      <formula>"NÃO HÁ DESONERAÇÃO PARA FORNECIMENTO DE MATERIAIS"</formula>
    </cfRule>
  </conditionalFormatting>
  <conditionalFormatting sqref="B18">
    <cfRule type="cellIs" dxfId="21" priority="24" operator="equal">
      <formula>"SELECIONE SOMENTE UM TIPO DE SERVIÇO"</formula>
    </cfRule>
  </conditionalFormatting>
  <conditionalFormatting sqref="B9:C9 E9:G9">
    <cfRule type="cellIs" dxfId="20" priority="9" operator="equal">
      <formula>"SELECIONE UM TIPO DE BDI"</formula>
    </cfRule>
  </conditionalFormatting>
  <conditionalFormatting sqref="B18:C18">
    <cfRule type="cellIs" dxfId="19" priority="8" operator="equal">
      <formula>"SELECIONE UM TIPO DE SERVIÇO"</formula>
    </cfRule>
  </conditionalFormatting>
  <conditionalFormatting sqref="B34:C34">
    <cfRule type="cellIs" dxfId="18" priority="18" operator="equal">
      <formula>"APAGUE O PERCENTUAL DESTA LINHA"</formula>
    </cfRule>
  </conditionalFormatting>
  <conditionalFormatting sqref="C7:C8 G12:G17 G22 G24 G27:G28 G30">
    <cfRule type="cellIs" dxfId="17" priority="16" operator="equal">
      <formula>0</formula>
    </cfRule>
  </conditionalFormatting>
  <conditionalFormatting sqref="D22 D34:D36">
    <cfRule type="cellIs" dxfId="16" priority="23" operator="equal">
      <formula>"FORA DO LIMITE"</formula>
    </cfRule>
  </conditionalFormatting>
  <conditionalFormatting sqref="D24">
    <cfRule type="cellIs" dxfId="15" priority="22" operator="equal">
      <formula>"FORA DO LIMITE"</formula>
    </cfRule>
  </conditionalFormatting>
  <conditionalFormatting sqref="D27:D28">
    <cfRule type="cellIs" dxfId="14" priority="21" operator="equal">
      <formula>"FORA DO LIMITE"</formula>
    </cfRule>
  </conditionalFormatting>
  <conditionalFormatting sqref="D30">
    <cfRule type="cellIs" dxfId="13" priority="20" operator="equal">
      <formula>"FORA DO LIMITE"</formula>
    </cfRule>
  </conditionalFormatting>
  <conditionalFormatting sqref="D58">
    <cfRule type="cellIs" dxfId="12" priority="5" operator="equal">
      <formula>"BDI ABAIXO"</formula>
    </cfRule>
  </conditionalFormatting>
  <conditionalFormatting sqref="D59">
    <cfRule type="cellIs" dxfId="11" priority="4" operator="equal">
      <formula>"BDI ACIMA"</formula>
    </cfRule>
  </conditionalFormatting>
  <conditionalFormatting sqref="E9">
    <cfRule type="cellIs" dxfId="10" priority="12" operator="equal">
      <formula>"SELECIONE SOMENTE UM TIPO DE BDI"</formula>
    </cfRule>
  </conditionalFormatting>
  <conditionalFormatting sqref="E9:G9">
    <cfRule type="cellIs" dxfId="9" priority="7" operator="equal">
      <formula>"SOMENTE HÁ DESONERAÇÃO PARA OBRAS"</formula>
    </cfRule>
    <cfRule type="cellIs" dxfId="8" priority="11" operator="equal">
      <formula>"NÃO HÁ PROJETO PARA FORNECIMENTO"</formula>
    </cfRule>
  </conditionalFormatting>
  <conditionalFormatting sqref="G34:G36">
    <cfRule type="cellIs" dxfId="7" priority="10" operator="equal">
      <formula>0</formula>
    </cfRule>
  </conditionalFormatting>
  <conditionalFormatting sqref="G58">
    <cfRule type="cellIs" dxfId="6" priority="3" operator="equal">
      <formula>"BDI ABAIXO"</formula>
    </cfRule>
  </conditionalFormatting>
  <conditionalFormatting sqref="G59">
    <cfRule type="cellIs" dxfId="5" priority="2" operator="equal">
      <formula>"BDI ACIMA"</formula>
    </cfRule>
  </conditionalFormatting>
  <conditionalFormatting sqref="G62:H63">
    <cfRule type="cellIs" dxfId="4" priority="1" operator="equal">
      <formula>"VER PERCENTUAIS"</formula>
    </cfRule>
    <cfRule type="cellIs" dxfId="3" priority="13" operator="equal">
      <formula>"VÁRIOS ERROS"</formula>
    </cfRule>
    <cfRule type="cellIs" dxfId="2" priority="14" operator="equal">
      <formula>"BDI FORA DO LIMITE"</formula>
    </cfRule>
    <cfRule type="cellIs" dxfId="1" priority="15" operator="equal">
      <formula>"VER TIPO DE BDI"</formula>
    </cfRule>
    <cfRule type="cellIs" dxfId="0" priority="17" operator="equal">
      <formula>"VER TIPO DE SERVIÇO"</formula>
    </cfRule>
  </conditionalFormatting>
  <dataValidations count="3">
    <dataValidation type="list" allowBlank="1" showInputMessage="1" showErrorMessage="1" promptTitle="Alerta" prompt="Digite somente 'X'" sqref="G12:G17 C7:C8" xr:uid="{80040150-BBD9-4672-B2B5-AFDB05191965}">
      <formula1>"x,X"</formula1>
    </dataValidation>
    <dataValidation type="decimal" allowBlank="1" showInputMessage="1" showErrorMessage="1" sqref="G34:G37 G22:G32" xr:uid="{F0806D78-3BE8-4BA9-9019-27542DF81D70}">
      <formula1>0</formula1>
      <formula2>100</formula2>
    </dataValidation>
    <dataValidation allowBlank="1" promptTitle="Alerta" prompt="Digite somente 'X'" sqref="F7:F8" xr:uid="{5DD7E078-4EBC-4E63-8B07-E31EF3E8E50B}"/>
  </dataValidations>
  <printOptions horizontalCentered="1"/>
  <pageMargins left="1.1023622047244095" right="0.51181102362204722" top="1.5748031496062993" bottom="0.78740157480314965" header="0.31496062992125984" footer="0.31496062992125984"/>
  <pageSetup paperSize="9" scale="48" fitToWidth="0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723F-79DB-4ACB-89C6-193442CEDB17}">
  <sheetPr>
    <pageSetUpPr fitToPage="1"/>
  </sheetPr>
  <dimension ref="A1:E23"/>
  <sheetViews>
    <sheetView view="pageBreakPreview" zoomScale="70" zoomScaleNormal="100" zoomScaleSheetLayoutView="70" workbookViewId="0">
      <selection activeCell="G12" sqref="G12"/>
    </sheetView>
  </sheetViews>
  <sheetFormatPr defaultRowHeight="14.4" x14ac:dyDescent="0.3"/>
  <cols>
    <col min="1" max="1" width="20.21875" customWidth="1"/>
    <col min="2" max="2" width="59.5546875" customWidth="1"/>
    <col min="3" max="4" width="22.77734375" customWidth="1"/>
    <col min="5" max="5" width="20.77734375" customWidth="1"/>
  </cols>
  <sheetData>
    <row r="1" spans="1:4" x14ac:dyDescent="0.3">
      <c r="A1" s="275" t="s">
        <v>178</v>
      </c>
      <c r="B1" s="276"/>
      <c r="C1" s="276"/>
      <c r="D1" s="277"/>
    </row>
    <row r="2" spans="1:4" ht="14.4" customHeight="1" x14ac:dyDescent="0.3">
      <c r="A2" s="278" t="str">
        <f>CONCATENATE("OBRA: ",GERAL!B1, "NO MUNICÍPIO DE", GERAL!B2)</f>
        <v>OBRA: PAVIMENTAÇÃO EM PARALELEPÍPEDO DE VIAS NO MUNICÍPIO DETERESINA</v>
      </c>
      <c r="B2" s="279"/>
      <c r="C2" s="279"/>
      <c r="D2" s="280"/>
    </row>
    <row r="3" spans="1:4" ht="14.4" customHeight="1" x14ac:dyDescent="0.3">
      <c r="A3" s="278" t="str">
        <f>CONCATENATE("BASE DE PREÇO: ",GERAL!F1)</f>
        <v>BASE DE PREÇO: SINAPI 12/2025</v>
      </c>
      <c r="B3" s="279"/>
      <c r="C3" s="279"/>
      <c r="D3" s="280"/>
    </row>
    <row r="4" spans="1:4" x14ac:dyDescent="0.3">
      <c r="A4" s="275" t="str">
        <f>RES!E2</f>
        <v>SEM DESONERAÇÃO
 BDI: 21,96%</v>
      </c>
      <c r="B4" s="276"/>
      <c r="C4" s="276"/>
      <c r="D4" s="277"/>
    </row>
    <row r="5" spans="1:4" x14ac:dyDescent="0.3">
      <c r="A5" s="265"/>
      <c r="B5" s="266"/>
      <c r="C5" s="266"/>
      <c r="D5" s="267"/>
    </row>
    <row r="6" spans="1:4" x14ac:dyDescent="0.3">
      <c r="A6" s="268" t="s">
        <v>179</v>
      </c>
      <c r="B6" s="268" t="s">
        <v>180</v>
      </c>
      <c r="C6" s="268" t="s">
        <v>181</v>
      </c>
      <c r="D6" s="269" t="s">
        <v>28</v>
      </c>
    </row>
    <row r="7" spans="1:4" x14ac:dyDescent="0.3">
      <c r="A7" s="268"/>
      <c r="B7" s="268"/>
      <c r="C7" s="268"/>
      <c r="D7" s="270"/>
    </row>
    <row r="8" spans="1:4" x14ac:dyDescent="0.3">
      <c r="A8" s="399" t="str">
        <f>ORÇ!B7</f>
        <v>SERVIÇOS PRELIMINARES</v>
      </c>
      <c r="B8" s="109" t="s">
        <v>42</v>
      </c>
      <c r="C8" s="271">
        <f>ORÇ!H7</f>
        <v>22437.48</v>
      </c>
      <c r="D8" s="273">
        <f>C8/C23</f>
        <v>4.110582545957224E-2</v>
      </c>
    </row>
    <row r="9" spans="1:4" x14ac:dyDescent="0.3">
      <c r="A9" s="400"/>
      <c r="B9" s="109" t="s">
        <v>43</v>
      </c>
      <c r="C9" s="272"/>
      <c r="D9" s="274"/>
    </row>
    <row r="10" spans="1:4" x14ac:dyDescent="0.3">
      <c r="A10" s="259"/>
      <c r="B10" s="260"/>
      <c r="C10" s="260"/>
      <c r="D10" s="261"/>
    </row>
    <row r="11" spans="1:4" x14ac:dyDescent="0.3">
      <c r="A11" s="401" t="str">
        <f>ORÇ!B12</f>
        <v>TERRAPLENAGEM</v>
      </c>
      <c r="B11" s="402" t="s">
        <v>66</v>
      </c>
      <c r="C11" s="104">
        <f>ORÇ!H12+ORÇ!H31+ORÇ!H50+ORÇ!H88+ORÇ!H69</f>
        <v>2697.1</v>
      </c>
      <c r="D11" s="105">
        <f>C11/C23</f>
        <v>4.9411307262229223E-3</v>
      </c>
    </row>
    <row r="12" spans="1:4" x14ac:dyDescent="0.3">
      <c r="A12" s="249"/>
      <c r="B12" s="250"/>
      <c r="C12" s="250"/>
      <c r="D12" s="251"/>
    </row>
    <row r="13" spans="1:4" x14ac:dyDescent="0.3">
      <c r="A13" s="403" t="str">
        <f>ORÇ!B15</f>
        <v>PAVIMENTAÇÃO</v>
      </c>
      <c r="B13" s="404" t="str">
        <f>ORÇ!C16</f>
        <v>Execução de pavimento em paralelepípedos, rejuntamento com argamassa traço 1:3 (cimento e areia)</v>
      </c>
      <c r="C13" s="397">
        <f>ORÇ!H15+ORÇ!H34+ORÇ!H53+ORÇ!H72+ORÇ!H91</f>
        <v>373933.65</v>
      </c>
      <c r="D13" s="106">
        <f>C13/C23</f>
        <v>0.6850524813999066</v>
      </c>
    </row>
    <row r="14" spans="1:4" x14ac:dyDescent="0.3">
      <c r="A14" s="249"/>
      <c r="B14" s="250"/>
      <c r="C14" s="250"/>
      <c r="D14" s="251"/>
    </row>
    <row r="15" spans="1:4" ht="39.6" x14ac:dyDescent="0.3">
      <c r="A15" s="405" t="s">
        <v>182</v>
      </c>
      <c r="B15" s="406" t="str">
        <f>ORÇ!C19</f>
        <v>Assentamento de guia (meio-fio), confeccionada em concreto pré-fabricado, dimensões 100x15x13x30 (comprimento x base inferiror x base superior x altura), para vias urbanas</v>
      </c>
      <c r="C15" s="262">
        <f>ORÇ!H18+ORÇ!H37+ORÇ!H56+ORÇ!H75+ORÇ!H94</f>
        <v>102726.54</v>
      </c>
      <c r="D15" s="263">
        <f>C15/C23</f>
        <v>0.18819667909701829</v>
      </c>
    </row>
    <row r="16" spans="1:4" ht="26.4" x14ac:dyDescent="0.3">
      <c r="A16" s="407"/>
      <c r="B16" s="406" t="str">
        <f>ORÇ!C20</f>
        <v>Execução de sarjeta de concreto usinado, moldada in loco em trecho reto, 30 cm base x  3 cm altura</v>
      </c>
      <c r="C16" s="262"/>
      <c r="D16" s="264"/>
    </row>
    <row r="17" spans="1:5" x14ac:dyDescent="0.3">
      <c r="A17" s="249"/>
      <c r="B17" s="250"/>
      <c r="C17" s="250"/>
      <c r="D17" s="251"/>
    </row>
    <row r="18" spans="1:5" ht="26.4" x14ac:dyDescent="0.3">
      <c r="A18" s="252" t="s">
        <v>81</v>
      </c>
      <c r="B18" s="408" t="str">
        <f>ORÇ!C23</f>
        <v>Transporte com caminhão basculante de 10 m³, em via urbana pavimentada, dmt até 30 km (unidade: txkm). af_07/2020</v>
      </c>
      <c r="C18" s="253">
        <f>ORÇ!H22+ORÇ!H41+ORÇ!H60+ORÇ!H79+ORÇ!H98</f>
        <v>38847.990000000005</v>
      </c>
      <c r="D18" s="255">
        <f>C18/C23</f>
        <v>7.1170144614957118E-2</v>
      </c>
    </row>
    <row r="19" spans="1:5" ht="39.6" x14ac:dyDescent="0.3">
      <c r="A19" s="252"/>
      <c r="B19" s="408" t="str">
        <f>ORÇ!C24</f>
        <v>Transporte com caminhão basculante de 10 m³, em via urbana pavimentada, adicional para dmt excedente a 30 km (unidade: txkm). af_07/2020</v>
      </c>
      <c r="C19" s="254"/>
      <c r="D19" s="256"/>
    </row>
    <row r="20" spans="1:5" x14ac:dyDescent="0.3">
      <c r="A20" s="249"/>
      <c r="B20" s="250"/>
      <c r="C20" s="250"/>
      <c r="D20" s="251"/>
    </row>
    <row r="21" spans="1:5" ht="26.4" x14ac:dyDescent="0.3">
      <c r="A21" s="252" t="s">
        <v>183</v>
      </c>
      <c r="B21" s="408" t="str">
        <f>ORÇ!C27</f>
        <v xml:space="preserve">Placa esmaltada para identificação de nome de rua, dimensões 45 x 20 cm com tubo de aço - 2 placas </v>
      </c>
      <c r="C21" s="253">
        <f>ORÇ!H26+ORÇ!H45+ORÇ!H64+ORÇ!H83+ORÇ!H102</f>
        <v>5203.96</v>
      </c>
      <c r="D21" s="255">
        <f>C21/C23</f>
        <v>9.5337387023228803E-3</v>
      </c>
    </row>
    <row r="22" spans="1:5" ht="39.6" x14ac:dyDescent="0.3">
      <c r="A22" s="252"/>
      <c r="B22" s="408" t="str">
        <f>ORÇ!C28</f>
        <v>Fornecimento e instalação de suporte metálico galvanizado para placas de sinalização em solo, com h= de 2,5 m e diâmetro de 2''. af_03/2022</v>
      </c>
      <c r="C22" s="257"/>
      <c r="D22" s="258"/>
    </row>
    <row r="23" spans="1:5" x14ac:dyDescent="0.3">
      <c r="A23" s="247" t="s">
        <v>184</v>
      </c>
      <c r="B23" s="248"/>
      <c r="C23" s="107">
        <f>SUM(C18,C15,C13,C11,C8,C21)</f>
        <v>545846.72</v>
      </c>
      <c r="D23" s="108">
        <f>SUM(D18,D15,D13,D11,D8,D21,)</f>
        <v>1</v>
      </c>
      <c r="E23" s="398">
        <f>C23-RES!F16</f>
        <v>0</v>
      </c>
    </row>
  </sheetData>
  <mergeCells count="27">
    <mergeCell ref="A8:A9"/>
    <mergeCell ref="C8:C9"/>
    <mergeCell ref="D8:D9"/>
    <mergeCell ref="A1:D1"/>
    <mergeCell ref="A2:D2"/>
    <mergeCell ref="A3:D3"/>
    <mergeCell ref="A4:D4"/>
    <mergeCell ref="A5:D5"/>
    <mergeCell ref="A6:A7"/>
    <mergeCell ref="B6:B7"/>
    <mergeCell ref="C6:C7"/>
    <mergeCell ref="D6:D7"/>
    <mergeCell ref="A10:D10"/>
    <mergeCell ref="A12:D12"/>
    <mergeCell ref="A14:D14"/>
    <mergeCell ref="A15:A16"/>
    <mergeCell ref="C15:C16"/>
    <mergeCell ref="D15:D16"/>
    <mergeCell ref="A23:B23"/>
    <mergeCell ref="A17:D17"/>
    <mergeCell ref="A18:A19"/>
    <mergeCell ref="C18:C19"/>
    <mergeCell ref="D18:D19"/>
    <mergeCell ref="A20:D20"/>
    <mergeCell ref="A21:A22"/>
    <mergeCell ref="C21:C22"/>
    <mergeCell ref="D21:D22"/>
  </mergeCells>
  <printOptions horizontalCentered="1"/>
  <pageMargins left="1.1023622047244095" right="0.51181102362204722" top="1.5748031496062993" bottom="0.78740157480314965" header="0.31496062992125984" footer="0.31496062992125984"/>
  <pageSetup paperSize="9" scale="67" fitToHeight="0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35C4-C23F-4D1C-A09F-0D041EAC2793}">
  <sheetPr>
    <pageSetUpPr fitToPage="1"/>
  </sheetPr>
  <dimension ref="A1:F22"/>
  <sheetViews>
    <sheetView view="pageBreakPreview" topLeftCell="B1" zoomScale="120" zoomScaleNormal="100" zoomScaleSheetLayoutView="120" workbookViewId="0">
      <selection activeCell="N12" sqref="N12"/>
    </sheetView>
  </sheetViews>
  <sheetFormatPr defaultRowHeight="14.4" x14ac:dyDescent="0.3"/>
  <cols>
    <col min="1" max="1" width="10.77734375" customWidth="1"/>
    <col min="2" max="2" width="50.77734375" customWidth="1"/>
    <col min="3" max="4" width="10.77734375" customWidth="1"/>
    <col min="5" max="6" width="20.77734375" customWidth="1"/>
  </cols>
  <sheetData>
    <row r="1" spans="1:6" ht="25.05" customHeight="1" x14ac:dyDescent="0.3">
      <c r="A1" s="287" t="s">
        <v>31</v>
      </c>
      <c r="B1" s="287"/>
      <c r="C1" s="287"/>
      <c r="D1" s="287"/>
      <c r="E1" s="287"/>
      <c r="F1" s="288"/>
    </row>
    <row r="2" spans="1:6" ht="19.95" customHeight="1" x14ac:dyDescent="0.3">
      <c r="A2" s="289" t="str">
        <f>CONCATENATE("PAVIMENTAÇÃO DE VIAS PÚBLICAS NO MUNÍCIO DE ",GERAL!B2," - PI")</f>
        <v>PAVIMENTAÇÃO DE VIAS PÚBLICAS NO MUNÍCIO DE TERESINA - PI</v>
      </c>
      <c r="B2" s="290"/>
      <c r="C2" s="291" t="str">
        <f>CONCATENATE("FONTE: ", GERAL!F1)</f>
        <v>FONTE: SINAPI 12/2025</v>
      </c>
      <c r="D2" s="291"/>
      <c r="E2" s="20" t="str">
        <f>CONCATENATE("SEM DESONERAÇÃO
 BDI: ",TEXT(GERAL!F3,"0,00%"))</f>
        <v>SEM DESONERAÇÃO
 BDI: 21,96%</v>
      </c>
      <c r="F2" s="21" t="s">
        <v>32</v>
      </c>
    </row>
    <row r="3" spans="1:6" ht="19.95" customHeight="1" x14ac:dyDescent="0.3">
      <c r="A3" s="292" t="str">
        <f>CONCATENATE("LOCALIDADE: ", GERAL!B3)</f>
        <v>LOCALIDADE: DIVERSAS</v>
      </c>
      <c r="B3" s="293"/>
      <c r="C3" s="293"/>
      <c r="D3" s="293"/>
      <c r="E3" s="22" t="s">
        <v>33</v>
      </c>
      <c r="F3" s="97">
        <f>GERAL!C16</f>
        <v>3853</v>
      </c>
    </row>
    <row r="4" spans="1:6" ht="15" customHeight="1" x14ac:dyDescent="0.3">
      <c r="A4" s="294" t="s">
        <v>34</v>
      </c>
      <c r="B4" s="294" t="s">
        <v>35</v>
      </c>
      <c r="C4" s="294" t="s">
        <v>36</v>
      </c>
      <c r="D4" s="297" t="s">
        <v>37</v>
      </c>
      <c r="E4" s="299" t="s">
        <v>38</v>
      </c>
      <c r="F4" s="300"/>
    </row>
    <row r="5" spans="1:6" ht="15" customHeight="1" x14ac:dyDescent="0.3">
      <c r="A5" s="295"/>
      <c r="B5" s="295"/>
      <c r="C5" s="295"/>
      <c r="D5" s="298"/>
      <c r="E5" s="301"/>
      <c r="F5" s="302"/>
    </row>
    <row r="6" spans="1:6" ht="15" customHeight="1" x14ac:dyDescent="0.3">
      <c r="A6" s="23" t="s">
        <v>39</v>
      </c>
      <c r="B6" s="281" t="s">
        <v>40</v>
      </c>
      <c r="C6" s="282"/>
      <c r="D6" s="282"/>
      <c r="E6" s="283">
        <f>SUM(E7:F8)</f>
        <v>22437.48</v>
      </c>
      <c r="F6" s="284"/>
    </row>
    <row r="7" spans="1:6" ht="15" customHeight="1" x14ac:dyDescent="0.3">
      <c r="A7" s="24" t="s">
        <v>41</v>
      </c>
      <c r="B7" s="25" t="str">
        <f>ORÇ!C8</f>
        <v>Placa de Obra em chapa de aço galvanizado</v>
      </c>
      <c r="C7" s="26" t="s">
        <v>19</v>
      </c>
      <c r="D7" s="27">
        <f>ORÇ!E8</f>
        <v>6</v>
      </c>
      <c r="E7" s="285">
        <f>ORÇ!H8</f>
        <v>3395.64</v>
      </c>
      <c r="F7" s="286"/>
    </row>
    <row r="8" spans="1:6" ht="15" customHeight="1" x14ac:dyDescent="0.3">
      <c r="A8" s="24" t="s">
        <v>41</v>
      </c>
      <c r="B8" s="25" t="str">
        <f>ORÇ!C9</f>
        <v>Administração local da obra</v>
      </c>
      <c r="C8" s="26" t="s">
        <v>44</v>
      </c>
      <c r="D8" s="27">
        <f>ORÇ!E9</f>
        <v>2</v>
      </c>
      <c r="E8" s="285">
        <f>ORÇ!H9</f>
        <v>19041.84</v>
      </c>
      <c r="F8" s="286"/>
    </row>
    <row r="9" spans="1:6" ht="15" customHeight="1" x14ac:dyDescent="0.3">
      <c r="A9" s="23" t="s">
        <v>45</v>
      </c>
      <c r="B9" s="281" t="s">
        <v>46</v>
      </c>
      <c r="C9" s="282"/>
      <c r="D9" s="282"/>
      <c r="E9" s="283">
        <f>SUM(E10:F14)</f>
        <v>523409.24</v>
      </c>
      <c r="F9" s="284"/>
    </row>
    <row r="10" spans="1:6" ht="15" customHeight="1" x14ac:dyDescent="0.3">
      <c r="A10" s="24" t="s">
        <v>47</v>
      </c>
      <c r="B10" s="25" t="str">
        <f>GERAL!A10</f>
        <v>Rua Elias Aragão</v>
      </c>
      <c r="C10" s="26" t="s">
        <v>19</v>
      </c>
      <c r="D10" s="28">
        <f>GERAL!C10</f>
        <v>1225</v>
      </c>
      <c r="E10" s="285">
        <f>ORÇ!H11</f>
        <v>162722.34</v>
      </c>
      <c r="F10" s="286"/>
    </row>
    <row r="11" spans="1:6" ht="15" customHeight="1" x14ac:dyDescent="0.3">
      <c r="A11" s="24" t="s">
        <v>48</v>
      </c>
      <c r="B11" s="25" t="str">
        <f>GERAL!A11</f>
        <v>Rua Doze - Loteamento Orgmar Monteiro</v>
      </c>
      <c r="C11" s="26" t="s">
        <v>19</v>
      </c>
      <c r="D11" s="28">
        <f>GERAL!C11</f>
        <v>1050</v>
      </c>
      <c r="E11" s="285">
        <f>ORÇ!H30</f>
        <v>143851.65</v>
      </c>
      <c r="F11" s="286"/>
    </row>
    <row r="12" spans="1:6" ht="15" customHeight="1" x14ac:dyDescent="0.3">
      <c r="A12" s="24" t="s">
        <v>49</v>
      </c>
      <c r="B12" s="25" t="str">
        <f>GERAL!A12</f>
        <v>Cabeça de Rua - Rua Doze - Loteamento Orgmar Monteiro</v>
      </c>
      <c r="C12" s="26" t="s">
        <v>19</v>
      </c>
      <c r="D12" s="28">
        <f>GERAL!C12</f>
        <v>36</v>
      </c>
      <c r="E12" s="285">
        <f>ORÇ!H49</f>
        <v>4887.45</v>
      </c>
      <c r="F12" s="286"/>
    </row>
    <row r="13" spans="1:6" ht="15" customHeight="1" x14ac:dyDescent="0.3">
      <c r="A13" s="24" t="s">
        <v>50</v>
      </c>
      <c r="B13" s="25" t="str">
        <f>GERAL!A13</f>
        <v>Rua São José - Trecho 01</v>
      </c>
      <c r="C13" s="26" t="s">
        <v>19</v>
      </c>
      <c r="D13" s="28">
        <f>GERAL!C13</f>
        <v>810</v>
      </c>
      <c r="E13" s="285">
        <f>ORÇ!H68</f>
        <v>111268.64000000001</v>
      </c>
      <c r="F13" s="286"/>
    </row>
    <row r="14" spans="1:6" ht="15" customHeight="1" x14ac:dyDescent="0.3">
      <c r="A14" s="24" t="s">
        <v>106</v>
      </c>
      <c r="B14" s="25" t="str">
        <f>GERAL!A14</f>
        <v>Rua São José - Trecho 02</v>
      </c>
      <c r="C14" s="26" t="s">
        <v>19</v>
      </c>
      <c r="D14" s="28">
        <f>GERAL!C14</f>
        <v>732</v>
      </c>
      <c r="E14" s="285">
        <f>ORÇ!H87</f>
        <v>100679.16</v>
      </c>
      <c r="F14" s="286"/>
    </row>
    <row r="15" spans="1:6" ht="15" customHeight="1" x14ac:dyDescent="0.3">
      <c r="A15" s="29"/>
      <c r="B15" s="30"/>
      <c r="C15" s="30"/>
      <c r="D15" s="31"/>
      <c r="E15" s="31"/>
      <c r="F15" s="32"/>
    </row>
    <row r="16" spans="1:6" ht="15" customHeight="1" x14ac:dyDescent="0.3">
      <c r="A16" s="296" t="s">
        <v>51</v>
      </c>
      <c r="B16" s="296"/>
      <c r="C16" s="296"/>
      <c r="D16" s="296"/>
      <c r="E16" s="296"/>
      <c r="F16" s="33">
        <f>E6+E9</f>
        <v>545846.72</v>
      </c>
    </row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30" customHeight="1" x14ac:dyDescent="0.3"/>
    <row r="22" ht="30" customHeight="1" x14ac:dyDescent="0.3"/>
  </sheetData>
  <mergeCells count="21">
    <mergeCell ref="E14:F14"/>
    <mergeCell ref="A16:E16"/>
    <mergeCell ref="E9:F9"/>
    <mergeCell ref="E11:F11"/>
    <mergeCell ref="E13:F13"/>
    <mergeCell ref="E12:F12"/>
    <mergeCell ref="E10:F10"/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B6:D6"/>
    <mergeCell ref="E6:F6"/>
    <mergeCell ref="E7:F7"/>
    <mergeCell ref="E8:F8"/>
    <mergeCell ref="B9:D9"/>
  </mergeCells>
  <phoneticPr fontId="18" type="noConversion"/>
  <printOptions horizontalCentered="1"/>
  <pageMargins left="1.1023622047244095" right="0.51181102362204722" top="2.1653543307086616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D322-488B-44BB-9F0F-7D1BBBD562A8}">
  <sheetPr>
    <pageSetUpPr fitToPage="1"/>
  </sheetPr>
  <dimension ref="A1:M105"/>
  <sheetViews>
    <sheetView view="pageBreakPreview" topLeftCell="A82" zoomScale="80" zoomScaleNormal="100" zoomScaleSheetLayoutView="80" workbookViewId="0">
      <selection activeCell="M13" sqref="M13"/>
    </sheetView>
  </sheetViews>
  <sheetFormatPr defaultRowHeight="14.4" x14ac:dyDescent="0.3"/>
  <cols>
    <col min="1" max="1" width="10.77734375" customWidth="1"/>
    <col min="2" max="2" width="14.88671875" customWidth="1"/>
    <col min="3" max="3" width="50.77734375" customWidth="1"/>
    <col min="4" max="4" width="14.77734375" customWidth="1"/>
    <col min="5" max="5" width="10.77734375" customWidth="1"/>
    <col min="6" max="8" width="13.77734375" customWidth="1"/>
    <col min="13" max="13" width="9.109375" bestFit="1" customWidth="1"/>
  </cols>
  <sheetData>
    <row r="1" spans="1:13" ht="25.05" customHeight="1" x14ac:dyDescent="0.3">
      <c r="A1" s="307" t="s">
        <v>242</v>
      </c>
      <c r="B1" s="308"/>
      <c r="C1" s="308"/>
      <c r="D1" s="308"/>
      <c r="E1" s="308"/>
      <c r="F1" s="308"/>
      <c r="G1" s="308"/>
      <c r="H1" s="308"/>
    </row>
    <row r="2" spans="1:13" ht="19.95" customHeight="1" x14ac:dyDescent="0.3">
      <c r="A2" s="309" t="str">
        <f>RES!A2</f>
        <v>PAVIMENTAÇÃO DE VIAS PÚBLICAS NO MUNÍCIO DE TERESINA - PI</v>
      </c>
      <c r="B2" s="309"/>
      <c r="C2" s="309"/>
      <c r="D2" s="306" t="str">
        <f>RES!C2</f>
        <v>FONTE: SINAPI 12/2025</v>
      </c>
      <c r="E2" s="306"/>
      <c r="F2" s="306" t="str">
        <f>RES!E2</f>
        <v>SEM DESONERAÇÃO
 BDI: 21,96%</v>
      </c>
      <c r="G2" s="306"/>
      <c r="H2" s="306"/>
    </row>
    <row r="3" spans="1:13" ht="19.95" customHeight="1" x14ac:dyDescent="0.3">
      <c r="A3" s="321" t="str">
        <f>RES!A3</f>
        <v>LOCALIDADE: DIVERSAS</v>
      </c>
      <c r="B3" s="321"/>
      <c r="C3" s="321"/>
      <c r="D3" s="101" t="str">
        <f>RES!E3</f>
        <v>ÁREA TOTAL (m²):</v>
      </c>
      <c r="E3" s="123">
        <f>RES!F3</f>
        <v>3853</v>
      </c>
      <c r="F3" s="306" t="str">
        <f>RES!F2</f>
        <v>HORISTA: 113,33%
MENSALISTA: 71,12%</v>
      </c>
      <c r="G3" s="306"/>
      <c r="H3" s="306"/>
    </row>
    <row r="4" spans="1:13" ht="15" customHeight="1" x14ac:dyDescent="0.3">
      <c r="A4" s="303"/>
      <c r="B4" s="304"/>
      <c r="C4" s="304"/>
      <c r="D4" s="304"/>
      <c r="E4" s="304"/>
      <c r="F4" s="304"/>
      <c r="G4" s="304"/>
      <c r="H4" s="305"/>
    </row>
    <row r="5" spans="1:13" ht="15" customHeight="1" x14ac:dyDescent="0.3">
      <c r="A5" s="287" t="s">
        <v>34</v>
      </c>
      <c r="B5" s="319" t="s">
        <v>109</v>
      </c>
      <c r="C5" s="287" t="s">
        <v>35</v>
      </c>
      <c r="D5" s="287" t="s">
        <v>36</v>
      </c>
      <c r="E5" s="317" t="s">
        <v>37</v>
      </c>
      <c r="F5" s="317" t="s">
        <v>186</v>
      </c>
      <c r="G5" s="317"/>
      <c r="H5" s="317"/>
    </row>
    <row r="6" spans="1:13" ht="15" customHeight="1" x14ac:dyDescent="0.3">
      <c r="A6" s="287"/>
      <c r="B6" s="320"/>
      <c r="C6" s="287"/>
      <c r="D6" s="287"/>
      <c r="E6" s="317"/>
      <c r="F6" s="111" t="s">
        <v>187</v>
      </c>
      <c r="G6" s="111" t="s">
        <v>188</v>
      </c>
      <c r="H6" s="112" t="s">
        <v>189</v>
      </c>
    </row>
    <row r="7" spans="1:13" s="119" customFormat="1" ht="15" customHeight="1" x14ac:dyDescent="0.3">
      <c r="A7" s="117" t="s">
        <v>39</v>
      </c>
      <c r="B7" s="281" t="s">
        <v>40</v>
      </c>
      <c r="C7" s="282"/>
      <c r="D7" s="282"/>
      <c r="E7" s="282"/>
      <c r="F7" s="318"/>
      <c r="G7" s="318"/>
      <c r="H7" s="118">
        <f>SUM(H8:H9)</f>
        <v>22437.48</v>
      </c>
    </row>
    <row r="8" spans="1:13" s="119" customFormat="1" ht="15" customHeight="1" x14ac:dyDescent="0.3">
      <c r="A8" s="98" t="s">
        <v>41</v>
      </c>
      <c r="B8" s="98" t="s">
        <v>190</v>
      </c>
      <c r="C8" s="113" t="s">
        <v>42</v>
      </c>
      <c r="D8" s="98" t="s">
        <v>19</v>
      </c>
      <c r="E8" s="120">
        <f>MC!C10</f>
        <v>6</v>
      </c>
      <c r="F8" s="120">
        <f>CCU!G7</f>
        <v>464.04</v>
      </c>
      <c r="G8" s="28">
        <f>CCU!G16</f>
        <v>565.94000000000005</v>
      </c>
      <c r="H8" s="28">
        <f>ROUND(E8*G8,2)</f>
        <v>3395.64</v>
      </c>
    </row>
    <row r="9" spans="1:13" s="119" customFormat="1" ht="15" customHeight="1" x14ac:dyDescent="0.3">
      <c r="A9" s="98" t="s">
        <v>105</v>
      </c>
      <c r="B9" s="98" t="s">
        <v>191</v>
      </c>
      <c r="C9" s="113" t="s">
        <v>43</v>
      </c>
      <c r="D9" s="98" t="s">
        <v>44</v>
      </c>
      <c r="E9" s="120">
        <f>MC!C14</f>
        <v>2</v>
      </c>
      <c r="F9" s="120">
        <f>CCU!G19</f>
        <v>7806.6</v>
      </c>
      <c r="G9" s="28">
        <f>CCU!G24</f>
        <v>9520.92</v>
      </c>
      <c r="H9" s="28">
        <f>ROUND(E9*G9,2)</f>
        <v>19041.84</v>
      </c>
    </row>
    <row r="10" spans="1:13" s="119" customFormat="1" ht="15" customHeight="1" x14ac:dyDescent="0.3">
      <c r="A10" s="312"/>
      <c r="B10" s="313"/>
      <c r="C10" s="313"/>
      <c r="D10" s="313"/>
      <c r="E10" s="313"/>
      <c r="F10" s="313"/>
      <c r="G10" s="313"/>
      <c r="H10" s="314"/>
    </row>
    <row r="11" spans="1:13" s="119" customFormat="1" ht="15" customHeight="1" x14ac:dyDescent="0.3">
      <c r="A11" s="315" t="str">
        <f>MC!B16</f>
        <v>Rua Elias Aragão</v>
      </c>
      <c r="B11" s="316"/>
      <c r="C11" s="316"/>
      <c r="D11" s="316"/>
      <c r="E11" s="316"/>
      <c r="F11" s="316"/>
      <c r="G11" s="316"/>
      <c r="H11" s="124">
        <f>SUM(H12,H15,H18,H22,H26)</f>
        <v>162722.34</v>
      </c>
    </row>
    <row r="12" spans="1:13" s="119" customFormat="1" ht="15" customHeight="1" x14ac:dyDescent="0.3">
      <c r="A12" s="117" t="s">
        <v>45</v>
      </c>
      <c r="B12" s="310" t="s">
        <v>65</v>
      </c>
      <c r="C12" s="310"/>
      <c r="D12" s="310"/>
      <c r="E12" s="310"/>
      <c r="F12" s="310"/>
      <c r="G12" s="310"/>
      <c r="H12" s="118">
        <f>H13</f>
        <v>857.5</v>
      </c>
      <c r="M12" s="376">
        <f>E13+E32+E51+E70+E89</f>
        <v>3853</v>
      </c>
    </row>
    <row r="13" spans="1:13" s="119" customFormat="1" ht="15" customHeight="1" x14ac:dyDescent="0.3">
      <c r="A13" s="98" t="s">
        <v>47</v>
      </c>
      <c r="B13" s="98">
        <v>100575</v>
      </c>
      <c r="C13" s="114" t="s">
        <v>66</v>
      </c>
      <c r="D13" s="26" t="s">
        <v>19</v>
      </c>
      <c r="E13" s="120">
        <f>MC!C25</f>
        <v>1225</v>
      </c>
      <c r="F13" s="120">
        <f>CCU!G27</f>
        <v>0.57999999999999996</v>
      </c>
      <c r="G13" s="28">
        <f>CCU!G33</f>
        <v>0.7</v>
      </c>
      <c r="H13" s="28">
        <f>ROUND(E13*G13,2)</f>
        <v>857.5</v>
      </c>
      <c r="M13" s="377">
        <f>E16+E35+E54+E73+E92</f>
        <v>3853</v>
      </c>
    </row>
    <row r="14" spans="1:13" s="119" customFormat="1" ht="15" customHeight="1" x14ac:dyDescent="0.3">
      <c r="A14" s="311"/>
      <c r="B14" s="311"/>
      <c r="C14" s="311"/>
      <c r="D14" s="311"/>
      <c r="E14" s="311"/>
      <c r="F14" s="311"/>
      <c r="G14" s="311"/>
      <c r="H14" s="311"/>
      <c r="M14" s="377">
        <f>E19+E38+E57+E76+E95</f>
        <v>1226</v>
      </c>
    </row>
    <row r="15" spans="1:13" s="119" customFormat="1" ht="15" customHeight="1" x14ac:dyDescent="0.3">
      <c r="A15" s="117" t="s">
        <v>68</v>
      </c>
      <c r="B15" s="310" t="s">
        <v>69</v>
      </c>
      <c r="C15" s="310"/>
      <c r="D15" s="310"/>
      <c r="E15" s="310"/>
      <c r="F15" s="310"/>
      <c r="G15" s="310"/>
      <c r="H15" s="118">
        <f>SUM(H16:H16)</f>
        <v>118886.25</v>
      </c>
      <c r="M15" s="377">
        <f>E20+E39+E58+E77+E96</f>
        <v>1226</v>
      </c>
    </row>
    <row r="16" spans="1:13" s="119" customFormat="1" ht="25.05" customHeight="1" x14ac:dyDescent="0.3">
      <c r="A16" s="98" t="s">
        <v>70</v>
      </c>
      <c r="B16" s="98" t="s">
        <v>192</v>
      </c>
      <c r="C16" s="114" t="s">
        <v>29</v>
      </c>
      <c r="D16" s="26" t="s">
        <v>19</v>
      </c>
      <c r="E16" s="120">
        <f>MC!C31</f>
        <v>1225</v>
      </c>
      <c r="F16" s="120">
        <f>CCU!G36</f>
        <v>79.58</v>
      </c>
      <c r="G16" s="28">
        <f>CCU!G45</f>
        <v>97.05</v>
      </c>
      <c r="H16" s="28">
        <f>ROUND(E16*G16,2)</f>
        <v>118886.25</v>
      </c>
      <c r="M16" s="377">
        <f>E23+E42+E61+E80+E99</f>
        <v>18351.069999999996</v>
      </c>
    </row>
    <row r="17" spans="1:13" s="119" customFormat="1" ht="15" customHeight="1" x14ac:dyDescent="0.3">
      <c r="A17" s="311"/>
      <c r="B17" s="311"/>
      <c r="C17" s="311"/>
      <c r="D17" s="311"/>
      <c r="E17" s="311"/>
      <c r="F17" s="311"/>
      <c r="G17" s="311"/>
      <c r="H17" s="311"/>
      <c r="M17" s="377">
        <f>E24+E43+E62+E81+E100</f>
        <v>3180.8500000000004</v>
      </c>
    </row>
    <row r="18" spans="1:13" s="119" customFormat="1" ht="15" customHeight="1" x14ac:dyDescent="0.3">
      <c r="A18" s="117" t="s">
        <v>71</v>
      </c>
      <c r="B18" s="310" t="s">
        <v>72</v>
      </c>
      <c r="C18" s="310"/>
      <c r="D18" s="310"/>
      <c r="E18" s="310"/>
      <c r="F18" s="310"/>
      <c r="G18" s="310"/>
      <c r="H18" s="118">
        <f>SUM(H19:H20)</f>
        <v>29326.5</v>
      </c>
      <c r="M18" s="377">
        <f>E27+E46+E65+E84+E103</f>
        <v>0.92</v>
      </c>
    </row>
    <row r="19" spans="1:13" s="119" customFormat="1" ht="25.05" customHeight="1" x14ac:dyDescent="0.3">
      <c r="A19" s="98" t="s">
        <v>73</v>
      </c>
      <c r="B19" s="98">
        <v>94273</v>
      </c>
      <c r="C19" s="114" t="s">
        <v>74</v>
      </c>
      <c r="D19" s="26" t="s">
        <v>54</v>
      </c>
      <c r="E19" s="120">
        <f>MC!C38</f>
        <v>350</v>
      </c>
      <c r="F19" s="120">
        <f>CCU!G48</f>
        <v>46.03</v>
      </c>
      <c r="G19" s="28">
        <f>CCU!G55</f>
        <v>56.13</v>
      </c>
      <c r="H19" s="28">
        <f>ROUND(E19*G19,2)</f>
        <v>19645.5</v>
      </c>
      <c r="M19" s="377">
        <f>E28+E47+E66+E85+E104</f>
        <v>8</v>
      </c>
    </row>
    <row r="20" spans="1:13" s="119" customFormat="1" ht="25.05" customHeight="1" x14ac:dyDescent="0.3">
      <c r="A20" s="98" t="s">
        <v>78</v>
      </c>
      <c r="B20" s="98" t="s">
        <v>193</v>
      </c>
      <c r="C20" s="114" t="s">
        <v>194</v>
      </c>
      <c r="D20" s="26" t="s">
        <v>54</v>
      </c>
      <c r="E20" s="120">
        <f>MC!C43</f>
        <v>350</v>
      </c>
      <c r="F20" s="120">
        <f>CCU!G58</f>
        <v>22.68</v>
      </c>
      <c r="G20" s="28">
        <f>CCU!G66</f>
        <v>27.66</v>
      </c>
      <c r="H20" s="28">
        <f>ROUND(E20*G20,2)</f>
        <v>9681</v>
      </c>
    </row>
    <row r="21" spans="1:13" s="119" customFormat="1" ht="15" customHeight="1" x14ac:dyDescent="0.3">
      <c r="A21" s="311"/>
      <c r="B21" s="311"/>
      <c r="C21" s="311"/>
      <c r="D21" s="311"/>
      <c r="E21" s="311"/>
      <c r="F21" s="311"/>
      <c r="G21" s="311"/>
      <c r="H21" s="311"/>
    </row>
    <row r="22" spans="1:13" s="119" customFormat="1" ht="15" customHeight="1" x14ac:dyDescent="0.3">
      <c r="A22" s="117" t="s">
        <v>80</v>
      </c>
      <c r="B22" s="310" t="s">
        <v>81</v>
      </c>
      <c r="C22" s="310"/>
      <c r="D22" s="310"/>
      <c r="E22" s="310"/>
      <c r="F22" s="310"/>
      <c r="G22" s="310"/>
      <c r="H22" s="118">
        <f>SUM(H23:H24)</f>
        <v>12351.1</v>
      </c>
    </row>
    <row r="23" spans="1:13" s="119" customFormat="1" ht="25.05" customHeight="1" x14ac:dyDescent="0.3">
      <c r="A23" s="98" t="s">
        <v>82</v>
      </c>
      <c r="B23" s="98">
        <v>95878</v>
      </c>
      <c r="C23" s="114" t="s">
        <v>83</v>
      </c>
      <c r="D23" s="26" t="s">
        <v>195</v>
      </c>
      <c r="E23" s="120">
        <f>MC!C52</f>
        <v>5834.43</v>
      </c>
      <c r="F23" s="120">
        <f>CCU!G69</f>
        <v>1.63</v>
      </c>
      <c r="G23" s="28">
        <f>CCU!G73</f>
        <v>1.98</v>
      </c>
      <c r="H23" s="28">
        <f>ROUND(E23*G23,2)</f>
        <v>11552.17</v>
      </c>
    </row>
    <row r="24" spans="1:13" s="119" customFormat="1" ht="25.05" customHeight="1" x14ac:dyDescent="0.3">
      <c r="A24" s="98" t="s">
        <v>95</v>
      </c>
      <c r="B24" s="98">
        <v>93596</v>
      </c>
      <c r="C24" s="114" t="s">
        <v>96</v>
      </c>
      <c r="D24" s="26" t="s">
        <v>195</v>
      </c>
      <c r="E24" s="120">
        <f>MC!C60</f>
        <v>1011.3</v>
      </c>
      <c r="F24" s="120">
        <f>CCU!G76</f>
        <v>0.65</v>
      </c>
      <c r="G24" s="28">
        <f>CCU!G80</f>
        <v>0.79</v>
      </c>
      <c r="H24" s="28">
        <f>ROUND(E24*G24,2)</f>
        <v>798.93</v>
      </c>
    </row>
    <row r="25" spans="1:13" s="119" customFormat="1" ht="15" customHeight="1" x14ac:dyDescent="0.3">
      <c r="A25" s="311"/>
      <c r="B25" s="311"/>
      <c r="C25" s="311"/>
      <c r="D25" s="311"/>
      <c r="E25" s="311"/>
      <c r="F25" s="311"/>
      <c r="G25" s="311"/>
      <c r="H25" s="311"/>
    </row>
    <row r="26" spans="1:13" s="119" customFormat="1" ht="15" customHeight="1" x14ac:dyDescent="0.3">
      <c r="A26" s="117" t="s">
        <v>97</v>
      </c>
      <c r="B26" s="310" t="s">
        <v>183</v>
      </c>
      <c r="C26" s="310"/>
      <c r="D26" s="310"/>
      <c r="E26" s="310"/>
      <c r="F26" s="310"/>
      <c r="G26" s="310"/>
      <c r="H26" s="118">
        <f>SUM(H27:H28)</f>
        <v>1300.99</v>
      </c>
    </row>
    <row r="27" spans="1:13" s="119" customFormat="1" ht="25.05" customHeight="1" x14ac:dyDescent="0.3">
      <c r="A27" s="98" t="s">
        <v>99</v>
      </c>
      <c r="B27" s="98" t="s">
        <v>196</v>
      </c>
      <c r="C27" s="114" t="s">
        <v>100</v>
      </c>
      <c r="D27" s="26" t="s">
        <v>19</v>
      </c>
      <c r="E27" s="120">
        <f>MC!C65</f>
        <v>0.23</v>
      </c>
      <c r="F27" s="120">
        <f>CCU!G83</f>
        <v>976.19</v>
      </c>
      <c r="G27" s="28">
        <f>CCU!G89</f>
        <v>1190.56</v>
      </c>
      <c r="H27" s="28">
        <f>ROUND(E27*G27,2)</f>
        <v>273.83</v>
      </c>
    </row>
    <row r="28" spans="1:13" s="119" customFormat="1" ht="25.05" customHeight="1" x14ac:dyDescent="0.3">
      <c r="A28" s="98" t="s">
        <v>99</v>
      </c>
      <c r="B28" s="98" t="s">
        <v>197</v>
      </c>
      <c r="C28" s="114" t="s">
        <v>104</v>
      </c>
      <c r="D28" s="26" t="s">
        <v>75</v>
      </c>
      <c r="E28" s="120">
        <f>MC!C69</f>
        <v>2</v>
      </c>
      <c r="F28" s="120">
        <f>CCU!G92</f>
        <v>421.11</v>
      </c>
      <c r="G28" s="28">
        <f>CCU!G98</f>
        <v>513.58000000000004</v>
      </c>
      <c r="H28" s="28">
        <f>ROUND(E28*G28,2)</f>
        <v>1027.1600000000001</v>
      </c>
    </row>
    <row r="29" spans="1:13" s="119" customFormat="1" ht="15" customHeight="1" x14ac:dyDescent="0.3">
      <c r="A29" s="312"/>
      <c r="B29" s="313"/>
      <c r="C29" s="313"/>
      <c r="D29" s="313"/>
      <c r="E29" s="313"/>
      <c r="F29" s="313"/>
      <c r="G29" s="313"/>
      <c r="H29" s="314"/>
    </row>
    <row r="30" spans="1:13" s="119" customFormat="1" ht="15" customHeight="1" x14ac:dyDescent="0.3">
      <c r="A30" s="315" t="str">
        <f>MC!B71</f>
        <v>Rua Doze - Loteamento Orgmar Monteiro</v>
      </c>
      <c r="B30" s="316"/>
      <c r="C30" s="316"/>
      <c r="D30" s="316"/>
      <c r="E30" s="316"/>
      <c r="F30" s="316"/>
      <c r="G30" s="316"/>
      <c r="H30" s="124">
        <f>SUM(H31,H34,H37,H41,H45)</f>
        <v>143851.65</v>
      </c>
    </row>
    <row r="31" spans="1:13" s="119" customFormat="1" ht="15" customHeight="1" x14ac:dyDescent="0.3">
      <c r="A31" s="117" t="s">
        <v>45</v>
      </c>
      <c r="B31" s="310" t="s">
        <v>65</v>
      </c>
      <c r="C31" s="310"/>
      <c r="D31" s="310"/>
      <c r="E31" s="310"/>
      <c r="F31" s="310"/>
      <c r="G31" s="310"/>
      <c r="H31" s="118">
        <f>H32</f>
        <v>735</v>
      </c>
    </row>
    <row r="32" spans="1:13" s="119" customFormat="1" ht="15" customHeight="1" x14ac:dyDescent="0.3">
      <c r="A32" s="98" t="s">
        <v>47</v>
      </c>
      <c r="B32" s="98">
        <v>100575</v>
      </c>
      <c r="C32" s="114" t="s">
        <v>66</v>
      </c>
      <c r="D32" s="26" t="s">
        <v>19</v>
      </c>
      <c r="E32" s="120">
        <f>MC!C80</f>
        <v>1050</v>
      </c>
      <c r="F32" s="120">
        <f>F13</f>
        <v>0.57999999999999996</v>
      </c>
      <c r="G32" s="28">
        <f>G13</f>
        <v>0.7</v>
      </c>
      <c r="H32" s="28">
        <f>ROUND(E32*G32,2)</f>
        <v>735</v>
      </c>
    </row>
    <row r="33" spans="1:8" s="119" customFormat="1" ht="15" customHeight="1" x14ac:dyDescent="0.3">
      <c r="A33" s="311"/>
      <c r="B33" s="311"/>
      <c r="C33" s="311"/>
      <c r="D33" s="311"/>
      <c r="E33" s="311"/>
      <c r="F33" s="311"/>
      <c r="G33" s="311"/>
      <c r="H33" s="311"/>
    </row>
    <row r="34" spans="1:8" s="119" customFormat="1" ht="15" customHeight="1" x14ac:dyDescent="0.3">
      <c r="A34" s="117" t="s">
        <v>68</v>
      </c>
      <c r="B34" s="310" t="s">
        <v>69</v>
      </c>
      <c r="C34" s="310"/>
      <c r="D34" s="310"/>
      <c r="E34" s="310"/>
      <c r="F34" s="310"/>
      <c r="G34" s="310"/>
      <c r="H34" s="118">
        <f>SUM(H35:H35)</f>
        <v>101902.5</v>
      </c>
    </row>
    <row r="35" spans="1:8" s="119" customFormat="1" ht="25.05" customHeight="1" x14ac:dyDescent="0.3">
      <c r="A35" s="98" t="s">
        <v>70</v>
      </c>
      <c r="B35" s="98" t="s">
        <v>192</v>
      </c>
      <c r="C35" s="114" t="s">
        <v>29</v>
      </c>
      <c r="D35" s="26" t="s">
        <v>19</v>
      </c>
      <c r="E35" s="120">
        <f>MC!C86</f>
        <v>1050</v>
      </c>
      <c r="F35" s="120">
        <f>F16</f>
        <v>79.58</v>
      </c>
      <c r="G35" s="28">
        <f>G16</f>
        <v>97.05</v>
      </c>
      <c r="H35" s="28">
        <f>ROUND(E35*G35,2)</f>
        <v>101902.5</v>
      </c>
    </row>
    <row r="36" spans="1:8" s="119" customFormat="1" ht="15" customHeight="1" x14ac:dyDescent="0.3">
      <c r="A36" s="311"/>
      <c r="B36" s="311"/>
      <c r="C36" s="311"/>
      <c r="D36" s="311"/>
      <c r="E36" s="311"/>
      <c r="F36" s="311"/>
      <c r="G36" s="311"/>
      <c r="H36" s="311"/>
    </row>
    <row r="37" spans="1:8" s="119" customFormat="1" ht="15" customHeight="1" x14ac:dyDescent="0.3">
      <c r="A37" s="117" t="s">
        <v>71</v>
      </c>
      <c r="B37" s="310" t="s">
        <v>72</v>
      </c>
      <c r="C37" s="310"/>
      <c r="D37" s="310"/>
      <c r="E37" s="310"/>
      <c r="F37" s="310"/>
      <c r="G37" s="310"/>
      <c r="H37" s="118">
        <f>SUM(H38:H39)</f>
        <v>29326.5</v>
      </c>
    </row>
    <row r="38" spans="1:8" s="119" customFormat="1" ht="25.05" customHeight="1" x14ac:dyDescent="0.3">
      <c r="A38" s="98" t="s">
        <v>73</v>
      </c>
      <c r="B38" s="98">
        <v>94273</v>
      </c>
      <c r="C38" s="114" t="s">
        <v>74</v>
      </c>
      <c r="D38" s="26" t="s">
        <v>54</v>
      </c>
      <c r="E38" s="120">
        <f>MC!C93</f>
        <v>350</v>
      </c>
      <c r="F38" s="120">
        <f>F19</f>
        <v>46.03</v>
      </c>
      <c r="G38" s="28">
        <f>G19</f>
        <v>56.13</v>
      </c>
      <c r="H38" s="28">
        <f>ROUND(E38*G38,2)</f>
        <v>19645.5</v>
      </c>
    </row>
    <row r="39" spans="1:8" s="119" customFormat="1" ht="25.05" customHeight="1" x14ac:dyDescent="0.3">
      <c r="A39" s="98" t="s">
        <v>78</v>
      </c>
      <c r="B39" s="98" t="s">
        <v>193</v>
      </c>
      <c r="C39" s="114" t="s">
        <v>194</v>
      </c>
      <c r="D39" s="26" t="s">
        <v>54</v>
      </c>
      <c r="E39" s="120">
        <f>MC!C98</f>
        <v>350</v>
      </c>
      <c r="F39" s="120">
        <f>F20</f>
        <v>22.68</v>
      </c>
      <c r="G39" s="28">
        <f>G20</f>
        <v>27.66</v>
      </c>
      <c r="H39" s="28">
        <f>ROUND(E39*G39,2)</f>
        <v>9681</v>
      </c>
    </row>
    <row r="40" spans="1:8" s="119" customFormat="1" ht="15" customHeight="1" x14ac:dyDescent="0.3">
      <c r="A40" s="311"/>
      <c r="B40" s="311"/>
      <c r="C40" s="311"/>
      <c r="D40" s="311"/>
      <c r="E40" s="311"/>
      <c r="F40" s="311"/>
      <c r="G40" s="311"/>
      <c r="H40" s="311"/>
    </row>
    <row r="41" spans="1:8" s="119" customFormat="1" ht="15" customHeight="1" x14ac:dyDescent="0.3">
      <c r="A41" s="117" t="s">
        <v>80</v>
      </c>
      <c r="B41" s="310" t="s">
        <v>81</v>
      </c>
      <c r="C41" s="310"/>
      <c r="D41" s="310"/>
      <c r="E41" s="310"/>
      <c r="F41" s="310"/>
      <c r="G41" s="310"/>
      <c r="H41" s="118">
        <f>SUM(H42:H43)</f>
        <v>10586.66</v>
      </c>
    </row>
    <row r="42" spans="1:8" s="119" customFormat="1" ht="25.05" customHeight="1" x14ac:dyDescent="0.3">
      <c r="A42" s="98" t="s">
        <v>82</v>
      </c>
      <c r="B42" s="98">
        <v>95878</v>
      </c>
      <c r="C42" s="114" t="s">
        <v>83</v>
      </c>
      <c r="D42" s="26" t="s">
        <v>195</v>
      </c>
      <c r="E42" s="120">
        <f>MC!C107</f>
        <v>5000.9399999999996</v>
      </c>
      <c r="F42" s="120">
        <f>F23</f>
        <v>1.63</v>
      </c>
      <c r="G42" s="28">
        <f>G23</f>
        <v>1.98</v>
      </c>
      <c r="H42" s="28">
        <f>ROUND(E42*G42,2)</f>
        <v>9901.86</v>
      </c>
    </row>
    <row r="43" spans="1:8" s="119" customFormat="1" ht="25.05" customHeight="1" x14ac:dyDescent="0.3">
      <c r="A43" s="98" t="s">
        <v>95</v>
      </c>
      <c r="B43" s="98">
        <v>93596</v>
      </c>
      <c r="C43" s="114" t="s">
        <v>96</v>
      </c>
      <c r="D43" s="26" t="s">
        <v>195</v>
      </c>
      <c r="E43" s="120">
        <f>MC!C115</f>
        <v>866.83</v>
      </c>
      <c r="F43" s="120">
        <f>F24</f>
        <v>0.65</v>
      </c>
      <c r="G43" s="28">
        <f>G24</f>
        <v>0.79</v>
      </c>
      <c r="H43" s="28">
        <f>ROUND(E43*G43,2)</f>
        <v>684.8</v>
      </c>
    </row>
    <row r="44" spans="1:8" s="119" customFormat="1" ht="15" customHeight="1" x14ac:dyDescent="0.3">
      <c r="A44" s="311"/>
      <c r="B44" s="311"/>
      <c r="C44" s="311"/>
      <c r="D44" s="311"/>
      <c r="E44" s="311"/>
      <c r="F44" s="311"/>
      <c r="G44" s="311"/>
      <c r="H44" s="311"/>
    </row>
    <row r="45" spans="1:8" s="119" customFormat="1" ht="15" customHeight="1" x14ac:dyDescent="0.3">
      <c r="A45" s="117" t="s">
        <v>97</v>
      </c>
      <c r="B45" s="310" t="s">
        <v>183</v>
      </c>
      <c r="C45" s="310"/>
      <c r="D45" s="310"/>
      <c r="E45" s="310"/>
      <c r="F45" s="310"/>
      <c r="G45" s="310"/>
      <c r="H45" s="118">
        <f>SUM(H46:H47)</f>
        <v>1300.99</v>
      </c>
    </row>
    <row r="46" spans="1:8" s="119" customFormat="1" ht="25.05" customHeight="1" x14ac:dyDescent="0.3">
      <c r="A46" s="98" t="s">
        <v>99</v>
      </c>
      <c r="B46" s="98" t="s">
        <v>196</v>
      </c>
      <c r="C46" s="114" t="s">
        <v>100</v>
      </c>
      <c r="D46" s="26" t="s">
        <v>19</v>
      </c>
      <c r="E46" s="120">
        <f>MC!C120</f>
        <v>0.23</v>
      </c>
      <c r="F46" s="120">
        <f>F27</f>
        <v>976.19</v>
      </c>
      <c r="G46" s="28">
        <f>G27</f>
        <v>1190.56</v>
      </c>
      <c r="H46" s="28">
        <f>ROUND(E46*G46,2)</f>
        <v>273.83</v>
      </c>
    </row>
    <row r="47" spans="1:8" s="119" customFormat="1" ht="25.05" customHeight="1" x14ac:dyDescent="0.3">
      <c r="A47" s="98" t="s">
        <v>99</v>
      </c>
      <c r="B47" s="98" t="s">
        <v>197</v>
      </c>
      <c r="C47" s="114" t="s">
        <v>104</v>
      </c>
      <c r="D47" s="26" t="s">
        <v>75</v>
      </c>
      <c r="E47" s="120">
        <f>MC!C124</f>
        <v>2</v>
      </c>
      <c r="F47" s="120">
        <f>F28</f>
        <v>421.11</v>
      </c>
      <c r="G47" s="28">
        <f>G28</f>
        <v>513.58000000000004</v>
      </c>
      <c r="H47" s="28">
        <f>ROUND(E47*G47,2)</f>
        <v>1027.1600000000001</v>
      </c>
    </row>
    <row r="48" spans="1:8" s="119" customFormat="1" ht="15" customHeight="1" x14ac:dyDescent="0.3">
      <c r="A48" s="312"/>
      <c r="B48" s="313"/>
      <c r="C48" s="313"/>
      <c r="D48" s="313"/>
      <c r="E48" s="313"/>
      <c r="F48" s="313"/>
      <c r="G48" s="313"/>
      <c r="H48" s="314"/>
    </row>
    <row r="49" spans="1:8" s="119" customFormat="1" ht="15" customHeight="1" x14ac:dyDescent="0.3">
      <c r="A49" s="315" t="str">
        <f>MC!B126</f>
        <v>Cabeça de Rua - Rua Doze - Loteamento Orgmar Monteiro</v>
      </c>
      <c r="B49" s="316"/>
      <c r="C49" s="316"/>
      <c r="D49" s="316"/>
      <c r="E49" s="316"/>
      <c r="F49" s="316"/>
      <c r="G49" s="316"/>
      <c r="H49" s="124">
        <f>SUM(H50,H53,H56,H60,H64)</f>
        <v>4887.45</v>
      </c>
    </row>
    <row r="50" spans="1:8" s="119" customFormat="1" ht="15" customHeight="1" x14ac:dyDescent="0.3">
      <c r="A50" s="117" t="s">
        <v>45</v>
      </c>
      <c r="B50" s="310" t="s">
        <v>65</v>
      </c>
      <c r="C50" s="310"/>
      <c r="D50" s="310"/>
      <c r="E50" s="310"/>
      <c r="F50" s="310"/>
      <c r="G50" s="310"/>
      <c r="H50" s="118">
        <f>H51</f>
        <v>25.2</v>
      </c>
    </row>
    <row r="51" spans="1:8" s="119" customFormat="1" ht="15" customHeight="1" x14ac:dyDescent="0.3">
      <c r="A51" s="98" t="s">
        <v>47</v>
      </c>
      <c r="B51" s="98">
        <v>100575</v>
      </c>
      <c r="C51" s="114" t="s">
        <v>66</v>
      </c>
      <c r="D51" s="26" t="s">
        <v>19</v>
      </c>
      <c r="E51" s="120">
        <f>MC!C135</f>
        <v>36</v>
      </c>
      <c r="F51" s="120">
        <f>F13</f>
        <v>0.57999999999999996</v>
      </c>
      <c r="G51" s="28">
        <f>G13</f>
        <v>0.7</v>
      </c>
      <c r="H51" s="28">
        <f>ROUND(E51*G51,2)</f>
        <v>25.2</v>
      </c>
    </row>
    <row r="52" spans="1:8" s="119" customFormat="1" ht="15" customHeight="1" x14ac:dyDescent="0.3">
      <c r="A52" s="311"/>
      <c r="B52" s="311"/>
      <c r="C52" s="311"/>
      <c r="D52" s="311"/>
      <c r="E52" s="311"/>
      <c r="F52" s="311"/>
      <c r="G52" s="311"/>
      <c r="H52" s="311"/>
    </row>
    <row r="53" spans="1:8" s="119" customFormat="1" ht="15" customHeight="1" x14ac:dyDescent="0.3">
      <c r="A53" s="117" t="s">
        <v>68</v>
      </c>
      <c r="B53" s="310" t="s">
        <v>69</v>
      </c>
      <c r="C53" s="310"/>
      <c r="D53" s="310"/>
      <c r="E53" s="310"/>
      <c r="F53" s="310"/>
      <c r="G53" s="310"/>
      <c r="H53" s="118">
        <f>SUM(H54:H54)</f>
        <v>3493.8</v>
      </c>
    </row>
    <row r="54" spans="1:8" s="119" customFormat="1" ht="25.05" customHeight="1" x14ac:dyDescent="0.3">
      <c r="A54" s="98" t="s">
        <v>70</v>
      </c>
      <c r="B54" s="98" t="s">
        <v>192</v>
      </c>
      <c r="C54" s="114" t="s">
        <v>29</v>
      </c>
      <c r="D54" s="26" t="s">
        <v>19</v>
      </c>
      <c r="E54" s="120">
        <f>MC!C141</f>
        <v>36</v>
      </c>
      <c r="F54" s="120">
        <f>F16</f>
        <v>79.58</v>
      </c>
      <c r="G54" s="28">
        <f>G16</f>
        <v>97.05</v>
      </c>
      <c r="H54" s="28">
        <f>ROUND(E54*G54,2)</f>
        <v>3493.8</v>
      </c>
    </row>
    <row r="55" spans="1:8" s="119" customFormat="1" ht="15" customHeight="1" x14ac:dyDescent="0.3">
      <c r="A55" s="311"/>
      <c r="B55" s="311"/>
      <c r="C55" s="311"/>
      <c r="D55" s="311"/>
      <c r="E55" s="311"/>
      <c r="F55" s="311"/>
      <c r="G55" s="311"/>
      <c r="H55" s="311"/>
    </row>
    <row r="56" spans="1:8" s="119" customFormat="1" ht="15" customHeight="1" x14ac:dyDescent="0.3">
      <c r="A56" s="117" t="s">
        <v>71</v>
      </c>
      <c r="B56" s="310" t="s">
        <v>72</v>
      </c>
      <c r="C56" s="310"/>
      <c r="D56" s="310"/>
      <c r="E56" s="310"/>
      <c r="F56" s="310"/>
      <c r="G56" s="310"/>
      <c r="H56" s="118">
        <f>SUM(H57:H58)</f>
        <v>1005.48</v>
      </c>
    </row>
    <row r="57" spans="1:8" s="119" customFormat="1" ht="25.05" customHeight="1" x14ac:dyDescent="0.3">
      <c r="A57" s="98" t="s">
        <v>73</v>
      </c>
      <c r="B57" s="98">
        <v>94273</v>
      </c>
      <c r="C57" s="114" t="s">
        <v>74</v>
      </c>
      <c r="D57" s="26" t="s">
        <v>54</v>
      </c>
      <c r="E57" s="120">
        <f>MC!C148</f>
        <v>12</v>
      </c>
      <c r="F57" s="120">
        <f>F19</f>
        <v>46.03</v>
      </c>
      <c r="G57" s="28">
        <f>G19</f>
        <v>56.13</v>
      </c>
      <c r="H57" s="28">
        <f>ROUND(E57*G57,2)</f>
        <v>673.56</v>
      </c>
    </row>
    <row r="58" spans="1:8" s="119" customFormat="1" ht="25.05" customHeight="1" x14ac:dyDescent="0.3">
      <c r="A58" s="98" t="s">
        <v>78</v>
      </c>
      <c r="B58" s="98" t="s">
        <v>193</v>
      </c>
      <c r="C58" s="114" t="s">
        <v>194</v>
      </c>
      <c r="D58" s="26" t="s">
        <v>54</v>
      </c>
      <c r="E58" s="120">
        <f>MC!C153</f>
        <v>12</v>
      </c>
      <c r="F58" s="120">
        <f>F20</f>
        <v>22.68</v>
      </c>
      <c r="G58" s="28">
        <f>G20</f>
        <v>27.66</v>
      </c>
      <c r="H58" s="28">
        <f>ROUND(E58*G58,2)</f>
        <v>331.92</v>
      </c>
    </row>
    <row r="59" spans="1:8" s="119" customFormat="1" ht="15" customHeight="1" x14ac:dyDescent="0.3">
      <c r="A59" s="311"/>
      <c r="B59" s="311"/>
      <c r="C59" s="311"/>
      <c r="D59" s="311"/>
      <c r="E59" s="311"/>
      <c r="F59" s="311"/>
      <c r="G59" s="311"/>
      <c r="H59" s="311"/>
    </row>
    <row r="60" spans="1:8" s="119" customFormat="1" ht="15" customHeight="1" x14ac:dyDescent="0.3">
      <c r="A60" s="117" t="s">
        <v>80</v>
      </c>
      <c r="B60" s="310" t="s">
        <v>81</v>
      </c>
      <c r="C60" s="310"/>
      <c r="D60" s="310"/>
      <c r="E60" s="310"/>
      <c r="F60" s="310"/>
      <c r="G60" s="310"/>
      <c r="H60" s="118">
        <f>SUM(H61:H62)</f>
        <v>362.97</v>
      </c>
    </row>
    <row r="61" spans="1:8" s="119" customFormat="1" ht="25.05" customHeight="1" x14ac:dyDescent="0.3">
      <c r="A61" s="98" t="s">
        <v>82</v>
      </c>
      <c r="B61" s="98">
        <v>95878</v>
      </c>
      <c r="C61" s="114" t="s">
        <v>83</v>
      </c>
      <c r="D61" s="26" t="s">
        <v>195</v>
      </c>
      <c r="E61" s="120">
        <f>MC!C162</f>
        <v>171.46</v>
      </c>
      <c r="F61" s="120">
        <f>F23</f>
        <v>1.63</v>
      </c>
      <c r="G61" s="28">
        <f>G23</f>
        <v>1.98</v>
      </c>
      <c r="H61" s="28">
        <f>ROUND(E61*G61,2)</f>
        <v>339.49</v>
      </c>
    </row>
    <row r="62" spans="1:8" s="119" customFormat="1" ht="25.05" customHeight="1" x14ac:dyDescent="0.3">
      <c r="A62" s="98" t="s">
        <v>95</v>
      </c>
      <c r="B62" s="98">
        <v>93596</v>
      </c>
      <c r="C62" s="114" t="s">
        <v>96</v>
      </c>
      <c r="D62" s="26" t="s">
        <v>195</v>
      </c>
      <c r="E62" s="120">
        <f>MC!C170</f>
        <v>29.72</v>
      </c>
      <c r="F62" s="120">
        <f>F24</f>
        <v>0.65</v>
      </c>
      <c r="G62" s="28">
        <f>G24</f>
        <v>0.79</v>
      </c>
      <c r="H62" s="28">
        <f>ROUND(E62*G62,2)</f>
        <v>23.48</v>
      </c>
    </row>
    <row r="63" spans="1:8" s="119" customFormat="1" ht="15" customHeight="1" x14ac:dyDescent="0.3">
      <c r="A63" s="311"/>
      <c r="B63" s="311"/>
      <c r="C63" s="311"/>
      <c r="D63" s="311"/>
      <c r="E63" s="311"/>
      <c r="F63" s="311"/>
      <c r="G63" s="311"/>
      <c r="H63" s="311"/>
    </row>
    <row r="64" spans="1:8" s="119" customFormat="1" ht="15" customHeight="1" x14ac:dyDescent="0.3">
      <c r="A64" s="117" t="s">
        <v>97</v>
      </c>
      <c r="B64" s="310" t="s">
        <v>183</v>
      </c>
      <c r="C64" s="310"/>
      <c r="D64" s="310"/>
      <c r="E64" s="310"/>
      <c r="F64" s="310"/>
      <c r="G64" s="310"/>
      <c r="H64" s="118">
        <f>SUM(H65:H66)</f>
        <v>0</v>
      </c>
    </row>
    <row r="65" spans="1:8" s="119" customFormat="1" ht="25.05" customHeight="1" x14ac:dyDescent="0.3">
      <c r="A65" s="98" t="s">
        <v>99</v>
      </c>
      <c r="B65" s="98" t="s">
        <v>196</v>
      </c>
      <c r="C65" s="114" t="s">
        <v>100</v>
      </c>
      <c r="D65" s="26" t="s">
        <v>19</v>
      </c>
      <c r="E65" s="120">
        <f>MC!C175</f>
        <v>0</v>
      </c>
      <c r="F65" s="120">
        <f>F27</f>
        <v>976.19</v>
      </c>
      <c r="G65" s="28">
        <f>G27</f>
        <v>1190.56</v>
      </c>
      <c r="H65" s="28">
        <f>ROUND(E65*G65,2)</f>
        <v>0</v>
      </c>
    </row>
    <row r="66" spans="1:8" s="119" customFormat="1" ht="25.05" customHeight="1" x14ac:dyDescent="0.3">
      <c r="A66" s="98" t="s">
        <v>99</v>
      </c>
      <c r="B66" s="98" t="s">
        <v>197</v>
      </c>
      <c r="C66" s="114" t="s">
        <v>104</v>
      </c>
      <c r="D66" s="26" t="s">
        <v>75</v>
      </c>
      <c r="E66" s="120">
        <f>MC!C179</f>
        <v>0</v>
      </c>
      <c r="F66" s="120">
        <f>F28</f>
        <v>421.11</v>
      </c>
      <c r="G66" s="28">
        <f>G28</f>
        <v>513.58000000000004</v>
      </c>
      <c r="H66" s="28">
        <f>ROUND(E66*G66,2)</f>
        <v>0</v>
      </c>
    </row>
    <row r="67" spans="1:8" s="119" customFormat="1" ht="15" customHeight="1" x14ac:dyDescent="0.3">
      <c r="A67" s="312"/>
      <c r="B67" s="313"/>
      <c r="C67" s="313"/>
      <c r="D67" s="313"/>
      <c r="E67" s="313"/>
      <c r="F67" s="313"/>
      <c r="G67" s="313"/>
      <c r="H67" s="314"/>
    </row>
    <row r="68" spans="1:8" s="119" customFormat="1" ht="15" customHeight="1" x14ac:dyDescent="0.3">
      <c r="A68" s="315" t="str">
        <f>MC!B181</f>
        <v>Rua São José - Trecho 01</v>
      </c>
      <c r="B68" s="316"/>
      <c r="C68" s="316"/>
      <c r="D68" s="316"/>
      <c r="E68" s="316"/>
      <c r="F68" s="316"/>
      <c r="G68" s="316"/>
      <c r="H68" s="124">
        <f>SUM(H69,H72,H75,H79,H83)</f>
        <v>111268.64000000001</v>
      </c>
    </row>
    <row r="69" spans="1:8" s="119" customFormat="1" ht="15" customHeight="1" x14ac:dyDescent="0.3">
      <c r="A69" s="117" t="s">
        <v>45</v>
      </c>
      <c r="B69" s="310" t="s">
        <v>65</v>
      </c>
      <c r="C69" s="310"/>
      <c r="D69" s="310"/>
      <c r="E69" s="310"/>
      <c r="F69" s="310"/>
      <c r="G69" s="310"/>
      <c r="H69" s="118">
        <f>H70</f>
        <v>567</v>
      </c>
    </row>
    <row r="70" spans="1:8" s="119" customFormat="1" ht="15" customHeight="1" x14ac:dyDescent="0.3">
      <c r="A70" s="98" t="s">
        <v>47</v>
      </c>
      <c r="B70" s="98">
        <v>100575</v>
      </c>
      <c r="C70" s="114" t="s">
        <v>66</v>
      </c>
      <c r="D70" s="26" t="s">
        <v>19</v>
      </c>
      <c r="E70" s="120">
        <f>MC!C190</f>
        <v>810</v>
      </c>
      <c r="F70" s="120">
        <f>F13</f>
        <v>0.57999999999999996</v>
      </c>
      <c r="G70" s="28">
        <f>G13</f>
        <v>0.7</v>
      </c>
      <c r="H70" s="28">
        <f>ROUND(E70*G70,2)</f>
        <v>567</v>
      </c>
    </row>
    <row r="71" spans="1:8" s="119" customFormat="1" ht="15" customHeight="1" x14ac:dyDescent="0.3">
      <c r="A71" s="311"/>
      <c r="B71" s="311"/>
      <c r="C71" s="311"/>
      <c r="D71" s="311"/>
      <c r="E71" s="311"/>
      <c r="F71" s="311"/>
      <c r="G71" s="311"/>
      <c r="H71" s="311"/>
    </row>
    <row r="72" spans="1:8" s="119" customFormat="1" ht="15" customHeight="1" x14ac:dyDescent="0.3">
      <c r="A72" s="117" t="s">
        <v>68</v>
      </c>
      <c r="B72" s="310" t="s">
        <v>69</v>
      </c>
      <c r="C72" s="310"/>
      <c r="D72" s="310"/>
      <c r="E72" s="310"/>
      <c r="F72" s="310"/>
      <c r="G72" s="310"/>
      <c r="H72" s="118">
        <f>SUM(H73:H73)</f>
        <v>78610.5</v>
      </c>
    </row>
    <row r="73" spans="1:8" s="119" customFormat="1" ht="25.05" customHeight="1" x14ac:dyDescent="0.3">
      <c r="A73" s="98" t="s">
        <v>70</v>
      </c>
      <c r="B73" s="98" t="s">
        <v>192</v>
      </c>
      <c r="C73" s="114" t="s">
        <v>29</v>
      </c>
      <c r="D73" s="26" t="s">
        <v>19</v>
      </c>
      <c r="E73" s="120">
        <f>MC!C196</f>
        <v>810</v>
      </c>
      <c r="F73" s="120">
        <f>F16</f>
        <v>79.58</v>
      </c>
      <c r="G73" s="28">
        <f>G16</f>
        <v>97.05</v>
      </c>
      <c r="H73" s="28">
        <f>ROUND(E73*G73,2)</f>
        <v>78610.5</v>
      </c>
    </row>
    <row r="74" spans="1:8" s="119" customFormat="1" ht="15" customHeight="1" x14ac:dyDescent="0.3">
      <c r="A74" s="311"/>
      <c r="B74" s="311"/>
      <c r="C74" s="311"/>
      <c r="D74" s="311"/>
      <c r="E74" s="311"/>
      <c r="F74" s="311"/>
      <c r="G74" s="311"/>
      <c r="H74" s="311"/>
    </row>
    <row r="75" spans="1:8" s="119" customFormat="1" ht="15" customHeight="1" x14ac:dyDescent="0.3">
      <c r="A75" s="117" t="s">
        <v>71</v>
      </c>
      <c r="B75" s="310" t="s">
        <v>72</v>
      </c>
      <c r="C75" s="310"/>
      <c r="D75" s="310"/>
      <c r="E75" s="310"/>
      <c r="F75" s="310"/>
      <c r="G75" s="310"/>
      <c r="H75" s="118">
        <f>SUM(H76:H77)</f>
        <v>22623.3</v>
      </c>
    </row>
    <row r="76" spans="1:8" s="119" customFormat="1" ht="25.05" customHeight="1" x14ac:dyDescent="0.3">
      <c r="A76" s="98" t="s">
        <v>73</v>
      </c>
      <c r="B76" s="98">
        <v>94273</v>
      </c>
      <c r="C76" s="114" t="s">
        <v>74</v>
      </c>
      <c r="D76" s="26" t="s">
        <v>54</v>
      </c>
      <c r="E76" s="120">
        <f>MC!C203</f>
        <v>270</v>
      </c>
      <c r="F76" s="120">
        <f>F19</f>
        <v>46.03</v>
      </c>
      <c r="G76" s="28">
        <f>G19</f>
        <v>56.13</v>
      </c>
      <c r="H76" s="28">
        <f>ROUND(E76*G76,2)</f>
        <v>15155.1</v>
      </c>
    </row>
    <row r="77" spans="1:8" s="119" customFormat="1" ht="25.05" customHeight="1" x14ac:dyDescent="0.3">
      <c r="A77" s="98" t="s">
        <v>78</v>
      </c>
      <c r="B77" s="98" t="s">
        <v>193</v>
      </c>
      <c r="C77" s="114" t="s">
        <v>194</v>
      </c>
      <c r="D77" s="26" t="s">
        <v>54</v>
      </c>
      <c r="E77" s="120">
        <f>MC!C208</f>
        <v>270</v>
      </c>
      <c r="F77" s="120">
        <f>F20</f>
        <v>22.68</v>
      </c>
      <c r="G77" s="28">
        <f>G20</f>
        <v>27.66</v>
      </c>
      <c r="H77" s="28">
        <f>ROUND(E77*G77,2)</f>
        <v>7468.2</v>
      </c>
    </row>
    <row r="78" spans="1:8" s="119" customFormat="1" ht="15" customHeight="1" x14ac:dyDescent="0.3">
      <c r="A78" s="311"/>
      <c r="B78" s="311"/>
      <c r="C78" s="311"/>
      <c r="D78" s="311"/>
      <c r="E78" s="311"/>
      <c r="F78" s="311"/>
      <c r="G78" s="311"/>
      <c r="H78" s="311"/>
    </row>
    <row r="79" spans="1:8" s="119" customFormat="1" ht="15" customHeight="1" x14ac:dyDescent="0.3">
      <c r="A79" s="117" t="s">
        <v>80</v>
      </c>
      <c r="B79" s="310" t="s">
        <v>81</v>
      </c>
      <c r="C79" s="310"/>
      <c r="D79" s="310"/>
      <c r="E79" s="310"/>
      <c r="F79" s="310"/>
      <c r="G79" s="310"/>
      <c r="H79" s="118">
        <f>SUM(H80:H81)</f>
        <v>8166.85</v>
      </c>
    </row>
    <row r="80" spans="1:8" s="119" customFormat="1" ht="25.05" customHeight="1" x14ac:dyDescent="0.3">
      <c r="A80" s="98" t="s">
        <v>82</v>
      </c>
      <c r="B80" s="98">
        <v>95878</v>
      </c>
      <c r="C80" s="114" t="s">
        <v>83</v>
      </c>
      <c r="D80" s="26" t="s">
        <v>195</v>
      </c>
      <c r="E80" s="120">
        <f>MC!C217</f>
        <v>3857.87</v>
      </c>
      <c r="F80" s="120">
        <f>F23</f>
        <v>1.63</v>
      </c>
      <c r="G80" s="28">
        <f>G23</f>
        <v>1.98</v>
      </c>
      <c r="H80" s="28">
        <f>ROUND(E80*G80,2)</f>
        <v>7638.58</v>
      </c>
    </row>
    <row r="81" spans="1:8" s="119" customFormat="1" ht="25.05" customHeight="1" x14ac:dyDescent="0.3">
      <c r="A81" s="98" t="s">
        <v>95</v>
      </c>
      <c r="B81" s="98">
        <v>93596</v>
      </c>
      <c r="C81" s="114" t="s">
        <v>96</v>
      </c>
      <c r="D81" s="26" t="s">
        <v>195</v>
      </c>
      <c r="E81" s="120">
        <f>MC!C225</f>
        <v>668.7</v>
      </c>
      <c r="F81" s="120">
        <f>F24</f>
        <v>0.65</v>
      </c>
      <c r="G81" s="28">
        <f>G24</f>
        <v>0.79</v>
      </c>
      <c r="H81" s="28">
        <f>ROUND(E81*G81,2)</f>
        <v>528.27</v>
      </c>
    </row>
    <row r="82" spans="1:8" s="119" customFormat="1" ht="15" customHeight="1" x14ac:dyDescent="0.3">
      <c r="A82" s="311"/>
      <c r="B82" s="311"/>
      <c r="C82" s="311"/>
      <c r="D82" s="311"/>
      <c r="E82" s="311"/>
      <c r="F82" s="311"/>
      <c r="G82" s="311"/>
      <c r="H82" s="311"/>
    </row>
    <row r="83" spans="1:8" s="119" customFormat="1" ht="15" customHeight="1" x14ac:dyDescent="0.3">
      <c r="A83" s="117" t="s">
        <v>97</v>
      </c>
      <c r="B83" s="310" t="s">
        <v>183</v>
      </c>
      <c r="C83" s="310"/>
      <c r="D83" s="310"/>
      <c r="E83" s="310"/>
      <c r="F83" s="310"/>
      <c r="G83" s="310"/>
      <c r="H83" s="118">
        <f>SUM(H84:H85)</f>
        <v>1300.99</v>
      </c>
    </row>
    <row r="84" spans="1:8" s="119" customFormat="1" ht="25.05" customHeight="1" x14ac:dyDescent="0.3">
      <c r="A84" s="98" t="s">
        <v>99</v>
      </c>
      <c r="B84" s="98" t="s">
        <v>196</v>
      </c>
      <c r="C84" s="114" t="s">
        <v>100</v>
      </c>
      <c r="D84" s="26" t="s">
        <v>19</v>
      </c>
      <c r="E84" s="120">
        <f>MC!C230</f>
        <v>0.23</v>
      </c>
      <c r="F84" s="120">
        <f>F27</f>
        <v>976.19</v>
      </c>
      <c r="G84" s="28">
        <f>G27</f>
        <v>1190.56</v>
      </c>
      <c r="H84" s="28">
        <f>ROUND(E84*G84,2)</f>
        <v>273.83</v>
      </c>
    </row>
    <row r="85" spans="1:8" s="119" customFormat="1" ht="25.05" customHeight="1" x14ac:dyDescent="0.3">
      <c r="A85" s="98" t="s">
        <v>99</v>
      </c>
      <c r="B85" s="98" t="s">
        <v>197</v>
      </c>
      <c r="C85" s="114" t="s">
        <v>104</v>
      </c>
      <c r="D85" s="26" t="s">
        <v>75</v>
      </c>
      <c r="E85" s="120">
        <f>MC!C234</f>
        <v>2</v>
      </c>
      <c r="F85" s="120">
        <f>F28</f>
        <v>421.11</v>
      </c>
      <c r="G85" s="28">
        <f>G28</f>
        <v>513.58000000000004</v>
      </c>
      <c r="H85" s="28">
        <f>ROUND(E85*G85,2)</f>
        <v>1027.1600000000001</v>
      </c>
    </row>
    <row r="86" spans="1:8" s="119" customFormat="1" ht="15" customHeight="1" x14ac:dyDescent="0.3">
      <c r="A86" s="312"/>
      <c r="B86" s="313"/>
      <c r="C86" s="313"/>
      <c r="D86" s="313"/>
      <c r="E86" s="313"/>
      <c r="F86" s="313"/>
      <c r="G86" s="313"/>
      <c r="H86" s="314"/>
    </row>
    <row r="87" spans="1:8" s="119" customFormat="1" ht="15" customHeight="1" x14ac:dyDescent="0.3">
      <c r="A87" s="315" t="str">
        <f>MC!B236</f>
        <v>Rua São José - Trecho 02</v>
      </c>
      <c r="B87" s="316"/>
      <c r="C87" s="316"/>
      <c r="D87" s="316"/>
      <c r="E87" s="316"/>
      <c r="F87" s="316"/>
      <c r="G87" s="316"/>
      <c r="H87" s="124">
        <f>SUM(H88,H91,H94,H98,H102)</f>
        <v>100679.16</v>
      </c>
    </row>
    <row r="88" spans="1:8" s="119" customFormat="1" ht="15" customHeight="1" x14ac:dyDescent="0.3">
      <c r="A88" s="117" t="s">
        <v>45</v>
      </c>
      <c r="B88" s="310" t="s">
        <v>65</v>
      </c>
      <c r="C88" s="310"/>
      <c r="D88" s="310"/>
      <c r="E88" s="310"/>
      <c r="F88" s="310"/>
      <c r="G88" s="310"/>
      <c r="H88" s="118">
        <f>H89</f>
        <v>512.4</v>
      </c>
    </row>
    <row r="89" spans="1:8" s="119" customFormat="1" ht="15" customHeight="1" x14ac:dyDescent="0.3">
      <c r="A89" s="98" t="s">
        <v>47</v>
      </c>
      <c r="B89" s="98">
        <v>100575</v>
      </c>
      <c r="C89" s="114" t="s">
        <v>66</v>
      </c>
      <c r="D89" s="26" t="s">
        <v>19</v>
      </c>
      <c r="E89" s="120">
        <f>MC!C245</f>
        <v>732</v>
      </c>
      <c r="F89" s="120">
        <f>F13</f>
        <v>0.57999999999999996</v>
      </c>
      <c r="G89" s="28">
        <f>G13</f>
        <v>0.7</v>
      </c>
      <c r="H89" s="28">
        <f>ROUND(E89*G89,2)</f>
        <v>512.4</v>
      </c>
    </row>
    <row r="90" spans="1:8" s="119" customFormat="1" ht="15" customHeight="1" x14ac:dyDescent="0.3">
      <c r="A90" s="311"/>
      <c r="B90" s="311"/>
      <c r="C90" s="311"/>
      <c r="D90" s="311"/>
      <c r="E90" s="311"/>
      <c r="F90" s="311"/>
      <c r="G90" s="311"/>
      <c r="H90" s="311"/>
    </row>
    <row r="91" spans="1:8" s="119" customFormat="1" ht="15" customHeight="1" x14ac:dyDescent="0.3">
      <c r="A91" s="117" t="s">
        <v>68</v>
      </c>
      <c r="B91" s="310" t="s">
        <v>69</v>
      </c>
      <c r="C91" s="310"/>
      <c r="D91" s="310"/>
      <c r="E91" s="310"/>
      <c r="F91" s="310"/>
      <c r="G91" s="310"/>
      <c r="H91" s="118">
        <f>SUM(H92:H92)</f>
        <v>71040.600000000006</v>
      </c>
    </row>
    <row r="92" spans="1:8" s="119" customFormat="1" ht="25.05" customHeight="1" x14ac:dyDescent="0.3">
      <c r="A92" s="98" t="s">
        <v>70</v>
      </c>
      <c r="B92" s="98" t="s">
        <v>192</v>
      </c>
      <c r="C92" s="114" t="s">
        <v>29</v>
      </c>
      <c r="D92" s="26" t="s">
        <v>19</v>
      </c>
      <c r="E92" s="120">
        <f>MC!C251</f>
        <v>732</v>
      </c>
      <c r="F92" s="120">
        <f>F16</f>
        <v>79.58</v>
      </c>
      <c r="G92" s="28">
        <f>G16</f>
        <v>97.05</v>
      </c>
      <c r="H92" s="28">
        <f>ROUND(E92*G92,2)</f>
        <v>71040.600000000006</v>
      </c>
    </row>
    <row r="93" spans="1:8" s="119" customFormat="1" ht="15" customHeight="1" x14ac:dyDescent="0.3">
      <c r="A93" s="311"/>
      <c r="B93" s="311"/>
      <c r="C93" s="311"/>
      <c r="D93" s="311"/>
      <c r="E93" s="311"/>
      <c r="F93" s="311"/>
      <c r="G93" s="311"/>
      <c r="H93" s="311"/>
    </row>
    <row r="94" spans="1:8" s="119" customFormat="1" ht="15" customHeight="1" x14ac:dyDescent="0.3">
      <c r="A94" s="117" t="s">
        <v>71</v>
      </c>
      <c r="B94" s="310" t="s">
        <v>72</v>
      </c>
      <c r="C94" s="310"/>
      <c r="D94" s="310"/>
      <c r="E94" s="310"/>
      <c r="F94" s="310"/>
      <c r="G94" s="310"/>
      <c r="H94" s="118">
        <f>SUM(H95:H96)</f>
        <v>20444.759999999998</v>
      </c>
    </row>
    <row r="95" spans="1:8" s="119" customFormat="1" ht="25.05" customHeight="1" x14ac:dyDescent="0.3">
      <c r="A95" s="98" t="s">
        <v>73</v>
      </c>
      <c r="B95" s="98">
        <v>94273</v>
      </c>
      <c r="C95" s="114" t="s">
        <v>74</v>
      </c>
      <c r="D95" s="26" t="s">
        <v>54</v>
      </c>
      <c r="E95" s="120">
        <f>MC!C258</f>
        <v>244</v>
      </c>
      <c r="F95" s="120">
        <f>F19</f>
        <v>46.03</v>
      </c>
      <c r="G95" s="28">
        <f>G19</f>
        <v>56.13</v>
      </c>
      <c r="H95" s="28">
        <f>ROUND(E95*G95,2)</f>
        <v>13695.72</v>
      </c>
    </row>
    <row r="96" spans="1:8" s="119" customFormat="1" ht="25.05" customHeight="1" x14ac:dyDescent="0.3">
      <c r="A96" s="98" t="s">
        <v>78</v>
      </c>
      <c r="B96" s="98" t="s">
        <v>193</v>
      </c>
      <c r="C96" s="114" t="s">
        <v>194</v>
      </c>
      <c r="D96" s="26" t="s">
        <v>54</v>
      </c>
      <c r="E96" s="120">
        <f>MC!C263</f>
        <v>244</v>
      </c>
      <c r="F96" s="120">
        <f>F20</f>
        <v>22.68</v>
      </c>
      <c r="G96" s="28">
        <f>G20</f>
        <v>27.66</v>
      </c>
      <c r="H96" s="28">
        <f>ROUND(E96*G96,2)</f>
        <v>6749.04</v>
      </c>
    </row>
    <row r="97" spans="1:8" s="119" customFormat="1" ht="15" customHeight="1" x14ac:dyDescent="0.3">
      <c r="A97" s="311"/>
      <c r="B97" s="311"/>
      <c r="C97" s="311"/>
      <c r="D97" s="311"/>
      <c r="E97" s="311"/>
      <c r="F97" s="311"/>
      <c r="G97" s="311"/>
      <c r="H97" s="311"/>
    </row>
    <row r="98" spans="1:8" s="119" customFormat="1" ht="15" customHeight="1" x14ac:dyDescent="0.3">
      <c r="A98" s="117" t="s">
        <v>80</v>
      </c>
      <c r="B98" s="310" t="s">
        <v>81</v>
      </c>
      <c r="C98" s="310"/>
      <c r="D98" s="310"/>
      <c r="E98" s="310"/>
      <c r="F98" s="310"/>
      <c r="G98" s="310"/>
      <c r="H98" s="118">
        <f>SUM(H99:H100)</f>
        <v>7380.41</v>
      </c>
    </row>
    <row r="99" spans="1:8" s="119" customFormat="1" ht="25.05" customHeight="1" x14ac:dyDescent="0.3">
      <c r="A99" s="98" t="s">
        <v>82</v>
      </c>
      <c r="B99" s="98">
        <v>95878</v>
      </c>
      <c r="C99" s="114" t="s">
        <v>83</v>
      </c>
      <c r="D99" s="26" t="s">
        <v>195</v>
      </c>
      <c r="E99" s="120">
        <f>MC!C272</f>
        <v>3486.37</v>
      </c>
      <c r="F99" s="120">
        <f>F23</f>
        <v>1.63</v>
      </c>
      <c r="G99" s="28">
        <f>G23</f>
        <v>1.98</v>
      </c>
      <c r="H99" s="28">
        <f>ROUND(E99*G99,2)</f>
        <v>6903.01</v>
      </c>
    </row>
    <row r="100" spans="1:8" s="119" customFormat="1" ht="25.05" customHeight="1" x14ac:dyDescent="0.3">
      <c r="A100" s="98" t="s">
        <v>95</v>
      </c>
      <c r="B100" s="98">
        <v>93596</v>
      </c>
      <c r="C100" s="114" t="s">
        <v>96</v>
      </c>
      <c r="D100" s="26" t="s">
        <v>195</v>
      </c>
      <c r="E100" s="120">
        <f>MC!C280</f>
        <v>604.29999999999995</v>
      </c>
      <c r="F100" s="120">
        <f>F24</f>
        <v>0.65</v>
      </c>
      <c r="G100" s="28">
        <f>G24</f>
        <v>0.79</v>
      </c>
      <c r="H100" s="28">
        <f>ROUND(E100*G100,2)</f>
        <v>477.4</v>
      </c>
    </row>
    <row r="101" spans="1:8" s="119" customFormat="1" ht="15" customHeight="1" x14ac:dyDescent="0.3">
      <c r="A101" s="311"/>
      <c r="B101" s="311"/>
      <c r="C101" s="311"/>
      <c r="D101" s="311"/>
      <c r="E101" s="311"/>
      <c r="F101" s="311"/>
      <c r="G101" s="311"/>
      <c r="H101" s="311"/>
    </row>
    <row r="102" spans="1:8" s="119" customFormat="1" ht="15" customHeight="1" x14ac:dyDescent="0.3">
      <c r="A102" s="117" t="s">
        <v>97</v>
      </c>
      <c r="B102" s="310" t="s">
        <v>183</v>
      </c>
      <c r="C102" s="310"/>
      <c r="D102" s="310"/>
      <c r="E102" s="310"/>
      <c r="F102" s="310"/>
      <c r="G102" s="310"/>
      <c r="H102" s="118">
        <f>SUM(H103:H104)</f>
        <v>1300.99</v>
      </c>
    </row>
    <row r="103" spans="1:8" s="119" customFormat="1" ht="25.05" customHeight="1" x14ac:dyDescent="0.3">
      <c r="A103" s="98" t="s">
        <v>99</v>
      </c>
      <c r="B103" s="98" t="s">
        <v>196</v>
      </c>
      <c r="C103" s="114" t="s">
        <v>100</v>
      </c>
      <c r="D103" s="26" t="s">
        <v>19</v>
      </c>
      <c r="E103" s="120">
        <f>MC!C285</f>
        <v>0.23</v>
      </c>
      <c r="F103" s="120">
        <f>F27</f>
        <v>976.19</v>
      </c>
      <c r="G103" s="28">
        <f>G27</f>
        <v>1190.56</v>
      </c>
      <c r="H103" s="28">
        <f>ROUND(E103*G103,2)</f>
        <v>273.83</v>
      </c>
    </row>
    <row r="104" spans="1:8" s="119" customFormat="1" ht="25.05" customHeight="1" x14ac:dyDescent="0.3">
      <c r="A104" s="98" t="s">
        <v>99</v>
      </c>
      <c r="B104" s="98" t="s">
        <v>197</v>
      </c>
      <c r="C104" s="114" t="s">
        <v>104</v>
      </c>
      <c r="D104" s="26" t="s">
        <v>75</v>
      </c>
      <c r="E104" s="120">
        <f>MC!C289</f>
        <v>2</v>
      </c>
      <c r="F104" s="120">
        <f>F28</f>
        <v>421.11</v>
      </c>
      <c r="G104" s="28">
        <f>G28</f>
        <v>513.58000000000004</v>
      </c>
      <c r="H104" s="28">
        <f>ROUND(E104*G104,2)</f>
        <v>1027.1600000000001</v>
      </c>
    </row>
    <row r="105" spans="1:8" s="119" customFormat="1" ht="15" customHeight="1" x14ac:dyDescent="0.3">
      <c r="A105" s="312"/>
      <c r="B105" s="313"/>
      <c r="C105" s="313"/>
      <c r="D105" s="313"/>
      <c r="E105" s="313"/>
      <c r="F105" s="313"/>
      <c r="G105" s="313"/>
      <c r="H105" s="314"/>
    </row>
  </sheetData>
  <mergeCells count="70">
    <mergeCell ref="A25:H25"/>
    <mergeCell ref="F5:H5"/>
    <mergeCell ref="B7:G7"/>
    <mergeCell ref="A10:H10"/>
    <mergeCell ref="A11:G11"/>
    <mergeCell ref="B12:G12"/>
    <mergeCell ref="A14:H14"/>
    <mergeCell ref="A5:A6"/>
    <mergeCell ref="B5:B6"/>
    <mergeCell ref="C5:C6"/>
    <mergeCell ref="D5:D6"/>
    <mergeCell ref="E5:E6"/>
    <mergeCell ref="B15:G15"/>
    <mergeCell ref="A17:H17"/>
    <mergeCell ref="B18:G18"/>
    <mergeCell ref="A21:H21"/>
    <mergeCell ref="B22:G22"/>
    <mergeCell ref="B45:G45"/>
    <mergeCell ref="B26:G26"/>
    <mergeCell ref="A29:H29"/>
    <mergeCell ref="A30:G30"/>
    <mergeCell ref="B31:G31"/>
    <mergeCell ref="A33:H33"/>
    <mergeCell ref="B34:G34"/>
    <mergeCell ref="A36:H36"/>
    <mergeCell ref="B37:G37"/>
    <mergeCell ref="A40:H40"/>
    <mergeCell ref="B41:G41"/>
    <mergeCell ref="A44:H44"/>
    <mergeCell ref="A67:H67"/>
    <mergeCell ref="A48:H48"/>
    <mergeCell ref="A49:G49"/>
    <mergeCell ref="B50:G50"/>
    <mergeCell ref="A52:H52"/>
    <mergeCell ref="B53:G53"/>
    <mergeCell ref="A55:H55"/>
    <mergeCell ref="B56:G56"/>
    <mergeCell ref="A59:H59"/>
    <mergeCell ref="B60:G60"/>
    <mergeCell ref="A63:H63"/>
    <mergeCell ref="B64:G64"/>
    <mergeCell ref="A87:G87"/>
    <mergeCell ref="A68:G68"/>
    <mergeCell ref="B69:G69"/>
    <mergeCell ref="A71:H71"/>
    <mergeCell ref="B72:G72"/>
    <mergeCell ref="A74:H74"/>
    <mergeCell ref="B75:G75"/>
    <mergeCell ref="A78:H78"/>
    <mergeCell ref="B79:G79"/>
    <mergeCell ref="A82:H82"/>
    <mergeCell ref="B83:G83"/>
    <mergeCell ref="A86:H86"/>
    <mergeCell ref="B98:G98"/>
    <mergeCell ref="A101:H101"/>
    <mergeCell ref="B102:G102"/>
    <mergeCell ref="A105:H105"/>
    <mergeCell ref="B88:G88"/>
    <mergeCell ref="A90:H90"/>
    <mergeCell ref="B91:G91"/>
    <mergeCell ref="A93:H93"/>
    <mergeCell ref="B94:G94"/>
    <mergeCell ref="A97:H97"/>
    <mergeCell ref="A4:H4"/>
    <mergeCell ref="F2:H2"/>
    <mergeCell ref="F3:H3"/>
    <mergeCell ref="A1:H1"/>
    <mergeCell ref="D2:E2"/>
    <mergeCell ref="A2:C2"/>
    <mergeCell ref="A3:C3"/>
  </mergeCells>
  <printOptions horizontalCentered="1"/>
  <pageMargins left="1.1023622047244095" right="0.51181102362204722" top="1.5748031496062993" bottom="0.78740157480314965" header="0.31496062992125984" footer="0.31496062992125984"/>
  <pageSetup paperSize="9" scale="59" fitToHeight="0" orientation="portrait" r:id="rId1"/>
  <headerFooter>
    <oddHeader>&amp;C&amp;G</oddHeader>
  </headerFooter>
  <rowBreaks count="1" manualBreakCount="1">
    <brk id="47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371C-F2C5-4E57-931D-C4FEAEBFB5B0}">
  <sheetPr>
    <pageSetUpPr fitToPage="1"/>
  </sheetPr>
  <dimension ref="A1:G95"/>
  <sheetViews>
    <sheetView tabSelected="1" view="pageBreakPreview" topLeftCell="A75" zoomScale="120" zoomScaleNormal="100" zoomScaleSheetLayoutView="120" workbookViewId="0">
      <selection activeCell="H84" sqref="H84"/>
    </sheetView>
  </sheetViews>
  <sheetFormatPr defaultRowHeight="14.4" x14ac:dyDescent="0.3"/>
  <cols>
    <col min="1" max="1" width="10.77734375" customWidth="1"/>
    <col min="2" max="2" width="50.77734375" customWidth="1"/>
    <col min="3" max="3" width="10.77734375" customWidth="1"/>
    <col min="4" max="4" width="14" customWidth="1"/>
    <col min="5" max="6" width="20.77734375" customWidth="1"/>
    <col min="7" max="7" width="14" bestFit="1" customWidth="1"/>
  </cols>
  <sheetData>
    <row r="1" spans="1:6" ht="19.95" customHeight="1" x14ac:dyDescent="0.3">
      <c r="A1" s="287" t="s">
        <v>356</v>
      </c>
      <c r="B1" s="287"/>
      <c r="C1" s="287"/>
      <c r="D1" s="287"/>
      <c r="E1" s="287"/>
      <c r="F1" s="288"/>
    </row>
    <row r="2" spans="1:6" ht="15" customHeight="1" x14ac:dyDescent="0.3">
      <c r="A2" s="287" t="s">
        <v>34</v>
      </c>
      <c r="B2" s="287" t="s">
        <v>357</v>
      </c>
      <c r="C2" s="379" t="s">
        <v>358</v>
      </c>
      <c r="D2" s="380" t="s">
        <v>359</v>
      </c>
      <c r="E2" s="381" t="s">
        <v>360</v>
      </c>
      <c r="F2" s="381"/>
    </row>
    <row r="3" spans="1:6" ht="15" customHeight="1" x14ac:dyDescent="0.3">
      <c r="A3" s="287"/>
      <c r="B3" s="287"/>
      <c r="C3" s="379"/>
      <c r="D3" s="380"/>
      <c r="E3" s="382">
        <v>30</v>
      </c>
      <c r="F3" s="382">
        <v>60</v>
      </c>
    </row>
    <row r="4" spans="1:6" ht="15" customHeight="1" x14ac:dyDescent="0.3">
      <c r="A4" s="19" t="s">
        <v>39</v>
      </c>
      <c r="B4" s="296" t="str">
        <f>ORÇ!B7</f>
        <v>SERVIÇOS PRELIMINARES</v>
      </c>
      <c r="C4" s="296"/>
      <c r="D4" s="296"/>
      <c r="E4" s="296"/>
      <c r="F4" s="296"/>
    </row>
    <row r="5" spans="1:6" ht="15" customHeight="1" x14ac:dyDescent="0.3">
      <c r="A5" s="412" t="s">
        <v>41</v>
      </c>
      <c r="B5" s="413" t="str">
        <f>ORÇ!C8</f>
        <v>Placa de Obra em chapa de aço galvanizado</v>
      </c>
      <c r="C5" s="433">
        <f>D5/$D$91</f>
        <v>6.2208672793710295E-3</v>
      </c>
      <c r="D5" s="420">
        <f>ORÇ!H8</f>
        <v>3395.64</v>
      </c>
      <c r="E5" s="386">
        <f>$D$5*E6</f>
        <v>3395.64</v>
      </c>
      <c r="F5" s="386">
        <f>$D$5*F6</f>
        <v>0</v>
      </c>
    </row>
    <row r="6" spans="1:6" ht="15" customHeight="1" x14ac:dyDescent="0.3">
      <c r="A6" s="412"/>
      <c r="B6" s="413"/>
      <c r="C6" s="433"/>
      <c r="D6" s="414"/>
      <c r="E6" s="387">
        <v>1</v>
      </c>
      <c r="F6" s="387"/>
    </row>
    <row r="7" spans="1:6" ht="15" customHeight="1" x14ac:dyDescent="0.3">
      <c r="A7" s="412" t="s">
        <v>105</v>
      </c>
      <c r="B7" s="413" t="str">
        <f>ORÇ!C9</f>
        <v>Administração local da obra</v>
      </c>
      <c r="C7" s="433">
        <f>D7/$D$91</f>
        <v>3.4884958180201216E-2</v>
      </c>
      <c r="D7" s="420">
        <f>ORÇ!H9</f>
        <v>19041.84</v>
      </c>
      <c r="E7" s="386">
        <f>$D$7*E8</f>
        <v>9520.92</v>
      </c>
      <c r="F7" s="386">
        <f>$D$7*F8</f>
        <v>9520.92</v>
      </c>
    </row>
    <row r="8" spans="1:6" ht="15" customHeight="1" x14ac:dyDescent="0.3">
      <c r="A8" s="412"/>
      <c r="B8" s="413"/>
      <c r="C8" s="433"/>
      <c r="D8" s="414"/>
      <c r="E8" s="387">
        <v>0.5</v>
      </c>
      <c r="F8" s="387">
        <v>0.5</v>
      </c>
    </row>
    <row r="9" spans="1:6" ht="15" customHeight="1" x14ac:dyDescent="0.3">
      <c r="A9" s="415"/>
      <c r="B9" s="416"/>
      <c r="C9" s="416"/>
      <c r="D9" s="416"/>
      <c r="E9" s="416"/>
      <c r="F9" s="417"/>
    </row>
    <row r="10" spans="1:6" ht="15" customHeight="1" x14ac:dyDescent="0.3">
      <c r="A10" s="296" t="str">
        <f>ORÇ!A11</f>
        <v>Rua Elias Aragão</v>
      </c>
      <c r="B10" s="389"/>
      <c r="C10" s="296"/>
      <c r="D10" s="296"/>
      <c r="E10" s="296"/>
      <c r="F10" s="296"/>
    </row>
    <row r="11" spans="1:6" s="119" customFormat="1" ht="15" customHeight="1" x14ac:dyDescent="0.3">
      <c r="A11" s="425" t="s">
        <v>45</v>
      </c>
      <c r="B11" s="390" t="str">
        <f>ORÇ!B12</f>
        <v>TERRAPLENAGEM</v>
      </c>
      <c r="C11" s="384">
        <f>D11/$D$91</f>
        <v>1.5709538384695251E-3</v>
      </c>
      <c r="D11" s="385">
        <f>ORÇ!H12</f>
        <v>857.5</v>
      </c>
      <c r="E11" s="386">
        <f>$D$11*E12</f>
        <v>428.75</v>
      </c>
      <c r="F11" s="386">
        <f>$D$11*F12</f>
        <v>428.75</v>
      </c>
    </row>
    <row r="12" spans="1:6" s="119" customFormat="1" ht="15" customHeight="1" x14ac:dyDescent="0.3">
      <c r="A12" s="425"/>
      <c r="B12" s="390"/>
      <c r="C12" s="384"/>
      <c r="D12" s="385"/>
      <c r="E12" s="387">
        <v>0.5</v>
      </c>
      <c r="F12" s="387">
        <v>0.5</v>
      </c>
    </row>
    <row r="13" spans="1:6" s="119" customFormat="1" ht="15" customHeight="1" x14ac:dyDescent="0.3">
      <c r="A13" s="426"/>
      <c r="B13" s="426"/>
      <c r="C13" s="426"/>
      <c r="D13" s="426"/>
      <c r="E13" s="426"/>
      <c r="F13" s="426"/>
    </row>
    <row r="14" spans="1:6" s="119" customFormat="1" ht="15" customHeight="1" x14ac:dyDescent="0.3">
      <c r="A14" s="425" t="s">
        <v>68</v>
      </c>
      <c r="B14" s="383" t="str">
        <f>ORÇ!B15</f>
        <v>PAVIMENTAÇÃO</v>
      </c>
      <c r="C14" s="384">
        <f>D14/$D$91</f>
        <v>0.21780152860495344</v>
      </c>
      <c r="D14" s="385">
        <f>ORÇ!H15</f>
        <v>118886.25</v>
      </c>
      <c r="E14" s="386">
        <f>$D$14*E15</f>
        <v>59443.125</v>
      </c>
      <c r="F14" s="386">
        <f>$D$14*F15</f>
        <v>59443.125</v>
      </c>
    </row>
    <row r="15" spans="1:6" s="119" customFormat="1" ht="15" customHeight="1" x14ac:dyDescent="0.3">
      <c r="A15" s="425"/>
      <c r="B15" s="383"/>
      <c r="C15" s="384"/>
      <c r="D15" s="385"/>
      <c r="E15" s="387">
        <v>0.5</v>
      </c>
      <c r="F15" s="387">
        <v>0.5</v>
      </c>
    </row>
    <row r="16" spans="1:6" s="119" customFormat="1" ht="15" customHeight="1" x14ac:dyDescent="0.3">
      <c r="A16" s="426"/>
      <c r="B16" s="426"/>
      <c r="C16" s="426"/>
      <c r="D16" s="426"/>
      <c r="E16" s="426"/>
      <c r="F16" s="426"/>
    </row>
    <row r="17" spans="1:6" s="119" customFormat="1" ht="15" customHeight="1" x14ac:dyDescent="0.3">
      <c r="A17" s="427" t="s">
        <v>71</v>
      </c>
      <c r="B17" s="383" t="str">
        <f>ORÇ!B18</f>
        <v>SERVIÇOS COMPLEMENTARES</v>
      </c>
      <c r="C17" s="414">
        <f>D17/$D$91</f>
        <v>5.3726621275657756E-2</v>
      </c>
      <c r="D17" s="385">
        <f>ORÇ!H18</f>
        <v>29326.5</v>
      </c>
      <c r="E17" s="386">
        <f>$D$17*E18</f>
        <v>14663.25</v>
      </c>
      <c r="F17" s="386">
        <f>$D$17*F18</f>
        <v>14663.25</v>
      </c>
    </row>
    <row r="18" spans="1:6" s="119" customFormat="1" ht="15" customHeight="1" x14ac:dyDescent="0.3">
      <c r="A18" s="428"/>
      <c r="B18" s="383"/>
      <c r="C18" s="414"/>
      <c r="D18" s="385"/>
      <c r="E18" s="387">
        <v>0.5</v>
      </c>
      <c r="F18" s="387">
        <v>0.5</v>
      </c>
    </row>
    <row r="19" spans="1:6" s="119" customFormat="1" ht="15" customHeight="1" x14ac:dyDescent="0.3">
      <c r="A19" s="426"/>
      <c r="B19" s="426"/>
      <c r="C19" s="426"/>
      <c r="D19" s="426"/>
      <c r="E19" s="426"/>
      <c r="F19" s="426"/>
    </row>
    <row r="20" spans="1:6" s="119" customFormat="1" ht="15" customHeight="1" x14ac:dyDescent="0.3">
      <c r="A20" s="427" t="s">
        <v>80</v>
      </c>
      <c r="B20" s="383" t="str">
        <f>ORÇ!B22</f>
        <v xml:space="preserve">TRANSPORTE </v>
      </c>
      <c r="C20" s="384">
        <f>D20/$D$91</f>
        <v>2.2627414523989448E-2</v>
      </c>
      <c r="D20" s="385">
        <f>ORÇ!H22</f>
        <v>12351.1</v>
      </c>
      <c r="E20" s="386">
        <f>$D$20*E21</f>
        <v>6175.55</v>
      </c>
      <c r="F20" s="386">
        <f>$D$20*F21</f>
        <v>6175.55</v>
      </c>
    </row>
    <row r="21" spans="1:6" s="119" customFormat="1" ht="15" customHeight="1" x14ac:dyDescent="0.3">
      <c r="A21" s="428"/>
      <c r="B21" s="383"/>
      <c r="C21" s="384"/>
      <c r="D21" s="385"/>
      <c r="E21" s="387">
        <v>0.5</v>
      </c>
      <c r="F21" s="387">
        <v>0.5</v>
      </c>
    </row>
    <row r="22" spans="1:6" s="119" customFormat="1" ht="15" customHeight="1" x14ac:dyDescent="0.3">
      <c r="A22" s="429"/>
      <c r="B22" s="25"/>
      <c r="C22" s="388"/>
      <c r="D22" s="120"/>
      <c r="E22" s="387"/>
      <c r="F22" s="387"/>
    </row>
    <row r="23" spans="1:6" s="119" customFormat="1" ht="15" customHeight="1" x14ac:dyDescent="0.3">
      <c r="A23" s="427" t="s">
        <v>97</v>
      </c>
      <c r="B23" s="418" t="str">
        <f>ORÇ!B26</f>
        <v>SINALIZAÇÃO</v>
      </c>
      <c r="C23" s="423">
        <f>D23/$D$91</f>
        <v>2.3834346755807201E-3</v>
      </c>
      <c r="D23" s="421">
        <f>ORÇ!H26</f>
        <v>1300.99</v>
      </c>
      <c r="E23" s="386">
        <f>$D$23*E24</f>
        <v>650.495</v>
      </c>
      <c r="F23" s="386">
        <f>$D$23*F24</f>
        <v>650.495</v>
      </c>
    </row>
    <row r="24" spans="1:6" s="119" customFormat="1" ht="15" customHeight="1" x14ac:dyDescent="0.3">
      <c r="A24" s="428"/>
      <c r="B24" s="419"/>
      <c r="C24" s="424"/>
      <c r="D24" s="422"/>
      <c r="E24" s="387">
        <v>0.5</v>
      </c>
      <c r="F24" s="387">
        <v>0.5</v>
      </c>
    </row>
    <row r="25" spans="1:6" s="119" customFormat="1" ht="15" customHeight="1" x14ac:dyDescent="0.3">
      <c r="A25" s="312"/>
      <c r="B25" s="313"/>
      <c r="C25" s="313"/>
      <c r="D25" s="313"/>
      <c r="E25" s="313"/>
      <c r="F25" s="314"/>
    </row>
    <row r="26" spans="1:6" x14ac:dyDescent="0.3">
      <c r="A26" s="296" t="str">
        <f>ORÇ!A30</f>
        <v>Rua Doze - Loteamento Orgmar Monteiro</v>
      </c>
      <c r="B26" s="389"/>
      <c r="C26" s="296"/>
      <c r="D26" s="296"/>
      <c r="E26" s="296"/>
      <c r="F26" s="296"/>
    </row>
    <row r="27" spans="1:6" x14ac:dyDescent="0.3">
      <c r="A27" s="425" t="s">
        <v>45</v>
      </c>
      <c r="B27" s="390" t="str">
        <f>B11</f>
        <v>TERRAPLENAGEM</v>
      </c>
      <c r="C27" s="384">
        <f>D27/$D$91</f>
        <v>1.3465318615453071E-3</v>
      </c>
      <c r="D27" s="385">
        <f>ORÇ!H31</f>
        <v>735</v>
      </c>
      <c r="E27" s="386">
        <f>$D$27*E28</f>
        <v>367.5</v>
      </c>
      <c r="F27" s="386">
        <f>$D$27*F28</f>
        <v>367.5</v>
      </c>
    </row>
    <row r="28" spans="1:6" x14ac:dyDescent="0.3">
      <c r="A28" s="425"/>
      <c r="B28" s="390"/>
      <c r="C28" s="384"/>
      <c r="D28" s="385"/>
      <c r="E28" s="387">
        <v>0.5</v>
      </c>
      <c r="F28" s="387">
        <v>0.5</v>
      </c>
    </row>
    <row r="29" spans="1:6" x14ac:dyDescent="0.3">
      <c r="A29" s="426"/>
      <c r="B29" s="426"/>
      <c r="C29" s="426"/>
      <c r="D29" s="426"/>
      <c r="E29" s="426"/>
      <c r="F29" s="426"/>
    </row>
    <row r="30" spans="1:6" x14ac:dyDescent="0.3">
      <c r="A30" s="425" t="s">
        <v>68</v>
      </c>
      <c r="B30" s="383" t="str">
        <f>B14</f>
        <v>PAVIMENTAÇÃO</v>
      </c>
      <c r="C30" s="384">
        <f>D30/$D$91</f>
        <v>0.1866870245185315</v>
      </c>
      <c r="D30" s="385">
        <f>ORÇ!H34</f>
        <v>101902.5</v>
      </c>
      <c r="E30" s="386">
        <f>$D$30*E31</f>
        <v>50951.25</v>
      </c>
      <c r="F30" s="386">
        <f>$D$30*F31</f>
        <v>50951.25</v>
      </c>
    </row>
    <row r="31" spans="1:6" x14ac:dyDescent="0.3">
      <c r="A31" s="425"/>
      <c r="B31" s="383"/>
      <c r="C31" s="384"/>
      <c r="D31" s="385"/>
      <c r="E31" s="387">
        <v>0.5</v>
      </c>
      <c r="F31" s="387">
        <v>0.5</v>
      </c>
    </row>
    <row r="32" spans="1:6" x14ac:dyDescent="0.3">
      <c r="A32" s="426"/>
      <c r="B32" s="426"/>
      <c r="C32" s="426"/>
      <c r="D32" s="426"/>
      <c r="E32" s="426"/>
      <c r="F32" s="426"/>
    </row>
    <row r="33" spans="1:6" x14ac:dyDescent="0.3">
      <c r="A33" s="427" t="s">
        <v>71</v>
      </c>
      <c r="B33" s="383" t="str">
        <f>B17</f>
        <v>SERVIÇOS COMPLEMENTARES</v>
      </c>
      <c r="C33" s="414">
        <f>D33/$D$91</f>
        <v>5.3726621275657756E-2</v>
      </c>
      <c r="D33" s="385">
        <f>ORÇ!H37</f>
        <v>29326.5</v>
      </c>
      <c r="E33" s="386">
        <f>$D$33*E34</f>
        <v>14663.25</v>
      </c>
      <c r="F33" s="386">
        <f>$D$33*F34</f>
        <v>14663.25</v>
      </c>
    </row>
    <row r="34" spans="1:6" x14ac:dyDescent="0.3">
      <c r="A34" s="428"/>
      <c r="B34" s="383"/>
      <c r="C34" s="414"/>
      <c r="D34" s="385"/>
      <c r="E34" s="387">
        <v>0.5</v>
      </c>
      <c r="F34" s="387">
        <v>0.5</v>
      </c>
    </row>
    <row r="35" spans="1:6" x14ac:dyDescent="0.3">
      <c r="A35" s="426"/>
      <c r="B35" s="426"/>
      <c r="C35" s="426"/>
      <c r="D35" s="426"/>
      <c r="E35" s="426"/>
      <c r="F35" s="426"/>
    </row>
    <row r="36" spans="1:6" x14ac:dyDescent="0.3">
      <c r="A36" s="427" t="s">
        <v>80</v>
      </c>
      <c r="B36" s="383" t="str">
        <f>B20</f>
        <v xml:space="preserve">TRANSPORTE </v>
      </c>
      <c r="C36" s="384">
        <f>D36/$D$91</f>
        <v>1.9394931969179921E-2</v>
      </c>
      <c r="D36" s="385">
        <f>ORÇ!H41</f>
        <v>10586.66</v>
      </c>
      <c r="E36" s="386">
        <f>$D$36*E37</f>
        <v>5293.33</v>
      </c>
      <c r="F36" s="386">
        <f>$D$36*F37</f>
        <v>5293.33</v>
      </c>
    </row>
    <row r="37" spans="1:6" x14ac:dyDescent="0.3">
      <c r="A37" s="428"/>
      <c r="B37" s="383"/>
      <c r="C37" s="384"/>
      <c r="D37" s="385"/>
      <c r="E37" s="387">
        <v>0.5</v>
      </c>
      <c r="F37" s="387">
        <v>0.5</v>
      </c>
    </row>
    <row r="38" spans="1:6" x14ac:dyDescent="0.3">
      <c r="A38" s="429"/>
      <c r="B38" s="25"/>
      <c r="C38" s="388"/>
      <c r="D38" s="120"/>
      <c r="E38" s="387"/>
      <c r="F38" s="387"/>
    </row>
    <row r="39" spans="1:6" x14ac:dyDescent="0.3">
      <c r="A39" s="427" t="s">
        <v>97</v>
      </c>
      <c r="B39" s="418" t="str">
        <f>B23</f>
        <v>SINALIZAÇÃO</v>
      </c>
      <c r="C39" s="423">
        <f>D39/$D$91</f>
        <v>2.3834346755807201E-3</v>
      </c>
      <c r="D39" s="421">
        <f>ORÇ!H45</f>
        <v>1300.99</v>
      </c>
      <c r="E39" s="386">
        <f>$D$39*E40</f>
        <v>650.495</v>
      </c>
      <c r="F39" s="386">
        <f>$D$39*F40</f>
        <v>650.495</v>
      </c>
    </row>
    <row r="40" spans="1:6" x14ac:dyDescent="0.3">
      <c r="A40" s="428"/>
      <c r="B40" s="419"/>
      <c r="C40" s="424"/>
      <c r="D40" s="422"/>
      <c r="E40" s="387">
        <v>0.5</v>
      </c>
      <c r="F40" s="387">
        <v>0.5</v>
      </c>
    </row>
    <row r="41" spans="1:6" x14ac:dyDescent="0.3">
      <c r="A41" s="312"/>
      <c r="B41" s="313"/>
      <c r="C41" s="313"/>
      <c r="D41" s="313"/>
      <c r="E41" s="313"/>
      <c r="F41" s="314"/>
    </row>
    <row r="42" spans="1:6" x14ac:dyDescent="0.3">
      <c r="A42" s="296" t="str">
        <f>ORÇ!A49</f>
        <v>Cabeça de Rua - Rua Doze - Loteamento Orgmar Monteiro</v>
      </c>
      <c r="B42" s="389"/>
      <c r="C42" s="296"/>
      <c r="D42" s="296"/>
      <c r="E42" s="296"/>
      <c r="F42" s="296"/>
    </row>
    <row r="43" spans="1:6" x14ac:dyDescent="0.3">
      <c r="A43" s="425" t="s">
        <v>45</v>
      </c>
      <c r="B43" s="390" t="str">
        <f>B27</f>
        <v>TERRAPLENAGEM</v>
      </c>
      <c r="C43" s="384">
        <f>D43/$D$91</f>
        <v>4.6166806681553388E-5</v>
      </c>
      <c r="D43" s="385">
        <f>ORÇ!H50</f>
        <v>25.2</v>
      </c>
      <c r="E43" s="386">
        <f>$D$43*E44</f>
        <v>12.6</v>
      </c>
      <c r="F43" s="386">
        <f>$D$43*F44</f>
        <v>12.6</v>
      </c>
    </row>
    <row r="44" spans="1:6" x14ac:dyDescent="0.3">
      <c r="A44" s="425"/>
      <c r="B44" s="390"/>
      <c r="C44" s="384"/>
      <c r="D44" s="385"/>
      <c r="E44" s="387">
        <v>0.5</v>
      </c>
      <c r="F44" s="387">
        <v>0.5</v>
      </c>
    </row>
    <row r="45" spans="1:6" x14ac:dyDescent="0.3">
      <c r="A45" s="426"/>
      <c r="B45" s="426"/>
      <c r="C45" s="426"/>
      <c r="D45" s="426"/>
      <c r="E45" s="426"/>
      <c r="F45" s="426"/>
    </row>
    <row r="46" spans="1:6" x14ac:dyDescent="0.3">
      <c r="A46" s="425" t="s">
        <v>68</v>
      </c>
      <c r="B46" s="383" t="str">
        <f>B30</f>
        <v>PAVIMENTAÇÃO</v>
      </c>
      <c r="C46" s="384">
        <f>D46/$D$91</f>
        <v>6.4006979834925091E-3</v>
      </c>
      <c r="D46" s="385">
        <f>ORÇ!H53</f>
        <v>3493.8</v>
      </c>
      <c r="E46" s="386">
        <f>$D$46*E47</f>
        <v>1746.9</v>
      </c>
      <c r="F46" s="386">
        <f>$D$46*F47</f>
        <v>1746.9</v>
      </c>
    </row>
    <row r="47" spans="1:6" x14ac:dyDescent="0.3">
      <c r="A47" s="425"/>
      <c r="B47" s="383"/>
      <c r="C47" s="384"/>
      <c r="D47" s="385"/>
      <c r="E47" s="387">
        <v>0.5</v>
      </c>
      <c r="F47" s="387">
        <v>0.5</v>
      </c>
    </row>
    <row r="48" spans="1:6" x14ac:dyDescent="0.3">
      <c r="A48" s="426"/>
      <c r="B48" s="426"/>
      <c r="C48" s="426"/>
      <c r="D48" s="426"/>
      <c r="E48" s="426"/>
      <c r="F48" s="426"/>
    </row>
    <row r="49" spans="1:6" x14ac:dyDescent="0.3">
      <c r="A49" s="427" t="s">
        <v>71</v>
      </c>
      <c r="B49" s="383" t="str">
        <f>B33</f>
        <v>SERVIÇOS COMPLEMENTARES</v>
      </c>
      <c r="C49" s="414">
        <f>D49/$D$91</f>
        <v>1.8420555865939802E-3</v>
      </c>
      <c r="D49" s="385">
        <f>ORÇ!H56</f>
        <v>1005.48</v>
      </c>
      <c r="E49" s="386">
        <f>$D$49*E50</f>
        <v>502.74</v>
      </c>
      <c r="F49" s="386">
        <f>$D$49*F50</f>
        <v>502.74</v>
      </c>
    </row>
    <row r="50" spans="1:6" x14ac:dyDescent="0.3">
      <c r="A50" s="428"/>
      <c r="B50" s="383"/>
      <c r="C50" s="414"/>
      <c r="D50" s="385"/>
      <c r="E50" s="387">
        <v>0.5</v>
      </c>
      <c r="F50" s="387">
        <v>0.5</v>
      </c>
    </row>
    <row r="51" spans="1:6" x14ac:dyDescent="0.3">
      <c r="A51" s="426"/>
      <c r="B51" s="426"/>
      <c r="C51" s="426"/>
      <c r="D51" s="426"/>
      <c r="E51" s="426"/>
      <c r="F51" s="426"/>
    </row>
    <row r="52" spans="1:6" x14ac:dyDescent="0.3">
      <c r="A52" s="427" t="s">
        <v>80</v>
      </c>
      <c r="B52" s="383" t="str">
        <f>B36</f>
        <v xml:space="preserve">TRANSPORTE </v>
      </c>
      <c r="C52" s="384">
        <f>D52/$D$91</f>
        <v>6.6496689766680299E-4</v>
      </c>
      <c r="D52" s="385">
        <f>ORÇ!H60</f>
        <v>362.97</v>
      </c>
      <c r="E52" s="386">
        <f>$D$52*E53</f>
        <v>181.48500000000001</v>
      </c>
      <c r="F52" s="386">
        <f>$D$52*F53</f>
        <v>181.48500000000001</v>
      </c>
    </row>
    <row r="53" spans="1:6" x14ac:dyDescent="0.3">
      <c r="A53" s="428"/>
      <c r="B53" s="383"/>
      <c r="C53" s="384"/>
      <c r="D53" s="385"/>
      <c r="E53" s="387">
        <v>0.5</v>
      </c>
      <c r="F53" s="387">
        <v>0.5</v>
      </c>
    </row>
    <row r="54" spans="1:6" x14ac:dyDescent="0.3">
      <c r="A54" s="429"/>
      <c r="B54" s="25"/>
      <c r="C54" s="388"/>
      <c r="D54" s="120"/>
      <c r="E54" s="387"/>
      <c r="F54" s="387"/>
    </row>
    <row r="55" spans="1:6" x14ac:dyDescent="0.3">
      <c r="A55" s="427" t="s">
        <v>97</v>
      </c>
      <c r="B55" s="418" t="str">
        <f>B39</f>
        <v>SINALIZAÇÃO</v>
      </c>
      <c r="C55" s="423">
        <f>D55/$D$91</f>
        <v>0</v>
      </c>
      <c r="D55" s="421">
        <f>ORÇ!H64</f>
        <v>0</v>
      </c>
      <c r="E55" s="386">
        <f>$D$55*E56</f>
        <v>0</v>
      </c>
      <c r="F55" s="386">
        <f>$D$55*F56</f>
        <v>0</v>
      </c>
    </row>
    <row r="56" spans="1:6" x14ac:dyDescent="0.3">
      <c r="A56" s="428"/>
      <c r="B56" s="419"/>
      <c r="C56" s="424"/>
      <c r="D56" s="422"/>
      <c r="E56" s="387">
        <v>0.5</v>
      </c>
      <c r="F56" s="387">
        <v>0.5</v>
      </c>
    </row>
    <row r="57" spans="1:6" x14ac:dyDescent="0.3">
      <c r="A57" s="312"/>
      <c r="B57" s="313"/>
      <c r="C57" s="313"/>
      <c r="D57" s="313"/>
      <c r="E57" s="313"/>
      <c r="F57" s="314"/>
    </row>
    <row r="58" spans="1:6" x14ac:dyDescent="0.3">
      <c r="A58" s="296" t="str">
        <f>ORÇ!A68</f>
        <v>Rua São José - Trecho 01</v>
      </c>
      <c r="B58" s="389"/>
      <c r="C58" s="296"/>
      <c r="D58" s="296"/>
      <c r="E58" s="296"/>
      <c r="F58" s="296"/>
    </row>
    <row r="59" spans="1:6" x14ac:dyDescent="0.3">
      <c r="A59" s="425" t="s">
        <v>45</v>
      </c>
      <c r="B59" s="390" t="str">
        <f>B43</f>
        <v>TERRAPLENAGEM</v>
      </c>
      <c r="C59" s="384">
        <f>D59/$D$91</f>
        <v>1.0387531503349512E-3</v>
      </c>
      <c r="D59" s="385">
        <f>ORÇ!H69</f>
        <v>567</v>
      </c>
      <c r="E59" s="386">
        <f>$D$59*E60</f>
        <v>283.5</v>
      </c>
      <c r="F59" s="386">
        <f>$D$59*F60</f>
        <v>283.5</v>
      </c>
    </row>
    <row r="60" spans="1:6" x14ac:dyDescent="0.3">
      <c r="A60" s="425"/>
      <c r="B60" s="390"/>
      <c r="C60" s="384"/>
      <c r="D60" s="385"/>
      <c r="E60" s="387">
        <v>0.5</v>
      </c>
      <c r="F60" s="387">
        <v>0.5</v>
      </c>
    </row>
    <row r="61" spans="1:6" x14ac:dyDescent="0.3">
      <c r="A61" s="426"/>
      <c r="B61" s="426"/>
      <c r="C61" s="426"/>
      <c r="D61" s="426"/>
      <c r="E61" s="426"/>
      <c r="F61" s="426"/>
    </row>
    <row r="62" spans="1:6" x14ac:dyDescent="0.3">
      <c r="A62" s="425" t="s">
        <v>68</v>
      </c>
      <c r="B62" s="383" t="str">
        <f>B46</f>
        <v>PAVIMENTAÇÃO</v>
      </c>
      <c r="C62" s="384">
        <f>D62/$D$91</f>
        <v>0.14401570462858146</v>
      </c>
      <c r="D62" s="385">
        <f>ORÇ!H72</f>
        <v>78610.5</v>
      </c>
      <c r="E62" s="386">
        <f>$D$62*E63</f>
        <v>39305.25</v>
      </c>
      <c r="F62" s="386">
        <f>$D$62*F63</f>
        <v>39305.25</v>
      </c>
    </row>
    <row r="63" spans="1:6" x14ac:dyDescent="0.3">
      <c r="A63" s="425"/>
      <c r="B63" s="383"/>
      <c r="C63" s="384"/>
      <c r="D63" s="385"/>
      <c r="E63" s="387">
        <v>0.5</v>
      </c>
      <c r="F63" s="387">
        <v>0.5</v>
      </c>
    </row>
    <row r="64" spans="1:6" x14ac:dyDescent="0.3">
      <c r="A64" s="426"/>
      <c r="B64" s="426"/>
      <c r="C64" s="426"/>
      <c r="D64" s="426"/>
      <c r="E64" s="426"/>
      <c r="F64" s="426"/>
    </row>
    <row r="65" spans="1:6" x14ac:dyDescent="0.3">
      <c r="A65" s="427" t="s">
        <v>71</v>
      </c>
      <c r="B65" s="383" t="str">
        <f>B49</f>
        <v>SERVIÇOS COMPLEMENTARES</v>
      </c>
      <c r="C65" s="414">
        <f>D65/$D$91</f>
        <v>4.1446250698364551E-2</v>
      </c>
      <c r="D65" s="385">
        <f>ORÇ!H75</f>
        <v>22623.3</v>
      </c>
      <c r="E65" s="386">
        <f>$D$65*E66</f>
        <v>11311.65</v>
      </c>
      <c r="F65" s="386">
        <f>$D$65*F66</f>
        <v>11311.65</v>
      </c>
    </row>
    <row r="66" spans="1:6" x14ac:dyDescent="0.3">
      <c r="A66" s="428"/>
      <c r="B66" s="383"/>
      <c r="C66" s="414"/>
      <c r="D66" s="385"/>
      <c r="E66" s="387">
        <v>0.5</v>
      </c>
      <c r="F66" s="387">
        <v>0.5</v>
      </c>
    </row>
    <row r="67" spans="1:6" x14ac:dyDescent="0.3">
      <c r="A67" s="426"/>
      <c r="B67" s="426"/>
      <c r="C67" s="426"/>
      <c r="D67" s="426"/>
      <c r="E67" s="426"/>
      <c r="F67" s="426"/>
    </row>
    <row r="68" spans="1:6" x14ac:dyDescent="0.3">
      <c r="A68" s="427" t="s">
        <v>80</v>
      </c>
      <c r="B68" s="383" t="str">
        <f>B52</f>
        <v xml:space="preserve">TRANSPORTE </v>
      </c>
      <c r="C68" s="384">
        <f>D68/$D$91</f>
        <v>1.496180099790652E-2</v>
      </c>
      <c r="D68" s="385">
        <f>ORÇ!H79</f>
        <v>8166.85</v>
      </c>
      <c r="E68" s="386">
        <f>$D$68*E69</f>
        <v>4083.4250000000002</v>
      </c>
      <c r="F68" s="386">
        <f>$D$68*F69</f>
        <v>4083.4250000000002</v>
      </c>
    </row>
    <row r="69" spans="1:6" x14ac:dyDescent="0.3">
      <c r="A69" s="428"/>
      <c r="B69" s="383"/>
      <c r="C69" s="384"/>
      <c r="D69" s="385"/>
      <c r="E69" s="387">
        <v>0.5</v>
      </c>
      <c r="F69" s="387">
        <v>0.5</v>
      </c>
    </row>
    <row r="70" spans="1:6" x14ac:dyDescent="0.3">
      <c r="A70" s="429"/>
      <c r="B70" s="25"/>
      <c r="C70" s="388"/>
      <c r="D70" s="120"/>
      <c r="E70" s="387"/>
      <c r="F70" s="387"/>
    </row>
    <row r="71" spans="1:6" x14ac:dyDescent="0.3">
      <c r="A71" s="427" t="s">
        <v>97</v>
      </c>
      <c r="B71" s="418" t="str">
        <f>B55</f>
        <v>SINALIZAÇÃO</v>
      </c>
      <c r="C71" s="423">
        <f>D71/$D$91</f>
        <v>2.3834346755807201E-3</v>
      </c>
      <c r="D71" s="421">
        <f>ORÇ!H83</f>
        <v>1300.99</v>
      </c>
      <c r="E71" s="386">
        <f>$D$71*E72</f>
        <v>650.495</v>
      </c>
      <c r="F71" s="386">
        <f>$D$71*F72</f>
        <v>650.495</v>
      </c>
    </row>
    <row r="72" spans="1:6" x14ac:dyDescent="0.3">
      <c r="A72" s="428"/>
      <c r="B72" s="419"/>
      <c r="C72" s="424"/>
      <c r="D72" s="422"/>
      <c r="E72" s="387">
        <v>0.5</v>
      </c>
      <c r="F72" s="387">
        <v>0.5</v>
      </c>
    </row>
    <row r="73" spans="1:6" x14ac:dyDescent="0.3">
      <c r="A73" s="312"/>
      <c r="B73" s="313"/>
      <c r="C73" s="313"/>
      <c r="D73" s="313"/>
      <c r="E73" s="313"/>
      <c r="F73" s="314"/>
    </row>
    <row r="74" spans="1:6" x14ac:dyDescent="0.3">
      <c r="A74" s="296" t="str">
        <f>ORÇ!A87</f>
        <v>Rua São José - Trecho 02</v>
      </c>
      <c r="B74" s="389"/>
      <c r="C74" s="296"/>
      <c r="D74" s="296"/>
      <c r="E74" s="296"/>
      <c r="F74" s="296"/>
    </row>
    <row r="75" spans="1:6" x14ac:dyDescent="0.3">
      <c r="A75" s="425" t="s">
        <v>45</v>
      </c>
      <c r="B75" s="390" t="str">
        <f>B59</f>
        <v>TERRAPLENAGEM</v>
      </c>
      <c r="C75" s="384">
        <f>D75/$D$91</f>
        <v>9.3872506919158547E-4</v>
      </c>
      <c r="D75" s="385">
        <f>ORÇ!H88</f>
        <v>512.4</v>
      </c>
      <c r="E75" s="386">
        <f>$D$75*E76</f>
        <v>256.2</v>
      </c>
      <c r="F75" s="386">
        <f>$D$75*F76</f>
        <v>256.2</v>
      </c>
    </row>
    <row r="76" spans="1:6" x14ac:dyDescent="0.3">
      <c r="A76" s="425"/>
      <c r="B76" s="390"/>
      <c r="C76" s="384"/>
      <c r="D76" s="385"/>
      <c r="E76" s="387">
        <v>0.5</v>
      </c>
      <c r="F76" s="387">
        <v>0.5</v>
      </c>
    </row>
    <row r="77" spans="1:6" x14ac:dyDescent="0.3">
      <c r="A77" s="426"/>
      <c r="B77" s="426"/>
      <c r="C77" s="426"/>
      <c r="D77" s="426"/>
      <c r="E77" s="426"/>
      <c r="F77" s="426"/>
    </row>
    <row r="78" spans="1:6" x14ac:dyDescent="0.3">
      <c r="A78" s="425" t="s">
        <v>68</v>
      </c>
      <c r="B78" s="383" t="str">
        <f>B62</f>
        <v>PAVIMENTAÇÃO</v>
      </c>
      <c r="C78" s="384">
        <f>D78/$D$91</f>
        <v>0.1301475256643477</v>
      </c>
      <c r="D78" s="385">
        <f>ORÇ!H91</f>
        <v>71040.600000000006</v>
      </c>
      <c r="E78" s="386">
        <f>$D$78*E79</f>
        <v>35520.300000000003</v>
      </c>
      <c r="F78" s="386">
        <f>$D$78*F79</f>
        <v>35520.300000000003</v>
      </c>
    </row>
    <row r="79" spans="1:6" x14ac:dyDescent="0.3">
      <c r="A79" s="425"/>
      <c r="B79" s="383"/>
      <c r="C79" s="384"/>
      <c r="D79" s="385"/>
      <c r="E79" s="387">
        <v>0.5</v>
      </c>
      <c r="F79" s="387">
        <v>0.5</v>
      </c>
    </row>
    <row r="80" spans="1:6" x14ac:dyDescent="0.3">
      <c r="A80" s="426"/>
      <c r="B80" s="426"/>
      <c r="C80" s="426"/>
      <c r="D80" s="426"/>
      <c r="E80" s="426"/>
      <c r="F80" s="426"/>
    </row>
    <row r="81" spans="1:7" x14ac:dyDescent="0.3">
      <c r="A81" s="427" t="s">
        <v>71</v>
      </c>
      <c r="B81" s="383" t="str">
        <f>B65</f>
        <v>SERVIÇOS COMPLEMENTARES</v>
      </c>
      <c r="C81" s="414">
        <f>D81/$D$91</f>
        <v>3.7455130260744263E-2</v>
      </c>
      <c r="D81" s="385">
        <f>ORÇ!H94</f>
        <v>20444.759999999998</v>
      </c>
      <c r="E81" s="386">
        <f>$D$81*E82</f>
        <v>10222.379999999999</v>
      </c>
      <c r="F81" s="386">
        <f>$D$81*F82</f>
        <v>10222.379999999999</v>
      </c>
    </row>
    <row r="82" spans="1:7" x14ac:dyDescent="0.3">
      <c r="A82" s="428"/>
      <c r="B82" s="383"/>
      <c r="C82" s="414"/>
      <c r="D82" s="385"/>
      <c r="E82" s="387">
        <v>0.5</v>
      </c>
      <c r="F82" s="387">
        <v>0.5</v>
      </c>
    </row>
    <row r="83" spans="1:7" x14ac:dyDescent="0.3">
      <c r="A83" s="426"/>
      <c r="B83" s="426"/>
      <c r="C83" s="426"/>
      <c r="D83" s="426"/>
      <c r="E83" s="426"/>
      <c r="F83" s="426"/>
    </row>
    <row r="84" spans="1:7" x14ac:dyDescent="0.3">
      <c r="A84" s="427" t="s">
        <v>80</v>
      </c>
      <c r="B84" s="383" t="str">
        <f>B68</f>
        <v xml:space="preserve">TRANSPORTE </v>
      </c>
      <c r="C84" s="384">
        <f>D84/$D$91</f>
        <v>1.3521030226214422E-2</v>
      </c>
      <c r="D84" s="385">
        <f>ORÇ!H98</f>
        <v>7380.41</v>
      </c>
      <c r="E84" s="386">
        <f>$D$84*E85</f>
        <v>3690.2049999999999</v>
      </c>
      <c r="F84" s="386">
        <f>$D$84*F85</f>
        <v>3690.2049999999999</v>
      </c>
    </row>
    <row r="85" spans="1:7" x14ac:dyDescent="0.3">
      <c r="A85" s="428"/>
      <c r="B85" s="383"/>
      <c r="C85" s="384"/>
      <c r="D85" s="385"/>
      <c r="E85" s="387">
        <v>0.5</v>
      </c>
      <c r="F85" s="387">
        <v>0.5</v>
      </c>
    </row>
    <row r="86" spans="1:7" x14ac:dyDescent="0.3">
      <c r="A86" s="429"/>
      <c r="B86" s="25"/>
      <c r="C86" s="388"/>
      <c r="D86" s="120"/>
      <c r="E86" s="387"/>
      <c r="F86" s="387"/>
    </row>
    <row r="87" spans="1:7" x14ac:dyDescent="0.3">
      <c r="A87" s="427" t="s">
        <v>97</v>
      </c>
      <c r="B87" s="418" t="str">
        <f>B71</f>
        <v>SINALIZAÇÃO</v>
      </c>
      <c r="C87" s="423">
        <f>D87/$D$91</f>
        <v>2.3834346755807201E-3</v>
      </c>
      <c r="D87" s="421">
        <f>ORÇ!H102</f>
        <v>1300.99</v>
      </c>
      <c r="E87" s="386">
        <f>$D$87*E88</f>
        <v>650.495</v>
      </c>
      <c r="F87" s="386">
        <f>$D$87*F88</f>
        <v>650.495</v>
      </c>
    </row>
    <row r="88" spans="1:7" x14ac:dyDescent="0.3">
      <c r="A88" s="428"/>
      <c r="B88" s="419"/>
      <c r="C88" s="424"/>
      <c r="D88" s="422"/>
      <c r="E88" s="387">
        <v>0.5</v>
      </c>
      <c r="F88" s="387">
        <v>0.5</v>
      </c>
    </row>
    <row r="89" spans="1:7" x14ac:dyDescent="0.3">
      <c r="A89" s="429"/>
      <c r="B89" s="430"/>
      <c r="C89" s="431"/>
      <c r="D89" s="432"/>
      <c r="E89" s="387"/>
      <c r="F89" s="387"/>
    </row>
    <row r="90" spans="1:7" x14ac:dyDescent="0.3">
      <c r="A90" s="391"/>
      <c r="B90" s="391"/>
      <c r="C90" s="391"/>
      <c r="D90" s="391"/>
      <c r="E90" s="391"/>
      <c r="F90" s="391"/>
    </row>
    <row r="91" spans="1:7" x14ac:dyDescent="0.3">
      <c r="A91" s="392" t="s">
        <v>361</v>
      </c>
      <c r="B91" s="392"/>
      <c r="C91" s="434">
        <f>SUM(C5:C88)</f>
        <v>1.0000000000000004</v>
      </c>
      <c r="D91" s="393">
        <f>SUM(D5:D88)</f>
        <v>545846.72</v>
      </c>
      <c r="E91" s="394">
        <f>SUM(E5,E7,E11,E14,E20,E23,E27,E30,E33,E36,E39,E43,E46,E49,E52,E55,E59,E62,E65,E68,E71,E75,E78,E84,E81,E87,E17)</f>
        <v>274621.17999999993</v>
      </c>
      <c r="F91" s="394">
        <f>SUM(F5,F7,F11,F14,F20,F23,F27,F30,F33,F36,F39,F43,F46,F49,F52,F55,F59,F62,F65,F68,F71,F75,F78,F84,F81,F87,F17)</f>
        <v>271225.53999999992</v>
      </c>
      <c r="G91" s="437">
        <f>SUM(E91:F91)-D91</f>
        <v>0</v>
      </c>
    </row>
    <row r="92" spans="1:7" x14ac:dyDescent="0.3">
      <c r="A92" s="392"/>
      <c r="B92" s="392"/>
      <c r="C92" s="434"/>
      <c r="D92" s="393"/>
      <c r="E92" s="394">
        <f>E91</f>
        <v>274621.17999999993</v>
      </c>
      <c r="F92" s="394">
        <f>F91+E92</f>
        <v>545846.71999999986</v>
      </c>
    </row>
    <row r="93" spans="1:7" x14ac:dyDescent="0.3">
      <c r="A93" s="392" t="s">
        <v>362</v>
      </c>
      <c r="B93" s="392"/>
      <c r="C93" s="434"/>
      <c r="D93" s="395">
        <f>F94</f>
        <v>0.99999999999999978</v>
      </c>
      <c r="E93" s="396">
        <f>E91/$D$91</f>
        <v>0.50311043363968544</v>
      </c>
      <c r="F93" s="396">
        <f>F91/$D$91</f>
        <v>0.49688956636031434</v>
      </c>
      <c r="G93" s="435"/>
    </row>
    <row r="94" spans="1:7" x14ac:dyDescent="0.3">
      <c r="A94" s="392"/>
      <c r="B94" s="392"/>
      <c r="C94" s="434"/>
      <c r="D94" s="395"/>
      <c r="E94" s="396">
        <f>E93</f>
        <v>0.50311043363968544</v>
      </c>
      <c r="F94" s="396">
        <f>E94+F93</f>
        <v>0.99999999999999978</v>
      </c>
    </row>
    <row r="95" spans="1:7" x14ac:dyDescent="0.3">
      <c r="D95" s="436">
        <f>D91-RES!F16</f>
        <v>0</v>
      </c>
    </row>
  </sheetData>
  <mergeCells count="130">
    <mergeCell ref="B87:B88"/>
    <mergeCell ref="C87:C88"/>
    <mergeCell ref="D87:D88"/>
    <mergeCell ref="C81:C82"/>
    <mergeCell ref="D81:D82"/>
    <mergeCell ref="A84:A85"/>
    <mergeCell ref="B84:B85"/>
    <mergeCell ref="C84:C85"/>
    <mergeCell ref="D84:D85"/>
    <mergeCell ref="A75:A76"/>
    <mergeCell ref="B75:B76"/>
    <mergeCell ref="C75:C76"/>
    <mergeCell ref="D75:D76"/>
    <mergeCell ref="A78:A79"/>
    <mergeCell ref="B78:B79"/>
    <mergeCell ref="C78:C79"/>
    <mergeCell ref="D78:D79"/>
    <mergeCell ref="C68:C69"/>
    <mergeCell ref="D68:D69"/>
    <mergeCell ref="A71:A72"/>
    <mergeCell ref="B71:B72"/>
    <mergeCell ref="C71:C72"/>
    <mergeCell ref="D71:D72"/>
    <mergeCell ref="C62:C63"/>
    <mergeCell ref="D62:D63"/>
    <mergeCell ref="A65:A66"/>
    <mergeCell ref="B65:B66"/>
    <mergeCell ref="C65:C66"/>
    <mergeCell ref="D65:D66"/>
    <mergeCell ref="D23:D24"/>
    <mergeCell ref="C23:C24"/>
    <mergeCell ref="A41:F41"/>
    <mergeCell ref="A58:F58"/>
    <mergeCell ref="A59:A60"/>
    <mergeCell ref="B59:B60"/>
    <mergeCell ref="C59:C60"/>
    <mergeCell ref="D59:D60"/>
    <mergeCell ref="A91:B92"/>
    <mergeCell ref="C91:C94"/>
    <mergeCell ref="D91:D92"/>
    <mergeCell ref="A93:B94"/>
    <mergeCell ref="D93:D94"/>
    <mergeCell ref="A9:F9"/>
    <mergeCell ref="A25:F25"/>
    <mergeCell ref="A17:A18"/>
    <mergeCell ref="A20:A21"/>
    <mergeCell ref="A23:A24"/>
    <mergeCell ref="A87:A88"/>
    <mergeCell ref="A81:A82"/>
    <mergeCell ref="B81:B82"/>
    <mergeCell ref="A73:F73"/>
    <mergeCell ref="A74:F74"/>
    <mergeCell ref="A68:A69"/>
    <mergeCell ref="B68:B69"/>
    <mergeCell ref="A62:A63"/>
    <mergeCell ref="B62:B63"/>
    <mergeCell ref="A55:A56"/>
    <mergeCell ref="B55:B56"/>
    <mergeCell ref="C55:C56"/>
    <mergeCell ref="D55:D56"/>
    <mergeCell ref="A57:F57"/>
    <mergeCell ref="A49:A50"/>
    <mergeCell ref="B49:B50"/>
    <mergeCell ref="C49:C50"/>
    <mergeCell ref="D49:D50"/>
    <mergeCell ref="A52:A53"/>
    <mergeCell ref="B52:B53"/>
    <mergeCell ref="C52:C53"/>
    <mergeCell ref="D52:D53"/>
    <mergeCell ref="A42:F42"/>
    <mergeCell ref="A43:A44"/>
    <mergeCell ref="B43:B44"/>
    <mergeCell ref="C43:C44"/>
    <mergeCell ref="D43:D44"/>
    <mergeCell ref="A46:A47"/>
    <mergeCell ref="B46:B47"/>
    <mergeCell ref="C46:C47"/>
    <mergeCell ref="D46:D47"/>
    <mergeCell ref="A36:A37"/>
    <mergeCell ref="B36:B37"/>
    <mergeCell ref="C36:C37"/>
    <mergeCell ref="D36:D37"/>
    <mergeCell ref="A39:A40"/>
    <mergeCell ref="B39:B40"/>
    <mergeCell ref="C39:C40"/>
    <mergeCell ref="D39:D40"/>
    <mergeCell ref="A30:A31"/>
    <mergeCell ref="B30:B31"/>
    <mergeCell ref="C30:C31"/>
    <mergeCell ref="D30:D31"/>
    <mergeCell ref="A33:A34"/>
    <mergeCell ref="B33:B34"/>
    <mergeCell ref="C33:C34"/>
    <mergeCell ref="D33:D34"/>
    <mergeCell ref="B20:B21"/>
    <mergeCell ref="C20:C21"/>
    <mergeCell ref="D20:D21"/>
    <mergeCell ref="A26:F26"/>
    <mergeCell ref="A27:A28"/>
    <mergeCell ref="B27:B28"/>
    <mergeCell ref="C27:C28"/>
    <mergeCell ref="D27:D28"/>
    <mergeCell ref="B23:B24"/>
    <mergeCell ref="A14:A15"/>
    <mergeCell ref="B14:B15"/>
    <mergeCell ref="C14:C15"/>
    <mergeCell ref="D14:D15"/>
    <mergeCell ref="B17:B18"/>
    <mergeCell ref="C17:C18"/>
    <mergeCell ref="D17:D18"/>
    <mergeCell ref="A10:F10"/>
    <mergeCell ref="A11:A12"/>
    <mergeCell ref="B11:B12"/>
    <mergeCell ref="C11:C12"/>
    <mergeCell ref="D11:D12"/>
    <mergeCell ref="E2:F2"/>
    <mergeCell ref="B4:F4"/>
    <mergeCell ref="A5:A6"/>
    <mergeCell ref="B5:B6"/>
    <mergeCell ref="C5:C6"/>
    <mergeCell ref="D5:D6"/>
    <mergeCell ref="A7:A8"/>
    <mergeCell ref="B7:B8"/>
    <mergeCell ref="C7:C8"/>
    <mergeCell ref="D7:D8"/>
    <mergeCell ref="A2:A3"/>
    <mergeCell ref="B2:B3"/>
    <mergeCell ref="C2:C3"/>
    <mergeCell ref="D2:D3"/>
    <mergeCell ref="A1:F1"/>
  </mergeCells>
  <phoneticPr fontId="18" type="noConversion"/>
  <conditionalFormatting sqref="E13:F13">
    <cfRule type="expression" dxfId="83" priority="36" stopIfTrue="1">
      <formula>LEN(TRIM(E13))&gt;0</formula>
    </cfRule>
  </conditionalFormatting>
  <conditionalFormatting sqref="E19:F19 E90:F90">
    <cfRule type="expression" dxfId="81" priority="35" stopIfTrue="1">
      <formula>LEN(TRIM(E19))&gt;0</formula>
    </cfRule>
  </conditionalFormatting>
  <conditionalFormatting sqref="E16:F16">
    <cfRule type="expression" dxfId="60" priority="13" stopIfTrue="1">
      <formula>LEN(TRIM(E16))&gt;0</formula>
    </cfRule>
  </conditionalFormatting>
  <conditionalFormatting sqref="E29:F29">
    <cfRule type="expression" dxfId="59" priority="12" stopIfTrue="1">
      <formula>LEN(TRIM(E29))&gt;0</formula>
    </cfRule>
  </conditionalFormatting>
  <conditionalFormatting sqref="E35:F35">
    <cfRule type="expression" dxfId="58" priority="11" stopIfTrue="1">
      <formula>LEN(TRIM(E35))&gt;0</formula>
    </cfRule>
  </conditionalFormatting>
  <conditionalFormatting sqref="E32:F32">
    <cfRule type="expression" dxfId="57" priority="10" stopIfTrue="1">
      <formula>LEN(TRIM(E32))&gt;0</formula>
    </cfRule>
  </conditionalFormatting>
  <conditionalFormatting sqref="E45:F45">
    <cfRule type="expression" dxfId="56" priority="9" stopIfTrue="1">
      <formula>LEN(TRIM(E45))&gt;0</formula>
    </cfRule>
  </conditionalFormatting>
  <conditionalFormatting sqref="E51:F51">
    <cfRule type="expression" dxfId="55" priority="8" stopIfTrue="1">
      <formula>LEN(TRIM(E51))&gt;0</formula>
    </cfRule>
  </conditionalFormatting>
  <conditionalFormatting sqref="E48:F48">
    <cfRule type="expression" dxfId="54" priority="7" stopIfTrue="1">
      <formula>LEN(TRIM(E48))&gt;0</formula>
    </cfRule>
  </conditionalFormatting>
  <conditionalFormatting sqref="E61:F61">
    <cfRule type="expression" dxfId="53" priority="6" stopIfTrue="1">
      <formula>LEN(TRIM(E61))&gt;0</formula>
    </cfRule>
  </conditionalFormatting>
  <conditionalFormatting sqref="E67:F67">
    <cfRule type="expression" dxfId="52" priority="5" stopIfTrue="1">
      <formula>LEN(TRIM(E67))&gt;0</formula>
    </cfRule>
  </conditionalFormatting>
  <conditionalFormatting sqref="E64:F64">
    <cfRule type="expression" dxfId="51" priority="4" stopIfTrue="1">
      <formula>LEN(TRIM(E64))&gt;0</formula>
    </cfRule>
  </conditionalFormatting>
  <conditionalFormatting sqref="E77:F77">
    <cfRule type="expression" dxfId="50" priority="3" stopIfTrue="1">
      <formula>LEN(TRIM(E77))&gt;0</formula>
    </cfRule>
  </conditionalFormatting>
  <conditionalFormatting sqref="E83:F83">
    <cfRule type="expression" dxfId="49" priority="2" stopIfTrue="1">
      <formula>LEN(TRIM(E83))&gt;0</formula>
    </cfRule>
  </conditionalFormatting>
  <conditionalFormatting sqref="E80:F80">
    <cfRule type="expression" dxfId="48" priority="1" stopIfTrue="1">
      <formula>LEN(TRIM(E80))&gt;0</formula>
    </cfRule>
  </conditionalFormatting>
  <printOptions horizontalCentered="1"/>
  <pageMargins left="1.1023622047244095" right="0.51181102362204722" top="2.1653543307086616" bottom="0.78740157480314965" header="0.31496062992125984" footer="0.31496062992125984"/>
  <pageSetup paperSize="9" scale="66" fitToHeight="0" orientation="portrait" r:id="rId1"/>
  <headerFooter>
    <oddHeader>&amp;C&amp;G</oddHeader>
  </headerFooter>
  <rowBreaks count="1" manualBreakCount="1">
    <brk id="57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3F14-B912-49C9-8A02-8CEC1D8C58B0}">
  <sheetPr>
    <pageSetUpPr fitToPage="1"/>
  </sheetPr>
  <dimension ref="A1:G99"/>
  <sheetViews>
    <sheetView view="pageBreakPreview" topLeftCell="C1" zoomScale="80" zoomScaleNormal="100" zoomScaleSheetLayoutView="80" workbookViewId="0">
      <selection activeCell="J18" sqref="J18"/>
    </sheetView>
  </sheetViews>
  <sheetFormatPr defaultRowHeight="14.4" x14ac:dyDescent="0.3"/>
  <cols>
    <col min="1" max="1" width="17.21875" customWidth="1"/>
    <col min="2" max="2" width="14.88671875" customWidth="1"/>
    <col min="3" max="3" width="60.77734375" style="119" customWidth="1"/>
    <col min="4" max="4" width="13.44140625" customWidth="1"/>
    <col min="5" max="5" width="13.77734375" customWidth="1"/>
    <col min="6" max="7" width="15.77734375" customWidth="1"/>
  </cols>
  <sheetData>
    <row r="1" spans="1:7" ht="25.05" customHeight="1" x14ac:dyDescent="0.3">
      <c r="A1" s="320" t="s">
        <v>348</v>
      </c>
      <c r="B1" s="324"/>
      <c r="C1" s="324"/>
      <c r="D1" s="324"/>
      <c r="E1" s="324"/>
      <c r="F1" s="324"/>
      <c r="G1" s="324"/>
    </row>
    <row r="2" spans="1:7" ht="19.95" customHeight="1" x14ac:dyDescent="0.3">
      <c r="A2" s="289" t="str">
        <f>RES!A2</f>
        <v>PAVIMENTAÇÃO DE VIAS PÚBLICAS NO MUNÍCIO DE TERESINA - PI</v>
      </c>
      <c r="B2" s="290"/>
      <c r="C2" s="290"/>
      <c r="D2" s="290"/>
      <c r="E2" s="325" t="str">
        <f>RES!C2</f>
        <v>FONTE: SINAPI 12/2025</v>
      </c>
      <c r="F2" s="326"/>
      <c r="G2" s="115" t="str">
        <f>RES!E2</f>
        <v>SEM DESONERAÇÃO
 BDI: 21,96%</v>
      </c>
    </row>
    <row r="3" spans="1:7" ht="19.95" customHeight="1" x14ac:dyDescent="0.3">
      <c r="A3" s="292" t="str">
        <f>RES!A3</f>
        <v>LOCALIDADE: DIVERSAS</v>
      </c>
      <c r="B3" s="293"/>
      <c r="C3" s="293"/>
      <c r="D3" s="293"/>
      <c r="E3" s="122" t="str">
        <f>RES!E3</f>
        <v>ÁREA TOTAL (m²):</v>
      </c>
      <c r="F3" s="220">
        <f>RES!F3</f>
        <v>3853</v>
      </c>
      <c r="G3" s="115" t="str">
        <f>RES!F2</f>
        <v>HORISTA: 113,33%
MENSALISTA: 71,12%</v>
      </c>
    </row>
    <row r="4" spans="1:7" ht="15" customHeight="1" x14ac:dyDescent="0.3">
      <c r="A4" s="303"/>
      <c r="B4" s="304"/>
      <c r="C4" s="304"/>
      <c r="D4" s="304"/>
      <c r="E4" s="304"/>
      <c r="F4" s="304"/>
      <c r="G4" s="305"/>
    </row>
    <row r="5" spans="1:7" s="221" customFormat="1" ht="22.95" customHeight="1" x14ac:dyDescent="0.3">
      <c r="A5" s="323" t="s">
        <v>243</v>
      </c>
      <c r="B5" s="323"/>
      <c r="C5" s="323"/>
      <c r="D5" s="323"/>
      <c r="E5" s="323"/>
      <c r="F5" s="323"/>
      <c r="G5" s="323"/>
    </row>
    <row r="6" spans="1:7" s="39" customFormat="1" ht="19.95" customHeight="1" x14ac:dyDescent="0.3">
      <c r="A6" s="205" t="s">
        <v>244</v>
      </c>
      <c r="B6" s="204" t="s">
        <v>245</v>
      </c>
      <c r="C6" s="204" t="s">
        <v>246</v>
      </c>
      <c r="D6" s="206" t="s">
        <v>247</v>
      </c>
      <c r="E6" s="205" t="s">
        <v>248</v>
      </c>
      <c r="F6" s="205" t="s">
        <v>249</v>
      </c>
      <c r="G6" s="205" t="s">
        <v>157</v>
      </c>
    </row>
    <row r="7" spans="1:7" s="39" customFormat="1" ht="27" customHeight="1" x14ac:dyDescent="0.3">
      <c r="A7" s="208" t="s">
        <v>250</v>
      </c>
      <c r="B7" s="207" t="s">
        <v>251</v>
      </c>
      <c r="C7" s="207" t="s">
        <v>252</v>
      </c>
      <c r="D7" s="209" t="s">
        <v>19</v>
      </c>
      <c r="E7" s="210">
        <v>1</v>
      </c>
      <c r="F7" s="211">
        <v>464.04</v>
      </c>
      <c r="G7" s="211">
        <v>464.04</v>
      </c>
    </row>
    <row r="8" spans="1:7" x14ac:dyDescent="0.3">
      <c r="A8" s="213" t="s">
        <v>253</v>
      </c>
      <c r="B8" s="212" t="s">
        <v>251</v>
      </c>
      <c r="C8" s="212" t="s">
        <v>254</v>
      </c>
      <c r="D8" s="214" t="s">
        <v>255</v>
      </c>
      <c r="E8" s="215">
        <v>0.37290000000000001</v>
      </c>
      <c r="F8" s="216">
        <v>26.97</v>
      </c>
      <c r="G8" s="216">
        <v>10.050000000000001</v>
      </c>
    </row>
    <row r="9" spans="1:7" x14ac:dyDescent="0.3">
      <c r="A9" s="213" t="s">
        <v>258</v>
      </c>
      <c r="B9" s="212" t="s">
        <v>251</v>
      </c>
      <c r="C9" s="212" t="s">
        <v>259</v>
      </c>
      <c r="D9" s="214" t="s">
        <v>255</v>
      </c>
      <c r="E9" s="215">
        <v>1.1186</v>
      </c>
      <c r="F9" s="216">
        <v>21.71</v>
      </c>
      <c r="G9" s="216">
        <v>24.28</v>
      </c>
    </row>
    <row r="10" spans="1:7" x14ac:dyDescent="0.3">
      <c r="A10" s="213" t="s">
        <v>256</v>
      </c>
      <c r="B10" s="212" t="s">
        <v>251</v>
      </c>
      <c r="C10" s="375" t="s">
        <v>257</v>
      </c>
      <c r="D10" s="214" t="s">
        <v>19</v>
      </c>
      <c r="E10" s="215">
        <v>0.5</v>
      </c>
      <c r="F10" s="216">
        <v>25.31</v>
      </c>
      <c r="G10" s="216">
        <v>12.65</v>
      </c>
    </row>
    <row r="11" spans="1:7" x14ac:dyDescent="0.3">
      <c r="A11" s="213" t="s">
        <v>263</v>
      </c>
      <c r="B11" s="212" t="s">
        <v>251</v>
      </c>
      <c r="C11" s="212" t="s">
        <v>264</v>
      </c>
      <c r="D11" s="214" t="s">
        <v>262</v>
      </c>
      <c r="E11" s="215">
        <v>1.32E-2</v>
      </c>
      <c r="F11" s="216">
        <v>20.74</v>
      </c>
      <c r="G11" s="216">
        <v>0.27</v>
      </c>
    </row>
    <row r="12" spans="1:7" x14ac:dyDescent="0.3">
      <c r="A12" s="213" t="s">
        <v>260</v>
      </c>
      <c r="B12" s="212" t="s">
        <v>251</v>
      </c>
      <c r="C12" s="375" t="s">
        <v>261</v>
      </c>
      <c r="D12" s="214" t="s">
        <v>262</v>
      </c>
      <c r="E12" s="215">
        <v>1.1299999999999999E-2</v>
      </c>
      <c r="F12" s="216">
        <v>38.700000000000003</v>
      </c>
      <c r="G12" s="216">
        <v>0.43</v>
      </c>
    </row>
    <row r="13" spans="1:7" ht="39.6" x14ac:dyDescent="0.3">
      <c r="A13" s="213" t="s">
        <v>268</v>
      </c>
      <c r="B13" s="212" t="s">
        <v>251</v>
      </c>
      <c r="C13" s="212" t="s">
        <v>269</v>
      </c>
      <c r="D13" s="214" t="s">
        <v>19</v>
      </c>
      <c r="E13" s="215">
        <v>1</v>
      </c>
      <c r="F13" s="216">
        <v>400</v>
      </c>
      <c r="G13" s="216">
        <v>400</v>
      </c>
    </row>
    <row r="14" spans="1:7" ht="26.4" x14ac:dyDescent="0.3">
      <c r="A14" s="213" t="s">
        <v>265</v>
      </c>
      <c r="B14" s="212" t="s">
        <v>251</v>
      </c>
      <c r="C14" s="212" t="s">
        <v>266</v>
      </c>
      <c r="D14" s="214" t="s">
        <v>267</v>
      </c>
      <c r="E14" s="215">
        <v>3.2082999999999999</v>
      </c>
      <c r="F14" s="216">
        <v>5.0999999999999996</v>
      </c>
      <c r="G14" s="216">
        <v>16.36</v>
      </c>
    </row>
    <row r="15" spans="1:7" x14ac:dyDescent="0.3">
      <c r="A15" s="219"/>
      <c r="B15" s="219"/>
      <c r="C15" s="219"/>
      <c r="D15" s="219" t="s">
        <v>270</v>
      </c>
      <c r="E15" s="217">
        <v>0</v>
      </c>
      <c r="F15" s="219" t="s">
        <v>271</v>
      </c>
      <c r="G15" s="217">
        <v>29.29</v>
      </c>
    </row>
    <row r="16" spans="1:7" ht="15" customHeight="1" thickBot="1" x14ac:dyDescent="0.35">
      <c r="A16" s="219"/>
      <c r="B16" s="219"/>
      <c r="C16" s="219"/>
      <c r="D16" s="219"/>
      <c r="E16" s="322" t="s">
        <v>272</v>
      </c>
      <c r="F16" s="322"/>
      <c r="G16" s="217">
        <v>565.94000000000005</v>
      </c>
    </row>
    <row r="17" spans="1:7" ht="15" thickTop="1" x14ac:dyDescent="0.3">
      <c r="A17" s="218"/>
      <c r="B17" s="218"/>
      <c r="C17" s="218"/>
      <c r="D17" s="218"/>
      <c r="E17" s="218"/>
      <c r="F17" s="218"/>
      <c r="G17" s="218"/>
    </row>
    <row r="18" spans="1:7" x14ac:dyDescent="0.3">
      <c r="A18" s="205" t="s">
        <v>244</v>
      </c>
      <c r="B18" s="204" t="s">
        <v>245</v>
      </c>
      <c r="C18" s="204" t="s">
        <v>246</v>
      </c>
      <c r="D18" s="206" t="s">
        <v>247</v>
      </c>
      <c r="E18" s="205" t="s">
        <v>248</v>
      </c>
      <c r="F18" s="205" t="s">
        <v>249</v>
      </c>
      <c r="G18" s="205" t="s">
        <v>157</v>
      </c>
    </row>
    <row r="19" spans="1:7" s="119" customFormat="1" ht="26.4" x14ac:dyDescent="0.3">
      <c r="A19" s="208" t="s">
        <v>273</v>
      </c>
      <c r="B19" s="207" t="s">
        <v>274</v>
      </c>
      <c r="C19" s="207" t="s">
        <v>275</v>
      </c>
      <c r="D19" s="209" t="s">
        <v>44</v>
      </c>
      <c r="E19" s="210">
        <v>1</v>
      </c>
      <c r="F19" s="211">
        <v>7806.6</v>
      </c>
      <c r="G19" s="211">
        <v>7806.6</v>
      </c>
    </row>
    <row r="20" spans="1:7" x14ac:dyDescent="0.3">
      <c r="A20" s="213" t="s">
        <v>276</v>
      </c>
      <c r="B20" s="212" t="s">
        <v>251</v>
      </c>
      <c r="C20" s="212" t="s">
        <v>277</v>
      </c>
      <c r="D20" s="214" t="s">
        <v>255</v>
      </c>
      <c r="E20" s="215">
        <v>60</v>
      </c>
      <c r="F20" s="216">
        <v>38.42</v>
      </c>
      <c r="G20" s="216">
        <v>2305.1999999999998</v>
      </c>
    </row>
    <row r="21" spans="1:7" x14ac:dyDescent="0.3">
      <c r="A21" s="213" t="s">
        <v>278</v>
      </c>
      <c r="B21" s="212" t="s">
        <v>251</v>
      </c>
      <c r="C21" s="212" t="s">
        <v>279</v>
      </c>
      <c r="D21" s="214" t="s">
        <v>255</v>
      </c>
      <c r="E21" s="215">
        <v>60</v>
      </c>
      <c r="F21" s="216">
        <v>25.84</v>
      </c>
      <c r="G21" s="216">
        <v>1550.4</v>
      </c>
    </row>
    <row r="22" spans="1:7" ht="26.4" x14ac:dyDescent="0.3">
      <c r="A22" s="213" t="s">
        <v>280</v>
      </c>
      <c r="B22" s="212" t="s">
        <v>251</v>
      </c>
      <c r="C22" s="212" t="s">
        <v>281</v>
      </c>
      <c r="D22" s="214" t="s">
        <v>255</v>
      </c>
      <c r="E22" s="215">
        <v>30</v>
      </c>
      <c r="F22" s="216">
        <v>131.69999999999999</v>
      </c>
      <c r="G22" s="216">
        <v>3951</v>
      </c>
    </row>
    <row r="23" spans="1:7" x14ac:dyDescent="0.3">
      <c r="A23" s="219"/>
      <c r="B23" s="219"/>
      <c r="C23" s="219"/>
      <c r="D23" s="219" t="s">
        <v>270</v>
      </c>
      <c r="E23" s="217">
        <v>0</v>
      </c>
      <c r="F23" s="219" t="s">
        <v>271</v>
      </c>
      <c r="G23" s="217">
        <v>6985.5</v>
      </c>
    </row>
    <row r="24" spans="1:7" ht="15" customHeight="1" thickBot="1" x14ac:dyDescent="0.35">
      <c r="A24" s="219"/>
      <c r="B24" s="219"/>
      <c r="C24" s="219"/>
      <c r="D24" s="219"/>
      <c r="E24" s="322" t="s">
        <v>272</v>
      </c>
      <c r="F24" s="322"/>
      <c r="G24" s="217">
        <v>9520.92</v>
      </c>
    </row>
    <row r="25" spans="1:7" ht="15" thickTop="1" x14ac:dyDescent="0.3">
      <c r="A25" s="218"/>
      <c r="B25" s="218"/>
      <c r="C25" s="218"/>
      <c r="D25" s="218"/>
      <c r="E25" s="218"/>
      <c r="F25" s="218"/>
      <c r="G25" s="218"/>
    </row>
    <row r="26" spans="1:7" x14ac:dyDescent="0.3">
      <c r="A26" s="205" t="s">
        <v>244</v>
      </c>
      <c r="B26" s="204" t="s">
        <v>245</v>
      </c>
      <c r="C26" s="204" t="s">
        <v>246</v>
      </c>
      <c r="D26" s="206" t="s">
        <v>247</v>
      </c>
      <c r="E26" s="205" t="s">
        <v>248</v>
      </c>
      <c r="F26" s="205" t="s">
        <v>249</v>
      </c>
      <c r="G26" s="205" t="s">
        <v>157</v>
      </c>
    </row>
    <row r="27" spans="1:7" ht="26.4" x14ac:dyDescent="0.3">
      <c r="A27" s="208" t="s">
        <v>282</v>
      </c>
      <c r="B27" s="207" t="s">
        <v>251</v>
      </c>
      <c r="C27" s="207" t="s">
        <v>283</v>
      </c>
      <c r="D27" s="209" t="s">
        <v>19</v>
      </c>
      <c r="E27" s="210">
        <v>1</v>
      </c>
      <c r="F27" s="211">
        <v>0.57999999999999996</v>
      </c>
      <c r="G27" s="211">
        <v>0.57999999999999996</v>
      </c>
    </row>
    <row r="28" spans="1:7" x14ac:dyDescent="0.3">
      <c r="A28" s="213" t="s">
        <v>258</v>
      </c>
      <c r="B28" s="212" t="s">
        <v>251</v>
      </c>
      <c r="C28" s="212" t="s">
        <v>259</v>
      </c>
      <c r="D28" s="214" t="s">
        <v>255</v>
      </c>
      <c r="E28" s="215">
        <v>1.0342999999999999E-3</v>
      </c>
      <c r="F28" s="216">
        <v>21.71</v>
      </c>
      <c r="G28" s="216">
        <v>0.02</v>
      </c>
    </row>
    <row r="29" spans="1:7" s="119" customFormat="1" ht="39.6" x14ac:dyDescent="0.3">
      <c r="A29" s="213" t="s">
        <v>284</v>
      </c>
      <c r="B29" s="212" t="s">
        <v>251</v>
      </c>
      <c r="C29" s="212" t="s">
        <v>285</v>
      </c>
      <c r="D29" s="214" t="s">
        <v>286</v>
      </c>
      <c r="E29" s="215">
        <v>7.3180000000000001E-4</v>
      </c>
      <c r="F29" s="216">
        <v>110.75</v>
      </c>
      <c r="G29" s="216">
        <v>0.08</v>
      </c>
    </row>
    <row r="30" spans="1:7" s="119" customFormat="1" ht="39.6" x14ac:dyDescent="0.3">
      <c r="A30" s="213" t="s">
        <v>289</v>
      </c>
      <c r="B30" s="212" t="s">
        <v>251</v>
      </c>
      <c r="C30" s="212" t="s">
        <v>290</v>
      </c>
      <c r="D30" s="214" t="s">
        <v>291</v>
      </c>
      <c r="E30" s="215">
        <v>3.0249999999999998E-4</v>
      </c>
      <c r="F30" s="216">
        <v>271.24</v>
      </c>
      <c r="G30" s="216">
        <v>0.08</v>
      </c>
    </row>
    <row r="31" spans="1:7" s="119" customFormat="1" ht="52.8" x14ac:dyDescent="0.3">
      <c r="A31" s="213" t="s">
        <v>287</v>
      </c>
      <c r="B31" s="212" t="s">
        <v>251</v>
      </c>
      <c r="C31" s="212" t="s">
        <v>288</v>
      </c>
      <c r="D31" s="214" t="s">
        <v>286</v>
      </c>
      <c r="E31" s="215">
        <v>6.0956999999999999E-3</v>
      </c>
      <c r="F31" s="216">
        <v>66.3</v>
      </c>
      <c r="G31" s="216">
        <v>0.4</v>
      </c>
    </row>
    <row r="32" spans="1:7" x14ac:dyDescent="0.3">
      <c r="A32" s="219"/>
      <c r="B32" s="219"/>
      <c r="C32" s="219"/>
      <c r="D32" s="219" t="s">
        <v>270</v>
      </c>
      <c r="E32" s="217">
        <v>0</v>
      </c>
      <c r="F32" s="219" t="s">
        <v>271</v>
      </c>
      <c r="G32" s="217">
        <v>0.16</v>
      </c>
    </row>
    <row r="33" spans="1:7" ht="15" customHeight="1" thickBot="1" x14ac:dyDescent="0.35">
      <c r="A33" s="219"/>
      <c r="B33" s="219"/>
      <c r="C33" s="219"/>
      <c r="D33" s="219"/>
      <c r="E33" s="322" t="s">
        <v>272</v>
      </c>
      <c r="F33" s="322"/>
      <c r="G33" s="217">
        <v>0.7</v>
      </c>
    </row>
    <row r="34" spans="1:7" ht="15" thickTop="1" x14ac:dyDescent="0.3">
      <c r="A34" s="218"/>
      <c r="B34" s="218"/>
      <c r="C34" s="218"/>
      <c r="D34" s="218"/>
      <c r="E34" s="218"/>
      <c r="F34" s="218"/>
      <c r="G34" s="218"/>
    </row>
    <row r="35" spans="1:7" x14ac:dyDescent="0.3">
      <c r="A35" s="205" t="s">
        <v>244</v>
      </c>
      <c r="B35" s="204" t="s">
        <v>245</v>
      </c>
      <c r="C35" s="204" t="s">
        <v>246</v>
      </c>
      <c r="D35" s="206" t="s">
        <v>247</v>
      </c>
      <c r="E35" s="205" t="s">
        <v>248</v>
      </c>
      <c r="F35" s="205" t="s">
        <v>249</v>
      </c>
      <c r="G35" s="205" t="s">
        <v>157</v>
      </c>
    </row>
    <row r="36" spans="1:7" s="119" customFormat="1" ht="39.6" x14ac:dyDescent="0.3">
      <c r="A36" s="208" t="s">
        <v>292</v>
      </c>
      <c r="B36" s="207" t="s">
        <v>274</v>
      </c>
      <c r="C36" s="207" t="s">
        <v>293</v>
      </c>
      <c r="D36" s="209" t="s">
        <v>19</v>
      </c>
      <c r="E36" s="210">
        <v>1</v>
      </c>
      <c r="F36" s="211">
        <v>79.58</v>
      </c>
      <c r="G36" s="211">
        <v>79.58</v>
      </c>
    </row>
    <row r="37" spans="1:7" x14ac:dyDescent="0.3">
      <c r="A37" s="213" t="s">
        <v>258</v>
      </c>
      <c r="B37" s="212" t="s">
        <v>251</v>
      </c>
      <c r="C37" s="212" t="s">
        <v>259</v>
      </c>
      <c r="D37" s="214" t="s">
        <v>255</v>
      </c>
      <c r="E37" s="215">
        <v>0.40210000000000001</v>
      </c>
      <c r="F37" s="216">
        <v>21.71</v>
      </c>
      <c r="G37" s="216">
        <v>8.7200000000000006</v>
      </c>
    </row>
    <row r="38" spans="1:7" x14ac:dyDescent="0.3">
      <c r="A38" s="213" t="s">
        <v>294</v>
      </c>
      <c r="B38" s="212" t="s">
        <v>251</v>
      </c>
      <c r="C38" s="212" t="s">
        <v>295</v>
      </c>
      <c r="D38" s="214" t="s">
        <v>255</v>
      </c>
      <c r="E38" s="215">
        <v>0.40210000000000001</v>
      </c>
      <c r="F38" s="216">
        <v>27.19</v>
      </c>
      <c r="G38" s="216">
        <v>10.93</v>
      </c>
    </row>
    <row r="39" spans="1:7" s="119" customFormat="1" ht="52.8" x14ac:dyDescent="0.3">
      <c r="A39" s="213" t="s">
        <v>296</v>
      </c>
      <c r="B39" s="212" t="s">
        <v>251</v>
      </c>
      <c r="C39" s="212" t="s">
        <v>297</v>
      </c>
      <c r="D39" s="214" t="s">
        <v>286</v>
      </c>
      <c r="E39" s="215">
        <v>0.13089999999999999</v>
      </c>
      <c r="F39" s="216">
        <v>64.72</v>
      </c>
      <c r="G39" s="216">
        <v>8.4700000000000006</v>
      </c>
    </row>
    <row r="40" spans="1:7" ht="39.6" x14ac:dyDescent="0.3">
      <c r="A40" s="213" t="s">
        <v>298</v>
      </c>
      <c r="B40" s="212" t="s">
        <v>251</v>
      </c>
      <c r="C40" s="212" t="s">
        <v>299</v>
      </c>
      <c r="D40" s="214" t="s">
        <v>300</v>
      </c>
      <c r="E40" s="215">
        <v>2.0400000000000001E-2</v>
      </c>
      <c r="F40" s="216">
        <v>700.6</v>
      </c>
      <c r="G40" s="216">
        <v>14.29</v>
      </c>
    </row>
    <row r="41" spans="1:7" ht="26.4" x14ac:dyDescent="0.3">
      <c r="A41" s="213" t="s">
        <v>301</v>
      </c>
      <c r="B41" s="212" t="s">
        <v>274</v>
      </c>
      <c r="C41" s="212" t="s">
        <v>302</v>
      </c>
      <c r="D41" s="214" t="s">
        <v>303</v>
      </c>
      <c r="E41" s="215">
        <v>4.2000000000000003E-2</v>
      </c>
      <c r="F41" s="216">
        <v>612.20000000000005</v>
      </c>
      <c r="G41" s="216">
        <v>25.71</v>
      </c>
    </row>
    <row r="42" spans="1:7" s="119" customFormat="1" ht="52.8" x14ac:dyDescent="0.3">
      <c r="A42" s="213" t="s">
        <v>304</v>
      </c>
      <c r="B42" s="212" t="s">
        <v>251</v>
      </c>
      <c r="C42" s="212" t="s">
        <v>305</v>
      </c>
      <c r="D42" s="214" t="s">
        <v>291</v>
      </c>
      <c r="E42" s="215">
        <v>3.0999999999999999E-3</v>
      </c>
      <c r="F42" s="216">
        <v>159.80000000000001</v>
      </c>
      <c r="G42" s="216">
        <v>0.49</v>
      </c>
    </row>
    <row r="43" spans="1:7" ht="26.4" x14ac:dyDescent="0.3">
      <c r="A43" s="213" t="s">
        <v>306</v>
      </c>
      <c r="B43" s="212" t="s">
        <v>251</v>
      </c>
      <c r="C43" s="212" t="s">
        <v>307</v>
      </c>
      <c r="D43" s="214" t="s">
        <v>300</v>
      </c>
      <c r="E43" s="215">
        <v>0.114</v>
      </c>
      <c r="F43" s="216">
        <v>96.24</v>
      </c>
      <c r="G43" s="216">
        <v>10.97</v>
      </c>
    </row>
    <row r="44" spans="1:7" x14ac:dyDescent="0.3">
      <c r="A44" s="219"/>
      <c r="B44" s="219"/>
      <c r="C44" s="219"/>
      <c r="D44" s="219" t="s">
        <v>270</v>
      </c>
      <c r="E44" s="217">
        <v>0</v>
      </c>
      <c r="F44" s="219" t="s">
        <v>271</v>
      </c>
      <c r="G44" s="217">
        <v>36.74</v>
      </c>
    </row>
    <row r="45" spans="1:7" ht="15" customHeight="1" thickBot="1" x14ac:dyDescent="0.35">
      <c r="A45" s="219"/>
      <c r="B45" s="219"/>
      <c r="C45" s="219"/>
      <c r="D45" s="219"/>
      <c r="E45" s="322" t="s">
        <v>272</v>
      </c>
      <c r="F45" s="322"/>
      <c r="G45" s="217">
        <v>97.05</v>
      </c>
    </row>
    <row r="46" spans="1:7" ht="15" thickTop="1" x14ac:dyDescent="0.3">
      <c r="A46" s="218"/>
      <c r="B46" s="218"/>
      <c r="C46" s="218"/>
      <c r="D46" s="218"/>
      <c r="E46" s="218"/>
      <c r="F46" s="218"/>
      <c r="G46" s="218"/>
    </row>
    <row r="47" spans="1:7" x14ac:dyDescent="0.3">
      <c r="A47" s="205" t="s">
        <v>244</v>
      </c>
      <c r="B47" s="204" t="s">
        <v>245</v>
      </c>
      <c r="C47" s="204" t="s">
        <v>246</v>
      </c>
      <c r="D47" s="206" t="s">
        <v>247</v>
      </c>
      <c r="E47" s="205" t="s">
        <v>248</v>
      </c>
      <c r="F47" s="205" t="s">
        <v>249</v>
      </c>
      <c r="G47" s="205" t="s">
        <v>157</v>
      </c>
    </row>
    <row r="48" spans="1:7" s="119" customFormat="1" ht="52.8" x14ac:dyDescent="0.3">
      <c r="A48" s="208" t="s">
        <v>308</v>
      </c>
      <c r="B48" s="207" t="s">
        <v>251</v>
      </c>
      <c r="C48" s="207" t="s">
        <v>309</v>
      </c>
      <c r="D48" s="209" t="s">
        <v>267</v>
      </c>
      <c r="E48" s="210">
        <v>1</v>
      </c>
      <c r="F48" s="211">
        <v>46.03</v>
      </c>
      <c r="G48" s="211">
        <v>46.03</v>
      </c>
    </row>
    <row r="49" spans="1:7" x14ac:dyDescent="0.3">
      <c r="A49" s="213" t="s">
        <v>258</v>
      </c>
      <c r="B49" s="212" t="s">
        <v>251</v>
      </c>
      <c r="C49" s="212" t="s">
        <v>259</v>
      </c>
      <c r="D49" s="214" t="s">
        <v>255</v>
      </c>
      <c r="E49" s="215">
        <v>0.2296</v>
      </c>
      <c r="F49" s="216">
        <v>21.71</v>
      </c>
      <c r="G49" s="216">
        <v>4.9800000000000004</v>
      </c>
    </row>
    <row r="50" spans="1:7" x14ac:dyDescent="0.3">
      <c r="A50" s="213" t="s">
        <v>310</v>
      </c>
      <c r="B50" s="212" t="s">
        <v>251</v>
      </c>
      <c r="C50" s="212" t="s">
        <v>311</v>
      </c>
      <c r="D50" s="214" t="s">
        <v>255</v>
      </c>
      <c r="E50" s="215">
        <v>0.2296</v>
      </c>
      <c r="F50" s="216">
        <v>27.39</v>
      </c>
      <c r="G50" s="216">
        <v>6.28</v>
      </c>
    </row>
    <row r="51" spans="1:7" s="119" customFormat="1" ht="26.4" x14ac:dyDescent="0.3">
      <c r="A51" s="213" t="s">
        <v>312</v>
      </c>
      <c r="B51" s="212" t="s">
        <v>251</v>
      </c>
      <c r="C51" s="212" t="s">
        <v>313</v>
      </c>
      <c r="D51" s="214" t="s">
        <v>300</v>
      </c>
      <c r="E51" s="215">
        <v>1.8E-3</v>
      </c>
      <c r="F51" s="216">
        <v>789.97</v>
      </c>
      <c r="G51" s="216">
        <v>1.42</v>
      </c>
    </row>
    <row r="52" spans="1:7" ht="26.4" x14ac:dyDescent="0.3">
      <c r="A52" s="213" t="s">
        <v>314</v>
      </c>
      <c r="B52" s="212" t="s">
        <v>251</v>
      </c>
      <c r="C52" s="212" t="s">
        <v>315</v>
      </c>
      <c r="D52" s="214" t="s">
        <v>267</v>
      </c>
      <c r="E52" s="215">
        <v>1.0049999999999999</v>
      </c>
      <c r="F52" s="216">
        <v>32.57</v>
      </c>
      <c r="G52" s="216">
        <v>32.729999999999997</v>
      </c>
    </row>
    <row r="53" spans="1:7" ht="26.4" x14ac:dyDescent="0.3">
      <c r="A53" s="213" t="s">
        <v>316</v>
      </c>
      <c r="B53" s="212" t="s">
        <v>251</v>
      </c>
      <c r="C53" s="212" t="s">
        <v>317</v>
      </c>
      <c r="D53" s="214" t="s">
        <v>300</v>
      </c>
      <c r="E53" s="215">
        <v>6.6E-3</v>
      </c>
      <c r="F53" s="216">
        <v>95</v>
      </c>
      <c r="G53" s="216">
        <v>0.62</v>
      </c>
    </row>
    <row r="54" spans="1:7" x14ac:dyDescent="0.3">
      <c r="A54" s="219"/>
      <c r="B54" s="219"/>
      <c r="C54" s="219"/>
      <c r="D54" s="219" t="s">
        <v>270</v>
      </c>
      <c r="E54" s="217">
        <v>0</v>
      </c>
      <c r="F54" s="219" t="s">
        <v>271</v>
      </c>
      <c r="G54" s="217">
        <v>8.4700000000000006</v>
      </c>
    </row>
    <row r="55" spans="1:7" ht="15" customHeight="1" thickBot="1" x14ac:dyDescent="0.35">
      <c r="A55" s="219"/>
      <c r="B55" s="219"/>
      <c r="C55" s="219"/>
      <c r="D55" s="219"/>
      <c r="E55" s="322" t="s">
        <v>272</v>
      </c>
      <c r="F55" s="322"/>
      <c r="G55" s="217">
        <v>56.13</v>
      </c>
    </row>
    <row r="56" spans="1:7" ht="15" thickTop="1" x14ac:dyDescent="0.3">
      <c r="A56" s="218"/>
      <c r="B56" s="218"/>
      <c r="C56" s="218"/>
      <c r="D56" s="218"/>
      <c r="E56" s="218"/>
      <c r="F56" s="218"/>
      <c r="G56" s="218"/>
    </row>
    <row r="57" spans="1:7" x14ac:dyDescent="0.3">
      <c r="A57" s="205" t="s">
        <v>244</v>
      </c>
      <c r="B57" s="204" t="s">
        <v>245</v>
      </c>
      <c r="C57" s="204" t="s">
        <v>246</v>
      </c>
      <c r="D57" s="206" t="s">
        <v>247</v>
      </c>
      <c r="E57" s="205" t="s">
        <v>248</v>
      </c>
      <c r="F57" s="205" t="s">
        <v>249</v>
      </c>
      <c r="G57" s="205" t="s">
        <v>157</v>
      </c>
    </row>
    <row r="58" spans="1:7" s="119" customFormat="1" ht="26.4" x14ac:dyDescent="0.3">
      <c r="A58" s="208" t="s">
        <v>318</v>
      </c>
      <c r="B58" s="207" t="s">
        <v>274</v>
      </c>
      <c r="C58" s="207" t="s">
        <v>194</v>
      </c>
      <c r="D58" s="209" t="s">
        <v>54</v>
      </c>
      <c r="E58" s="210">
        <v>1</v>
      </c>
      <c r="F58" s="211">
        <v>22.68</v>
      </c>
      <c r="G58" s="211">
        <v>22.68</v>
      </c>
    </row>
    <row r="59" spans="1:7" x14ac:dyDescent="0.3">
      <c r="A59" s="213" t="s">
        <v>258</v>
      </c>
      <c r="B59" s="212" t="s">
        <v>251</v>
      </c>
      <c r="C59" s="212" t="s">
        <v>259</v>
      </c>
      <c r="D59" s="214" t="s">
        <v>255</v>
      </c>
      <c r="E59" s="215">
        <v>0.2326</v>
      </c>
      <c r="F59" s="216">
        <v>21.71</v>
      </c>
      <c r="G59" s="216">
        <v>5.04</v>
      </c>
    </row>
    <row r="60" spans="1:7" x14ac:dyDescent="0.3">
      <c r="A60" s="213" t="s">
        <v>310</v>
      </c>
      <c r="B60" s="212" t="s">
        <v>251</v>
      </c>
      <c r="C60" s="212" t="s">
        <v>311</v>
      </c>
      <c r="D60" s="214" t="s">
        <v>255</v>
      </c>
      <c r="E60" s="215">
        <v>0.2326</v>
      </c>
      <c r="F60" s="216">
        <v>27.39</v>
      </c>
      <c r="G60" s="216">
        <v>6.37</v>
      </c>
    </row>
    <row r="61" spans="1:7" s="119" customFormat="1" ht="39.6" x14ac:dyDescent="0.3">
      <c r="A61" s="213" t="s">
        <v>319</v>
      </c>
      <c r="B61" s="212" t="s">
        <v>251</v>
      </c>
      <c r="C61" s="212" t="s">
        <v>320</v>
      </c>
      <c r="D61" s="214" t="s">
        <v>300</v>
      </c>
      <c r="E61" s="215">
        <v>1.4999999999999999E-2</v>
      </c>
      <c r="F61" s="216">
        <v>550</v>
      </c>
      <c r="G61" s="216">
        <v>8.25</v>
      </c>
    </row>
    <row r="62" spans="1:7" ht="26.4" x14ac:dyDescent="0.3">
      <c r="A62" s="213" t="s">
        <v>321</v>
      </c>
      <c r="B62" s="212" t="s">
        <v>251</v>
      </c>
      <c r="C62" s="212" t="s">
        <v>322</v>
      </c>
      <c r="D62" s="214" t="s">
        <v>267</v>
      </c>
      <c r="E62" s="215">
        <v>0.2</v>
      </c>
      <c r="F62" s="216">
        <v>3.52</v>
      </c>
      <c r="G62" s="216">
        <v>0.7</v>
      </c>
    </row>
    <row r="63" spans="1:7" ht="26.4" x14ac:dyDescent="0.3">
      <c r="A63" s="213" t="s">
        <v>323</v>
      </c>
      <c r="B63" s="212" t="s">
        <v>251</v>
      </c>
      <c r="C63" s="212" t="s">
        <v>324</v>
      </c>
      <c r="D63" s="214" t="s">
        <v>267</v>
      </c>
      <c r="E63" s="215">
        <v>8.3299999999999999E-2</v>
      </c>
      <c r="F63" s="216">
        <v>16.670000000000002</v>
      </c>
      <c r="G63" s="216">
        <v>1.38</v>
      </c>
    </row>
    <row r="64" spans="1:7" ht="26.4" x14ac:dyDescent="0.3">
      <c r="A64" s="213" t="s">
        <v>316</v>
      </c>
      <c r="B64" s="212" t="s">
        <v>251</v>
      </c>
      <c r="C64" s="212" t="s">
        <v>317</v>
      </c>
      <c r="D64" s="214" t="s">
        <v>300</v>
      </c>
      <c r="E64" s="215">
        <v>9.9000000000000008E-3</v>
      </c>
      <c r="F64" s="216">
        <v>95</v>
      </c>
      <c r="G64" s="216">
        <v>0.94</v>
      </c>
    </row>
    <row r="65" spans="1:7" x14ac:dyDescent="0.3">
      <c r="A65" s="219"/>
      <c r="B65" s="219"/>
      <c r="C65" s="219"/>
      <c r="D65" s="219" t="s">
        <v>270</v>
      </c>
      <c r="E65" s="217">
        <v>0</v>
      </c>
      <c r="F65" s="219" t="s">
        <v>271</v>
      </c>
      <c r="G65" s="217">
        <v>8.34</v>
      </c>
    </row>
    <row r="66" spans="1:7" ht="15" customHeight="1" thickBot="1" x14ac:dyDescent="0.35">
      <c r="A66" s="219"/>
      <c r="B66" s="219"/>
      <c r="C66" s="219"/>
      <c r="D66" s="219"/>
      <c r="E66" s="322" t="s">
        <v>272</v>
      </c>
      <c r="F66" s="322"/>
      <c r="G66" s="217">
        <v>27.66</v>
      </c>
    </row>
    <row r="67" spans="1:7" ht="15" thickTop="1" x14ac:dyDescent="0.3">
      <c r="A67" s="218"/>
      <c r="B67" s="218"/>
      <c r="C67" s="218"/>
      <c r="D67" s="218"/>
      <c r="E67" s="218"/>
      <c r="F67" s="218"/>
      <c r="G67" s="218"/>
    </row>
    <row r="68" spans="1:7" x14ac:dyDescent="0.3">
      <c r="A68" s="205" t="s">
        <v>244</v>
      </c>
      <c r="B68" s="204" t="s">
        <v>245</v>
      </c>
      <c r="C68" s="204" t="s">
        <v>246</v>
      </c>
      <c r="D68" s="206" t="s">
        <v>247</v>
      </c>
      <c r="E68" s="205" t="s">
        <v>248</v>
      </c>
      <c r="F68" s="205" t="s">
        <v>249</v>
      </c>
      <c r="G68" s="205" t="s">
        <v>157</v>
      </c>
    </row>
    <row r="69" spans="1:7" s="119" customFormat="1" ht="39.6" x14ac:dyDescent="0.3">
      <c r="A69" s="208" t="s">
        <v>325</v>
      </c>
      <c r="B69" s="207" t="s">
        <v>251</v>
      </c>
      <c r="C69" s="207" t="s">
        <v>326</v>
      </c>
      <c r="D69" s="209" t="s">
        <v>327</v>
      </c>
      <c r="E69" s="210">
        <v>1</v>
      </c>
      <c r="F69" s="211">
        <v>1.63</v>
      </c>
      <c r="G69" s="211">
        <v>1.63</v>
      </c>
    </row>
    <row r="70" spans="1:7" s="119" customFormat="1" ht="52.8" x14ac:dyDescent="0.3">
      <c r="A70" s="213" t="s">
        <v>330</v>
      </c>
      <c r="B70" s="212" t="s">
        <v>251</v>
      </c>
      <c r="C70" s="212" t="s">
        <v>331</v>
      </c>
      <c r="D70" s="214" t="s">
        <v>286</v>
      </c>
      <c r="E70" s="215">
        <v>2.3999999999999998E-3</v>
      </c>
      <c r="F70" s="216">
        <v>70.709999999999994</v>
      </c>
      <c r="G70" s="216">
        <v>0.16</v>
      </c>
    </row>
    <row r="71" spans="1:7" s="119" customFormat="1" ht="52.8" x14ac:dyDescent="0.3">
      <c r="A71" s="213" t="s">
        <v>328</v>
      </c>
      <c r="B71" s="212" t="s">
        <v>251</v>
      </c>
      <c r="C71" s="212" t="s">
        <v>329</v>
      </c>
      <c r="D71" s="214" t="s">
        <v>291</v>
      </c>
      <c r="E71" s="215">
        <v>5.5999999999999999E-3</v>
      </c>
      <c r="F71" s="216">
        <v>264.13</v>
      </c>
      <c r="G71" s="216">
        <v>1.47</v>
      </c>
    </row>
    <row r="72" spans="1:7" x14ac:dyDescent="0.3">
      <c r="A72" s="219"/>
      <c r="B72" s="219"/>
      <c r="C72" s="219"/>
      <c r="D72" s="219" t="s">
        <v>270</v>
      </c>
      <c r="E72" s="217">
        <v>0</v>
      </c>
      <c r="F72" s="219" t="s">
        <v>271</v>
      </c>
      <c r="G72" s="217">
        <v>0.16</v>
      </c>
    </row>
    <row r="73" spans="1:7" ht="15" customHeight="1" thickBot="1" x14ac:dyDescent="0.35">
      <c r="A73" s="219"/>
      <c r="B73" s="219"/>
      <c r="C73" s="219"/>
      <c r="D73" s="219"/>
      <c r="E73" s="322" t="s">
        <v>272</v>
      </c>
      <c r="F73" s="322"/>
      <c r="G73" s="217">
        <v>1.98</v>
      </c>
    </row>
    <row r="74" spans="1:7" ht="15" thickTop="1" x14ac:dyDescent="0.3">
      <c r="A74" s="218"/>
      <c r="B74" s="218"/>
      <c r="C74" s="218"/>
      <c r="D74" s="218"/>
      <c r="E74" s="218"/>
      <c r="F74" s="218"/>
      <c r="G74" s="218"/>
    </row>
    <row r="75" spans="1:7" x14ac:dyDescent="0.3">
      <c r="A75" s="205" t="s">
        <v>244</v>
      </c>
      <c r="B75" s="204" t="s">
        <v>245</v>
      </c>
      <c r="C75" s="204" t="s">
        <v>246</v>
      </c>
      <c r="D75" s="206" t="s">
        <v>247</v>
      </c>
      <c r="E75" s="205" t="s">
        <v>248</v>
      </c>
      <c r="F75" s="205" t="s">
        <v>249</v>
      </c>
      <c r="G75" s="205" t="s">
        <v>157</v>
      </c>
    </row>
    <row r="76" spans="1:7" s="119" customFormat="1" ht="39.6" x14ac:dyDescent="0.3">
      <c r="A76" s="208" t="s">
        <v>332</v>
      </c>
      <c r="B76" s="207" t="s">
        <v>251</v>
      </c>
      <c r="C76" s="207" t="s">
        <v>333</v>
      </c>
      <c r="D76" s="209" t="s">
        <v>327</v>
      </c>
      <c r="E76" s="210">
        <v>1</v>
      </c>
      <c r="F76" s="211">
        <v>0.65</v>
      </c>
      <c r="G76" s="211">
        <v>0.65</v>
      </c>
    </row>
    <row r="77" spans="1:7" s="119" customFormat="1" ht="52.8" x14ac:dyDescent="0.3">
      <c r="A77" s="213" t="s">
        <v>328</v>
      </c>
      <c r="B77" s="212" t="s">
        <v>251</v>
      </c>
      <c r="C77" s="212" t="s">
        <v>329</v>
      </c>
      <c r="D77" s="214" t="s">
        <v>291</v>
      </c>
      <c r="E77" s="215">
        <v>2.2000000000000001E-3</v>
      </c>
      <c r="F77" s="216">
        <v>264.13</v>
      </c>
      <c r="G77" s="216">
        <v>0.57999999999999996</v>
      </c>
    </row>
    <row r="78" spans="1:7" s="119" customFormat="1" ht="52.8" x14ac:dyDescent="0.3">
      <c r="A78" s="213" t="s">
        <v>330</v>
      </c>
      <c r="B78" s="212" t="s">
        <v>251</v>
      </c>
      <c r="C78" s="212" t="s">
        <v>331</v>
      </c>
      <c r="D78" s="214" t="s">
        <v>286</v>
      </c>
      <c r="E78" s="215">
        <v>1E-3</v>
      </c>
      <c r="F78" s="216">
        <v>70.709999999999994</v>
      </c>
      <c r="G78" s="216">
        <v>7.0000000000000007E-2</v>
      </c>
    </row>
    <row r="79" spans="1:7" x14ac:dyDescent="0.3">
      <c r="A79" s="219"/>
      <c r="B79" s="219"/>
      <c r="C79" s="219"/>
      <c r="D79" s="219" t="s">
        <v>270</v>
      </c>
      <c r="E79" s="217">
        <v>0</v>
      </c>
      <c r="F79" s="219" t="s">
        <v>271</v>
      </c>
      <c r="G79" s="217">
        <v>0.06</v>
      </c>
    </row>
    <row r="80" spans="1:7" ht="15" customHeight="1" thickBot="1" x14ac:dyDescent="0.35">
      <c r="A80" s="219"/>
      <c r="B80" s="219"/>
      <c r="C80" s="219"/>
      <c r="D80" s="219"/>
      <c r="E80" s="322" t="s">
        <v>272</v>
      </c>
      <c r="F80" s="322"/>
      <c r="G80" s="217">
        <v>0.79</v>
      </c>
    </row>
    <row r="81" spans="1:7" ht="15" thickTop="1" x14ac:dyDescent="0.3">
      <c r="A81" s="218"/>
      <c r="B81" s="218"/>
      <c r="C81" s="218"/>
      <c r="D81" s="218"/>
      <c r="E81" s="218"/>
      <c r="F81" s="218"/>
      <c r="G81" s="218"/>
    </row>
    <row r="82" spans="1:7" x14ac:dyDescent="0.3">
      <c r="A82" s="205" t="s">
        <v>244</v>
      </c>
      <c r="B82" s="204" t="s">
        <v>245</v>
      </c>
      <c r="C82" s="204" t="s">
        <v>246</v>
      </c>
      <c r="D82" s="206" t="s">
        <v>247</v>
      </c>
      <c r="E82" s="205" t="s">
        <v>248</v>
      </c>
      <c r="F82" s="205" t="s">
        <v>249</v>
      </c>
      <c r="G82" s="205" t="s">
        <v>157</v>
      </c>
    </row>
    <row r="83" spans="1:7" s="119" customFormat="1" ht="26.4" x14ac:dyDescent="0.3">
      <c r="A83" s="208" t="s">
        <v>334</v>
      </c>
      <c r="B83" s="207" t="s">
        <v>274</v>
      </c>
      <c r="C83" s="207" t="s">
        <v>335</v>
      </c>
      <c r="D83" s="209" t="s">
        <v>19</v>
      </c>
      <c r="E83" s="210">
        <v>1</v>
      </c>
      <c r="F83" s="211">
        <v>976.19</v>
      </c>
      <c r="G83" s="211">
        <v>976.19</v>
      </c>
    </row>
    <row r="84" spans="1:7" ht="26.4" x14ac:dyDescent="0.3">
      <c r="A84" s="213" t="s">
        <v>336</v>
      </c>
      <c r="B84" s="212" t="s">
        <v>251</v>
      </c>
      <c r="C84" s="212" t="s">
        <v>337</v>
      </c>
      <c r="D84" s="214" t="s">
        <v>255</v>
      </c>
      <c r="E84" s="215">
        <v>0.25269999999999998</v>
      </c>
      <c r="F84" s="216">
        <v>22.39</v>
      </c>
      <c r="G84" s="216">
        <v>5.65</v>
      </c>
    </row>
    <row r="85" spans="1:7" x14ac:dyDescent="0.3">
      <c r="A85" s="213" t="s">
        <v>258</v>
      </c>
      <c r="B85" s="212" t="s">
        <v>251</v>
      </c>
      <c r="C85" s="212" t="s">
        <v>259</v>
      </c>
      <c r="D85" s="214" t="s">
        <v>255</v>
      </c>
      <c r="E85" s="215">
        <v>0.75819999999999999</v>
      </c>
      <c r="F85" s="216">
        <v>21.71</v>
      </c>
      <c r="G85" s="216">
        <v>16.46</v>
      </c>
    </row>
    <row r="86" spans="1:7" ht="26.4" x14ac:dyDescent="0.3">
      <c r="A86" s="213" t="s">
        <v>338</v>
      </c>
      <c r="B86" s="212" t="s">
        <v>251</v>
      </c>
      <c r="C86" s="212" t="s">
        <v>339</v>
      </c>
      <c r="D86" s="214" t="s">
        <v>19</v>
      </c>
      <c r="E86" s="215">
        <v>1</v>
      </c>
      <c r="F86" s="216">
        <v>924</v>
      </c>
      <c r="G86" s="216">
        <v>924</v>
      </c>
    </row>
    <row r="87" spans="1:7" ht="39.6" customHeight="1" x14ac:dyDescent="0.3">
      <c r="A87" s="213" t="s">
        <v>340</v>
      </c>
      <c r="B87" s="212" t="s">
        <v>251</v>
      </c>
      <c r="C87" s="212" t="s">
        <v>341</v>
      </c>
      <c r="D87" s="214" t="s">
        <v>342</v>
      </c>
      <c r="E87" s="215">
        <v>4</v>
      </c>
      <c r="F87" s="216">
        <v>7.52</v>
      </c>
      <c r="G87" s="216">
        <v>30.08</v>
      </c>
    </row>
    <row r="88" spans="1:7" x14ac:dyDescent="0.3">
      <c r="A88" s="219"/>
      <c r="B88" s="219"/>
      <c r="C88" s="219"/>
      <c r="D88" s="219" t="s">
        <v>270</v>
      </c>
      <c r="E88" s="217">
        <v>0</v>
      </c>
      <c r="F88" s="219" t="s">
        <v>271</v>
      </c>
      <c r="G88" s="217">
        <v>15.78</v>
      </c>
    </row>
    <row r="89" spans="1:7" ht="15" customHeight="1" thickBot="1" x14ac:dyDescent="0.35">
      <c r="A89" s="219"/>
      <c r="B89" s="219"/>
      <c r="C89" s="219"/>
      <c r="D89" s="219"/>
      <c r="E89" s="322" t="s">
        <v>272</v>
      </c>
      <c r="F89" s="322"/>
      <c r="G89" s="217">
        <v>1190.56</v>
      </c>
    </row>
    <row r="90" spans="1:7" ht="15" thickTop="1" x14ac:dyDescent="0.3">
      <c r="A90" s="218"/>
      <c r="B90" s="218"/>
      <c r="C90" s="218"/>
      <c r="D90" s="218"/>
      <c r="E90" s="218"/>
      <c r="F90" s="218"/>
      <c r="G90" s="218"/>
    </row>
    <row r="91" spans="1:7" x14ac:dyDescent="0.3">
      <c r="A91" s="205" t="s">
        <v>244</v>
      </c>
      <c r="B91" s="204" t="s">
        <v>245</v>
      </c>
      <c r="C91" s="204" t="s">
        <v>246</v>
      </c>
      <c r="D91" s="206" t="s">
        <v>247</v>
      </c>
      <c r="E91" s="205" t="s">
        <v>248</v>
      </c>
      <c r="F91" s="205" t="s">
        <v>249</v>
      </c>
      <c r="G91" s="205" t="s">
        <v>157</v>
      </c>
    </row>
    <row r="92" spans="1:7" s="119" customFormat="1" ht="26.4" x14ac:dyDescent="0.3">
      <c r="A92" s="208" t="s">
        <v>343</v>
      </c>
      <c r="B92" s="207" t="s">
        <v>274</v>
      </c>
      <c r="C92" s="207" t="s">
        <v>104</v>
      </c>
      <c r="D92" s="209" t="s">
        <v>75</v>
      </c>
      <c r="E92" s="210">
        <v>1</v>
      </c>
      <c r="F92" s="211">
        <v>421.11</v>
      </c>
      <c r="G92" s="211">
        <v>421.11</v>
      </c>
    </row>
    <row r="93" spans="1:7" ht="39.6" x14ac:dyDescent="0.3">
      <c r="A93" s="213" t="s">
        <v>344</v>
      </c>
      <c r="B93" s="212" t="s">
        <v>251</v>
      </c>
      <c r="C93" s="212" t="s">
        <v>345</v>
      </c>
      <c r="D93" s="214" t="s">
        <v>300</v>
      </c>
      <c r="E93" s="215">
        <v>2.3699999999999999E-2</v>
      </c>
      <c r="F93" s="216">
        <v>1018.79</v>
      </c>
      <c r="G93" s="216">
        <v>24.14</v>
      </c>
    </row>
    <row r="94" spans="1:7" x14ac:dyDescent="0.3">
      <c r="A94" s="213" t="s">
        <v>258</v>
      </c>
      <c r="B94" s="212" t="s">
        <v>251</v>
      </c>
      <c r="C94" s="212" t="s">
        <v>259</v>
      </c>
      <c r="D94" s="214" t="s">
        <v>255</v>
      </c>
      <c r="E94" s="215">
        <v>0.64129999999999998</v>
      </c>
      <c r="F94" s="216">
        <v>21.71</v>
      </c>
      <c r="G94" s="216">
        <v>13.92</v>
      </c>
    </row>
    <row r="95" spans="1:7" ht="26.4" x14ac:dyDescent="0.3">
      <c r="A95" s="213" t="s">
        <v>336</v>
      </c>
      <c r="B95" s="212" t="s">
        <v>251</v>
      </c>
      <c r="C95" s="212" t="s">
        <v>337</v>
      </c>
      <c r="D95" s="214" t="s">
        <v>255</v>
      </c>
      <c r="E95" s="215">
        <v>0.21379999999999999</v>
      </c>
      <c r="F95" s="216">
        <v>22.39</v>
      </c>
      <c r="G95" s="216">
        <v>4.78</v>
      </c>
    </row>
    <row r="96" spans="1:7" ht="26.4" x14ac:dyDescent="0.3">
      <c r="A96" s="213" t="s">
        <v>346</v>
      </c>
      <c r="B96" s="212" t="s">
        <v>251</v>
      </c>
      <c r="C96" s="212" t="s">
        <v>347</v>
      </c>
      <c r="D96" s="214" t="s">
        <v>267</v>
      </c>
      <c r="E96" s="215">
        <v>3.3</v>
      </c>
      <c r="F96" s="216">
        <v>114.63</v>
      </c>
      <c r="G96" s="216">
        <v>378.27</v>
      </c>
    </row>
    <row r="97" spans="1:7" x14ac:dyDescent="0.3">
      <c r="A97" s="219"/>
      <c r="B97" s="219"/>
      <c r="C97" s="219"/>
      <c r="D97" s="219" t="s">
        <v>270</v>
      </c>
      <c r="E97" s="217">
        <v>0</v>
      </c>
      <c r="F97" s="219" t="s">
        <v>271</v>
      </c>
      <c r="G97" s="217">
        <v>15.58</v>
      </c>
    </row>
    <row r="98" spans="1:7" ht="14.4" customHeight="1" x14ac:dyDescent="0.3">
      <c r="A98" s="219"/>
      <c r="B98" s="219"/>
      <c r="C98" s="219"/>
      <c r="D98" s="219"/>
      <c r="E98" s="322" t="s">
        <v>272</v>
      </c>
      <c r="F98" s="322"/>
      <c r="G98" s="217">
        <v>513.58000000000004</v>
      </c>
    </row>
    <row r="99" spans="1:7" x14ac:dyDescent="0.3">
      <c r="A99" s="39"/>
      <c r="B99" s="39"/>
      <c r="C99" s="221"/>
      <c r="D99" s="39"/>
      <c r="E99" s="39"/>
      <c r="F99" s="39"/>
      <c r="G99" s="39"/>
    </row>
  </sheetData>
  <mergeCells count="16">
    <mergeCell ref="A1:G1"/>
    <mergeCell ref="E2:F2"/>
    <mergeCell ref="E98:F98"/>
    <mergeCell ref="A2:D2"/>
    <mergeCell ref="A3:D3"/>
    <mergeCell ref="E89:F89"/>
    <mergeCell ref="E66:F66"/>
    <mergeCell ref="E55:F55"/>
    <mergeCell ref="E45:F45"/>
    <mergeCell ref="E16:F16"/>
    <mergeCell ref="A5:G5"/>
    <mergeCell ref="E80:F80"/>
    <mergeCell ref="E73:F73"/>
    <mergeCell ref="E33:F33"/>
    <mergeCell ref="E24:F24"/>
    <mergeCell ref="A4:G4"/>
  </mergeCells>
  <printOptions horizontalCentered="1"/>
  <pageMargins left="1.1023622047244095" right="0.51181102362204722" top="1.5748031496062993" bottom="0.78740157480314965" header="0.31496062992125984" footer="0.31496062992125984"/>
  <pageSetup paperSize="9" scale="55" fitToHeight="0" orientation="portrait" r:id="rId1"/>
  <headerFooter>
    <oddHeader>&amp;C&amp;G</oddHeader>
  </headerFooter>
  <rowBreaks count="2" manualBreakCount="2">
    <brk id="45" max="6" man="1"/>
    <brk id="80" max="6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9BC0-6DF1-4032-82E4-07B0BB2EAD7F}">
  <sheetPr>
    <pageSetUpPr fitToPage="1"/>
  </sheetPr>
  <dimension ref="A1:Y100"/>
  <sheetViews>
    <sheetView view="pageBreakPreview" topLeftCell="A56" zoomScaleNormal="100" zoomScaleSheetLayoutView="100" workbookViewId="0">
      <selection activeCell="J6" sqref="J6"/>
    </sheetView>
  </sheetViews>
  <sheetFormatPr defaultRowHeight="14.4" x14ac:dyDescent="0.3"/>
  <cols>
    <col min="1" max="1" width="10.77734375" customWidth="1"/>
    <col min="2" max="2" width="17.77734375" customWidth="1"/>
    <col min="3" max="3" width="50.77734375" customWidth="1"/>
    <col min="4" max="4" width="14.77734375" customWidth="1"/>
    <col min="5" max="5" width="10.77734375" customWidth="1"/>
    <col min="6" max="8" width="13.77734375" customWidth="1"/>
  </cols>
  <sheetData>
    <row r="1" spans="1:25" ht="25.05" customHeight="1" x14ac:dyDescent="0.3">
      <c r="A1" s="307" t="s">
        <v>241</v>
      </c>
      <c r="B1" s="308"/>
      <c r="C1" s="308"/>
      <c r="D1" s="308"/>
      <c r="E1" s="308"/>
      <c r="F1" s="308"/>
      <c r="G1" s="308"/>
      <c r="H1" s="308"/>
    </row>
    <row r="2" spans="1:25" ht="19.95" customHeight="1" x14ac:dyDescent="0.3">
      <c r="A2" s="309" t="str">
        <f>RES!A2</f>
        <v>PAVIMENTAÇÃO DE VIAS PÚBLICAS NO MUNÍCIO DE TERESINA - PI</v>
      </c>
      <c r="B2" s="309"/>
      <c r="C2" s="309"/>
      <c r="D2" s="306" t="str">
        <f>RES!C2</f>
        <v>FONTE: SINAPI 12/2025</v>
      </c>
      <c r="E2" s="306"/>
      <c r="F2" s="306" t="str">
        <f>RES!E2</f>
        <v>SEM DESONERAÇÃO
 BDI: 21,96%</v>
      </c>
      <c r="G2" s="306"/>
      <c r="H2" s="306"/>
    </row>
    <row r="3" spans="1:25" ht="19.95" customHeight="1" x14ac:dyDescent="0.3">
      <c r="A3" s="321" t="str">
        <f>RES!A3</f>
        <v>LOCALIDADE: DIVERSAS</v>
      </c>
      <c r="B3" s="321"/>
      <c r="C3" s="321"/>
      <c r="D3" s="101" t="str">
        <f>RES!E3</f>
        <v>ÁREA TOTAL (m²):</v>
      </c>
      <c r="E3" s="123">
        <f>RES!F3</f>
        <v>3853</v>
      </c>
      <c r="F3" s="306" t="str">
        <f>RES!F2</f>
        <v>HORISTA: 113,33%
MENSALISTA: 71,12%</v>
      </c>
      <c r="G3" s="306"/>
      <c r="H3" s="306"/>
    </row>
    <row r="4" spans="1:25" ht="15" customHeight="1" x14ac:dyDescent="0.3">
      <c r="A4" s="303"/>
      <c r="B4" s="304"/>
      <c r="C4" s="304"/>
      <c r="D4" s="304"/>
      <c r="E4" s="304"/>
      <c r="F4" s="304"/>
      <c r="G4" s="304"/>
      <c r="H4" s="305"/>
    </row>
    <row r="5" spans="1:25" s="119" customFormat="1" ht="15" customHeight="1" x14ac:dyDescent="0.3">
      <c r="A5" s="349" t="s">
        <v>198</v>
      </c>
      <c r="B5" s="350"/>
      <c r="C5" s="125"/>
      <c r="D5" s="125"/>
      <c r="E5" s="125"/>
      <c r="F5" s="125"/>
      <c r="G5" s="125"/>
      <c r="H5" s="126"/>
      <c r="I5" s="351"/>
      <c r="J5" s="352"/>
      <c r="K5" s="352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119" customFormat="1" ht="15" customHeight="1" x14ac:dyDescent="0.3">
      <c r="A6" s="127"/>
      <c r="B6" s="128"/>
      <c r="C6" s="125"/>
      <c r="D6" s="125"/>
      <c r="E6" s="125"/>
      <c r="F6" s="125"/>
      <c r="G6" s="125"/>
      <c r="H6" s="126"/>
      <c r="I6" s="351"/>
      <c r="J6" s="352"/>
      <c r="K6" s="352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119" customFormat="1" ht="15" customHeight="1" x14ac:dyDescent="0.3">
      <c r="A7" s="129"/>
      <c r="B7" s="364" t="s">
        <v>13</v>
      </c>
      <c r="C7" s="365"/>
      <c r="D7" s="132">
        <f>IF(C7="x",1,0)</f>
        <v>0</v>
      </c>
      <c r="E7" s="133"/>
      <c r="F7" s="134"/>
      <c r="G7" s="197"/>
      <c r="H7" s="135">
        <f>IF(F7="x",1,0)</f>
        <v>0</v>
      </c>
      <c r="I7" s="351"/>
      <c r="J7" s="352"/>
      <c r="K7" s="352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119" customFormat="1" ht="15" customHeight="1" x14ac:dyDescent="0.3">
      <c r="A8" s="129"/>
      <c r="B8" s="364" t="s">
        <v>12</v>
      </c>
      <c r="C8" s="365" t="s">
        <v>199</v>
      </c>
      <c r="D8" s="132">
        <f>IF(C8="x",1,0)</f>
        <v>1</v>
      </c>
      <c r="E8" s="136"/>
      <c r="F8" s="134"/>
      <c r="G8" s="197"/>
      <c r="H8" s="135">
        <f>IF(F8="x",1,0)</f>
        <v>0</v>
      </c>
      <c r="I8" s="351"/>
      <c r="J8" s="352"/>
      <c r="K8" s="352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119" customFormat="1" ht="15" customHeight="1" thickBot="1" x14ac:dyDescent="0.35">
      <c r="A9" s="137"/>
      <c r="B9" s="366" t="str">
        <f>IF(D9&gt;1,"SELECIONE SOMENTE UM TIPO DE BDI",IF(D9=0,"SELECIONE UM TIPO DE BDI",""))</f>
        <v/>
      </c>
      <c r="C9" s="366"/>
      <c r="D9" s="138">
        <f>SUM(D7:D8)</f>
        <v>1</v>
      </c>
      <c r="E9" s="327"/>
      <c r="F9" s="327"/>
      <c r="G9" s="327"/>
      <c r="H9" s="139">
        <f>SUM(H7:H8)</f>
        <v>0</v>
      </c>
      <c r="I9" s="351"/>
      <c r="J9" s="352"/>
      <c r="K9" s="352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119" customFormat="1" ht="15" customHeight="1" thickBot="1" x14ac:dyDescent="0.35">
      <c r="A10" s="125"/>
      <c r="B10" s="367"/>
      <c r="C10" s="367"/>
      <c r="D10" s="125"/>
      <c r="E10" s="125"/>
      <c r="F10" s="125"/>
      <c r="G10" s="140"/>
      <c r="H10" s="140"/>
      <c r="I10" s="351"/>
      <c r="J10" s="352"/>
      <c r="K10" s="352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119" customFormat="1" ht="25.05" customHeight="1" x14ac:dyDescent="0.3">
      <c r="A11" s="328"/>
      <c r="B11" s="353"/>
      <c r="C11" s="147"/>
      <c r="D11" s="147"/>
      <c r="E11" s="147"/>
      <c r="F11" s="147"/>
      <c r="G11" s="141"/>
      <c r="H11" s="142"/>
      <c r="I11" s="351">
        <f>IF(H18&lt;&gt;0,VLOOKUP("x",G12:I17,3,FALSE),0)</f>
        <v>2</v>
      </c>
      <c r="J11" s="352"/>
      <c r="K11" s="352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119" customFormat="1" ht="15" customHeight="1" x14ac:dyDescent="0.3">
      <c r="A12" s="143"/>
      <c r="B12" s="125"/>
      <c r="C12" s="125"/>
      <c r="D12" s="125"/>
      <c r="E12" s="125"/>
      <c r="F12" s="144" t="s">
        <v>200</v>
      </c>
      <c r="G12" s="131"/>
      <c r="H12" s="135">
        <f t="shared" ref="H12:H17" si="0">IF(G12="x",1,0)</f>
        <v>0</v>
      </c>
      <c r="I12" s="351">
        <v>1</v>
      </c>
      <c r="J12" s="352"/>
      <c r="K12" s="35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119" customFormat="1" ht="15" customHeight="1" x14ac:dyDescent="0.3">
      <c r="A13" s="143"/>
      <c r="B13" s="125"/>
      <c r="C13" s="125"/>
      <c r="D13" s="125"/>
      <c r="E13" s="125"/>
      <c r="F13" s="144" t="s">
        <v>201</v>
      </c>
      <c r="G13" s="131" t="s">
        <v>199</v>
      </c>
      <c r="H13" s="135">
        <f t="shared" si="0"/>
        <v>1</v>
      </c>
      <c r="I13" s="351">
        <v>2</v>
      </c>
      <c r="J13" s="352"/>
      <c r="K13" s="352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119" customFormat="1" ht="25.05" customHeight="1" x14ac:dyDescent="0.3">
      <c r="A14" s="143"/>
      <c r="B14" s="125"/>
      <c r="C14" s="125"/>
      <c r="D14" s="125"/>
      <c r="E14" s="125"/>
      <c r="F14" s="144" t="s">
        <v>202</v>
      </c>
      <c r="G14" s="131"/>
      <c r="H14" s="135">
        <f t="shared" si="0"/>
        <v>0</v>
      </c>
      <c r="I14" s="351">
        <v>3</v>
      </c>
      <c r="J14" s="352"/>
      <c r="K14" s="352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119" customFormat="1" ht="25.05" customHeight="1" x14ac:dyDescent="0.3">
      <c r="A15" s="143"/>
      <c r="B15" s="125"/>
      <c r="C15" s="125"/>
      <c r="D15" s="125"/>
      <c r="E15" s="125"/>
      <c r="F15" s="144" t="s">
        <v>203</v>
      </c>
      <c r="G15" s="131"/>
      <c r="H15" s="135">
        <f t="shared" si="0"/>
        <v>0</v>
      </c>
      <c r="I15" s="351">
        <v>4</v>
      </c>
      <c r="J15" s="352"/>
      <c r="K15" s="352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119" customFormat="1" ht="15" customHeight="1" x14ac:dyDescent="0.3">
      <c r="A16" s="143"/>
      <c r="B16" s="125"/>
      <c r="C16" s="125"/>
      <c r="D16" s="125"/>
      <c r="E16" s="125"/>
      <c r="F16" s="144" t="s">
        <v>204</v>
      </c>
      <c r="G16" s="131"/>
      <c r="H16" s="135">
        <f t="shared" si="0"/>
        <v>0</v>
      </c>
      <c r="I16" s="351">
        <v>5</v>
      </c>
      <c r="J16" s="352"/>
      <c r="K16" s="352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119" customFormat="1" ht="15" customHeight="1" x14ac:dyDescent="0.3">
      <c r="A17" s="143"/>
      <c r="B17" s="330" t="str">
        <f>IF(AND(C7="x",G17="x"),"NÃO HÁ DESONERAÇÃO PARA FORNECIMENTO DE MATERIAIS","")</f>
        <v/>
      </c>
      <c r="C17" s="330"/>
      <c r="D17" s="330"/>
      <c r="E17" s="125"/>
      <c r="F17" s="144" t="s">
        <v>205</v>
      </c>
      <c r="G17" s="131"/>
      <c r="H17" s="135">
        <f t="shared" si="0"/>
        <v>0</v>
      </c>
      <c r="I17" s="351">
        <v>6</v>
      </c>
      <c r="J17" s="352"/>
      <c r="K17" s="352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119" customFormat="1" ht="25.05" customHeight="1" thickBot="1" x14ac:dyDescent="0.35">
      <c r="A18" s="137"/>
      <c r="B18" s="368" t="str">
        <f>IF(H18&gt;1,"SELECIONE SOMENTE UM TIPO DE SERVIÇO",IF(H18=0,"SELECIONE UM TIPO DE SERVIÇO",""))</f>
        <v/>
      </c>
      <c r="C18" s="368"/>
      <c r="D18" s="369"/>
      <c r="E18" s="369"/>
      <c r="F18" s="370"/>
      <c r="G18" s="371"/>
      <c r="H18" s="139">
        <f>SUM(H12:H17)</f>
        <v>1</v>
      </c>
      <c r="I18" s="351"/>
      <c r="J18" s="352"/>
      <c r="K18" s="352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19" customFormat="1" ht="25.05" customHeight="1" thickBot="1" x14ac:dyDescent="0.35">
      <c r="A19" s="125"/>
      <c r="B19" s="367"/>
      <c r="C19" s="367"/>
      <c r="D19" s="367"/>
      <c r="E19" s="372"/>
      <c r="F19" s="372"/>
      <c r="G19" s="373"/>
      <c r="H19" s="197"/>
      <c r="I19" s="351"/>
      <c r="J19" s="352"/>
      <c r="K19" s="352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119" customFormat="1" ht="15" customHeight="1" x14ac:dyDescent="0.3">
      <c r="A20" s="328" t="s">
        <v>206</v>
      </c>
      <c r="B20" s="329"/>
      <c r="C20" s="147"/>
      <c r="D20" s="147"/>
      <c r="E20" s="338"/>
      <c r="F20" s="338"/>
      <c r="G20" s="148" t="s">
        <v>28</v>
      </c>
      <c r="H20" s="149"/>
      <c r="I20" s="351"/>
      <c r="J20" s="352"/>
      <c r="K20" s="352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119" customFormat="1" ht="15" customHeight="1" x14ac:dyDescent="0.3">
      <c r="A21" s="150"/>
      <c r="B21" s="146"/>
      <c r="C21" s="146"/>
      <c r="D21" s="146"/>
      <c r="E21" s="146"/>
      <c r="F21" s="146"/>
      <c r="G21" s="197"/>
      <c r="H21" s="151"/>
      <c r="I21" s="351"/>
      <c r="J21" s="352" t="s">
        <v>349</v>
      </c>
      <c r="K21" s="352" t="s">
        <v>350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119" customFormat="1" ht="25.05" customHeight="1" x14ac:dyDescent="0.3">
      <c r="A22" s="150"/>
      <c r="B22" s="152" t="s">
        <v>207</v>
      </c>
      <c r="C22" s="153"/>
      <c r="D22" s="153" t="str">
        <f>IF(AND(G22&gt;=J22,G22&lt;=K22),"","FORA DO LIMITE")</f>
        <v/>
      </c>
      <c r="E22" s="153"/>
      <c r="F22" s="154" t="s">
        <v>208</v>
      </c>
      <c r="G22" s="155">
        <v>3.7999999999999999E-2</v>
      </c>
      <c r="H22" s="151"/>
      <c r="I22" s="351"/>
      <c r="J22" s="352">
        <f>VLOOKUP($I$13,[2]Referências!A10:D16,2,FALSE)</f>
        <v>3.7999999999999999E-2</v>
      </c>
      <c r="K22" s="352">
        <f>VLOOKUP($I$13,[2]Referências!A10:D16,4,FALSE)</f>
        <v>4.6699999999999998E-2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119" customFormat="1" ht="25.05" customHeight="1" x14ac:dyDescent="0.3">
      <c r="A23" s="150"/>
      <c r="B23" s="156"/>
      <c r="C23" s="146"/>
      <c r="D23" s="146"/>
      <c r="E23" s="146"/>
      <c r="F23" s="144"/>
      <c r="G23" s="157"/>
      <c r="H23" s="151"/>
      <c r="I23" s="351"/>
      <c r="J23" s="352"/>
      <c r="K23" s="352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119" customFormat="1" ht="15" customHeight="1" x14ac:dyDescent="0.3">
      <c r="A24" s="150"/>
      <c r="B24" s="152" t="s">
        <v>209</v>
      </c>
      <c r="C24" s="153"/>
      <c r="D24" s="153" t="str">
        <f>IF(AND(G24&gt;=J24,G24&lt;=K24),"","FORA DO LIMITE")</f>
        <v/>
      </c>
      <c r="E24" s="153"/>
      <c r="F24" s="154" t="s">
        <v>210</v>
      </c>
      <c r="G24" s="158">
        <v>1.0200000000000001E-2</v>
      </c>
      <c r="H24" s="159"/>
      <c r="I24" s="351"/>
      <c r="J24" s="352">
        <f>VLOOKUP($I$13,[2]Referências!A37:D43,2,FALSE)</f>
        <v>1.0200000000000001E-2</v>
      </c>
      <c r="K24" s="352">
        <f>VLOOKUP($I$13,[2]Referências!A37:D43,4,FALSE)</f>
        <v>1.21E-2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119" customFormat="1" ht="15" customHeight="1" x14ac:dyDescent="0.3">
      <c r="A25" s="150"/>
      <c r="B25" s="156"/>
      <c r="C25" s="146"/>
      <c r="D25" s="146"/>
      <c r="E25" s="146"/>
      <c r="F25" s="144"/>
      <c r="G25" s="160"/>
      <c r="H25" s="159"/>
      <c r="I25" s="351"/>
      <c r="J25" s="352"/>
      <c r="K25" s="352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119" customFormat="1" ht="15" customHeight="1" x14ac:dyDescent="0.3">
      <c r="A26" s="150"/>
      <c r="B26" s="161" t="s">
        <v>211</v>
      </c>
      <c r="C26" s="162"/>
      <c r="D26" s="162"/>
      <c r="E26" s="162"/>
      <c r="F26" s="163"/>
      <c r="G26" s="164"/>
      <c r="H26" s="165"/>
      <c r="I26" s="351"/>
      <c r="J26" s="352"/>
      <c r="K26" s="352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119" customFormat="1" ht="15" customHeight="1" x14ac:dyDescent="0.3">
      <c r="A27" s="150"/>
      <c r="B27" s="175"/>
      <c r="C27" s="146"/>
      <c r="D27" s="146" t="str">
        <f>IF(AND(G27&gt;=J27,G27&lt;=K27),"","FORA DO LIMITE")</f>
        <v/>
      </c>
      <c r="E27" s="146"/>
      <c r="F27" s="144" t="s">
        <v>212</v>
      </c>
      <c r="G27" s="166">
        <v>3.2000000000000002E-3</v>
      </c>
      <c r="H27" s="167"/>
      <c r="I27" s="351"/>
      <c r="J27" s="352">
        <f>VLOOKUP($I$13,[2]Referências!A19:D25,2,FALSE)</f>
        <v>3.2000000000000002E-3</v>
      </c>
      <c r="K27" s="352">
        <f>VLOOKUP($I$13,[2]Referências!A19:D25,4,FALSE)</f>
        <v>7.4000000000000003E-3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119" customFormat="1" ht="15" customHeight="1" x14ac:dyDescent="0.3">
      <c r="A28" s="150"/>
      <c r="B28" s="168"/>
      <c r="C28" s="169"/>
      <c r="D28" s="169" t="str">
        <f>IF(AND(G28&gt;=J28,G28&lt;=K28),"","FORA DO LIMITE")</f>
        <v/>
      </c>
      <c r="E28" s="169"/>
      <c r="F28" s="170" t="s">
        <v>213</v>
      </c>
      <c r="G28" s="171">
        <v>7.1999999999999998E-3</v>
      </c>
      <c r="H28" s="151"/>
      <c r="I28" s="351"/>
      <c r="J28" s="352">
        <f>VLOOKUP($I$13,[2]Referências!A28:D34,2,FALSE)</f>
        <v>5.0000000000000001E-3</v>
      </c>
      <c r="K28" s="352">
        <f>VLOOKUP($I$13,[2]Referências!A28:D34,4,FALSE)</f>
        <v>9.7000000000000003E-3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s="119" customFormat="1" ht="15" customHeight="1" x14ac:dyDescent="0.3">
      <c r="A29" s="150"/>
      <c r="B29" s="146"/>
      <c r="C29" s="146"/>
      <c r="D29" s="146"/>
      <c r="E29" s="146"/>
      <c r="F29" s="144"/>
      <c r="G29" s="160"/>
      <c r="H29" s="167"/>
      <c r="I29" s="351"/>
      <c r="J29" s="352"/>
      <c r="K29" s="352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119" customFormat="1" ht="25.05" customHeight="1" x14ac:dyDescent="0.3">
      <c r="A30" s="150"/>
      <c r="B30" s="130" t="s">
        <v>214</v>
      </c>
      <c r="C30" s="153"/>
      <c r="D30" s="153" t="str">
        <f>IF(AND(G30&gt;=J30,G30&lt;=K30),"","FORA DO LIMITE")</f>
        <v/>
      </c>
      <c r="E30" s="153"/>
      <c r="F30" s="154" t="s">
        <v>215</v>
      </c>
      <c r="G30" s="158">
        <v>7.4999999999999997E-2</v>
      </c>
      <c r="H30" s="167"/>
      <c r="I30" s="351"/>
      <c r="J30" s="352">
        <f>VLOOKUP($I$13,[2]Referências!A46:D52,2,FALSE)</f>
        <v>6.6400000000000001E-2</v>
      </c>
      <c r="K30" s="352">
        <f>VLOOKUP($I$13,[2]Referências!A46:D52,4,FALSE)</f>
        <v>8.6900000000000005E-2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119" customFormat="1" ht="15" customHeight="1" x14ac:dyDescent="0.3">
      <c r="A31" s="150"/>
      <c r="B31" s="146"/>
      <c r="C31" s="146"/>
      <c r="D31" s="146"/>
      <c r="E31" s="146"/>
      <c r="F31" s="144"/>
      <c r="G31" s="160"/>
      <c r="H31" s="167"/>
      <c r="I31" s="351"/>
      <c r="J31" s="352"/>
      <c r="K31" s="352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119" customFormat="1" ht="15" customHeight="1" x14ac:dyDescent="0.3">
      <c r="A32" s="150"/>
      <c r="B32" s="161" t="s">
        <v>216</v>
      </c>
      <c r="C32" s="162"/>
      <c r="D32" s="162"/>
      <c r="E32" s="162"/>
      <c r="F32" s="163"/>
      <c r="G32" s="164"/>
      <c r="H32" s="167"/>
      <c r="I32" s="351"/>
      <c r="J32" s="352"/>
      <c r="K32" s="35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s="119" customFormat="1" ht="25.05" customHeight="1" x14ac:dyDescent="0.3">
      <c r="A33" s="150"/>
      <c r="B33" s="172"/>
      <c r="C33" s="146"/>
      <c r="D33" s="146"/>
      <c r="E33" s="146"/>
      <c r="F33" s="144" t="str">
        <f>IF(AND(C7="X",C7&lt;&gt;C8,I11&lt;&gt;6,F8&lt;&gt;"X"),"INSS =","")</f>
        <v/>
      </c>
      <c r="G33" s="173" t="str">
        <f>IF(AND(C7="x",I11&lt;&gt;6,B9&lt;&gt;"SELECIONE SOMENTE UM TIPO DE BDI"),K33,"")</f>
        <v/>
      </c>
      <c r="H33" s="174"/>
      <c r="I33" s="351"/>
      <c r="J33" s="352">
        <v>0</v>
      </c>
      <c r="K33" s="352">
        <v>4.4999999999999998E-2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s="119" customFormat="1" ht="25.05" customHeight="1" x14ac:dyDescent="0.3">
      <c r="A34" s="150"/>
      <c r="B34" s="337" t="str">
        <f>IF(AND(G34&lt;&gt;"",I11=6),"APAGUE O PERCENTUAL DESTA LINHA","")</f>
        <v/>
      </c>
      <c r="C34" s="330"/>
      <c r="D34" s="146" t="str">
        <f>IF(B34="APAGUE O PERCENTUAL DESTA LINHA","",IF(AND(G34&gt;=J34,G34&lt;=K34),"","FORA DO LIMITE"))</f>
        <v/>
      </c>
      <c r="E34" s="146"/>
      <c r="F34" s="144" t="str">
        <f>IF(I11=6,"","ISSQN =")</f>
        <v>ISSQN =</v>
      </c>
      <c r="G34" s="166">
        <v>0.03</v>
      </c>
      <c r="H34" s="174"/>
      <c r="I34" s="351"/>
      <c r="J34" s="352">
        <v>1.2E-2</v>
      </c>
      <c r="K34" s="352">
        <v>0.03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s="119" customFormat="1" ht="15" customHeight="1" x14ac:dyDescent="0.3">
      <c r="A35" s="150"/>
      <c r="B35" s="175"/>
      <c r="C35" s="146"/>
      <c r="D35" s="146" t="str">
        <f>IF(AND(G35&gt;=J35,G35&lt;=K35),"","FORA DO LIMITE")</f>
        <v/>
      </c>
      <c r="E35" s="146"/>
      <c r="F35" s="144" t="s">
        <v>217</v>
      </c>
      <c r="G35" s="176">
        <v>6.4999999999999997E-3</v>
      </c>
      <c r="H35" s="174"/>
      <c r="I35" s="351"/>
      <c r="J35" s="352">
        <v>6.4999999999999997E-3</v>
      </c>
      <c r="K35" s="352">
        <v>6.4999999999999997E-3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s="119" customFormat="1" ht="15" customHeight="1" x14ac:dyDescent="0.3">
      <c r="A36" s="150"/>
      <c r="B36" s="175"/>
      <c r="C36" s="146"/>
      <c r="D36" s="146" t="str">
        <f>IF(AND(G36&gt;=J36,G36&lt;=K36),"","FORA DO LIMITE")</f>
        <v/>
      </c>
      <c r="E36" s="146"/>
      <c r="F36" s="144" t="s">
        <v>218</v>
      </c>
      <c r="G36" s="176">
        <v>0.03</v>
      </c>
      <c r="H36" s="174"/>
      <c r="I36" s="351"/>
      <c r="J36" s="352">
        <v>0.03</v>
      </c>
      <c r="K36" s="352">
        <v>0.03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s="119" customFormat="1" ht="25.05" customHeight="1" x14ac:dyDescent="0.3">
      <c r="A37" s="150"/>
      <c r="B37" s="168"/>
      <c r="C37" s="169"/>
      <c r="D37" s="169"/>
      <c r="E37" s="169"/>
      <c r="F37" s="170" t="s">
        <v>219</v>
      </c>
      <c r="G37" s="177">
        <f>SUM(G33:G36)</f>
        <v>6.6500000000000004E-2</v>
      </c>
      <c r="H37" s="167"/>
      <c r="I37" s="351"/>
      <c r="J37" s="352"/>
      <c r="K37" s="352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s="119" customFormat="1" ht="25.05" customHeight="1" thickBot="1" x14ac:dyDescent="0.35">
      <c r="A38" s="178"/>
      <c r="B38" s="145"/>
      <c r="C38" s="145"/>
      <c r="D38" s="145"/>
      <c r="E38" s="145"/>
      <c r="F38" s="179"/>
      <c r="G38" s="180"/>
      <c r="H38" s="181"/>
      <c r="I38" s="351"/>
      <c r="J38" s="352"/>
      <c r="K38" s="352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s="119" customFormat="1" ht="15" customHeight="1" thickBot="1" x14ac:dyDescent="0.35">
      <c r="A39" s="146"/>
      <c r="B39" s="146"/>
      <c r="C39" s="146"/>
      <c r="D39" s="146"/>
      <c r="E39" s="146"/>
      <c r="F39" s="182"/>
      <c r="G39" s="183"/>
      <c r="H39" s="184"/>
      <c r="I39" s="351"/>
      <c r="J39" s="352"/>
      <c r="K39" s="352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s="119" customFormat="1" ht="15" customHeight="1" x14ac:dyDescent="0.3">
      <c r="A40" s="328" t="s">
        <v>220</v>
      </c>
      <c r="B40" s="329"/>
      <c r="C40" s="147"/>
      <c r="D40" s="147"/>
      <c r="E40" s="147"/>
      <c r="F40" s="147"/>
      <c r="G40" s="148"/>
      <c r="H40" s="149"/>
      <c r="I40" s="351"/>
      <c r="J40" s="352" t="s">
        <v>351</v>
      </c>
      <c r="K40" s="352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s="119" customFormat="1" ht="25.05" customHeight="1" x14ac:dyDescent="0.3">
      <c r="A41" s="150"/>
      <c r="B41" s="146"/>
      <c r="C41" s="146"/>
      <c r="D41" s="146"/>
      <c r="E41" s="146"/>
      <c r="F41" s="146"/>
      <c r="G41" s="197"/>
      <c r="H41" s="151"/>
      <c r="I41" s="351"/>
      <c r="J41" s="354">
        <v>1</v>
      </c>
      <c r="K41" s="352" t="str">
        <f>IF(OR(B9="SELECIONE UM TIPO DE BDI",B9="SELECIONE SOMENTE UM TIPO DE BDI"),"VER TIPO DE BDI","OK")</f>
        <v>OK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s="119" customFormat="1" ht="25.05" customHeight="1" x14ac:dyDescent="0.3">
      <c r="A42" s="150"/>
      <c r="B42" s="146"/>
      <c r="C42" s="146"/>
      <c r="D42" s="146"/>
      <c r="E42" s="146"/>
      <c r="F42" s="146"/>
      <c r="G42" s="197"/>
      <c r="H42" s="151"/>
      <c r="I42" s="351"/>
      <c r="J42" s="354">
        <v>2</v>
      </c>
      <c r="K42" s="352" t="str">
        <f>IF(OR(B18="SELECIONE SOMENTE UM TIPO DE SERVIÇO",B18="SELECIONE UM TIPO DE SERVIÇO",B17="NÃO HÁ DESONERAÇÃO PARA FORNECIMENTO DE MATERIAIS"),"VER TIPO DE SERVIÇO","OK")</f>
        <v>OK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s="119" customFormat="1" ht="15" customHeight="1" x14ac:dyDescent="0.3">
      <c r="A43" s="150"/>
      <c r="B43" s="146"/>
      <c r="C43" s="146"/>
      <c r="D43" s="146"/>
      <c r="E43" s="146"/>
      <c r="F43" s="146"/>
      <c r="G43" s="197"/>
      <c r="H43" s="151"/>
      <c r="I43" s="351"/>
      <c r="J43" s="354">
        <v>3</v>
      </c>
      <c r="K43" s="352" t="str">
        <f>IF(OR(B19="SELECIONE SOMENTE UM TIPO DE SERVIÇO",B19="SELECIONE UM TIPO DE SERVIÇO",B18="NÃO HÁ DESONERAÇÃO PARA FORNECIMENTO DE MATERIAIS"),"VER TIPO DE SERVIÇO","OK")</f>
        <v>OK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s="119" customFormat="1" ht="15" customHeight="1" x14ac:dyDescent="0.3">
      <c r="A44" s="150"/>
      <c r="B44" s="146"/>
      <c r="C44" s="146"/>
      <c r="D44" s="146"/>
      <c r="E44" s="146"/>
      <c r="F44" s="146"/>
      <c r="G44" s="197"/>
      <c r="H44" s="151"/>
      <c r="I44" s="351"/>
      <c r="J44" s="354">
        <v>4</v>
      </c>
      <c r="K44" s="352" t="str">
        <f>IF(OR(B20="SELECIONE SOMENTE UM TIPO DE SERVIÇO",B20="SELECIONE UM TIPO DE SERVIÇO",B19="NÃO HÁ DESONERAÇÃO PARA FORNECIMENTO DE MATERIAIS"),"VER TIPO DE SERVIÇO","OK")</f>
        <v>OK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s="119" customFormat="1" ht="15" customHeight="1" x14ac:dyDescent="0.3">
      <c r="A45" s="150"/>
      <c r="B45" s="146"/>
      <c r="C45" s="146"/>
      <c r="D45" s="146"/>
      <c r="E45" s="146"/>
      <c r="F45" s="146"/>
      <c r="G45" s="197"/>
      <c r="H45" s="151"/>
      <c r="I45" s="351"/>
      <c r="J45" s="354"/>
      <c r="K45" s="352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s="119" customFormat="1" ht="15" customHeight="1" x14ac:dyDescent="0.3">
      <c r="A46" s="150"/>
      <c r="B46" s="146"/>
      <c r="C46" s="146"/>
      <c r="D46" s="146"/>
      <c r="E46" s="146"/>
      <c r="F46" s="146"/>
      <c r="G46" s="197"/>
      <c r="H46" s="151"/>
      <c r="I46" s="351"/>
      <c r="J46" s="352"/>
      <c r="K46" s="352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s="119" customFormat="1" ht="15" customHeight="1" x14ac:dyDescent="0.3">
      <c r="A47" s="150"/>
      <c r="B47" s="146"/>
      <c r="C47" s="146"/>
      <c r="D47" s="146"/>
      <c r="E47" s="146"/>
      <c r="F47" s="146"/>
      <c r="G47" s="197"/>
      <c r="H47" s="151"/>
      <c r="I47" s="351"/>
      <c r="J47" s="352"/>
      <c r="K47" s="352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s="119" customFormat="1" ht="15" customHeight="1" x14ac:dyDescent="0.3">
      <c r="A48" s="150" t="s">
        <v>221</v>
      </c>
      <c r="B48" s="133" t="s">
        <v>222</v>
      </c>
      <c r="C48" s="146"/>
      <c r="D48" s="146"/>
      <c r="E48" s="146"/>
      <c r="F48" s="146"/>
      <c r="G48" s="197"/>
      <c r="H48" s="151"/>
      <c r="I48" s="351"/>
      <c r="J48" s="352"/>
      <c r="K48" s="352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s="119" customFormat="1" ht="25.05" customHeight="1" x14ac:dyDescent="0.3">
      <c r="A49" s="150" t="s">
        <v>223</v>
      </c>
      <c r="B49" s="133" t="s">
        <v>224</v>
      </c>
      <c r="C49" s="146"/>
      <c r="D49" s="146"/>
      <c r="E49" s="146"/>
      <c r="F49" s="146"/>
      <c r="G49" s="197"/>
      <c r="H49" s="151"/>
      <c r="I49" s="351"/>
      <c r="J49" s="352"/>
      <c r="K49" s="352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s="119" customFormat="1" ht="15" customHeight="1" x14ac:dyDescent="0.3">
      <c r="A50" s="150" t="s">
        <v>225</v>
      </c>
      <c r="B50" s="133" t="s">
        <v>226</v>
      </c>
      <c r="C50" s="146"/>
      <c r="D50" s="146"/>
      <c r="E50" s="146"/>
      <c r="F50" s="146"/>
      <c r="G50" s="197"/>
      <c r="H50" s="151"/>
      <c r="I50" s="351"/>
      <c r="J50" s="352"/>
      <c r="K50" s="352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s="119" customFormat="1" ht="15" customHeight="1" x14ac:dyDescent="0.3">
      <c r="A51" s="150" t="s">
        <v>210</v>
      </c>
      <c r="B51" s="133" t="s">
        <v>227</v>
      </c>
      <c r="C51" s="146"/>
      <c r="D51" s="146"/>
      <c r="E51" s="146"/>
      <c r="F51" s="146"/>
      <c r="G51" s="197"/>
      <c r="H51" s="151"/>
      <c r="I51" s="351"/>
      <c r="J51" s="352"/>
      <c r="K51" s="352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s="119" customFormat="1" ht="25.05" customHeight="1" x14ac:dyDescent="0.3">
      <c r="A52" s="150" t="s">
        <v>215</v>
      </c>
      <c r="B52" s="133" t="s">
        <v>228</v>
      </c>
      <c r="C52" s="146"/>
      <c r="D52" s="146"/>
      <c r="E52" s="146"/>
      <c r="F52" s="146"/>
      <c r="G52" s="197"/>
      <c r="H52" s="151"/>
      <c r="I52" s="351"/>
      <c r="J52" s="352"/>
      <c r="K52" s="3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s="119" customFormat="1" ht="25.05" customHeight="1" x14ac:dyDescent="0.3">
      <c r="A53" s="150" t="s">
        <v>229</v>
      </c>
      <c r="B53" s="133" t="s">
        <v>230</v>
      </c>
      <c r="C53" s="146"/>
      <c r="D53" s="146"/>
      <c r="E53" s="146"/>
      <c r="F53" s="146"/>
      <c r="G53" s="197"/>
      <c r="H53" s="151"/>
      <c r="I53" s="351"/>
      <c r="J53" s="352"/>
      <c r="K53" s="352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s="119" customFormat="1" ht="15" customHeight="1" thickBot="1" x14ac:dyDescent="0.35">
      <c r="A54" s="178"/>
      <c r="B54" s="185"/>
      <c r="C54" s="145"/>
      <c r="D54" s="145"/>
      <c r="E54" s="145"/>
      <c r="F54" s="145"/>
      <c r="G54" s="186"/>
      <c r="H54" s="187"/>
      <c r="I54" s="351"/>
      <c r="J54" s="352"/>
      <c r="K54" s="352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s="119" customFormat="1" ht="15" customHeight="1" thickBot="1" x14ac:dyDescent="0.35">
      <c r="A55" s="146"/>
      <c r="B55" s="133"/>
      <c r="C55" s="146"/>
      <c r="D55" s="146"/>
      <c r="E55" s="146"/>
      <c r="F55" s="146"/>
      <c r="G55" s="197"/>
      <c r="H55" s="197"/>
      <c r="I55" s="351"/>
      <c r="J55" s="352"/>
      <c r="K55" s="352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s="119" customFormat="1" ht="25.05" customHeight="1" x14ac:dyDescent="0.3">
      <c r="A56" s="328" t="s">
        <v>231</v>
      </c>
      <c r="B56" s="329"/>
      <c r="C56" s="188"/>
      <c r="D56" s="188"/>
      <c r="E56" s="329" t="s">
        <v>232</v>
      </c>
      <c r="F56" s="329"/>
      <c r="G56" s="148"/>
      <c r="H56" s="149"/>
      <c r="I56" s="355">
        <f>SUM(1+G22,G27,G28)</f>
        <v>1.0484000000000002</v>
      </c>
      <c r="J56" s="352"/>
      <c r="K56" s="352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s="119" customFormat="1" ht="25.05" customHeight="1" x14ac:dyDescent="0.3">
      <c r="A57" s="127"/>
      <c r="B57" s="128"/>
      <c r="C57" s="146"/>
      <c r="D57" s="146"/>
      <c r="E57" s="146"/>
      <c r="F57" s="146"/>
      <c r="G57" s="197"/>
      <c r="H57" s="151"/>
      <c r="I57" s="351">
        <f>1+G24</f>
        <v>1.0102</v>
      </c>
      <c r="J57" s="352"/>
      <c r="K57" s="352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s="119" customFormat="1" ht="15" customHeight="1" x14ac:dyDescent="0.3">
      <c r="A58" s="150"/>
      <c r="B58" s="189" t="s">
        <v>233</v>
      </c>
      <c r="C58" s="190">
        <v>0.19600000000000001</v>
      </c>
      <c r="D58" s="156" t="str">
        <f>IF(AND(C58&gt;I61,C8="X"),"BDI ABAIXO","")</f>
        <v/>
      </c>
      <c r="E58" s="189" t="s">
        <v>233</v>
      </c>
      <c r="F58" s="190">
        <v>0.25600000000000001</v>
      </c>
      <c r="G58" s="156" t="str">
        <f>IF(AND(F58&gt;I61,C7="X"),"BDI ABAIXO","")</f>
        <v/>
      </c>
      <c r="H58" s="151"/>
      <c r="I58" s="351">
        <f>1+G30</f>
        <v>1.075</v>
      </c>
      <c r="J58" s="352"/>
      <c r="K58" s="352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s="119" customFormat="1" ht="15" customHeight="1" x14ac:dyDescent="0.3">
      <c r="A59" s="150"/>
      <c r="B59" s="189" t="s">
        <v>234</v>
      </c>
      <c r="C59" s="190">
        <v>0.24229999999999999</v>
      </c>
      <c r="D59" s="156" t="str">
        <f>IF(AND(C59&lt;I62,C8="X"),"BDI ACIMA","")</f>
        <v/>
      </c>
      <c r="E59" s="189" t="s">
        <v>234</v>
      </c>
      <c r="F59" s="190">
        <v>0.30520000000000003</v>
      </c>
      <c r="G59" s="156" t="str">
        <f>IF(AND(F59&lt;I61,C7="X"),"BDI ACIMA","")</f>
        <v/>
      </c>
      <c r="H59" s="151"/>
      <c r="I59" s="351">
        <f>1-G37</f>
        <v>0.9335</v>
      </c>
      <c r="J59" s="352"/>
      <c r="K59" s="352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s="119" customFormat="1" ht="25.05" customHeight="1" thickBot="1" x14ac:dyDescent="0.35">
      <c r="A60" s="178"/>
      <c r="B60" s="185"/>
      <c r="C60" s="145"/>
      <c r="D60" s="191"/>
      <c r="E60" s="145"/>
      <c r="F60" s="191"/>
      <c r="G60" s="186"/>
      <c r="H60" s="187"/>
      <c r="I60" s="351">
        <f>I56*I57*I58/I59</f>
        <v>1.2196311794322443</v>
      </c>
      <c r="J60" s="352"/>
      <c r="K60" s="352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1:25" s="119" customFormat="1" ht="25.05" customHeight="1" thickBot="1" x14ac:dyDescent="0.35">
      <c r="A61" s="146"/>
      <c r="B61" s="146"/>
      <c r="C61" s="146"/>
      <c r="D61" s="146"/>
      <c r="E61" s="146"/>
      <c r="F61" s="146"/>
      <c r="G61" s="197"/>
      <c r="H61" s="197"/>
      <c r="I61" s="351">
        <f>ROUND(I60-1,4)</f>
        <v>0.21959999999999999</v>
      </c>
      <c r="J61" s="352"/>
      <c r="K61" s="352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s="119" customFormat="1" ht="15" customHeight="1" thickBot="1" x14ac:dyDescent="0.35">
      <c r="A62" s="146"/>
      <c r="B62" s="146"/>
      <c r="C62" s="146"/>
      <c r="D62" s="192"/>
      <c r="E62" s="335" t="s">
        <v>235</v>
      </c>
      <c r="F62" s="336"/>
      <c r="G62" s="193">
        <f>IF(AND(K41="OK",K42="OK",K43="OK",K44="OK"),I61,IF(K41="VER TIPO DE BDI","VER TIPO DE BDI",IF(K42="VER TIPO DE SERVIÇO","VER TIPO DE SERVIÇO",IF(K43="VER PERCENTUAIS","VER PERCENTUAIS",IF(K44="BDI FORA DO LIMITE","BDI FORA DO LIMITE","VÁRIOS ERROS")))))</f>
        <v>0.21959999999999999</v>
      </c>
      <c r="H62" s="194" t="str">
        <f>IF(AND(M62&gt;=P62,M62&lt;=Q62),"","FORA DO LIMITE")</f>
        <v/>
      </c>
      <c r="I62" s="356">
        <f>G68</f>
        <v>0.21959999999999999</v>
      </c>
      <c r="J62" s="352"/>
      <c r="K62" s="35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1:25" s="119" customFormat="1" ht="15" customHeight="1" x14ac:dyDescent="0.3">
      <c r="A63" s="146"/>
      <c r="B63" s="146"/>
      <c r="C63" s="146"/>
      <c r="D63" s="146"/>
      <c r="E63" s="125"/>
      <c r="F63" s="125"/>
      <c r="G63" s="195"/>
      <c r="H63" s="195"/>
      <c r="I63" s="357"/>
      <c r="J63" s="352"/>
      <c r="K63" s="352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s="119" customFormat="1" ht="15" customHeight="1" x14ac:dyDescent="0.3">
      <c r="A64" s="125"/>
      <c r="B64" s="128" t="s">
        <v>236</v>
      </c>
      <c r="C64" s="125"/>
      <c r="D64" s="125"/>
      <c r="E64" s="146"/>
      <c r="F64" s="146"/>
      <c r="G64" s="146"/>
      <c r="H64" s="146"/>
      <c r="I64" s="357"/>
      <c r="J64" s="352"/>
      <c r="K64" s="352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1:25" s="119" customFormat="1" ht="15" customHeight="1" x14ac:dyDescent="0.3">
      <c r="A65" s="133"/>
      <c r="B65" s="11" t="s">
        <v>237</v>
      </c>
      <c r="C65" s="11"/>
      <c r="D65" s="11"/>
      <c r="E65" s="146"/>
      <c r="F65" s="146"/>
      <c r="G65" s="331"/>
      <c r="H65" s="331"/>
      <c r="I65" s="351"/>
      <c r="J65" s="352"/>
      <c r="K65" s="352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1:25" s="119" customFormat="1" ht="15" customHeight="1" x14ac:dyDescent="0.3">
      <c r="A66" s="146"/>
      <c r="B66" s="11" t="s">
        <v>238</v>
      </c>
      <c r="C66" s="196"/>
      <c r="D66" s="146"/>
      <c r="E66" s="146"/>
      <c r="F66" s="146"/>
      <c r="G66" s="332"/>
      <c r="H66" s="332"/>
      <c r="I66" s="351"/>
      <c r="J66" s="352"/>
      <c r="K66" s="352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s="119" customFormat="1" ht="15" customHeight="1" x14ac:dyDescent="0.3">
      <c r="A67" s="146"/>
      <c r="B67" s="11" t="s">
        <v>239</v>
      </c>
      <c r="C67" s="146"/>
      <c r="D67" s="146"/>
      <c r="E67" s="146"/>
      <c r="F67" s="198"/>
      <c r="G67" s="197"/>
      <c r="H67" s="197"/>
      <c r="I67" s="351"/>
      <c r="J67" s="352"/>
      <c r="K67" s="352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5" s="119" customFormat="1" ht="25.05" customHeight="1" x14ac:dyDescent="0.3">
      <c r="A68" s="146"/>
      <c r="B68" s="146"/>
      <c r="C68" s="146"/>
      <c r="D68" s="146"/>
      <c r="E68" s="146"/>
      <c r="F68" s="199" t="s">
        <v>240</v>
      </c>
      <c r="G68" s="333">
        <f>I61</f>
        <v>0.21959999999999999</v>
      </c>
      <c r="H68" s="334"/>
      <c r="I68" s="351"/>
      <c r="J68" s="352"/>
      <c r="K68" s="352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s="119" customFormat="1" ht="15" customHeight="1" x14ac:dyDescent="0.3">
      <c r="A69" s="358"/>
      <c r="B69" s="358"/>
      <c r="C69" s="359"/>
      <c r="D69" s="360"/>
      <c r="E69" s="359"/>
      <c r="F69" s="359"/>
      <c r="G69" s="360"/>
      <c r="H69" s="360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s="119" customFormat="1" ht="15" customHeight="1" x14ac:dyDescent="0.3">
      <c r="A70" s="358"/>
      <c r="B70" s="358"/>
      <c r="C70" s="359"/>
      <c r="D70" s="360"/>
      <c r="E70" s="359"/>
      <c r="F70" s="359"/>
      <c r="G70" s="360"/>
      <c r="H70" s="36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s="119" customFormat="1" ht="25.05" customHeight="1" x14ac:dyDescent="0.3">
      <c r="A71" s="361"/>
      <c r="B71" s="361"/>
      <c r="C71" s="362"/>
      <c r="D71" s="363"/>
      <c r="E71" s="362"/>
      <c r="F71" s="362"/>
      <c r="G71" s="363"/>
      <c r="H71" s="36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s="119" customFormat="1" ht="25.05" customHeight="1" x14ac:dyDescent="0.3">
      <c r="A72" s="361"/>
      <c r="B72" s="361"/>
      <c r="C72" s="362"/>
      <c r="D72" s="363"/>
      <c r="E72" s="362"/>
      <c r="F72" s="362"/>
      <c r="G72" s="363"/>
      <c r="H72" s="36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s="119" customFormat="1" ht="15" customHeight="1" x14ac:dyDescent="0.3">
      <c r="A73" s="361"/>
      <c r="B73" s="361"/>
      <c r="C73" s="362"/>
      <c r="D73" s="363"/>
      <c r="E73" s="362"/>
      <c r="F73" s="362"/>
      <c r="G73" s="363"/>
      <c r="H73" s="36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s="119" customFormat="1" ht="15" customHeight="1" x14ac:dyDescent="0.3">
      <c r="A74" s="361"/>
      <c r="B74" s="361"/>
      <c r="C74" s="362"/>
      <c r="D74" s="363"/>
      <c r="E74" s="362"/>
      <c r="F74" s="362"/>
      <c r="G74" s="363"/>
      <c r="H74" s="36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s="119" customFormat="1" ht="25.05" customHeight="1" x14ac:dyDescent="0.3">
      <c r="A75" s="361"/>
      <c r="B75" s="361"/>
      <c r="C75" s="362"/>
      <c r="D75" s="363"/>
      <c r="E75" s="362"/>
      <c r="F75" s="362"/>
      <c r="G75" s="363"/>
      <c r="H75" s="36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s="119" customFormat="1" ht="25.05" customHeight="1" x14ac:dyDescent="0.3">
      <c r="A76" s="361"/>
      <c r="B76" s="361"/>
      <c r="C76" s="362"/>
      <c r="D76" s="363"/>
      <c r="E76" s="362"/>
      <c r="F76" s="362"/>
      <c r="G76" s="363"/>
      <c r="H76" s="36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s="119" customFormat="1" ht="15" customHeight="1" x14ac:dyDescent="0.3">
      <c r="A77" s="361"/>
      <c r="B77" s="361"/>
      <c r="C77" s="362"/>
      <c r="D77" s="363"/>
      <c r="E77" s="362"/>
      <c r="F77" s="362"/>
      <c r="G77" s="363"/>
      <c r="H77" s="36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s="119" customFormat="1" ht="15" customHeight="1" x14ac:dyDescent="0.3">
      <c r="A78" s="361"/>
      <c r="B78" s="361"/>
      <c r="C78" s="362"/>
      <c r="D78" s="363"/>
      <c r="E78" s="362"/>
      <c r="F78" s="362"/>
      <c r="G78" s="363"/>
      <c r="H78" s="36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s="119" customFormat="1" ht="25.05" customHeight="1" x14ac:dyDescent="0.3"/>
    <row r="80" spans="1:25" s="119" customFormat="1" ht="25.05" customHeight="1" x14ac:dyDescent="0.3"/>
    <row r="81" s="119" customFormat="1" ht="15" customHeight="1" x14ac:dyDescent="0.3"/>
    <row r="82" s="119" customFormat="1" ht="15" customHeight="1" x14ac:dyDescent="0.3"/>
    <row r="83" s="119" customFormat="1" ht="15" customHeight="1" x14ac:dyDescent="0.3"/>
    <row r="84" s="119" customFormat="1" ht="15" customHeight="1" x14ac:dyDescent="0.3"/>
    <row r="85" s="119" customFormat="1" ht="15" customHeight="1" x14ac:dyDescent="0.3"/>
    <row r="86" s="119" customFormat="1" ht="15" customHeight="1" x14ac:dyDescent="0.3"/>
    <row r="87" s="119" customFormat="1" ht="25.05" customHeight="1" x14ac:dyDescent="0.3"/>
    <row r="88" s="119" customFormat="1" ht="15" customHeight="1" x14ac:dyDescent="0.3"/>
    <row r="89" s="119" customFormat="1" ht="15" customHeight="1" x14ac:dyDescent="0.3"/>
    <row r="90" s="119" customFormat="1" ht="25.05" customHeight="1" x14ac:dyDescent="0.3"/>
    <row r="91" s="119" customFormat="1" ht="25.05" customHeight="1" x14ac:dyDescent="0.3"/>
    <row r="92" s="119" customFormat="1" ht="15" customHeight="1" x14ac:dyDescent="0.3"/>
    <row r="93" s="119" customFormat="1" ht="15" customHeight="1" x14ac:dyDescent="0.3"/>
    <row r="94" s="119" customFormat="1" ht="25.05" customHeight="1" x14ac:dyDescent="0.3"/>
    <row r="95" s="119" customFormat="1" ht="25.05" customHeight="1" x14ac:dyDescent="0.3"/>
    <row r="96" s="119" customFormat="1" ht="15" customHeight="1" x14ac:dyDescent="0.3"/>
    <row r="97" s="119" customFormat="1" ht="15" customHeight="1" x14ac:dyDescent="0.3"/>
    <row r="98" s="119" customFormat="1" ht="25.05" customHeight="1" x14ac:dyDescent="0.3"/>
    <row r="99" s="119" customFormat="1" ht="25.05" customHeight="1" x14ac:dyDescent="0.3"/>
    <row r="100" s="119" customFormat="1" ht="15" customHeight="1" x14ac:dyDescent="0.3"/>
  </sheetData>
  <mergeCells count="23">
    <mergeCell ref="A56:B56"/>
    <mergeCell ref="E56:F56"/>
    <mergeCell ref="E62:F62"/>
    <mergeCell ref="G65:H65"/>
    <mergeCell ref="G68:H68"/>
    <mergeCell ref="A4:H4"/>
    <mergeCell ref="A1:H1"/>
    <mergeCell ref="A2:C2"/>
    <mergeCell ref="D2:E2"/>
    <mergeCell ref="F2:H2"/>
    <mergeCell ref="A3:C3"/>
    <mergeCell ref="F3:H3"/>
    <mergeCell ref="A20:B20"/>
    <mergeCell ref="E20:F20"/>
    <mergeCell ref="B34:C34"/>
    <mergeCell ref="A40:B40"/>
    <mergeCell ref="G66:H66"/>
    <mergeCell ref="A5:B5"/>
    <mergeCell ref="B9:C9"/>
    <mergeCell ref="E9:G9"/>
    <mergeCell ref="A11:B11"/>
    <mergeCell ref="B17:D17"/>
    <mergeCell ref="B18:C18"/>
  </mergeCells>
  <conditionalFormatting sqref="B9">
    <cfRule type="cellIs" dxfId="47" priority="19" operator="equal">
      <formula>"SELECIONE SOMENTE UM TIPO DE BDI"</formula>
    </cfRule>
  </conditionalFormatting>
  <conditionalFormatting sqref="B17">
    <cfRule type="cellIs" dxfId="46" priority="6" operator="equal">
      <formula>"NÃO HÁ DESONERAÇÃO PARA FORNECIMENTO DE MATERIAIS"</formula>
    </cfRule>
  </conditionalFormatting>
  <conditionalFormatting sqref="B18">
    <cfRule type="cellIs" dxfId="45" priority="24" operator="equal">
      <formula>"SELECIONE SOMENTE UM TIPO DE SERVIÇO"</formula>
    </cfRule>
  </conditionalFormatting>
  <conditionalFormatting sqref="B9:C9 E9:G9">
    <cfRule type="cellIs" dxfId="44" priority="9" operator="equal">
      <formula>"SELECIONE UM TIPO DE BDI"</formula>
    </cfRule>
  </conditionalFormatting>
  <conditionalFormatting sqref="B18:C18">
    <cfRule type="cellIs" dxfId="43" priority="8" operator="equal">
      <formula>"SELECIONE UM TIPO DE SERVIÇO"</formula>
    </cfRule>
  </conditionalFormatting>
  <conditionalFormatting sqref="B34:C34">
    <cfRule type="cellIs" dxfId="42" priority="18" operator="equal">
      <formula>"APAGUE O PERCENTUAL DESTA LINHA"</formula>
    </cfRule>
  </conditionalFormatting>
  <conditionalFormatting sqref="C7:C8 G12:G17 G22 G24 G27:G28 G30">
    <cfRule type="cellIs" dxfId="41" priority="16" operator="equal">
      <formula>0</formula>
    </cfRule>
  </conditionalFormatting>
  <conditionalFormatting sqref="D22 D34:D36">
    <cfRule type="cellIs" dxfId="40" priority="23" operator="equal">
      <formula>"FORA DO LIMITE"</formula>
    </cfRule>
  </conditionalFormatting>
  <conditionalFormatting sqref="D24">
    <cfRule type="cellIs" dxfId="39" priority="22" operator="equal">
      <formula>"FORA DO LIMITE"</formula>
    </cfRule>
  </conditionalFormatting>
  <conditionalFormatting sqref="D27:D28">
    <cfRule type="cellIs" dxfId="38" priority="21" operator="equal">
      <formula>"FORA DO LIMITE"</formula>
    </cfRule>
  </conditionalFormatting>
  <conditionalFormatting sqref="D30">
    <cfRule type="cellIs" dxfId="37" priority="20" operator="equal">
      <formula>"FORA DO LIMITE"</formula>
    </cfRule>
  </conditionalFormatting>
  <conditionalFormatting sqref="D58">
    <cfRule type="cellIs" dxfId="36" priority="5" operator="equal">
      <formula>"BDI ABAIXO"</formula>
    </cfRule>
  </conditionalFormatting>
  <conditionalFormatting sqref="D59">
    <cfRule type="cellIs" dxfId="35" priority="4" operator="equal">
      <formula>"BDI ACIMA"</formula>
    </cfRule>
  </conditionalFormatting>
  <conditionalFormatting sqref="E9">
    <cfRule type="cellIs" dxfId="34" priority="12" operator="equal">
      <formula>"SELECIONE SOMENTE UM TIPO DE BDI"</formula>
    </cfRule>
  </conditionalFormatting>
  <conditionalFormatting sqref="E9:G9">
    <cfRule type="cellIs" dxfId="33" priority="7" operator="equal">
      <formula>"SOMENTE HÁ DESONERAÇÃO PARA OBRAS"</formula>
    </cfRule>
    <cfRule type="cellIs" dxfId="32" priority="11" operator="equal">
      <formula>"NÃO HÁ PROJETO PARA FORNECIMENTO"</formula>
    </cfRule>
  </conditionalFormatting>
  <conditionalFormatting sqref="G34:G36">
    <cfRule type="cellIs" dxfId="31" priority="10" operator="equal">
      <formula>0</formula>
    </cfRule>
  </conditionalFormatting>
  <conditionalFormatting sqref="G58">
    <cfRule type="cellIs" dxfId="30" priority="3" operator="equal">
      <formula>"BDI ABAIXO"</formula>
    </cfRule>
  </conditionalFormatting>
  <conditionalFormatting sqref="G59">
    <cfRule type="cellIs" dxfId="29" priority="2" operator="equal">
      <formula>"BDI ACIMA"</formula>
    </cfRule>
  </conditionalFormatting>
  <conditionalFormatting sqref="G62:H63">
    <cfRule type="cellIs" dxfId="28" priority="1" operator="equal">
      <formula>"VER PERCENTUAIS"</formula>
    </cfRule>
    <cfRule type="cellIs" dxfId="27" priority="13" operator="equal">
      <formula>"VÁRIOS ERROS"</formula>
    </cfRule>
    <cfRule type="cellIs" dxfId="26" priority="14" operator="equal">
      <formula>"BDI FORA DO LIMITE"</formula>
    </cfRule>
    <cfRule type="cellIs" dxfId="25" priority="15" operator="equal">
      <formula>"VER TIPO DE BDI"</formula>
    </cfRule>
    <cfRule type="cellIs" dxfId="24" priority="17" operator="equal">
      <formula>"VER TIPO DE SERVIÇO"</formula>
    </cfRule>
  </conditionalFormatting>
  <dataValidations count="3">
    <dataValidation allowBlank="1" promptTitle="Alerta" prompt="Digite somente 'X'" sqref="F7:F8" xr:uid="{43623E25-AABF-4764-8968-60A634A77F4D}"/>
    <dataValidation type="decimal" allowBlank="1" showInputMessage="1" showErrorMessage="1" sqref="G34:G37 G22:G32" xr:uid="{BCD1FA0E-7CAB-4BFF-84A3-C2D271207796}">
      <formula1>0</formula1>
      <formula2>100</formula2>
    </dataValidation>
    <dataValidation type="list" allowBlank="1" showInputMessage="1" showErrorMessage="1" promptTitle="Alerta" prompt="Digite somente 'X'" sqref="G12:G17 C7:C8" xr:uid="{5F60E289-333E-46CE-8983-B838D7B92D22}">
      <formula1>"x,X"</formula1>
    </dataValidation>
  </dataValidations>
  <printOptions horizontalCentered="1"/>
  <pageMargins left="1.1023622047244095" right="0.51181102362204722" top="1.5748031496062993" bottom="0.78740157480314965" header="0.31496062992125984" footer="0.31496062992125984"/>
  <pageSetup paperSize="9" scale="48" fitToWidth="0" orientation="portrait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DA76-91EE-449E-A7B3-D5B697C78D6E}">
  <sheetPr>
    <pageSetUpPr fitToPage="1"/>
  </sheetPr>
  <dimension ref="A1:F291"/>
  <sheetViews>
    <sheetView view="pageBreakPreview" topLeftCell="A241" zoomScale="120" zoomScaleNormal="100" zoomScaleSheetLayoutView="120" workbookViewId="0">
      <selection activeCell="B243" sqref="B243"/>
    </sheetView>
  </sheetViews>
  <sheetFormatPr defaultRowHeight="14.4" x14ac:dyDescent="0.3"/>
  <cols>
    <col min="1" max="1" width="10.77734375" customWidth="1"/>
    <col min="2" max="2" width="50.77734375" customWidth="1"/>
    <col min="3" max="4" width="22.77734375" customWidth="1"/>
    <col min="5" max="5" width="28.33203125" customWidth="1"/>
    <col min="6" max="6" width="12.44140625" style="200" customWidth="1"/>
  </cols>
  <sheetData>
    <row r="1" spans="1:6" ht="25.05" customHeight="1" x14ac:dyDescent="0.3">
      <c r="A1" s="339" t="s">
        <v>52</v>
      </c>
      <c r="B1" s="340"/>
      <c r="C1" s="340"/>
      <c r="D1" s="340"/>
      <c r="E1" s="341"/>
    </row>
    <row r="2" spans="1:6" ht="19.95" customHeight="1" x14ac:dyDescent="0.3">
      <c r="A2" s="289" t="str">
        <f>RES!A2</f>
        <v>PAVIMENTAÇÃO DE VIAS PÚBLICAS NO MUNÍCIO DE TERESINA - PI</v>
      </c>
      <c r="B2" s="290"/>
      <c r="C2" s="34" t="str">
        <f>RES!C2</f>
        <v>FONTE: SINAPI 12/2025</v>
      </c>
      <c r="D2" s="20" t="str">
        <f>RES!E2</f>
        <v>SEM DESONERAÇÃO
 BDI: 21,96%</v>
      </c>
      <c r="E2" s="21" t="str">
        <f>RES!F2</f>
        <v>HORISTA: 113,33%
MENSALISTA: 71,12%</v>
      </c>
    </row>
    <row r="3" spans="1:6" ht="19.95" customHeight="1" x14ac:dyDescent="0.3">
      <c r="A3" s="292" t="str">
        <f>RES!A3</f>
        <v>LOCALIDADE: DIVERSAS</v>
      </c>
      <c r="B3" s="293"/>
      <c r="C3" s="293"/>
      <c r="D3" s="22" t="str">
        <f>RES!E3</f>
        <v>ÁREA TOTAL (m²):</v>
      </c>
      <c r="E3" s="97">
        <f>RES!F3</f>
        <v>3853</v>
      </c>
    </row>
    <row r="4" spans="1:6" s="39" customFormat="1" ht="15" customHeight="1" x14ac:dyDescent="0.3">
      <c r="A4" s="36"/>
      <c r="B4" s="37"/>
      <c r="C4" s="37"/>
      <c r="D4" s="37"/>
      <c r="E4" s="38"/>
      <c r="F4" s="201"/>
    </row>
    <row r="5" spans="1:6" s="42" customFormat="1" ht="12" customHeight="1" x14ac:dyDescent="0.2">
      <c r="A5" s="40" t="s">
        <v>39</v>
      </c>
      <c r="B5" s="41" t="s">
        <v>40</v>
      </c>
      <c r="C5" s="342"/>
      <c r="D5" s="343"/>
      <c r="E5" s="344"/>
      <c r="F5" s="202"/>
    </row>
    <row r="6" spans="1:6" s="42" customFormat="1" ht="12" customHeight="1" x14ac:dyDescent="0.2">
      <c r="A6" s="66" t="s">
        <v>41</v>
      </c>
      <c r="B6" s="67" t="s">
        <v>42</v>
      </c>
      <c r="C6" s="68"/>
      <c r="D6" s="69"/>
      <c r="E6" s="70"/>
      <c r="F6" s="202"/>
    </row>
    <row r="7" spans="1:6" s="42" customFormat="1" ht="12" customHeight="1" x14ac:dyDescent="0.2">
      <c r="A7" s="44"/>
      <c r="B7" s="45" t="s">
        <v>53</v>
      </c>
      <c r="C7" s="46">
        <v>3</v>
      </c>
      <c r="D7" s="43" t="s">
        <v>54</v>
      </c>
      <c r="E7" s="47"/>
      <c r="F7" s="202"/>
    </row>
    <row r="8" spans="1:6" s="42" customFormat="1" ht="12" customHeight="1" x14ac:dyDescent="0.2">
      <c r="A8" s="44"/>
      <c r="B8" s="45" t="s">
        <v>55</v>
      </c>
      <c r="C8" s="48">
        <v>2</v>
      </c>
      <c r="D8" s="43" t="s">
        <v>54</v>
      </c>
      <c r="E8" s="49"/>
      <c r="F8" s="202"/>
    </row>
    <row r="9" spans="1:6" s="42" customFormat="1" ht="12" customHeight="1" x14ac:dyDescent="0.2">
      <c r="A9" s="44"/>
      <c r="B9" s="45" t="s">
        <v>56</v>
      </c>
      <c r="C9" s="48">
        <v>1</v>
      </c>
      <c r="D9" s="43" t="s">
        <v>57</v>
      </c>
      <c r="E9" s="49"/>
      <c r="F9" s="202"/>
    </row>
    <row r="10" spans="1:6" s="42" customFormat="1" ht="12" customHeight="1" x14ac:dyDescent="0.2">
      <c r="A10" s="44"/>
      <c r="B10" s="45" t="s">
        <v>58</v>
      </c>
      <c r="C10" s="50">
        <f>ROUND(C9*C8*C7,2)</f>
        <v>6</v>
      </c>
      <c r="D10" s="51" t="s">
        <v>19</v>
      </c>
      <c r="E10" s="49"/>
      <c r="F10" s="202"/>
    </row>
    <row r="11" spans="1:6" s="42" customFormat="1" ht="12" customHeight="1" x14ac:dyDescent="0.2">
      <c r="A11" s="44"/>
      <c r="B11" s="45"/>
      <c r="C11" s="52"/>
      <c r="D11" s="53"/>
      <c r="E11" s="49"/>
      <c r="F11" s="202"/>
    </row>
    <row r="12" spans="1:6" s="42" customFormat="1" ht="12" customHeight="1" x14ac:dyDescent="0.2">
      <c r="A12" s="66" t="s">
        <v>105</v>
      </c>
      <c r="B12" s="67" t="s">
        <v>43</v>
      </c>
      <c r="C12" s="68"/>
      <c r="D12" s="69"/>
      <c r="E12" s="70"/>
      <c r="F12" s="202"/>
    </row>
    <row r="13" spans="1:6" s="42" customFormat="1" ht="12" customHeight="1" x14ac:dyDescent="0.2">
      <c r="A13" s="44"/>
      <c r="B13" s="45" t="s">
        <v>59</v>
      </c>
      <c r="C13" s="48">
        <v>2</v>
      </c>
      <c r="D13" s="43" t="s">
        <v>44</v>
      </c>
      <c r="E13" s="47"/>
      <c r="F13" s="202"/>
    </row>
    <row r="14" spans="1:6" s="42" customFormat="1" ht="12" customHeight="1" x14ac:dyDescent="0.2">
      <c r="A14" s="44"/>
      <c r="B14" s="45" t="s">
        <v>60</v>
      </c>
      <c r="C14" s="50">
        <f>C13</f>
        <v>2</v>
      </c>
      <c r="D14" s="51" t="s">
        <v>44</v>
      </c>
      <c r="E14" s="49"/>
      <c r="F14" s="202"/>
    </row>
    <row r="15" spans="1:6" s="42" customFormat="1" ht="12" customHeight="1" x14ac:dyDescent="0.2">
      <c r="A15" s="44"/>
      <c r="B15" s="45"/>
      <c r="C15" s="52"/>
      <c r="D15" s="54"/>
      <c r="E15" s="49"/>
      <c r="F15" s="202"/>
    </row>
    <row r="16" spans="1:6" s="42" customFormat="1" ht="12" customHeight="1" x14ac:dyDescent="0.2">
      <c r="A16" s="40" t="s">
        <v>45</v>
      </c>
      <c r="B16" s="41" t="str">
        <f>GERAL!A10</f>
        <v>Rua Elias Aragão</v>
      </c>
      <c r="C16" s="342"/>
      <c r="D16" s="343"/>
      <c r="E16" s="344"/>
      <c r="F16" s="202"/>
    </row>
    <row r="17" spans="1:6" s="42" customFormat="1" ht="12" customHeight="1" x14ac:dyDescent="0.2">
      <c r="A17" s="55"/>
      <c r="B17" s="56" t="s">
        <v>61</v>
      </c>
      <c r="C17" s="57">
        <v>175</v>
      </c>
      <c r="D17" s="58" t="s">
        <v>54</v>
      </c>
      <c r="E17" s="49"/>
      <c r="F17" s="202"/>
    </row>
    <row r="18" spans="1:6" s="42" customFormat="1" ht="12" customHeight="1" x14ac:dyDescent="0.2">
      <c r="A18" s="55"/>
      <c r="B18" s="56" t="s">
        <v>62</v>
      </c>
      <c r="C18" s="57">
        <v>7</v>
      </c>
      <c r="D18" s="58" t="s">
        <v>54</v>
      </c>
      <c r="E18" s="49"/>
      <c r="F18" s="202"/>
    </row>
    <row r="19" spans="1:6" s="42" customFormat="1" ht="12" customHeight="1" x14ac:dyDescent="0.2">
      <c r="A19" s="55"/>
      <c r="B19" s="56" t="s">
        <v>63</v>
      </c>
      <c r="C19" s="374">
        <v>35.200000000000003</v>
      </c>
      <c r="D19" s="58" t="s">
        <v>64</v>
      </c>
      <c r="E19" s="60" t="s">
        <v>108</v>
      </c>
      <c r="F19" s="202"/>
    </row>
    <row r="20" spans="1:6" s="42" customFormat="1" ht="12" customHeight="1" x14ac:dyDescent="0.2">
      <c r="A20" s="61"/>
      <c r="B20" s="62"/>
      <c r="C20" s="63"/>
      <c r="D20" s="64"/>
      <c r="E20" s="49"/>
      <c r="F20" s="202"/>
    </row>
    <row r="21" spans="1:6" s="42" customFormat="1" ht="12" customHeight="1" x14ac:dyDescent="0.2">
      <c r="A21" s="61" t="s">
        <v>45</v>
      </c>
      <c r="B21" s="65" t="s">
        <v>65</v>
      </c>
      <c r="C21" s="63"/>
      <c r="D21" s="58"/>
      <c r="E21" s="49"/>
      <c r="F21" s="202"/>
    </row>
    <row r="22" spans="1:6" s="42" customFormat="1" ht="12" customHeight="1" x14ac:dyDescent="0.2">
      <c r="A22" s="66" t="s">
        <v>47</v>
      </c>
      <c r="B22" s="67" t="s">
        <v>66</v>
      </c>
      <c r="C22" s="68"/>
      <c r="D22" s="69"/>
      <c r="E22" s="70"/>
      <c r="F22" s="202"/>
    </row>
    <row r="23" spans="1:6" s="42" customFormat="1" ht="12" customHeight="1" x14ac:dyDescent="0.2">
      <c r="A23" s="44"/>
      <c r="B23" s="71" t="s">
        <v>53</v>
      </c>
      <c r="C23" s="46">
        <f>C17</f>
        <v>175</v>
      </c>
      <c r="D23" s="72" t="s">
        <v>54</v>
      </c>
      <c r="E23" s="73"/>
      <c r="F23" s="202"/>
    </row>
    <row r="24" spans="1:6" s="42" customFormat="1" ht="12" customHeight="1" x14ac:dyDescent="0.2">
      <c r="A24" s="44"/>
      <c r="B24" s="71" t="s">
        <v>55</v>
      </c>
      <c r="C24" s="48">
        <f>C18</f>
        <v>7</v>
      </c>
      <c r="D24" s="43" t="s">
        <v>54</v>
      </c>
      <c r="E24" s="49"/>
      <c r="F24" s="202"/>
    </row>
    <row r="25" spans="1:6" s="42" customFormat="1" ht="12" customHeight="1" x14ac:dyDescent="0.2">
      <c r="A25" s="44"/>
      <c r="B25" s="71" t="s">
        <v>67</v>
      </c>
      <c r="C25" s="50">
        <f>ROUND(C23*C24,2)</f>
        <v>1225</v>
      </c>
      <c r="D25" s="51" t="s">
        <v>19</v>
      </c>
      <c r="E25" s="49"/>
      <c r="F25" s="203">
        <f>C25+C80+C135+C190+C245</f>
        <v>3853</v>
      </c>
    </row>
    <row r="26" spans="1:6" s="42" customFormat="1" ht="12" customHeight="1" x14ac:dyDescent="0.2">
      <c r="A26" s="74"/>
      <c r="B26" s="75"/>
      <c r="C26" s="53"/>
      <c r="D26" s="76"/>
      <c r="E26" s="77"/>
      <c r="F26" s="202"/>
    </row>
    <row r="27" spans="1:6" s="42" customFormat="1" ht="12" customHeight="1" x14ac:dyDescent="0.2">
      <c r="A27" s="61" t="s">
        <v>68</v>
      </c>
      <c r="B27" s="65" t="s">
        <v>69</v>
      </c>
      <c r="C27" s="63"/>
      <c r="D27" s="58"/>
      <c r="E27" s="49"/>
      <c r="F27" s="202"/>
    </row>
    <row r="28" spans="1:6" s="42" customFormat="1" ht="12" customHeight="1" x14ac:dyDescent="0.2">
      <c r="A28" s="78" t="s">
        <v>70</v>
      </c>
      <c r="B28" s="345" t="s">
        <v>29</v>
      </c>
      <c r="C28" s="345"/>
      <c r="D28" s="345"/>
      <c r="E28" s="346"/>
      <c r="F28" s="202"/>
    </row>
    <row r="29" spans="1:6" s="42" customFormat="1" ht="12" customHeight="1" x14ac:dyDescent="0.2">
      <c r="A29" s="44"/>
      <c r="B29" s="71" t="s">
        <v>53</v>
      </c>
      <c r="C29" s="48">
        <f>C17</f>
        <v>175</v>
      </c>
      <c r="D29" s="43" t="s">
        <v>54</v>
      </c>
      <c r="E29" s="47"/>
      <c r="F29" s="202"/>
    </row>
    <row r="30" spans="1:6" s="42" customFormat="1" ht="12" customHeight="1" x14ac:dyDescent="0.2">
      <c r="A30" s="44"/>
      <c r="B30" s="71" t="s">
        <v>55</v>
      </c>
      <c r="C30" s="48">
        <f>C18</f>
        <v>7</v>
      </c>
      <c r="D30" s="43" t="s">
        <v>54</v>
      </c>
      <c r="E30" s="49"/>
      <c r="F30" s="202"/>
    </row>
    <row r="31" spans="1:6" s="42" customFormat="1" ht="12" customHeight="1" x14ac:dyDescent="0.2">
      <c r="A31" s="44"/>
      <c r="B31" s="71" t="s">
        <v>67</v>
      </c>
      <c r="C31" s="50">
        <f>ROUND(C29*C30,2)</f>
        <v>1225</v>
      </c>
      <c r="D31" s="51" t="s">
        <v>19</v>
      </c>
      <c r="E31" s="49"/>
      <c r="F31" s="203">
        <f>C31+C86+C141+C196+C251</f>
        <v>3853</v>
      </c>
    </row>
    <row r="32" spans="1:6" s="42" customFormat="1" ht="12" customHeight="1" x14ac:dyDescent="0.2">
      <c r="A32" s="79"/>
      <c r="B32" s="80"/>
      <c r="C32" s="80"/>
      <c r="D32" s="80"/>
      <c r="E32" s="81"/>
      <c r="F32" s="202"/>
    </row>
    <row r="33" spans="1:6" s="42" customFormat="1" ht="12" customHeight="1" x14ac:dyDescent="0.2">
      <c r="A33" s="61" t="s">
        <v>71</v>
      </c>
      <c r="B33" s="65" t="s">
        <v>72</v>
      </c>
      <c r="C33" s="63"/>
      <c r="D33" s="58"/>
      <c r="E33" s="49"/>
      <c r="F33" s="202"/>
    </row>
    <row r="34" spans="1:6" s="42" customFormat="1" ht="12" customHeight="1" x14ac:dyDescent="0.2">
      <c r="A34" s="78" t="s">
        <v>73</v>
      </c>
      <c r="B34" s="345" t="s">
        <v>74</v>
      </c>
      <c r="C34" s="345"/>
      <c r="D34" s="345"/>
      <c r="E34" s="346"/>
      <c r="F34" s="202"/>
    </row>
    <row r="35" spans="1:6" s="42" customFormat="1" ht="12" customHeight="1" x14ac:dyDescent="0.2">
      <c r="A35" s="44"/>
      <c r="B35" s="71" t="s">
        <v>53</v>
      </c>
      <c r="C35" s="48">
        <f>C17</f>
        <v>175</v>
      </c>
      <c r="D35" s="43" t="s">
        <v>54</v>
      </c>
      <c r="E35" s="47"/>
      <c r="F35" s="202"/>
    </row>
    <row r="36" spans="1:6" s="42" customFormat="1" ht="12" customHeight="1" x14ac:dyDescent="0.2">
      <c r="A36" s="44"/>
      <c r="B36" s="71" t="s">
        <v>56</v>
      </c>
      <c r="C36" s="46">
        <v>2</v>
      </c>
      <c r="D36" s="43" t="s">
        <v>75</v>
      </c>
      <c r="E36" s="347"/>
      <c r="F36" s="202"/>
    </row>
    <row r="37" spans="1:6" s="42" customFormat="1" ht="12" customHeight="1" x14ac:dyDescent="0.2">
      <c r="A37" s="44"/>
      <c r="B37" s="71" t="s">
        <v>76</v>
      </c>
      <c r="C37" s="46">
        <v>0</v>
      </c>
      <c r="D37" s="43" t="s">
        <v>54</v>
      </c>
      <c r="E37" s="347"/>
      <c r="F37" s="202"/>
    </row>
    <row r="38" spans="1:6" s="42" customFormat="1" ht="12" customHeight="1" x14ac:dyDescent="0.2">
      <c r="A38" s="44"/>
      <c r="B38" s="71" t="s">
        <v>77</v>
      </c>
      <c r="C38" s="50">
        <f>ROUND((C35*C36+C37),2)</f>
        <v>350</v>
      </c>
      <c r="D38" s="51" t="s">
        <v>54</v>
      </c>
      <c r="E38" s="49"/>
      <c r="F38" s="203">
        <f>C38+C93+C148+C203+C258</f>
        <v>1226</v>
      </c>
    </row>
    <row r="39" spans="1:6" s="42" customFormat="1" ht="12" customHeight="1" x14ac:dyDescent="0.2">
      <c r="A39" s="79"/>
      <c r="B39" s="80"/>
      <c r="C39" s="80"/>
      <c r="D39" s="80"/>
      <c r="E39" s="81"/>
      <c r="F39" s="202"/>
    </row>
    <row r="40" spans="1:6" s="42" customFormat="1" ht="12" customHeight="1" x14ac:dyDescent="0.2">
      <c r="A40" s="78" t="s">
        <v>78</v>
      </c>
      <c r="B40" s="345" t="s">
        <v>79</v>
      </c>
      <c r="C40" s="345"/>
      <c r="D40" s="345"/>
      <c r="E40" s="346"/>
      <c r="F40" s="202"/>
    </row>
    <row r="41" spans="1:6" s="42" customFormat="1" ht="12" customHeight="1" x14ac:dyDescent="0.2">
      <c r="A41" s="44"/>
      <c r="B41" s="71" t="s">
        <v>53</v>
      </c>
      <c r="C41" s="48">
        <f>C17</f>
        <v>175</v>
      </c>
      <c r="D41" s="43" t="s">
        <v>54</v>
      </c>
      <c r="E41" s="47"/>
      <c r="F41" s="202"/>
    </row>
    <row r="42" spans="1:6" s="42" customFormat="1" ht="12" customHeight="1" x14ac:dyDescent="0.2">
      <c r="A42" s="44"/>
      <c r="B42" s="71" t="s">
        <v>56</v>
      </c>
      <c r="C42" s="48">
        <v>2</v>
      </c>
      <c r="D42" s="43" t="s">
        <v>75</v>
      </c>
      <c r="E42" s="347"/>
      <c r="F42" s="202"/>
    </row>
    <row r="43" spans="1:6" s="42" customFormat="1" ht="12" customHeight="1" x14ac:dyDescent="0.2">
      <c r="A43" s="44"/>
      <c r="B43" s="71" t="s">
        <v>77</v>
      </c>
      <c r="C43" s="50">
        <f>ROUND(C41*C42,2)</f>
        <v>350</v>
      </c>
      <c r="D43" s="51" t="s">
        <v>54</v>
      </c>
      <c r="E43" s="347"/>
      <c r="F43" s="203">
        <f>C43+C98+C153+C208+C263</f>
        <v>1226</v>
      </c>
    </row>
    <row r="44" spans="1:6" s="42" customFormat="1" ht="12" customHeight="1" x14ac:dyDescent="0.2">
      <c r="A44" s="79"/>
      <c r="B44" s="80"/>
      <c r="C44" s="80"/>
      <c r="D44" s="80"/>
      <c r="E44" s="81"/>
      <c r="F44" s="202"/>
    </row>
    <row r="45" spans="1:6" s="42" customFormat="1" ht="12" customHeight="1" x14ac:dyDescent="0.2">
      <c r="A45" s="61" t="s">
        <v>80</v>
      </c>
      <c r="B45" s="65" t="s">
        <v>81</v>
      </c>
      <c r="C45" s="63"/>
      <c r="D45" s="58"/>
      <c r="E45" s="49"/>
      <c r="F45" s="202"/>
    </row>
    <row r="46" spans="1:6" s="42" customFormat="1" ht="12" customHeight="1" x14ac:dyDescent="0.2">
      <c r="A46" s="78" t="s">
        <v>82</v>
      </c>
      <c r="B46" s="345" t="s">
        <v>83</v>
      </c>
      <c r="C46" s="345"/>
      <c r="D46" s="345"/>
      <c r="E46" s="346"/>
      <c r="F46" s="202"/>
    </row>
    <row r="47" spans="1:6" s="42" customFormat="1" ht="12" customHeight="1" x14ac:dyDescent="0.2">
      <c r="A47" s="44"/>
      <c r="B47" s="71" t="s">
        <v>84</v>
      </c>
      <c r="C47" s="48">
        <f>C31</f>
        <v>1225</v>
      </c>
      <c r="D47" s="43" t="s">
        <v>19</v>
      </c>
      <c r="E47" s="47"/>
      <c r="F47" s="202"/>
    </row>
    <row r="48" spans="1:6" s="42" customFormat="1" ht="12" customHeight="1" x14ac:dyDescent="0.2">
      <c r="A48" s="44"/>
      <c r="B48" s="71" t="s">
        <v>85</v>
      </c>
      <c r="C48" s="82">
        <v>4.2000000000000003E-2</v>
      </c>
      <c r="D48" s="43" t="s">
        <v>86</v>
      </c>
      <c r="E48" s="49"/>
      <c r="F48" s="202"/>
    </row>
    <row r="49" spans="1:6" s="42" customFormat="1" ht="12" customHeight="1" x14ac:dyDescent="0.2">
      <c r="A49" s="44"/>
      <c r="B49" s="71" t="s">
        <v>87</v>
      </c>
      <c r="C49" s="48">
        <v>2.52</v>
      </c>
      <c r="D49" s="43" t="s">
        <v>88</v>
      </c>
      <c r="E49" s="49"/>
      <c r="F49" s="202"/>
    </row>
    <row r="50" spans="1:6" s="42" customFormat="1" ht="12" customHeight="1" x14ac:dyDescent="0.2">
      <c r="A50" s="44"/>
      <c r="B50" s="71" t="s">
        <v>89</v>
      </c>
      <c r="C50" s="48">
        <v>1.5</v>
      </c>
      <c r="D50" s="43" t="s">
        <v>90</v>
      </c>
      <c r="E50" s="49"/>
      <c r="F50" s="202"/>
    </row>
    <row r="51" spans="1:6" s="42" customFormat="1" ht="12" customHeight="1" x14ac:dyDescent="0.2">
      <c r="A51" s="44"/>
      <c r="B51" s="71" t="s">
        <v>91</v>
      </c>
      <c r="C51" s="93">
        <v>30</v>
      </c>
      <c r="D51" s="43" t="s">
        <v>92</v>
      </c>
      <c r="E51" s="49"/>
      <c r="F51" s="202"/>
    </row>
    <row r="52" spans="1:6" s="42" customFormat="1" ht="12" customHeight="1" x14ac:dyDescent="0.2">
      <c r="A52" s="44"/>
      <c r="B52" s="65" t="s">
        <v>93</v>
      </c>
      <c r="C52" s="50">
        <f>ROUND(C47*C48*C49*C50*C51,2)</f>
        <v>5834.43</v>
      </c>
      <c r="D52" s="51" t="s">
        <v>94</v>
      </c>
      <c r="E52" s="49"/>
      <c r="F52" s="203">
        <f>C52+C107+C162+C217+C272</f>
        <v>18351.069999999996</v>
      </c>
    </row>
    <row r="53" spans="1:6" s="42" customFormat="1" ht="12" customHeight="1" x14ac:dyDescent="0.2">
      <c r="A53" s="79"/>
      <c r="B53" s="80"/>
      <c r="C53" s="80"/>
      <c r="D53" s="80"/>
      <c r="E53" s="81"/>
      <c r="F53" s="202"/>
    </row>
    <row r="54" spans="1:6" s="42" customFormat="1" ht="12" customHeight="1" x14ac:dyDescent="0.2">
      <c r="A54" s="78" t="s">
        <v>95</v>
      </c>
      <c r="B54" s="345" t="s">
        <v>96</v>
      </c>
      <c r="C54" s="345"/>
      <c r="D54" s="345"/>
      <c r="E54" s="346"/>
      <c r="F54" s="202"/>
    </row>
    <row r="55" spans="1:6" s="42" customFormat="1" ht="12" customHeight="1" x14ac:dyDescent="0.2">
      <c r="A55" s="44"/>
      <c r="B55" s="71" t="s">
        <v>84</v>
      </c>
      <c r="C55" s="48">
        <f>C25</f>
        <v>1225</v>
      </c>
      <c r="D55" s="43" t="s">
        <v>19</v>
      </c>
      <c r="E55" s="83"/>
      <c r="F55" s="202"/>
    </row>
    <row r="56" spans="1:6" s="42" customFormat="1" ht="12" customHeight="1" x14ac:dyDescent="0.2">
      <c r="A56" s="44"/>
      <c r="B56" s="71" t="s">
        <v>85</v>
      </c>
      <c r="C56" s="82">
        <v>4.2000000000000003E-2</v>
      </c>
      <c r="D56" s="43" t="s">
        <v>86</v>
      </c>
      <c r="E56" s="84"/>
      <c r="F56" s="202"/>
    </row>
    <row r="57" spans="1:6" s="42" customFormat="1" ht="12" customHeight="1" x14ac:dyDescent="0.2">
      <c r="A57" s="44"/>
      <c r="B57" s="71" t="s">
        <v>87</v>
      </c>
      <c r="C57" s="48">
        <v>2.52</v>
      </c>
      <c r="D57" s="43" t="s">
        <v>88</v>
      </c>
      <c r="E57" s="84"/>
      <c r="F57" s="202"/>
    </row>
    <row r="58" spans="1:6" s="42" customFormat="1" ht="12" customHeight="1" x14ac:dyDescent="0.2">
      <c r="A58" s="44"/>
      <c r="B58" s="71" t="s">
        <v>89</v>
      </c>
      <c r="C58" s="48">
        <v>1.5</v>
      </c>
      <c r="D58" s="43" t="s">
        <v>90</v>
      </c>
      <c r="E58" s="84"/>
      <c r="F58" s="202"/>
    </row>
    <row r="59" spans="1:6" s="42" customFormat="1" ht="12" customHeight="1" x14ac:dyDescent="0.2">
      <c r="A59" s="44"/>
      <c r="B59" s="71" t="s">
        <v>91</v>
      </c>
      <c r="C59" s="93">
        <f>C19-C51</f>
        <v>5.2000000000000028</v>
      </c>
      <c r="D59" s="43" t="s">
        <v>92</v>
      </c>
      <c r="E59" s="84"/>
      <c r="F59" s="202"/>
    </row>
    <row r="60" spans="1:6" s="42" customFormat="1" ht="12" customHeight="1" x14ac:dyDescent="0.2">
      <c r="A60" s="44"/>
      <c r="B60" s="65" t="s">
        <v>93</v>
      </c>
      <c r="C60" s="50">
        <f>ROUND(C55*C56*C57*C58*C59,2)</f>
        <v>1011.3</v>
      </c>
      <c r="D60" s="51" t="s">
        <v>94</v>
      </c>
      <c r="E60" s="84"/>
      <c r="F60" s="203">
        <f>C60+C115+C170+C225+C280</f>
        <v>3180.8500000000004</v>
      </c>
    </row>
    <row r="61" spans="1:6" s="42" customFormat="1" ht="12" customHeight="1" x14ac:dyDescent="0.2">
      <c r="A61" s="79"/>
      <c r="B61" s="71"/>
      <c r="C61" s="52"/>
      <c r="D61" s="85"/>
      <c r="E61" s="81"/>
      <c r="F61" s="202"/>
    </row>
    <row r="62" spans="1:6" s="42" customFormat="1" ht="12" customHeight="1" x14ac:dyDescent="0.2">
      <c r="A62" s="61" t="s">
        <v>97</v>
      </c>
      <c r="B62" s="65" t="s">
        <v>98</v>
      </c>
      <c r="C62" s="63"/>
      <c r="D62" s="58"/>
      <c r="E62" s="49"/>
      <c r="F62" s="202"/>
    </row>
    <row r="63" spans="1:6" s="42" customFormat="1" ht="12" customHeight="1" x14ac:dyDescent="0.2">
      <c r="A63" s="78" t="s">
        <v>99</v>
      </c>
      <c r="B63" s="345" t="s">
        <v>100</v>
      </c>
      <c r="C63" s="345"/>
      <c r="D63" s="345"/>
      <c r="E63" s="346"/>
      <c r="F63" s="202"/>
    </row>
    <row r="64" spans="1:6" s="42" customFormat="1" ht="12" customHeight="1" x14ac:dyDescent="0.2">
      <c r="A64" s="44"/>
      <c r="B64" s="71" t="s">
        <v>101</v>
      </c>
      <c r="C64" s="48">
        <v>0.23</v>
      </c>
      <c r="D64" s="43" t="s">
        <v>19</v>
      </c>
      <c r="E64" s="47"/>
      <c r="F64" s="202"/>
    </row>
    <row r="65" spans="1:6" s="42" customFormat="1" ht="12" customHeight="1" x14ac:dyDescent="0.2">
      <c r="A65" s="44"/>
      <c r="B65" s="71" t="s">
        <v>102</v>
      </c>
      <c r="C65" s="50">
        <f>C64</f>
        <v>0.23</v>
      </c>
      <c r="D65" s="51" t="s">
        <v>19</v>
      </c>
      <c r="E65" s="49"/>
      <c r="F65" s="203">
        <f>C65+C120+C175+C230+C285</f>
        <v>0.92</v>
      </c>
    </row>
    <row r="66" spans="1:6" s="42" customFormat="1" ht="12" customHeight="1" x14ac:dyDescent="0.2">
      <c r="A66" s="79"/>
      <c r="B66" s="80"/>
      <c r="C66" s="80"/>
      <c r="D66" s="80"/>
      <c r="E66" s="81"/>
      <c r="F66" s="202"/>
    </row>
    <row r="67" spans="1:6" s="42" customFormat="1" ht="12" customHeight="1" x14ac:dyDescent="0.2">
      <c r="A67" s="78" t="s">
        <v>103</v>
      </c>
      <c r="B67" s="345" t="s">
        <v>104</v>
      </c>
      <c r="C67" s="345"/>
      <c r="D67" s="345"/>
      <c r="E67" s="346"/>
      <c r="F67" s="202"/>
    </row>
    <row r="68" spans="1:6" s="42" customFormat="1" ht="12" customHeight="1" x14ac:dyDescent="0.2">
      <c r="A68" s="44"/>
      <c r="B68" s="71" t="s">
        <v>101</v>
      </c>
      <c r="C68" s="48">
        <v>2</v>
      </c>
      <c r="D68" s="43" t="s">
        <v>75</v>
      </c>
      <c r="E68" s="47"/>
      <c r="F68" s="202"/>
    </row>
    <row r="69" spans="1:6" s="42" customFormat="1" ht="12" customHeight="1" x14ac:dyDescent="0.2">
      <c r="A69" s="89"/>
      <c r="B69" s="90" t="s">
        <v>102</v>
      </c>
      <c r="C69" s="50">
        <f>C68</f>
        <v>2</v>
      </c>
      <c r="D69" s="51" t="s">
        <v>75</v>
      </c>
      <c r="E69" s="91"/>
      <c r="F69" s="203">
        <f>C69+C124+C179+C234+C289</f>
        <v>8</v>
      </c>
    </row>
    <row r="70" spans="1:6" s="42" customFormat="1" ht="12" customHeight="1" x14ac:dyDescent="0.2">
      <c r="A70" s="79"/>
      <c r="B70" s="80"/>
      <c r="C70" s="80"/>
      <c r="D70" s="80"/>
      <c r="E70" s="81"/>
      <c r="F70" s="202"/>
    </row>
    <row r="71" spans="1:6" s="42" customFormat="1" ht="12" customHeight="1" x14ac:dyDescent="0.2">
      <c r="A71" s="40"/>
      <c r="B71" s="41" t="str">
        <f>GERAL!A11</f>
        <v>Rua Doze - Loteamento Orgmar Monteiro</v>
      </c>
      <c r="C71" s="342"/>
      <c r="D71" s="343"/>
      <c r="E71" s="344"/>
      <c r="F71" s="202"/>
    </row>
    <row r="72" spans="1:6" s="42" customFormat="1" ht="12" customHeight="1" x14ac:dyDescent="0.2">
      <c r="A72" s="55"/>
      <c r="B72" s="56" t="s">
        <v>61</v>
      </c>
      <c r="C72" s="57">
        <v>175</v>
      </c>
      <c r="D72" s="58" t="s">
        <v>54</v>
      </c>
      <c r="E72" s="49"/>
      <c r="F72" s="202"/>
    </row>
    <row r="73" spans="1:6" s="42" customFormat="1" ht="12" customHeight="1" x14ac:dyDescent="0.2">
      <c r="A73" s="55"/>
      <c r="B73" s="56" t="s">
        <v>62</v>
      </c>
      <c r="C73" s="57">
        <v>6</v>
      </c>
      <c r="D73" s="58" t="s">
        <v>54</v>
      </c>
      <c r="E73" s="49"/>
      <c r="F73" s="202"/>
    </row>
    <row r="74" spans="1:6" s="42" customFormat="1" ht="12" customHeight="1" x14ac:dyDescent="0.2">
      <c r="A74" s="55"/>
      <c r="B74" s="56" t="s">
        <v>63</v>
      </c>
      <c r="C74" s="59">
        <f>C19</f>
        <v>35.200000000000003</v>
      </c>
      <c r="D74" s="58" t="s">
        <v>64</v>
      </c>
      <c r="E74" s="49"/>
      <c r="F74" s="202"/>
    </row>
    <row r="75" spans="1:6" s="42" customFormat="1" ht="12" customHeight="1" x14ac:dyDescent="0.2">
      <c r="A75" s="61"/>
      <c r="B75" s="62"/>
      <c r="C75" s="63"/>
      <c r="D75" s="64"/>
      <c r="E75" s="49"/>
      <c r="F75" s="202"/>
    </row>
    <row r="76" spans="1:6" s="42" customFormat="1" ht="12" customHeight="1" x14ac:dyDescent="0.2">
      <c r="A76" s="61" t="s">
        <v>45</v>
      </c>
      <c r="B76" s="65" t="s">
        <v>65</v>
      </c>
      <c r="C76" s="63"/>
      <c r="D76" s="58"/>
      <c r="E76" s="49"/>
      <c r="F76" s="202"/>
    </row>
    <row r="77" spans="1:6" s="42" customFormat="1" ht="12" customHeight="1" x14ac:dyDescent="0.2">
      <c r="A77" s="66" t="s">
        <v>47</v>
      </c>
      <c r="B77" s="67" t="s">
        <v>66</v>
      </c>
      <c r="C77" s="86"/>
      <c r="D77" s="87"/>
      <c r="E77" s="88"/>
      <c r="F77" s="202"/>
    </row>
    <row r="78" spans="1:6" s="42" customFormat="1" ht="12" customHeight="1" x14ac:dyDescent="0.2">
      <c r="A78" s="44"/>
      <c r="B78" s="71" t="s">
        <v>53</v>
      </c>
      <c r="C78" s="48">
        <f>C72</f>
        <v>175</v>
      </c>
      <c r="D78" s="43" t="s">
        <v>54</v>
      </c>
      <c r="E78" s="47"/>
      <c r="F78" s="202"/>
    </row>
    <row r="79" spans="1:6" s="42" customFormat="1" ht="12" customHeight="1" x14ac:dyDescent="0.2">
      <c r="A79" s="44"/>
      <c r="B79" s="71" t="s">
        <v>55</v>
      </c>
      <c r="C79" s="48">
        <f>C73</f>
        <v>6</v>
      </c>
      <c r="D79" s="43" t="s">
        <v>54</v>
      </c>
      <c r="E79" s="49"/>
      <c r="F79" s="202"/>
    </row>
    <row r="80" spans="1:6" s="42" customFormat="1" ht="12" customHeight="1" x14ac:dyDescent="0.2">
      <c r="A80" s="44"/>
      <c r="B80" s="71" t="s">
        <v>67</v>
      </c>
      <c r="C80" s="50">
        <f>ROUND(C78*C79,2)</f>
        <v>1050</v>
      </c>
      <c r="D80" s="51" t="s">
        <v>19</v>
      </c>
      <c r="E80" s="49"/>
      <c r="F80" s="202"/>
    </row>
    <row r="81" spans="1:6" s="42" customFormat="1" ht="12" customHeight="1" x14ac:dyDescent="0.2">
      <c r="A81" s="74"/>
      <c r="B81" s="75"/>
      <c r="C81" s="53"/>
      <c r="D81" s="76"/>
      <c r="E81" s="77"/>
      <c r="F81" s="202"/>
    </row>
    <row r="82" spans="1:6" s="42" customFormat="1" ht="12" customHeight="1" x14ac:dyDescent="0.2">
      <c r="A82" s="61" t="s">
        <v>68</v>
      </c>
      <c r="B82" s="65" t="s">
        <v>69</v>
      </c>
      <c r="C82" s="63"/>
      <c r="D82" s="58"/>
      <c r="E82" s="49"/>
      <c r="F82" s="202"/>
    </row>
    <row r="83" spans="1:6" s="42" customFormat="1" ht="12" customHeight="1" x14ac:dyDescent="0.2">
      <c r="A83" s="78" t="s">
        <v>70</v>
      </c>
      <c r="B83" s="345" t="s">
        <v>29</v>
      </c>
      <c r="C83" s="345"/>
      <c r="D83" s="345"/>
      <c r="E83" s="346"/>
      <c r="F83" s="202"/>
    </row>
    <row r="84" spans="1:6" s="42" customFormat="1" ht="12" customHeight="1" x14ac:dyDescent="0.2">
      <c r="A84" s="44"/>
      <c r="B84" s="71" t="s">
        <v>53</v>
      </c>
      <c r="C84" s="48">
        <f>C72</f>
        <v>175</v>
      </c>
      <c r="D84" s="43" t="s">
        <v>54</v>
      </c>
      <c r="E84" s="47"/>
      <c r="F84" s="202"/>
    </row>
    <row r="85" spans="1:6" s="42" customFormat="1" ht="12" customHeight="1" x14ac:dyDescent="0.2">
      <c r="A85" s="44"/>
      <c r="B85" s="71" t="s">
        <v>55</v>
      </c>
      <c r="C85" s="48">
        <f>C73</f>
        <v>6</v>
      </c>
      <c r="D85" s="43" t="s">
        <v>54</v>
      </c>
      <c r="E85" s="49"/>
      <c r="F85" s="202"/>
    </row>
    <row r="86" spans="1:6" s="42" customFormat="1" ht="12" customHeight="1" x14ac:dyDescent="0.2">
      <c r="A86" s="44"/>
      <c r="B86" s="71" t="s">
        <v>67</v>
      </c>
      <c r="C86" s="50">
        <f>ROUND(C84*C85,2)</f>
        <v>1050</v>
      </c>
      <c r="D86" s="51" t="s">
        <v>19</v>
      </c>
      <c r="E86" s="49"/>
      <c r="F86" s="202"/>
    </row>
    <row r="87" spans="1:6" s="42" customFormat="1" ht="12" customHeight="1" x14ac:dyDescent="0.2">
      <c r="A87" s="79"/>
      <c r="B87" s="80"/>
      <c r="C87" s="80"/>
      <c r="D87" s="80"/>
      <c r="E87" s="81"/>
      <c r="F87" s="202"/>
    </row>
    <row r="88" spans="1:6" s="42" customFormat="1" ht="12" customHeight="1" x14ac:dyDescent="0.2">
      <c r="A88" s="61" t="s">
        <v>71</v>
      </c>
      <c r="B88" s="65" t="s">
        <v>72</v>
      </c>
      <c r="C88" s="63"/>
      <c r="D88" s="58"/>
      <c r="E88" s="49"/>
      <c r="F88" s="202"/>
    </row>
    <row r="89" spans="1:6" s="42" customFormat="1" ht="12" customHeight="1" x14ac:dyDescent="0.2">
      <c r="A89" s="78" t="s">
        <v>73</v>
      </c>
      <c r="B89" s="345" t="s">
        <v>74</v>
      </c>
      <c r="C89" s="345"/>
      <c r="D89" s="345"/>
      <c r="E89" s="346"/>
      <c r="F89" s="202"/>
    </row>
    <row r="90" spans="1:6" s="42" customFormat="1" ht="12" customHeight="1" x14ac:dyDescent="0.2">
      <c r="A90" s="44"/>
      <c r="B90" s="71" t="s">
        <v>53</v>
      </c>
      <c r="C90" s="48">
        <f>C72</f>
        <v>175</v>
      </c>
      <c r="D90" s="43" t="s">
        <v>54</v>
      </c>
      <c r="E90" s="47"/>
      <c r="F90" s="202"/>
    </row>
    <row r="91" spans="1:6" s="42" customFormat="1" ht="12" customHeight="1" x14ac:dyDescent="0.2">
      <c r="A91" s="44"/>
      <c r="B91" s="71" t="s">
        <v>56</v>
      </c>
      <c r="C91" s="46">
        <v>2</v>
      </c>
      <c r="D91" s="43" t="s">
        <v>75</v>
      </c>
      <c r="E91" s="347"/>
      <c r="F91" s="202"/>
    </row>
    <row r="92" spans="1:6" s="42" customFormat="1" ht="12" customHeight="1" x14ac:dyDescent="0.2">
      <c r="A92" s="44"/>
      <c r="B92" s="71" t="s">
        <v>76</v>
      </c>
      <c r="C92" s="46">
        <v>0</v>
      </c>
      <c r="D92" s="43" t="s">
        <v>54</v>
      </c>
      <c r="E92" s="347"/>
      <c r="F92" s="202"/>
    </row>
    <row r="93" spans="1:6" s="42" customFormat="1" ht="12" customHeight="1" x14ac:dyDescent="0.2">
      <c r="A93" s="44"/>
      <c r="B93" s="71" t="s">
        <v>77</v>
      </c>
      <c r="C93" s="50">
        <f>ROUND((C90*C91+C92),2)</f>
        <v>350</v>
      </c>
      <c r="D93" s="51" t="s">
        <v>54</v>
      </c>
      <c r="E93" s="49"/>
      <c r="F93" s="202"/>
    </row>
    <row r="94" spans="1:6" s="42" customFormat="1" ht="12" customHeight="1" x14ac:dyDescent="0.2">
      <c r="A94" s="79"/>
      <c r="B94" s="80"/>
      <c r="C94" s="80"/>
      <c r="D94" s="80"/>
      <c r="E94" s="81"/>
      <c r="F94" s="202"/>
    </row>
    <row r="95" spans="1:6" s="42" customFormat="1" ht="12" customHeight="1" x14ac:dyDescent="0.2">
      <c r="A95" s="78" t="s">
        <v>78</v>
      </c>
      <c r="B95" s="345" t="s">
        <v>79</v>
      </c>
      <c r="C95" s="345"/>
      <c r="D95" s="345"/>
      <c r="E95" s="346"/>
      <c r="F95" s="202"/>
    </row>
    <row r="96" spans="1:6" s="42" customFormat="1" ht="12" customHeight="1" x14ac:dyDescent="0.2">
      <c r="A96" s="44"/>
      <c r="B96" s="71" t="s">
        <v>53</v>
      </c>
      <c r="C96" s="48">
        <f>C72</f>
        <v>175</v>
      </c>
      <c r="D96" s="43" t="s">
        <v>54</v>
      </c>
      <c r="E96" s="47"/>
      <c r="F96" s="202"/>
    </row>
    <row r="97" spans="1:6" s="42" customFormat="1" ht="12" customHeight="1" x14ac:dyDescent="0.2">
      <c r="A97" s="44"/>
      <c r="B97" s="71" t="s">
        <v>56</v>
      </c>
      <c r="C97" s="48">
        <v>2</v>
      </c>
      <c r="D97" s="43" t="s">
        <v>75</v>
      </c>
      <c r="E97" s="347"/>
      <c r="F97" s="202"/>
    </row>
    <row r="98" spans="1:6" s="42" customFormat="1" ht="12" customHeight="1" x14ac:dyDescent="0.2">
      <c r="A98" s="44"/>
      <c r="B98" s="71" t="s">
        <v>77</v>
      </c>
      <c r="C98" s="50">
        <f>ROUND(C96*C97,2)</f>
        <v>350</v>
      </c>
      <c r="D98" s="51" t="s">
        <v>54</v>
      </c>
      <c r="E98" s="347"/>
      <c r="F98" s="202"/>
    </row>
    <row r="99" spans="1:6" s="42" customFormat="1" ht="12" customHeight="1" x14ac:dyDescent="0.2">
      <c r="A99" s="79"/>
      <c r="B99" s="80"/>
      <c r="C99" s="80"/>
      <c r="D99" s="80"/>
      <c r="E99" s="81"/>
      <c r="F99" s="202"/>
    </row>
    <row r="100" spans="1:6" s="42" customFormat="1" ht="12" customHeight="1" x14ac:dyDescent="0.2">
      <c r="A100" s="61" t="s">
        <v>80</v>
      </c>
      <c r="B100" s="65" t="s">
        <v>81</v>
      </c>
      <c r="C100" s="63"/>
      <c r="D100" s="58"/>
      <c r="E100" s="49"/>
      <c r="F100" s="202"/>
    </row>
    <row r="101" spans="1:6" s="42" customFormat="1" ht="12" customHeight="1" x14ac:dyDescent="0.2">
      <c r="A101" s="78" t="s">
        <v>82</v>
      </c>
      <c r="B101" s="345" t="s">
        <v>83</v>
      </c>
      <c r="C101" s="345"/>
      <c r="D101" s="345"/>
      <c r="E101" s="346"/>
      <c r="F101" s="202"/>
    </row>
    <row r="102" spans="1:6" s="42" customFormat="1" ht="12" customHeight="1" x14ac:dyDescent="0.2">
      <c r="A102" s="44"/>
      <c r="B102" s="71" t="s">
        <v>84</v>
      </c>
      <c r="C102" s="48">
        <f>C80</f>
        <v>1050</v>
      </c>
      <c r="D102" s="43" t="s">
        <v>19</v>
      </c>
      <c r="E102" s="47"/>
      <c r="F102" s="202"/>
    </row>
    <row r="103" spans="1:6" s="42" customFormat="1" ht="12" customHeight="1" x14ac:dyDescent="0.2">
      <c r="A103" s="44"/>
      <c r="B103" s="71" t="s">
        <v>85</v>
      </c>
      <c r="C103" s="82">
        <v>4.2000000000000003E-2</v>
      </c>
      <c r="D103" s="43" t="s">
        <v>86</v>
      </c>
      <c r="E103" s="49"/>
      <c r="F103" s="202"/>
    </row>
    <row r="104" spans="1:6" s="42" customFormat="1" ht="12" customHeight="1" x14ac:dyDescent="0.2">
      <c r="A104" s="44"/>
      <c r="B104" s="71" t="s">
        <v>87</v>
      </c>
      <c r="C104" s="48">
        <v>2.52</v>
      </c>
      <c r="D104" s="43" t="s">
        <v>88</v>
      </c>
      <c r="E104" s="49"/>
      <c r="F104" s="202"/>
    </row>
    <row r="105" spans="1:6" s="42" customFormat="1" ht="12" customHeight="1" x14ac:dyDescent="0.2">
      <c r="A105" s="44"/>
      <c r="B105" s="71" t="s">
        <v>89</v>
      </c>
      <c r="C105" s="48">
        <v>1.5</v>
      </c>
      <c r="D105" s="43" t="s">
        <v>90</v>
      </c>
      <c r="E105" s="49"/>
      <c r="F105" s="202"/>
    </row>
    <row r="106" spans="1:6" s="42" customFormat="1" ht="12" customHeight="1" x14ac:dyDescent="0.2">
      <c r="A106" s="44"/>
      <c r="B106" s="71" t="s">
        <v>91</v>
      </c>
      <c r="C106" s="48">
        <v>30</v>
      </c>
      <c r="D106" s="43" t="s">
        <v>92</v>
      </c>
      <c r="E106" s="49"/>
      <c r="F106" s="202"/>
    </row>
    <row r="107" spans="1:6" s="42" customFormat="1" ht="12" customHeight="1" x14ac:dyDescent="0.2">
      <c r="A107" s="44"/>
      <c r="B107" s="65" t="s">
        <v>93</v>
      </c>
      <c r="C107" s="50">
        <f>ROUND(C102*C103*C104*C105*C106,2)</f>
        <v>5000.9399999999996</v>
      </c>
      <c r="D107" s="51" t="s">
        <v>94</v>
      </c>
      <c r="E107" s="49"/>
      <c r="F107" s="202"/>
    </row>
    <row r="108" spans="1:6" s="42" customFormat="1" ht="12" customHeight="1" x14ac:dyDescent="0.2">
      <c r="A108" s="79"/>
      <c r="B108" s="80"/>
      <c r="C108" s="80"/>
      <c r="D108" s="80"/>
      <c r="E108" s="81"/>
      <c r="F108" s="202"/>
    </row>
    <row r="109" spans="1:6" s="42" customFormat="1" ht="12" customHeight="1" x14ac:dyDescent="0.2">
      <c r="A109" s="78" t="s">
        <v>95</v>
      </c>
      <c r="B109" s="345" t="s">
        <v>96</v>
      </c>
      <c r="C109" s="345"/>
      <c r="D109" s="345"/>
      <c r="E109" s="346"/>
      <c r="F109" s="202"/>
    </row>
    <row r="110" spans="1:6" s="42" customFormat="1" ht="12" customHeight="1" x14ac:dyDescent="0.2">
      <c r="A110" s="44"/>
      <c r="B110" s="71" t="s">
        <v>84</v>
      </c>
      <c r="C110" s="48">
        <f>C102</f>
        <v>1050</v>
      </c>
      <c r="D110" s="43" t="s">
        <v>19</v>
      </c>
      <c r="E110" s="83"/>
      <c r="F110" s="202"/>
    </row>
    <row r="111" spans="1:6" s="42" customFormat="1" ht="12" customHeight="1" x14ac:dyDescent="0.2">
      <c r="A111" s="44"/>
      <c r="B111" s="71" t="s">
        <v>85</v>
      </c>
      <c r="C111" s="82">
        <v>4.2000000000000003E-2</v>
      </c>
      <c r="D111" s="43" t="s">
        <v>86</v>
      </c>
      <c r="E111" s="84"/>
      <c r="F111" s="202"/>
    </row>
    <row r="112" spans="1:6" s="42" customFormat="1" ht="12" customHeight="1" x14ac:dyDescent="0.2">
      <c r="A112" s="44"/>
      <c r="B112" s="71" t="s">
        <v>87</v>
      </c>
      <c r="C112" s="48">
        <v>2.52</v>
      </c>
      <c r="D112" s="43" t="s">
        <v>88</v>
      </c>
      <c r="E112" s="84"/>
      <c r="F112" s="202"/>
    </row>
    <row r="113" spans="1:6" s="42" customFormat="1" ht="12" customHeight="1" x14ac:dyDescent="0.2">
      <c r="A113" s="44"/>
      <c r="B113" s="71" t="s">
        <v>89</v>
      </c>
      <c r="C113" s="48">
        <v>1.5</v>
      </c>
      <c r="D113" s="43" t="s">
        <v>90</v>
      </c>
      <c r="E113" s="84"/>
      <c r="F113" s="202"/>
    </row>
    <row r="114" spans="1:6" s="42" customFormat="1" ht="12" customHeight="1" x14ac:dyDescent="0.2">
      <c r="A114" s="44"/>
      <c r="B114" s="71" t="s">
        <v>91</v>
      </c>
      <c r="C114" s="48">
        <f>-C106+C74</f>
        <v>5.2000000000000028</v>
      </c>
      <c r="D114" s="43" t="s">
        <v>92</v>
      </c>
      <c r="E114" s="84"/>
      <c r="F114" s="202"/>
    </row>
    <row r="115" spans="1:6" s="42" customFormat="1" ht="12" customHeight="1" x14ac:dyDescent="0.2">
      <c r="A115" s="44"/>
      <c r="B115" s="65" t="s">
        <v>93</v>
      </c>
      <c r="C115" s="50">
        <f>ROUND(C110*C111*C112*C113*C114,2)</f>
        <v>866.83</v>
      </c>
      <c r="D115" s="51" t="s">
        <v>94</v>
      </c>
      <c r="E115" s="84"/>
      <c r="F115" s="202"/>
    </row>
    <row r="116" spans="1:6" s="42" customFormat="1" ht="12" customHeight="1" x14ac:dyDescent="0.2">
      <c r="A116" s="79"/>
      <c r="B116" s="71"/>
      <c r="C116" s="52"/>
      <c r="D116" s="85"/>
      <c r="E116" s="81"/>
      <c r="F116" s="202"/>
    </row>
    <row r="117" spans="1:6" s="42" customFormat="1" ht="12" customHeight="1" x14ac:dyDescent="0.2">
      <c r="A117" s="61" t="s">
        <v>97</v>
      </c>
      <c r="B117" s="65" t="s">
        <v>98</v>
      </c>
      <c r="C117" s="63"/>
      <c r="D117" s="58"/>
      <c r="E117" s="49"/>
      <c r="F117" s="202"/>
    </row>
    <row r="118" spans="1:6" s="42" customFormat="1" ht="12" customHeight="1" x14ac:dyDescent="0.2">
      <c r="A118" s="78" t="s">
        <v>99</v>
      </c>
      <c r="B118" s="345" t="s">
        <v>100</v>
      </c>
      <c r="C118" s="345"/>
      <c r="D118" s="345"/>
      <c r="E118" s="346"/>
      <c r="F118" s="202"/>
    </row>
    <row r="119" spans="1:6" s="42" customFormat="1" ht="12" customHeight="1" x14ac:dyDescent="0.2">
      <c r="A119" s="44"/>
      <c r="B119" s="71" t="s">
        <v>101</v>
      </c>
      <c r="C119" s="48">
        <v>0.23</v>
      </c>
      <c r="D119" s="43" t="s">
        <v>19</v>
      </c>
      <c r="E119" s="47"/>
      <c r="F119" s="202"/>
    </row>
    <row r="120" spans="1:6" s="42" customFormat="1" ht="12" customHeight="1" x14ac:dyDescent="0.2">
      <c r="A120" s="44"/>
      <c r="B120" s="71" t="s">
        <v>102</v>
      </c>
      <c r="C120" s="50">
        <f>C119</f>
        <v>0.23</v>
      </c>
      <c r="D120" s="51" t="s">
        <v>19</v>
      </c>
      <c r="E120" s="49"/>
      <c r="F120" s="202"/>
    </row>
    <row r="121" spans="1:6" s="42" customFormat="1" ht="12" customHeight="1" x14ac:dyDescent="0.2">
      <c r="A121" s="79"/>
      <c r="B121" s="80"/>
      <c r="C121" s="80"/>
      <c r="D121" s="80"/>
      <c r="E121" s="81"/>
      <c r="F121" s="202"/>
    </row>
    <row r="122" spans="1:6" s="42" customFormat="1" ht="12" customHeight="1" x14ac:dyDescent="0.2">
      <c r="A122" s="78" t="s">
        <v>103</v>
      </c>
      <c r="B122" s="345" t="s">
        <v>104</v>
      </c>
      <c r="C122" s="345"/>
      <c r="D122" s="345"/>
      <c r="E122" s="346"/>
      <c r="F122" s="202"/>
    </row>
    <row r="123" spans="1:6" s="42" customFormat="1" ht="12" customHeight="1" x14ac:dyDescent="0.2">
      <c r="A123" s="44"/>
      <c r="B123" s="71" t="s">
        <v>101</v>
      </c>
      <c r="C123" s="48">
        <v>2</v>
      </c>
      <c r="D123" s="43" t="s">
        <v>75</v>
      </c>
      <c r="E123" s="47"/>
      <c r="F123" s="202"/>
    </row>
    <row r="124" spans="1:6" s="42" customFormat="1" ht="12" customHeight="1" x14ac:dyDescent="0.2">
      <c r="A124" s="44"/>
      <c r="B124" s="71" t="s">
        <v>102</v>
      </c>
      <c r="C124" s="50">
        <f>C123</f>
        <v>2</v>
      </c>
      <c r="D124" s="51" t="s">
        <v>75</v>
      </c>
      <c r="E124" s="49"/>
      <c r="F124" s="202"/>
    </row>
    <row r="125" spans="1:6" s="42" customFormat="1" ht="12" customHeight="1" x14ac:dyDescent="0.2">
      <c r="A125" s="79"/>
      <c r="B125" s="80"/>
      <c r="C125" s="80"/>
      <c r="D125" s="80"/>
      <c r="E125" s="81"/>
      <c r="F125" s="202"/>
    </row>
    <row r="126" spans="1:6" s="42" customFormat="1" ht="12" customHeight="1" x14ac:dyDescent="0.2">
      <c r="A126" s="40"/>
      <c r="B126" s="41" t="str">
        <f>GERAL!A12</f>
        <v>Cabeça de Rua - Rua Doze - Loteamento Orgmar Monteiro</v>
      </c>
      <c r="C126" s="342"/>
      <c r="D126" s="343"/>
      <c r="E126" s="344"/>
      <c r="F126" s="202"/>
    </row>
    <row r="127" spans="1:6" s="42" customFormat="1" ht="12" customHeight="1" x14ac:dyDescent="0.2">
      <c r="A127" s="55"/>
      <c r="B127" s="56" t="s">
        <v>61</v>
      </c>
      <c r="C127" s="57">
        <v>6</v>
      </c>
      <c r="D127" s="58" t="s">
        <v>54</v>
      </c>
      <c r="E127" s="49"/>
      <c r="F127" s="202"/>
    </row>
    <row r="128" spans="1:6" s="42" customFormat="1" ht="12" customHeight="1" x14ac:dyDescent="0.2">
      <c r="A128" s="55"/>
      <c r="B128" s="56" t="s">
        <v>62</v>
      </c>
      <c r="C128" s="57">
        <v>6</v>
      </c>
      <c r="D128" s="58" t="s">
        <v>54</v>
      </c>
      <c r="E128" s="49"/>
      <c r="F128" s="202"/>
    </row>
    <row r="129" spans="1:6" s="42" customFormat="1" ht="12" customHeight="1" x14ac:dyDescent="0.2">
      <c r="A129" s="55"/>
      <c r="B129" s="56" t="s">
        <v>63</v>
      </c>
      <c r="C129" s="59">
        <f>C19</f>
        <v>35.200000000000003</v>
      </c>
      <c r="D129" s="58" t="s">
        <v>64</v>
      </c>
      <c r="E129" s="49"/>
      <c r="F129" s="202"/>
    </row>
    <row r="130" spans="1:6" s="42" customFormat="1" ht="12" customHeight="1" x14ac:dyDescent="0.2">
      <c r="A130" s="61"/>
      <c r="B130" s="62"/>
      <c r="C130" s="63"/>
      <c r="D130" s="64"/>
      <c r="E130" s="49"/>
      <c r="F130" s="202"/>
    </row>
    <row r="131" spans="1:6" s="42" customFormat="1" ht="12" customHeight="1" x14ac:dyDescent="0.2">
      <c r="A131" s="61" t="s">
        <v>45</v>
      </c>
      <c r="B131" s="65" t="s">
        <v>65</v>
      </c>
      <c r="C131" s="63"/>
      <c r="D131" s="58"/>
      <c r="E131" s="49"/>
      <c r="F131" s="202"/>
    </row>
    <row r="132" spans="1:6" s="42" customFormat="1" ht="12" customHeight="1" x14ac:dyDescent="0.2">
      <c r="A132" s="66" t="s">
        <v>47</v>
      </c>
      <c r="B132" s="67" t="s">
        <v>66</v>
      </c>
      <c r="C132" s="86"/>
      <c r="D132" s="87"/>
      <c r="E132" s="88"/>
      <c r="F132" s="202"/>
    </row>
    <row r="133" spans="1:6" s="42" customFormat="1" ht="12" customHeight="1" x14ac:dyDescent="0.2">
      <c r="A133" s="44"/>
      <c r="B133" s="71" t="s">
        <v>53</v>
      </c>
      <c r="C133" s="48">
        <f>C127</f>
        <v>6</v>
      </c>
      <c r="D133" s="43" t="s">
        <v>54</v>
      </c>
      <c r="E133" s="47"/>
      <c r="F133" s="202"/>
    </row>
    <row r="134" spans="1:6" s="42" customFormat="1" ht="12" customHeight="1" x14ac:dyDescent="0.2">
      <c r="A134" s="44"/>
      <c r="B134" s="71" t="s">
        <v>55</v>
      </c>
      <c r="C134" s="48">
        <f>C128</f>
        <v>6</v>
      </c>
      <c r="D134" s="43" t="s">
        <v>54</v>
      </c>
      <c r="E134" s="49"/>
      <c r="F134" s="202"/>
    </row>
    <row r="135" spans="1:6" s="42" customFormat="1" ht="12" customHeight="1" x14ac:dyDescent="0.2">
      <c r="A135" s="44"/>
      <c r="B135" s="71" t="s">
        <v>67</v>
      </c>
      <c r="C135" s="50">
        <f>ROUND(C133*C134,2)</f>
        <v>36</v>
      </c>
      <c r="D135" s="51" t="s">
        <v>19</v>
      </c>
      <c r="E135" s="49"/>
      <c r="F135" s="202"/>
    </row>
    <row r="136" spans="1:6" s="42" customFormat="1" ht="12" customHeight="1" x14ac:dyDescent="0.2">
      <c r="A136" s="74"/>
      <c r="B136" s="75"/>
      <c r="C136" s="53"/>
      <c r="D136" s="76"/>
      <c r="E136" s="77"/>
      <c r="F136" s="202"/>
    </row>
    <row r="137" spans="1:6" s="42" customFormat="1" ht="12" customHeight="1" x14ac:dyDescent="0.2">
      <c r="A137" s="61" t="s">
        <v>68</v>
      </c>
      <c r="B137" s="65" t="s">
        <v>69</v>
      </c>
      <c r="C137" s="63"/>
      <c r="D137" s="58"/>
      <c r="E137" s="49"/>
      <c r="F137" s="202"/>
    </row>
    <row r="138" spans="1:6" s="42" customFormat="1" ht="12" customHeight="1" x14ac:dyDescent="0.2">
      <c r="A138" s="78" t="s">
        <v>70</v>
      </c>
      <c r="B138" s="345" t="s">
        <v>29</v>
      </c>
      <c r="C138" s="345"/>
      <c r="D138" s="345"/>
      <c r="E138" s="346"/>
      <c r="F138" s="202"/>
    </row>
    <row r="139" spans="1:6" s="42" customFormat="1" ht="12" customHeight="1" x14ac:dyDescent="0.2">
      <c r="A139" s="44"/>
      <c r="B139" s="71" t="s">
        <v>53</v>
      </c>
      <c r="C139" s="48">
        <f>C127</f>
        <v>6</v>
      </c>
      <c r="D139" s="43" t="s">
        <v>54</v>
      </c>
      <c r="E139" s="47"/>
      <c r="F139" s="202"/>
    </row>
    <row r="140" spans="1:6" s="42" customFormat="1" ht="12" customHeight="1" x14ac:dyDescent="0.2">
      <c r="A140" s="44"/>
      <c r="B140" s="71" t="s">
        <v>55</v>
      </c>
      <c r="C140" s="48">
        <f>C128</f>
        <v>6</v>
      </c>
      <c r="D140" s="43" t="s">
        <v>54</v>
      </c>
      <c r="E140" s="49"/>
      <c r="F140" s="202"/>
    </row>
    <row r="141" spans="1:6" s="42" customFormat="1" ht="12" customHeight="1" x14ac:dyDescent="0.2">
      <c r="A141" s="44"/>
      <c r="B141" s="71" t="s">
        <v>67</v>
      </c>
      <c r="C141" s="50">
        <f>ROUND(C139*C140,2)</f>
        <v>36</v>
      </c>
      <c r="D141" s="51" t="s">
        <v>19</v>
      </c>
      <c r="E141" s="49"/>
      <c r="F141" s="202"/>
    </row>
    <row r="142" spans="1:6" s="42" customFormat="1" ht="12" customHeight="1" x14ac:dyDescent="0.2">
      <c r="A142" s="79"/>
      <c r="B142" s="80"/>
      <c r="C142" s="80"/>
      <c r="D142" s="80"/>
      <c r="E142" s="81"/>
      <c r="F142" s="202"/>
    </row>
    <row r="143" spans="1:6" s="42" customFormat="1" ht="12" customHeight="1" x14ac:dyDescent="0.2">
      <c r="A143" s="61" t="s">
        <v>71</v>
      </c>
      <c r="B143" s="65" t="s">
        <v>72</v>
      </c>
      <c r="C143" s="63"/>
      <c r="D143" s="58"/>
      <c r="E143" s="49"/>
      <c r="F143" s="202"/>
    </row>
    <row r="144" spans="1:6" s="42" customFormat="1" ht="12" customHeight="1" x14ac:dyDescent="0.2">
      <c r="A144" s="78" t="s">
        <v>73</v>
      </c>
      <c r="B144" s="345" t="s">
        <v>74</v>
      </c>
      <c r="C144" s="345"/>
      <c r="D144" s="345"/>
      <c r="E144" s="346"/>
      <c r="F144" s="202"/>
    </row>
    <row r="145" spans="1:6" s="42" customFormat="1" ht="12" customHeight="1" x14ac:dyDescent="0.2">
      <c r="A145" s="44"/>
      <c r="B145" s="71" t="s">
        <v>53</v>
      </c>
      <c r="C145" s="48">
        <f>C133</f>
        <v>6</v>
      </c>
      <c r="D145" s="43" t="s">
        <v>54</v>
      </c>
      <c r="E145" s="47"/>
      <c r="F145" s="202"/>
    </row>
    <row r="146" spans="1:6" s="42" customFormat="1" ht="12" customHeight="1" x14ac:dyDescent="0.2">
      <c r="A146" s="44"/>
      <c r="B146" s="71" t="s">
        <v>56</v>
      </c>
      <c r="C146" s="46">
        <v>2</v>
      </c>
      <c r="D146" s="43" t="s">
        <v>75</v>
      </c>
      <c r="E146" s="347"/>
      <c r="F146" s="202"/>
    </row>
    <row r="147" spans="1:6" s="42" customFormat="1" ht="12" customHeight="1" x14ac:dyDescent="0.2">
      <c r="A147" s="44"/>
      <c r="B147" s="71" t="s">
        <v>76</v>
      </c>
      <c r="C147" s="46">
        <v>0</v>
      </c>
      <c r="D147" s="43" t="s">
        <v>54</v>
      </c>
      <c r="E147" s="347"/>
      <c r="F147" s="202"/>
    </row>
    <row r="148" spans="1:6" s="42" customFormat="1" ht="12" customHeight="1" x14ac:dyDescent="0.2">
      <c r="A148" s="44"/>
      <c r="B148" s="71" t="s">
        <v>77</v>
      </c>
      <c r="C148" s="50">
        <f>ROUND((C145*C146+C147),2)</f>
        <v>12</v>
      </c>
      <c r="D148" s="51" t="s">
        <v>54</v>
      </c>
      <c r="E148" s="49"/>
      <c r="F148" s="202"/>
    </row>
    <row r="149" spans="1:6" s="42" customFormat="1" ht="12" customHeight="1" x14ac:dyDescent="0.2">
      <c r="A149" s="79"/>
      <c r="B149" s="80"/>
      <c r="C149" s="80"/>
      <c r="D149" s="80"/>
      <c r="E149" s="81"/>
      <c r="F149" s="202"/>
    </row>
    <row r="150" spans="1:6" s="42" customFormat="1" ht="12" customHeight="1" x14ac:dyDescent="0.2">
      <c r="A150" s="78" t="s">
        <v>78</v>
      </c>
      <c r="B150" s="345" t="s">
        <v>79</v>
      </c>
      <c r="C150" s="345"/>
      <c r="D150" s="345"/>
      <c r="E150" s="346"/>
      <c r="F150" s="202"/>
    </row>
    <row r="151" spans="1:6" s="42" customFormat="1" ht="12" customHeight="1" x14ac:dyDescent="0.2">
      <c r="A151" s="44"/>
      <c r="B151" s="71" t="s">
        <v>53</v>
      </c>
      <c r="C151" s="48">
        <f>C145</f>
        <v>6</v>
      </c>
      <c r="D151" s="43" t="s">
        <v>54</v>
      </c>
      <c r="E151" s="47"/>
      <c r="F151" s="202"/>
    </row>
    <row r="152" spans="1:6" s="42" customFormat="1" ht="12" customHeight="1" x14ac:dyDescent="0.2">
      <c r="A152" s="44"/>
      <c r="B152" s="71" t="s">
        <v>56</v>
      </c>
      <c r="C152" s="48">
        <v>2</v>
      </c>
      <c r="D152" s="43" t="s">
        <v>75</v>
      </c>
      <c r="E152" s="347"/>
      <c r="F152" s="202"/>
    </row>
    <row r="153" spans="1:6" s="42" customFormat="1" ht="12" customHeight="1" x14ac:dyDescent="0.2">
      <c r="A153" s="44"/>
      <c r="B153" s="71" t="s">
        <v>77</v>
      </c>
      <c r="C153" s="50">
        <f>ROUND(C151*C152,2)</f>
        <v>12</v>
      </c>
      <c r="D153" s="51" t="s">
        <v>54</v>
      </c>
      <c r="E153" s="347"/>
      <c r="F153" s="202"/>
    </row>
    <row r="154" spans="1:6" s="42" customFormat="1" ht="12" customHeight="1" x14ac:dyDescent="0.2">
      <c r="A154" s="79"/>
      <c r="B154" s="80"/>
      <c r="C154" s="80"/>
      <c r="D154" s="80"/>
      <c r="E154" s="81"/>
      <c r="F154" s="202"/>
    </row>
    <row r="155" spans="1:6" s="42" customFormat="1" ht="12" customHeight="1" x14ac:dyDescent="0.2">
      <c r="A155" s="61" t="s">
        <v>80</v>
      </c>
      <c r="B155" s="65" t="s">
        <v>81</v>
      </c>
      <c r="C155" s="63"/>
      <c r="D155" s="58"/>
      <c r="E155" s="49"/>
      <c r="F155" s="202"/>
    </row>
    <row r="156" spans="1:6" s="42" customFormat="1" ht="12" customHeight="1" x14ac:dyDescent="0.2">
      <c r="A156" s="78" t="s">
        <v>82</v>
      </c>
      <c r="B156" s="345" t="s">
        <v>83</v>
      </c>
      <c r="C156" s="345"/>
      <c r="D156" s="345"/>
      <c r="E156" s="346"/>
      <c r="F156" s="202"/>
    </row>
    <row r="157" spans="1:6" s="42" customFormat="1" ht="12" customHeight="1" x14ac:dyDescent="0.2">
      <c r="A157" s="44"/>
      <c r="B157" s="71" t="s">
        <v>84</v>
      </c>
      <c r="C157" s="48">
        <f>C141</f>
        <v>36</v>
      </c>
      <c r="D157" s="43" t="s">
        <v>19</v>
      </c>
      <c r="E157" s="47"/>
      <c r="F157" s="202"/>
    </row>
    <row r="158" spans="1:6" s="42" customFormat="1" ht="12" customHeight="1" x14ac:dyDescent="0.2">
      <c r="A158" s="44"/>
      <c r="B158" s="71" t="s">
        <v>85</v>
      </c>
      <c r="C158" s="82">
        <v>4.2000000000000003E-2</v>
      </c>
      <c r="D158" s="43" t="s">
        <v>86</v>
      </c>
      <c r="E158" s="49"/>
      <c r="F158" s="202"/>
    </row>
    <row r="159" spans="1:6" s="42" customFormat="1" ht="12" customHeight="1" x14ac:dyDescent="0.2">
      <c r="A159" s="44"/>
      <c r="B159" s="71" t="s">
        <v>87</v>
      </c>
      <c r="C159" s="48">
        <v>2.52</v>
      </c>
      <c r="D159" s="43" t="s">
        <v>88</v>
      </c>
      <c r="E159" s="49"/>
      <c r="F159" s="202"/>
    </row>
    <row r="160" spans="1:6" s="42" customFormat="1" ht="12" customHeight="1" x14ac:dyDescent="0.2">
      <c r="A160" s="44"/>
      <c r="B160" s="71" t="s">
        <v>89</v>
      </c>
      <c r="C160" s="48">
        <v>1.5</v>
      </c>
      <c r="D160" s="43" t="s">
        <v>90</v>
      </c>
      <c r="E160" s="49"/>
      <c r="F160" s="202"/>
    </row>
    <row r="161" spans="1:6" s="42" customFormat="1" ht="12" customHeight="1" x14ac:dyDescent="0.2">
      <c r="A161" s="44"/>
      <c r="B161" s="71" t="s">
        <v>91</v>
      </c>
      <c r="C161" s="48">
        <v>30</v>
      </c>
      <c r="D161" s="43" t="s">
        <v>92</v>
      </c>
      <c r="E161" s="49"/>
      <c r="F161" s="202"/>
    </row>
    <row r="162" spans="1:6" s="42" customFormat="1" ht="12" customHeight="1" x14ac:dyDescent="0.2">
      <c r="A162" s="44"/>
      <c r="B162" s="65" t="s">
        <v>93</v>
      </c>
      <c r="C162" s="50">
        <f>ROUND(C157*C158*C159*C160*C161,2)</f>
        <v>171.46</v>
      </c>
      <c r="D162" s="51" t="s">
        <v>94</v>
      </c>
      <c r="E162" s="49"/>
      <c r="F162" s="202"/>
    </row>
    <row r="163" spans="1:6" s="42" customFormat="1" ht="12" customHeight="1" x14ac:dyDescent="0.2">
      <c r="A163" s="79"/>
      <c r="B163" s="80"/>
      <c r="C163" s="80"/>
      <c r="D163" s="80"/>
      <c r="E163" s="81"/>
      <c r="F163" s="202"/>
    </row>
    <row r="164" spans="1:6" s="42" customFormat="1" ht="12" customHeight="1" x14ac:dyDescent="0.2">
      <c r="A164" s="78" t="s">
        <v>95</v>
      </c>
      <c r="B164" s="345" t="s">
        <v>96</v>
      </c>
      <c r="C164" s="345"/>
      <c r="D164" s="345"/>
      <c r="E164" s="346"/>
      <c r="F164" s="202"/>
    </row>
    <row r="165" spans="1:6" s="42" customFormat="1" ht="12" customHeight="1" x14ac:dyDescent="0.2">
      <c r="A165" s="44"/>
      <c r="B165" s="71" t="s">
        <v>84</v>
      </c>
      <c r="C165" s="48">
        <f>C157</f>
        <v>36</v>
      </c>
      <c r="D165" s="43" t="s">
        <v>19</v>
      </c>
      <c r="E165" s="83"/>
      <c r="F165" s="202"/>
    </row>
    <row r="166" spans="1:6" s="42" customFormat="1" ht="12" customHeight="1" x14ac:dyDescent="0.2">
      <c r="A166" s="44"/>
      <c r="B166" s="71" t="s">
        <v>85</v>
      </c>
      <c r="C166" s="82">
        <v>4.2000000000000003E-2</v>
      </c>
      <c r="D166" s="43" t="s">
        <v>86</v>
      </c>
      <c r="E166" s="84"/>
      <c r="F166" s="202"/>
    </row>
    <row r="167" spans="1:6" s="42" customFormat="1" ht="12" customHeight="1" x14ac:dyDescent="0.2">
      <c r="A167" s="44"/>
      <c r="B167" s="71" t="s">
        <v>87</v>
      </c>
      <c r="C167" s="48">
        <v>2.52</v>
      </c>
      <c r="D167" s="43" t="s">
        <v>88</v>
      </c>
      <c r="E167" s="84"/>
      <c r="F167" s="202"/>
    </row>
    <row r="168" spans="1:6" s="42" customFormat="1" ht="12" customHeight="1" x14ac:dyDescent="0.2">
      <c r="A168" s="44"/>
      <c r="B168" s="71" t="s">
        <v>89</v>
      </c>
      <c r="C168" s="48">
        <v>1.5</v>
      </c>
      <c r="D168" s="43" t="s">
        <v>90</v>
      </c>
      <c r="E168" s="84"/>
      <c r="F168" s="202"/>
    </row>
    <row r="169" spans="1:6" s="42" customFormat="1" ht="12" customHeight="1" x14ac:dyDescent="0.2">
      <c r="A169" s="44"/>
      <c r="B169" s="71" t="s">
        <v>91</v>
      </c>
      <c r="C169" s="48">
        <f>C129-C161</f>
        <v>5.2000000000000028</v>
      </c>
      <c r="D169" s="43" t="s">
        <v>92</v>
      </c>
      <c r="E169" s="84"/>
      <c r="F169" s="202"/>
    </row>
    <row r="170" spans="1:6" s="42" customFormat="1" ht="12" customHeight="1" x14ac:dyDescent="0.2">
      <c r="A170" s="44"/>
      <c r="B170" s="65" t="s">
        <v>93</v>
      </c>
      <c r="C170" s="50">
        <f>ROUND(C165*C166*C167*C168*C169,2)</f>
        <v>29.72</v>
      </c>
      <c r="D170" s="51" t="s">
        <v>94</v>
      </c>
      <c r="E170" s="84"/>
      <c r="F170" s="202"/>
    </row>
    <row r="171" spans="1:6" s="42" customFormat="1" ht="12" customHeight="1" x14ac:dyDescent="0.2">
      <c r="A171" s="79"/>
      <c r="B171" s="71"/>
      <c r="C171" s="52"/>
      <c r="D171" s="85"/>
      <c r="E171" s="81"/>
      <c r="F171" s="202"/>
    </row>
    <row r="172" spans="1:6" s="42" customFormat="1" ht="12" customHeight="1" x14ac:dyDescent="0.2">
      <c r="A172" s="61" t="s">
        <v>97</v>
      </c>
      <c r="B172" s="65" t="s">
        <v>98</v>
      </c>
      <c r="C172" s="63"/>
      <c r="D172" s="58"/>
      <c r="E172" s="49"/>
      <c r="F172" s="202"/>
    </row>
    <row r="173" spans="1:6" s="42" customFormat="1" ht="12" customHeight="1" x14ac:dyDescent="0.2">
      <c r="A173" s="78" t="s">
        <v>99</v>
      </c>
      <c r="B173" s="345" t="s">
        <v>100</v>
      </c>
      <c r="C173" s="345"/>
      <c r="D173" s="345"/>
      <c r="E173" s="346"/>
      <c r="F173" s="202"/>
    </row>
    <row r="174" spans="1:6" s="42" customFormat="1" ht="12" customHeight="1" x14ac:dyDescent="0.2">
      <c r="A174" s="44"/>
      <c r="B174" s="71" t="s">
        <v>101</v>
      </c>
      <c r="C174" s="93">
        <v>0</v>
      </c>
      <c r="D174" s="43" t="s">
        <v>19</v>
      </c>
      <c r="E174" s="47"/>
      <c r="F174" s="202"/>
    </row>
    <row r="175" spans="1:6" s="42" customFormat="1" ht="12" customHeight="1" x14ac:dyDescent="0.2">
      <c r="A175" s="44"/>
      <c r="B175" s="71" t="s">
        <v>102</v>
      </c>
      <c r="C175" s="50">
        <f>C174</f>
        <v>0</v>
      </c>
      <c r="D175" s="51" t="s">
        <v>19</v>
      </c>
      <c r="E175" s="49"/>
      <c r="F175" s="202"/>
    </row>
    <row r="176" spans="1:6" s="42" customFormat="1" ht="12" customHeight="1" x14ac:dyDescent="0.2">
      <c r="A176" s="79"/>
      <c r="B176" s="80"/>
      <c r="C176" s="80"/>
      <c r="D176" s="80"/>
      <c r="E176" s="81"/>
      <c r="F176" s="202"/>
    </row>
    <row r="177" spans="1:6" s="42" customFormat="1" ht="12" customHeight="1" x14ac:dyDescent="0.2">
      <c r="A177" s="78" t="s">
        <v>103</v>
      </c>
      <c r="B177" s="345" t="s">
        <v>104</v>
      </c>
      <c r="C177" s="345"/>
      <c r="D177" s="345"/>
      <c r="E177" s="346"/>
      <c r="F177" s="202"/>
    </row>
    <row r="178" spans="1:6" s="42" customFormat="1" ht="12" customHeight="1" x14ac:dyDescent="0.2">
      <c r="A178" s="44"/>
      <c r="B178" s="71" t="s">
        <v>101</v>
      </c>
      <c r="C178" s="93">
        <v>0</v>
      </c>
      <c r="D178" s="43" t="s">
        <v>75</v>
      </c>
      <c r="E178" s="47"/>
      <c r="F178" s="202"/>
    </row>
    <row r="179" spans="1:6" s="42" customFormat="1" ht="12" customHeight="1" x14ac:dyDescent="0.2">
      <c r="A179" s="44"/>
      <c r="B179" s="71" t="s">
        <v>102</v>
      </c>
      <c r="C179" s="50">
        <f>C178</f>
        <v>0</v>
      </c>
      <c r="D179" s="51" t="s">
        <v>75</v>
      </c>
      <c r="E179" s="49"/>
      <c r="F179" s="202"/>
    </row>
    <row r="180" spans="1:6" s="42" customFormat="1" ht="12" customHeight="1" x14ac:dyDescent="0.2">
      <c r="A180" s="79"/>
      <c r="B180" s="80"/>
      <c r="C180" s="80"/>
      <c r="D180" s="80"/>
      <c r="E180" s="81"/>
      <c r="F180" s="202"/>
    </row>
    <row r="181" spans="1:6" s="42" customFormat="1" ht="12" customHeight="1" x14ac:dyDescent="0.2">
      <c r="A181" s="40"/>
      <c r="B181" s="41" t="str">
        <f>GERAL!A13</f>
        <v>Rua São José - Trecho 01</v>
      </c>
      <c r="C181" s="342"/>
      <c r="D181" s="343"/>
      <c r="E181" s="344"/>
      <c r="F181" s="202"/>
    </row>
    <row r="182" spans="1:6" s="42" customFormat="1" ht="12" customHeight="1" x14ac:dyDescent="0.2">
      <c r="A182" s="55"/>
      <c r="B182" s="56" t="s">
        <v>61</v>
      </c>
      <c r="C182" s="57">
        <v>135</v>
      </c>
      <c r="D182" s="58" t="s">
        <v>54</v>
      </c>
      <c r="E182" s="49"/>
      <c r="F182" s="202"/>
    </row>
    <row r="183" spans="1:6" s="42" customFormat="1" ht="12" customHeight="1" x14ac:dyDescent="0.2">
      <c r="A183" s="55"/>
      <c r="B183" s="56" t="s">
        <v>62</v>
      </c>
      <c r="C183" s="57">
        <v>6</v>
      </c>
      <c r="D183" s="58" t="s">
        <v>54</v>
      </c>
      <c r="E183" s="49"/>
      <c r="F183" s="202"/>
    </row>
    <row r="184" spans="1:6" s="42" customFormat="1" ht="12" customHeight="1" x14ac:dyDescent="0.2">
      <c r="A184" s="55"/>
      <c r="B184" s="56" t="s">
        <v>63</v>
      </c>
      <c r="C184" s="59">
        <f>C19</f>
        <v>35.200000000000003</v>
      </c>
      <c r="D184" s="58" t="s">
        <v>64</v>
      </c>
      <c r="E184" s="49"/>
      <c r="F184" s="202"/>
    </row>
    <row r="185" spans="1:6" s="42" customFormat="1" ht="12" customHeight="1" x14ac:dyDescent="0.2">
      <c r="A185" s="61"/>
      <c r="B185" s="62"/>
      <c r="C185" s="63"/>
      <c r="D185" s="64"/>
      <c r="E185" s="49"/>
      <c r="F185" s="202"/>
    </row>
    <row r="186" spans="1:6" s="42" customFormat="1" ht="12" customHeight="1" x14ac:dyDescent="0.2">
      <c r="A186" s="61" t="s">
        <v>45</v>
      </c>
      <c r="B186" s="65" t="s">
        <v>65</v>
      </c>
      <c r="C186" s="63"/>
      <c r="D186" s="58"/>
      <c r="E186" s="49"/>
      <c r="F186" s="202"/>
    </row>
    <row r="187" spans="1:6" s="42" customFormat="1" ht="12" customHeight="1" x14ac:dyDescent="0.2">
      <c r="A187" s="66" t="s">
        <v>47</v>
      </c>
      <c r="B187" s="67" t="s">
        <v>66</v>
      </c>
      <c r="C187" s="86"/>
      <c r="D187" s="87"/>
      <c r="E187" s="88"/>
      <c r="F187" s="202"/>
    </row>
    <row r="188" spans="1:6" s="42" customFormat="1" ht="12" customHeight="1" x14ac:dyDescent="0.2">
      <c r="A188" s="44"/>
      <c r="B188" s="71" t="s">
        <v>53</v>
      </c>
      <c r="C188" s="48">
        <f>C182</f>
        <v>135</v>
      </c>
      <c r="D188" s="43" t="s">
        <v>54</v>
      </c>
      <c r="E188" s="47"/>
      <c r="F188" s="202"/>
    </row>
    <row r="189" spans="1:6" s="42" customFormat="1" ht="12" customHeight="1" x14ac:dyDescent="0.2">
      <c r="A189" s="44"/>
      <c r="B189" s="71" t="s">
        <v>55</v>
      </c>
      <c r="C189" s="48">
        <f>C183</f>
        <v>6</v>
      </c>
      <c r="D189" s="43" t="s">
        <v>54</v>
      </c>
      <c r="E189" s="49"/>
      <c r="F189" s="202"/>
    </row>
    <row r="190" spans="1:6" s="42" customFormat="1" ht="12" customHeight="1" x14ac:dyDescent="0.2">
      <c r="A190" s="44"/>
      <c r="B190" s="71" t="s">
        <v>67</v>
      </c>
      <c r="C190" s="50">
        <f>ROUND(C188*C189,2)</f>
        <v>810</v>
      </c>
      <c r="D190" s="51" t="s">
        <v>19</v>
      </c>
      <c r="E190" s="49"/>
      <c r="F190" s="202"/>
    </row>
    <row r="191" spans="1:6" s="42" customFormat="1" ht="12" customHeight="1" x14ac:dyDescent="0.2">
      <c r="A191" s="74"/>
      <c r="B191" s="75"/>
      <c r="C191" s="53"/>
      <c r="D191" s="76"/>
      <c r="E191" s="77"/>
      <c r="F191" s="202"/>
    </row>
    <row r="192" spans="1:6" s="42" customFormat="1" ht="12" customHeight="1" x14ac:dyDescent="0.2">
      <c r="A192" s="61" t="s">
        <v>68</v>
      </c>
      <c r="B192" s="65" t="s">
        <v>69</v>
      </c>
      <c r="C192" s="63"/>
      <c r="D192" s="58"/>
      <c r="E192" s="49"/>
      <c r="F192" s="202"/>
    </row>
    <row r="193" spans="1:6" s="42" customFormat="1" ht="12" customHeight="1" x14ac:dyDescent="0.2">
      <c r="A193" s="78" t="s">
        <v>70</v>
      </c>
      <c r="B193" s="345" t="s">
        <v>29</v>
      </c>
      <c r="C193" s="345"/>
      <c r="D193" s="345"/>
      <c r="E193" s="346"/>
      <c r="F193" s="202"/>
    </row>
    <row r="194" spans="1:6" s="42" customFormat="1" ht="12" customHeight="1" x14ac:dyDescent="0.2">
      <c r="A194" s="44"/>
      <c r="B194" s="71" t="s">
        <v>53</v>
      </c>
      <c r="C194" s="48">
        <f>C182</f>
        <v>135</v>
      </c>
      <c r="D194" s="43" t="s">
        <v>54</v>
      </c>
      <c r="E194" s="47"/>
      <c r="F194" s="202"/>
    </row>
    <row r="195" spans="1:6" s="42" customFormat="1" ht="12" customHeight="1" x14ac:dyDescent="0.2">
      <c r="A195" s="44"/>
      <c r="B195" s="71" t="s">
        <v>55</v>
      </c>
      <c r="C195" s="48">
        <f>C183</f>
        <v>6</v>
      </c>
      <c r="D195" s="43" t="s">
        <v>54</v>
      </c>
      <c r="E195" s="49"/>
      <c r="F195" s="202"/>
    </row>
    <row r="196" spans="1:6" s="42" customFormat="1" ht="12" customHeight="1" x14ac:dyDescent="0.2">
      <c r="A196" s="44"/>
      <c r="B196" s="71" t="s">
        <v>67</v>
      </c>
      <c r="C196" s="50">
        <f>ROUND(C194*C195,2)</f>
        <v>810</v>
      </c>
      <c r="D196" s="51" t="s">
        <v>19</v>
      </c>
      <c r="E196" s="49"/>
      <c r="F196" s="202"/>
    </row>
    <row r="197" spans="1:6" s="42" customFormat="1" ht="12" customHeight="1" x14ac:dyDescent="0.2">
      <c r="A197" s="79"/>
      <c r="B197" s="80"/>
      <c r="C197" s="80"/>
      <c r="D197" s="80"/>
      <c r="E197" s="81"/>
      <c r="F197" s="202"/>
    </row>
    <row r="198" spans="1:6" s="42" customFormat="1" ht="12" customHeight="1" x14ac:dyDescent="0.2">
      <c r="A198" s="61" t="s">
        <v>71</v>
      </c>
      <c r="B198" s="65" t="s">
        <v>72</v>
      </c>
      <c r="C198" s="63"/>
      <c r="D198" s="58"/>
      <c r="E198" s="49"/>
      <c r="F198" s="202"/>
    </row>
    <row r="199" spans="1:6" s="42" customFormat="1" ht="12" customHeight="1" x14ac:dyDescent="0.2">
      <c r="A199" s="78" t="s">
        <v>73</v>
      </c>
      <c r="B199" s="345" t="s">
        <v>74</v>
      </c>
      <c r="C199" s="345"/>
      <c r="D199" s="345"/>
      <c r="E199" s="346"/>
      <c r="F199" s="202"/>
    </row>
    <row r="200" spans="1:6" s="42" customFormat="1" ht="12" customHeight="1" x14ac:dyDescent="0.2">
      <c r="A200" s="44"/>
      <c r="B200" s="71" t="s">
        <v>53</v>
      </c>
      <c r="C200" s="48">
        <f>C188</f>
        <v>135</v>
      </c>
      <c r="D200" s="43" t="s">
        <v>54</v>
      </c>
      <c r="E200" s="47"/>
      <c r="F200" s="202"/>
    </row>
    <row r="201" spans="1:6" s="42" customFormat="1" ht="12" customHeight="1" x14ac:dyDescent="0.2">
      <c r="A201" s="44"/>
      <c r="B201" s="71" t="s">
        <v>56</v>
      </c>
      <c r="C201" s="46">
        <v>2</v>
      </c>
      <c r="D201" s="43" t="s">
        <v>75</v>
      </c>
      <c r="E201" s="347"/>
      <c r="F201" s="202"/>
    </row>
    <row r="202" spans="1:6" s="42" customFormat="1" ht="12" customHeight="1" x14ac:dyDescent="0.2">
      <c r="A202" s="44"/>
      <c r="B202" s="71" t="s">
        <v>76</v>
      </c>
      <c r="C202" s="46">
        <v>0</v>
      </c>
      <c r="D202" s="43" t="s">
        <v>54</v>
      </c>
      <c r="E202" s="347"/>
      <c r="F202" s="202"/>
    </row>
    <row r="203" spans="1:6" s="42" customFormat="1" ht="12" customHeight="1" x14ac:dyDescent="0.2">
      <c r="A203" s="44"/>
      <c r="B203" s="71" t="s">
        <v>77</v>
      </c>
      <c r="C203" s="50">
        <f>ROUND((C200*C201+C202),2)</f>
        <v>270</v>
      </c>
      <c r="D203" s="51" t="s">
        <v>54</v>
      </c>
      <c r="E203" s="49"/>
      <c r="F203" s="202"/>
    </row>
    <row r="204" spans="1:6" s="42" customFormat="1" ht="12" customHeight="1" x14ac:dyDescent="0.2">
      <c r="A204" s="79"/>
      <c r="B204" s="80"/>
      <c r="C204" s="80"/>
      <c r="D204" s="80"/>
      <c r="E204" s="81"/>
      <c r="F204" s="202"/>
    </row>
    <row r="205" spans="1:6" s="42" customFormat="1" ht="12" customHeight="1" x14ac:dyDescent="0.2">
      <c r="A205" s="78" t="s">
        <v>78</v>
      </c>
      <c r="B205" s="345" t="s">
        <v>79</v>
      </c>
      <c r="C205" s="345"/>
      <c r="D205" s="345"/>
      <c r="E205" s="346"/>
      <c r="F205" s="202"/>
    </row>
    <row r="206" spans="1:6" s="42" customFormat="1" ht="12" customHeight="1" x14ac:dyDescent="0.2">
      <c r="A206" s="44"/>
      <c r="B206" s="71" t="s">
        <v>53</v>
      </c>
      <c r="C206" s="48">
        <f>C200</f>
        <v>135</v>
      </c>
      <c r="D206" s="43" t="s">
        <v>54</v>
      </c>
      <c r="E206" s="47"/>
      <c r="F206" s="202"/>
    </row>
    <row r="207" spans="1:6" s="42" customFormat="1" ht="12" customHeight="1" x14ac:dyDescent="0.2">
      <c r="A207" s="44"/>
      <c r="B207" s="71" t="s">
        <v>56</v>
      </c>
      <c r="C207" s="48">
        <v>2</v>
      </c>
      <c r="D207" s="43" t="s">
        <v>75</v>
      </c>
      <c r="E207" s="347"/>
      <c r="F207" s="202"/>
    </row>
    <row r="208" spans="1:6" s="42" customFormat="1" ht="12" customHeight="1" x14ac:dyDescent="0.2">
      <c r="A208" s="44"/>
      <c r="B208" s="71" t="s">
        <v>77</v>
      </c>
      <c r="C208" s="50">
        <f>ROUND(C206*C207,2)</f>
        <v>270</v>
      </c>
      <c r="D208" s="51" t="s">
        <v>54</v>
      </c>
      <c r="E208" s="347"/>
      <c r="F208" s="202"/>
    </row>
    <row r="209" spans="1:6" s="42" customFormat="1" ht="12" customHeight="1" x14ac:dyDescent="0.2">
      <c r="A209" s="79"/>
      <c r="B209" s="80"/>
      <c r="C209" s="80"/>
      <c r="D209" s="80"/>
      <c r="E209" s="81"/>
      <c r="F209" s="202"/>
    </row>
    <row r="210" spans="1:6" s="42" customFormat="1" ht="12" customHeight="1" x14ac:dyDescent="0.2">
      <c r="A210" s="61" t="s">
        <v>80</v>
      </c>
      <c r="B210" s="65" t="s">
        <v>81</v>
      </c>
      <c r="C210" s="63"/>
      <c r="D210" s="58"/>
      <c r="E210" s="49"/>
      <c r="F210" s="202"/>
    </row>
    <row r="211" spans="1:6" s="42" customFormat="1" ht="12" customHeight="1" x14ac:dyDescent="0.2">
      <c r="A211" s="78" t="s">
        <v>82</v>
      </c>
      <c r="B211" s="345" t="s">
        <v>83</v>
      </c>
      <c r="C211" s="345"/>
      <c r="D211" s="345"/>
      <c r="E211" s="346"/>
      <c r="F211" s="202"/>
    </row>
    <row r="212" spans="1:6" s="42" customFormat="1" ht="12" customHeight="1" x14ac:dyDescent="0.2">
      <c r="A212" s="44"/>
      <c r="B212" s="71" t="s">
        <v>84</v>
      </c>
      <c r="C212" s="48">
        <f>C196</f>
        <v>810</v>
      </c>
      <c r="D212" s="43" t="s">
        <v>19</v>
      </c>
      <c r="E212" s="47"/>
      <c r="F212" s="202"/>
    </row>
    <row r="213" spans="1:6" s="42" customFormat="1" ht="12" customHeight="1" x14ac:dyDescent="0.2">
      <c r="A213" s="44"/>
      <c r="B213" s="71" t="s">
        <v>85</v>
      </c>
      <c r="C213" s="82">
        <v>4.2000000000000003E-2</v>
      </c>
      <c r="D213" s="43" t="s">
        <v>86</v>
      </c>
      <c r="E213" s="49"/>
      <c r="F213" s="202"/>
    </row>
    <row r="214" spans="1:6" s="42" customFormat="1" ht="12" customHeight="1" x14ac:dyDescent="0.2">
      <c r="A214" s="44"/>
      <c r="B214" s="71" t="s">
        <v>87</v>
      </c>
      <c r="C214" s="48">
        <v>2.52</v>
      </c>
      <c r="D214" s="43" t="s">
        <v>88</v>
      </c>
      <c r="E214" s="49"/>
      <c r="F214" s="202"/>
    </row>
    <row r="215" spans="1:6" s="42" customFormat="1" ht="12" customHeight="1" x14ac:dyDescent="0.2">
      <c r="A215" s="44"/>
      <c r="B215" s="71" t="s">
        <v>89</v>
      </c>
      <c r="C215" s="48">
        <v>1.5</v>
      </c>
      <c r="D215" s="43" t="s">
        <v>90</v>
      </c>
      <c r="E215" s="49"/>
      <c r="F215" s="202"/>
    </row>
    <row r="216" spans="1:6" s="42" customFormat="1" ht="12" customHeight="1" x14ac:dyDescent="0.2">
      <c r="A216" s="44"/>
      <c r="B216" s="71" t="s">
        <v>91</v>
      </c>
      <c r="C216" s="48">
        <v>30</v>
      </c>
      <c r="D216" s="43" t="s">
        <v>92</v>
      </c>
      <c r="E216" s="49"/>
      <c r="F216" s="202"/>
    </row>
    <row r="217" spans="1:6" s="42" customFormat="1" ht="12" customHeight="1" x14ac:dyDescent="0.2">
      <c r="A217" s="44"/>
      <c r="B217" s="65" t="s">
        <v>93</v>
      </c>
      <c r="C217" s="50">
        <f>ROUND(C212*C213*C214*C215*C216,2)</f>
        <v>3857.87</v>
      </c>
      <c r="D217" s="51" t="s">
        <v>94</v>
      </c>
      <c r="E217" s="49"/>
      <c r="F217" s="202"/>
    </row>
    <row r="218" spans="1:6" s="42" customFormat="1" ht="12" customHeight="1" x14ac:dyDescent="0.2">
      <c r="A218" s="79"/>
      <c r="B218" s="80"/>
      <c r="C218" s="80"/>
      <c r="D218" s="80"/>
      <c r="E218" s="81"/>
      <c r="F218" s="202"/>
    </row>
    <row r="219" spans="1:6" s="42" customFormat="1" ht="12" customHeight="1" x14ac:dyDescent="0.2">
      <c r="A219" s="78" t="s">
        <v>95</v>
      </c>
      <c r="B219" s="345" t="s">
        <v>96</v>
      </c>
      <c r="C219" s="345"/>
      <c r="D219" s="345"/>
      <c r="E219" s="346"/>
      <c r="F219" s="202"/>
    </row>
    <row r="220" spans="1:6" s="42" customFormat="1" ht="12" customHeight="1" x14ac:dyDescent="0.2">
      <c r="A220" s="44"/>
      <c r="B220" s="71" t="s">
        <v>84</v>
      </c>
      <c r="C220" s="48">
        <f>C212</f>
        <v>810</v>
      </c>
      <c r="D220" s="43" t="s">
        <v>19</v>
      </c>
      <c r="E220" s="83"/>
      <c r="F220" s="202"/>
    </row>
    <row r="221" spans="1:6" s="42" customFormat="1" ht="12" customHeight="1" x14ac:dyDescent="0.2">
      <c r="A221" s="44"/>
      <c r="B221" s="71" t="s">
        <v>85</v>
      </c>
      <c r="C221" s="82">
        <v>4.2000000000000003E-2</v>
      </c>
      <c r="D221" s="43" t="s">
        <v>86</v>
      </c>
      <c r="E221" s="84"/>
      <c r="F221" s="202"/>
    </row>
    <row r="222" spans="1:6" s="42" customFormat="1" ht="12" customHeight="1" x14ac:dyDescent="0.2">
      <c r="A222" s="44"/>
      <c r="B222" s="71" t="s">
        <v>87</v>
      </c>
      <c r="C222" s="48">
        <v>2.52</v>
      </c>
      <c r="D222" s="43" t="s">
        <v>88</v>
      </c>
      <c r="E222" s="84"/>
      <c r="F222" s="202"/>
    </row>
    <row r="223" spans="1:6" s="42" customFormat="1" ht="12" customHeight="1" x14ac:dyDescent="0.2">
      <c r="A223" s="44"/>
      <c r="B223" s="71" t="s">
        <v>89</v>
      </c>
      <c r="C223" s="48">
        <v>1.5</v>
      </c>
      <c r="D223" s="43" t="s">
        <v>90</v>
      </c>
      <c r="E223" s="84"/>
      <c r="F223" s="202"/>
    </row>
    <row r="224" spans="1:6" s="42" customFormat="1" ht="12" customHeight="1" x14ac:dyDescent="0.2">
      <c r="A224" s="44"/>
      <c r="B224" s="71" t="s">
        <v>91</v>
      </c>
      <c r="C224" s="48">
        <f>C184-C216</f>
        <v>5.2000000000000028</v>
      </c>
      <c r="D224" s="43" t="s">
        <v>92</v>
      </c>
      <c r="E224" s="84"/>
      <c r="F224" s="202"/>
    </row>
    <row r="225" spans="1:6" s="42" customFormat="1" ht="12" customHeight="1" x14ac:dyDescent="0.2">
      <c r="A225" s="44"/>
      <c r="B225" s="65" t="s">
        <v>93</v>
      </c>
      <c r="C225" s="50">
        <f>ROUND(C220*C221*C222*C223*C224,2)</f>
        <v>668.7</v>
      </c>
      <c r="D225" s="51" t="s">
        <v>94</v>
      </c>
      <c r="E225" s="84"/>
      <c r="F225" s="202"/>
    </row>
    <row r="226" spans="1:6" s="42" customFormat="1" ht="12" customHeight="1" x14ac:dyDescent="0.2">
      <c r="A226" s="79"/>
      <c r="B226" s="71"/>
      <c r="C226" s="52"/>
      <c r="D226" s="85"/>
      <c r="E226" s="81"/>
      <c r="F226" s="202"/>
    </row>
    <row r="227" spans="1:6" s="42" customFormat="1" ht="12" customHeight="1" x14ac:dyDescent="0.2">
      <c r="A227" s="61" t="s">
        <v>97</v>
      </c>
      <c r="B227" s="65" t="s">
        <v>98</v>
      </c>
      <c r="C227" s="63"/>
      <c r="D227" s="58"/>
      <c r="E227" s="49"/>
      <c r="F227" s="202"/>
    </row>
    <row r="228" spans="1:6" s="42" customFormat="1" ht="12" customHeight="1" x14ac:dyDescent="0.2">
      <c r="A228" s="78" t="s">
        <v>99</v>
      </c>
      <c r="B228" s="345" t="s">
        <v>100</v>
      </c>
      <c r="C228" s="345"/>
      <c r="D228" s="345"/>
      <c r="E228" s="346"/>
      <c r="F228" s="202"/>
    </row>
    <row r="229" spans="1:6" s="42" customFormat="1" ht="12" customHeight="1" x14ac:dyDescent="0.2">
      <c r="A229" s="44"/>
      <c r="B229" s="71" t="s">
        <v>101</v>
      </c>
      <c r="C229" s="48">
        <v>0.23</v>
      </c>
      <c r="D229" s="43" t="s">
        <v>19</v>
      </c>
      <c r="E229" s="47"/>
      <c r="F229" s="202"/>
    </row>
    <row r="230" spans="1:6" s="42" customFormat="1" ht="12" customHeight="1" x14ac:dyDescent="0.2">
      <c r="A230" s="44"/>
      <c r="B230" s="71" t="s">
        <v>102</v>
      </c>
      <c r="C230" s="50">
        <f>C229</f>
        <v>0.23</v>
      </c>
      <c r="D230" s="51" t="s">
        <v>19</v>
      </c>
      <c r="E230" s="49"/>
      <c r="F230" s="202"/>
    </row>
    <row r="231" spans="1:6" s="42" customFormat="1" ht="12" customHeight="1" x14ac:dyDescent="0.2">
      <c r="A231" s="79"/>
      <c r="B231" s="80"/>
      <c r="C231" s="80"/>
      <c r="D231" s="80"/>
      <c r="E231" s="81"/>
      <c r="F231" s="202"/>
    </row>
    <row r="232" spans="1:6" s="42" customFormat="1" ht="12" customHeight="1" x14ac:dyDescent="0.2">
      <c r="A232" s="78" t="s">
        <v>103</v>
      </c>
      <c r="B232" s="345" t="s">
        <v>104</v>
      </c>
      <c r="C232" s="345"/>
      <c r="D232" s="345"/>
      <c r="E232" s="346"/>
      <c r="F232" s="202"/>
    </row>
    <row r="233" spans="1:6" s="42" customFormat="1" ht="12" customHeight="1" x14ac:dyDescent="0.2">
      <c r="A233" s="44"/>
      <c r="B233" s="71" t="s">
        <v>101</v>
      </c>
      <c r="C233" s="48">
        <v>2</v>
      </c>
      <c r="D233" s="43" t="s">
        <v>75</v>
      </c>
      <c r="E233" s="47"/>
      <c r="F233" s="202"/>
    </row>
    <row r="234" spans="1:6" s="42" customFormat="1" ht="12" customHeight="1" x14ac:dyDescent="0.2">
      <c r="A234" s="44"/>
      <c r="B234" s="71" t="s">
        <v>102</v>
      </c>
      <c r="C234" s="50">
        <f>C233</f>
        <v>2</v>
      </c>
      <c r="D234" s="51" t="s">
        <v>75</v>
      </c>
      <c r="E234" s="49"/>
      <c r="F234" s="202"/>
    </row>
    <row r="235" spans="1:6" s="42" customFormat="1" ht="12" customHeight="1" x14ac:dyDescent="0.2">
      <c r="A235" s="79"/>
      <c r="B235" s="80"/>
      <c r="C235" s="80"/>
      <c r="D235" s="80"/>
      <c r="E235" s="81"/>
      <c r="F235" s="202"/>
    </row>
    <row r="236" spans="1:6" s="42" customFormat="1" ht="12" customHeight="1" x14ac:dyDescent="0.2">
      <c r="A236" s="40"/>
      <c r="B236" s="41" t="str">
        <f>GERAL!A14</f>
        <v>Rua São José - Trecho 02</v>
      </c>
      <c r="C236" s="342"/>
      <c r="D236" s="343"/>
      <c r="E236" s="344"/>
      <c r="F236" s="202"/>
    </row>
    <row r="237" spans="1:6" s="42" customFormat="1" ht="12" customHeight="1" x14ac:dyDescent="0.2">
      <c r="A237" s="55"/>
      <c r="B237" s="56" t="s">
        <v>61</v>
      </c>
      <c r="C237" s="57">
        <v>122</v>
      </c>
      <c r="D237" s="58" t="s">
        <v>54</v>
      </c>
      <c r="E237" s="49"/>
      <c r="F237" s="202"/>
    </row>
    <row r="238" spans="1:6" s="42" customFormat="1" ht="12" customHeight="1" x14ac:dyDescent="0.2">
      <c r="A238" s="55"/>
      <c r="B238" s="56" t="s">
        <v>62</v>
      </c>
      <c r="C238" s="57">
        <v>6</v>
      </c>
      <c r="D238" s="58" t="s">
        <v>54</v>
      </c>
      <c r="E238" s="49"/>
      <c r="F238" s="202"/>
    </row>
    <row r="239" spans="1:6" s="42" customFormat="1" ht="12" customHeight="1" x14ac:dyDescent="0.2">
      <c r="A239" s="55"/>
      <c r="B239" s="56" t="s">
        <v>63</v>
      </c>
      <c r="C239" s="59">
        <f>C19</f>
        <v>35.200000000000003</v>
      </c>
      <c r="D239" s="58" t="s">
        <v>64</v>
      </c>
      <c r="E239" s="49"/>
      <c r="F239" s="202"/>
    </row>
    <row r="240" spans="1:6" s="42" customFormat="1" ht="12" customHeight="1" x14ac:dyDescent="0.2">
      <c r="A240" s="61"/>
      <c r="B240" s="62"/>
      <c r="C240" s="63"/>
      <c r="D240" s="64"/>
      <c r="E240" s="49"/>
      <c r="F240" s="202"/>
    </row>
    <row r="241" spans="1:6" s="42" customFormat="1" ht="12" customHeight="1" x14ac:dyDescent="0.2">
      <c r="A241" s="61" t="s">
        <v>45</v>
      </c>
      <c r="B241" s="65" t="s">
        <v>65</v>
      </c>
      <c r="C241" s="63"/>
      <c r="D241" s="58"/>
      <c r="E241" s="49"/>
      <c r="F241" s="202"/>
    </row>
    <row r="242" spans="1:6" s="42" customFormat="1" ht="12" customHeight="1" x14ac:dyDescent="0.2">
      <c r="A242" s="66" t="s">
        <v>47</v>
      </c>
      <c r="B242" s="67" t="s">
        <v>66</v>
      </c>
      <c r="C242" s="86"/>
      <c r="D242" s="87"/>
      <c r="E242" s="88"/>
      <c r="F242" s="202"/>
    </row>
    <row r="243" spans="1:6" s="42" customFormat="1" ht="12" customHeight="1" x14ac:dyDescent="0.2">
      <c r="A243" s="44"/>
      <c r="B243" s="71" t="s">
        <v>53</v>
      </c>
      <c r="C243" s="48">
        <f>C237</f>
        <v>122</v>
      </c>
      <c r="D243" s="43" t="s">
        <v>54</v>
      </c>
      <c r="E243" s="47"/>
      <c r="F243" s="202"/>
    </row>
    <row r="244" spans="1:6" s="42" customFormat="1" ht="12" customHeight="1" x14ac:dyDescent="0.2">
      <c r="A244" s="44"/>
      <c r="B244" s="71" t="s">
        <v>55</v>
      </c>
      <c r="C244" s="48">
        <f>C238</f>
        <v>6</v>
      </c>
      <c r="D244" s="43" t="s">
        <v>54</v>
      </c>
      <c r="E244" s="49"/>
      <c r="F244" s="202"/>
    </row>
    <row r="245" spans="1:6" s="42" customFormat="1" ht="12" customHeight="1" x14ac:dyDescent="0.2">
      <c r="A245" s="44"/>
      <c r="B245" s="71" t="s">
        <v>67</v>
      </c>
      <c r="C245" s="50">
        <f>ROUND(C243*C244,2)</f>
        <v>732</v>
      </c>
      <c r="D245" s="51" t="s">
        <v>19</v>
      </c>
      <c r="E245" s="49"/>
      <c r="F245" s="202"/>
    </row>
    <row r="246" spans="1:6" s="42" customFormat="1" ht="12" customHeight="1" x14ac:dyDescent="0.2">
      <c r="A246" s="74"/>
      <c r="B246" s="75"/>
      <c r="C246" s="53"/>
      <c r="D246" s="76"/>
      <c r="E246" s="77"/>
      <c r="F246" s="202"/>
    </row>
    <row r="247" spans="1:6" s="42" customFormat="1" ht="12" customHeight="1" x14ac:dyDescent="0.2">
      <c r="A247" s="61" t="s">
        <v>68</v>
      </c>
      <c r="B247" s="65" t="s">
        <v>69</v>
      </c>
      <c r="C247" s="63"/>
      <c r="D247" s="58"/>
      <c r="E247" s="49"/>
      <c r="F247" s="202"/>
    </row>
    <row r="248" spans="1:6" s="42" customFormat="1" ht="12" customHeight="1" x14ac:dyDescent="0.2">
      <c r="A248" s="78" t="s">
        <v>70</v>
      </c>
      <c r="B248" s="345" t="s">
        <v>29</v>
      </c>
      <c r="C248" s="345"/>
      <c r="D248" s="345"/>
      <c r="E248" s="346"/>
      <c r="F248" s="202"/>
    </row>
    <row r="249" spans="1:6" s="42" customFormat="1" ht="12" customHeight="1" x14ac:dyDescent="0.2">
      <c r="A249" s="44"/>
      <c r="B249" s="71" t="s">
        <v>53</v>
      </c>
      <c r="C249" s="48">
        <f>C237</f>
        <v>122</v>
      </c>
      <c r="D249" s="43" t="s">
        <v>54</v>
      </c>
      <c r="E249" s="47"/>
      <c r="F249" s="202"/>
    </row>
    <row r="250" spans="1:6" s="42" customFormat="1" ht="12" customHeight="1" x14ac:dyDescent="0.2">
      <c r="A250" s="44"/>
      <c r="B250" s="71" t="s">
        <v>55</v>
      </c>
      <c r="C250" s="48">
        <f>C238</f>
        <v>6</v>
      </c>
      <c r="D250" s="43" t="s">
        <v>54</v>
      </c>
      <c r="E250" s="49"/>
      <c r="F250" s="202"/>
    </row>
    <row r="251" spans="1:6" s="42" customFormat="1" ht="12" customHeight="1" x14ac:dyDescent="0.2">
      <c r="A251" s="44"/>
      <c r="B251" s="71" t="s">
        <v>67</v>
      </c>
      <c r="C251" s="50">
        <f>ROUND(C249*C250,2)</f>
        <v>732</v>
      </c>
      <c r="D251" s="51" t="s">
        <v>19</v>
      </c>
      <c r="E251" s="49"/>
      <c r="F251" s="202"/>
    </row>
    <row r="252" spans="1:6" s="42" customFormat="1" ht="12" customHeight="1" x14ac:dyDescent="0.2">
      <c r="A252" s="79"/>
      <c r="B252" s="80"/>
      <c r="C252" s="80"/>
      <c r="D252" s="80"/>
      <c r="E252" s="81"/>
      <c r="F252" s="202"/>
    </row>
    <row r="253" spans="1:6" s="42" customFormat="1" ht="12" customHeight="1" x14ac:dyDescent="0.2">
      <c r="A253" s="61" t="s">
        <v>71</v>
      </c>
      <c r="B253" s="65" t="s">
        <v>72</v>
      </c>
      <c r="C253" s="63"/>
      <c r="D253" s="58"/>
      <c r="E253" s="49"/>
      <c r="F253" s="202"/>
    </row>
    <row r="254" spans="1:6" s="42" customFormat="1" ht="12" customHeight="1" x14ac:dyDescent="0.2">
      <c r="A254" s="78" t="s">
        <v>73</v>
      </c>
      <c r="B254" s="345" t="s">
        <v>74</v>
      </c>
      <c r="C254" s="345"/>
      <c r="D254" s="345"/>
      <c r="E254" s="346"/>
      <c r="F254" s="202"/>
    </row>
    <row r="255" spans="1:6" s="42" customFormat="1" ht="12" customHeight="1" x14ac:dyDescent="0.2">
      <c r="A255" s="44"/>
      <c r="B255" s="71" t="s">
        <v>53</v>
      </c>
      <c r="C255" s="48">
        <f>C237</f>
        <v>122</v>
      </c>
      <c r="D255" s="43" t="s">
        <v>54</v>
      </c>
      <c r="E255" s="47"/>
      <c r="F255" s="202"/>
    </row>
    <row r="256" spans="1:6" s="42" customFormat="1" ht="12" customHeight="1" x14ac:dyDescent="0.2">
      <c r="A256" s="44"/>
      <c r="B256" s="71" t="s">
        <v>56</v>
      </c>
      <c r="C256" s="46">
        <v>2</v>
      </c>
      <c r="D256" s="43" t="s">
        <v>75</v>
      </c>
      <c r="E256" s="347"/>
      <c r="F256" s="202"/>
    </row>
    <row r="257" spans="1:6" s="42" customFormat="1" ht="12" customHeight="1" x14ac:dyDescent="0.2">
      <c r="A257" s="44"/>
      <c r="B257" s="71" t="s">
        <v>76</v>
      </c>
      <c r="C257" s="46">
        <v>0</v>
      </c>
      <c r="D257" s="43" t="s">
        <v>54</v>
      </c>
      <c r="E257" s="347"/>
      <c r="F257" s="202"/>
    </row>
    <row r="258" spans="1:6" s="42" customFormat="1" ht="12" customHeight="1" x14ac:dyDescent="0.2">
      <c r="A258" s="44"/>
      <c r="B258" s="71" t="s">
        <v>77</v>
      </c>
      <c r="C258" s="50">
        <f>ROUND((C255*C256+C257),2)</f>
        <v>244</v>
      </c>
      <c r="D258" s="51" t="s">
        <v>54</v>
      </c>
      <c r="E258" s="49"/>
      <c r="F258" s="202"/>
    </row>
    <row r="259" spans="1:6" s="42" customFormat="1" ht="12" customHeight="1" x14ac:dyDescent="0.2">
      <c r="A259" s="79"/>
      <c r="B259" s="80"/>
      <c r="C259" s="80"/>
      <c r="D259" s="80"/>
      <c r="E259" s="81"/>
      <c r="F259" s="202"/>
    </row>
    <row r="260" spans="1:6" s="42" customFormat="1" ht="12" customHeight="1" x14ac:dyDescent="0.2">
      <c r="A260" s="78" t="s">
        <v>78</v>
      </c>
      <c r="B260" s="345" t="s">
        <v>79</v>
      </c>
      <c r="C260" s="345"/>
      <c r="D260" s="345"/>
      <c r="E260" s="346"/>
      <c r="F260" s="202"/>
    </row>
    <row r="261" spans="1:6" s="42" customFormat="1" ht="12" customHeight="1" x14ac:dyDescent="0.2">
      <c r="A261" s="44"/>
      <c r="B261" s="71" t="s">
        <v>53</v>
      </c>
      <c r="C261" s="48">
        <f>C237</f>
        <v>122</v>
      </c>
      <c r="D261" s="43" t="s">
        <v>54</v>
      </c>
      <c r="E261" s="47"/>
      <c r="F261" s="202"/>
    </row>
    <row r="262" spans="1:6" s="42" customFormat="1" ht="12" customHeight="1" x14ac:dyDescent="0.2">
      <c r="A262" s="44"/>
      <c r="B262" s="71" t="s">
        <v>56</v>
      </c>
      <c r="C262" s="48">
        <v>2</v>
      </c>
      <c r="D262" s="43" t="s">
        <v>75</v>
      </c>
      <c r="E262" s="347"/>
      <c r="F262" s="202"/>
    </row>
    <row r="263" spans="1:6" s="42" customFormat="1" ht="12" customHeight="1" x14ac:dyDescent="0.2">
      <c r="A263" s="44"/>
      <c r="B263" s="71" t="s">
        <v>77</v>
      </c>
      <c r="C263" s="50">
        <f>ROUND(C261*C262,2)</f>
        <v>244</v>
      </c>
      <c r="D263" s="51" t="s">
        <v>54</v>
      </c>
      <c r="E263" s="347"/>
      <c r="F263" s="202"/>
    </row>
    <row r="264" spans="1:6" s="42" customFormat="1" ht="12" customHeight="1" x14ac:dyDescent="0.2">
      <c r="A264" s="79"/>
      <c r="B264" s="80"/>
      <c r="C264" s="80"/>
      <c r="D264" s="80"/>
      <c r="E264" s="81"/>
      <c r="F264" s="202"/>
    </row>
    <row r="265" spans="1:6" s="42" customFormat="1" ht="12" customHeight="1" x14ac:dyDescent="0.2">
      <c r="A265" s="61" t="s">
        <v>80</v>
      </c>
      <c r="B265" s="65" t="s">
        <v>81</v>
      </c>
      <c r="C265" s="63"/>
      <c r="D265" s="58"/>
      <c r="E265" s="49"/>
      <c r="F265" s="202"/>
    </row>
    <row r="266" spans="1:6" s="42" customFormat="1" ht="12" customHeight="1" x14ac:dyDescent="0.2">
      <c r="A266" s="78" t="s">
        <v>82</v>
      </c>
      <c r="B266" s="345" t="s">
        <v>83</v>
      </c>
      <c r="C266" s="345"/>
      <c r="D266" s="345"/>
      <c r="E266" s="346"/>
      <c r="F266" s="202"/>
    </row>
    <row r="267" spans="1:6" s="42" customFormat="1" ht="12" customHeight="1" x14ac:dyDescent="0.2">
      <c r="A267" s="44"/>
      <c r="B267" s="71" t="s">
        <v>84</v>
      </c>
      <c r="C267" s="48">
        <f>C251</f>
        <v>732</v>
      </c>
      <c r="D267" s="43" t="s">
        <v>19</v>
      </c>
      <c r="E267" s="47"/>
      <c r="F267" s="202"/>
    </row>
    <row r="268" spans="1:6" s="42" customFormat="1" ht="12" customHeight="1" x14ac:dyDescent="0.2">
      <c r="A268" s="44"/>
      <c r="B268" s="71" t="s">
        <v>85</v>
      </c>
      <c r="C268" s="82">
        <v>4.2000000000000003E-2</v>
      </c>
      <c r="D268" s="43" t="s">
        <v>86</v>
      </c>
      <c r="E268" s="49"/>
      <c r="F268" s="202"/>
    </row>
    <row r="269" spans="1:6" s="42" customFormat="1" ht="12" customHeight="1" x14ac:dyDescent="0.2">
      <c r="A269" s="44"/>
      <c r="B269" s="71" t="s">
        <v>87</v>
      </c>
      <c r="C269" s="48">
        <v>2.52</v>
      </c>
      <c r="D269" s="43" t="s">
        <v>88</v>
      </c>
      <c r="E269" s="49"/>
      <c r="F269" s="202"/>
    </row>
    <row r="270" spans="1:6" s="42" customFormat="1" ht="12" customHeight="1" x14ac:dyDescent="0.2">
      <c r="A270" s="44"/>
      <c r="B270" s="71" t="s">
        <v>89</v>
      </c>
      <c r="C270" s="48">
        <v>1.5</v>
      </c>
      <c r="D270" s="43" t="s">
        <v>90</v>
      </c>
      <c r="E270" s="49"/>
      <c r="F270" s="202"/>
    </row>
    <row r="271" spans="1:6" s="42" customFormat="1" ht="12" customHeight="1" x14ac:dyDescent="0.2">
      <c r="A271" s="44"/>
      <c r="B271" s="71" t="s">
        <v>91</v>
      </c>
      <c r="C271" s="48">
        <v>30</v>
      </c>
      <c r="D271" s="43" t="s">
        <v>92</v>
      </c>
      <c r="E271" s="49"/>
      <c r="F271" s="202"/>
    </row>
    <row r="272" spans="1:6" s="42" customFormat="1" ht="12" customHeight="1" x14ac:dyDescent="0.2">
      <c r="A272" s="44"/>
      <c r="B272" s="65" t="s">
        <v>93</v>
      </c>
      <c r="C272" s="50">
        <f>ROUND(C267*C268*C269*C270*C271,2)</f>
        <v>3486.37</v>
      </c>
      <c r="D272" s="51" t="s">
        <v>94</v>
      </c>
      <c r="E272" s="49"/>
      <c r="F272" s="202"/>
    </row>
    <row r="273" spans="1:6" s="42" customFormat="1" ht="12" customHeight="1" x14ac:dyDescent="0.2">
      <c r="A273" s="79"/>
      <c r="B273" s="80"/>
      <c r="C273" s="80"/>
      <c r="D273" s="80"/>
      <c r="E273" s="81"/>
      <c r="F273" s="202"/>
    </row>
    <row r="274" spans="1:6" s="42" customFormat="1" ht="12" customHeight="1" x14ac:dyDescent="0.2">
      <c r="A274" s="78" t="s">
        <v>95</v>
      </c>
      <c r="B274" s="345" t="s">
        <v>96</v>
      </c>
      <c r="C274" s="345"/>
      <c r="D274" s="345"/>
      <c r="E274" s="346"/>
      <c r="F274" s="202"/>
    </row>
    <row r="275" spans="1:6" s="42" customFormat="1" ht="12" customHeight="1" x14ac:dyDescent="0.2">
      <c r="A275" s="44"/>
      <c r="B275" s="71" t="s">
        <v>84</v>
      </c>
      <c r="C275" s="48">
        <f>C267</f>
        <v>732</v>
      </c>
      <c r="D275" s="43" t="s">
        <v>19</v>
      </c>
      <c r="E275" s="83"/>
      <c r="F275" s="202"/>
    </row>
    <row r="276" spans="1:6" s="42" customFormat="1" ht="12" customHeight="1" x14ac:dyDescent="0.2">
      <c r="A276" s="44"/>
      <c r="B276" s="71" t="s">
        <v>85</v>
      </c>
      <c r="C276" s="82">
        <v>4.2000000000000003E-2</v>
      </c>
      <c r="D276" s="43" t="s">
        <v>86</v>
      </c>
      <c r="E276" s="84"/>
      <c r="F276" s="202"/>
    </row>
    <row r="277" spans="1:6" s="42" customFormat="1" ht="12" customHeight="1" x14ac:dyDescent="0.2">
      <c r="A277" s="44"/>
      <c r="B277" s="71" t="s">
        <v>87</v>
      </c>
      <c r="C277" s="48">
        <v>2.52</v>
      </c>
      <c r="D277" s="43" t="s">
        <v>88</v>
      </c>
      <c r="E277" s="84"/>
      <c r="F277" s="202"/>
    </row>
    <row r="278" spans="1:6" s="42" customFormat="1" ht="12" customHeight="1" x14ac:dyDescent="0.2">
      <c r="A278" s="44"/>
      <c r="B278" s="71" t="s">
        <v>89</v>
      </c>
      <c r="C278" s="48">
        <v>1.5</v>
      </c>
      <c r="D278" s="43" t="s">
        <v>90</v>
      </c>
      <c r="E278" s="84"/>
      <c r="F278" s="202"/>
    </row>
    <row r="279" spans="1:6" s="42" customFormat="1" ht="12" customHeight="1" x14ac:dyDescent="0.2">
      <c r="A279" s="44"/>
      <c r="B279" s="71" t="s">
        <v>91</v>
      </c>
      <c r="C279" s="48">
        <f>C239-C271</f>
        <v>5.2000000000000028</v>
      </c>
      <c r="D279" s="43" t="s">
        <v>92</v>
      </c>
      <c r="E279" s="84"/>
      <c r="F279" s="202"/>
    </row>
    <row r="280" spans="1:6" s="42" customFormat="1" ht="12" customHeight="1" x14ac:dyDescent="0.2">
      <c r="A280" s="44"/>
      <c r="B280" s="65" t="s">
        <v>93</v>
      </c>
      <c r="C280" s="50">
        <f>ROUND(C275*C276*C277*C278*C279,2)</f>
        <v>604.29999999999995</v>
      </c>
      <c r="D280" s="51" t="s">
        <v>94</v>
      </c>
      <c r="E280" s="84"/>
      <c r="F280" s="202"/>
    </row>
    <row r="281" spans="1:6" s="42" customFormat="1" ht="12" customHeight="1" x14ac:dyDescent="0.2">
      <c r="A281" s="79"/>
      <c r="B281" s="71"/>
      <c r="C281" s="52"/>
      <c r="D281" s="85"/>
      <c r="E281" s="81"/>
      <c r="F281" s="202"/>
    </row>
    <row r="282" spans="1:6" s="42" customFormat="1" ht="12" customHeight="1" x14ac:dyDescent="0.2">
      <c r="A282" s="61" t="s">
        <v>97</v>
      </c>
      <c r="B282" s="65" t="s">
        <v>98</v>
      </c>
      <c r="C282" s="63"/>
      <c r="D282" s="58"/>
      <c r="E282" s="49"/>
      <c r="F282" s="202"/>
    </row>
    <row r="283" spans="1:6" s="42" customFormat="1" ht="12" customHeight="1" x14ac:dyDescent="0.2">
      <c r="A283" s="78" t="s">
        <v>99</v>
      </c>
      <c r="B283" s="345" t="s">
        <v>100</v>
      </c>
      <c r="C283" s="345"/>
      <c r="D283" s="345"/>
      <c r="E283" s="346"/>
      <c r="F283" s="202"/>
    </row>
    <row r="284" spans="1:6" s="42" customFormat="1" ht="12" customHeight="1" x14ac:dyDescent="0.2">
      <c r="A284" s="44"/>
      <c r="B284" s="71" t="s">
        <v>101</v>
      </c>
      <c r="C284" s="48">
        <v>0.23</v>
      </c>
      <c r="D284" s="43" t="s">
        <v>19</v>
      </c>
      <c r="E284" s="47"/>
      <c r="F284" s="202"/>
    </row>
    <row r="285" spans="1:6" s="42" customFormat="1" ht="12" customHeight="1" x14ac:dyDescent="0.2">
      <c r="A285" s="44"/>
      <c r="B285" s="71" t="s">
        <v>102</v>
      </c>
      <c r="C285" s="50">
        <f>C284</f>
        <v>0.23</v>
      </c>
      <c r="D285" s="51" t="s">
        <v>19</v>
      </c>
      <c r="E285" s="49"/>
      <c r="F285" s="202"/>
    </row>
    <row r="286" spans="1:6" s="42" customFormat="1" ht="12" customHeight="1" x14ac:dyDescent="0.2">
      <c r="A286" s="79"/>
      <c r="B286" s="80"/>
      <c r="C286" s="80"/>
      <c r="D286" s="80"/>
      <c r="E286" s="81"/>
      <c r="F286" s="202"/>
    </row>
    <row r="287" spans="1:6" s="42" customFormat="1" ht="12" customHeight="1" x14ac:dyDescent="0.2">
      <c r="A287" s="78" t="s">
        <v>103</v>
      </c>
      <c r="B287" s="345" t="s">
        <v>104</v>
      </c>
      <c r="C287" s="345"/>
      <c r="D287" s="345"/>
      <c r="E287" s="346"/>
      <c r="F287" s="202"/>
    </row>
    <row r="288" spans="1:6" s="42" customFormat="1" ht="12" customHeight="1" x14ac:dyDescent="0.2">
      <c r="A288" s="44"/>
      <c r="B288" s="71" t="s">
        <v>101</v>
      </c>
      <c r="C288" s="48">
        <v>2</v>
      </c>
      <c r="D288" s="43" t="s">
        <v>75</v>
      </c>
      <c r="E288" s="47"/>
      <c r="F288" s="202"/>
    </row>
    <row r="289" spans="1:6" s="42" customFormat="1" ht="12" customHeight="1" x14ac:dyDescent="0.2">
      <c r="A289" s="44"/>
      <c r="B289" s="71" t="s">
        <v>102</v>
      </c>
      <c r="C289" s="50">
        <f>C288</f>
        <v>2</v>
      </c>
      <c r="D289" s="51" t="s">
        <v>75</v>
      </c>
      <c r="E289" s="49"/>
      <c r="F289" s="202"/>
    </row>
    <row r="290" spans="1:6" s="42" customFormat="1" ht="12" customHeight="1" x14ac:dyDescent="0.2">
      <c r="A290" s="94"/>
      <c r="B290" s="95"/>
      <c r="C290" s="95"/>
      <c r="D290" s="95"/>
      <c r="E290" s="96"/>
      <c r="F290" s="202"/>
    </row>
    <row r="291" spans="1:6" s="42" customFormat="1" ht="12" customHeight="1" x14ac:dyDescent="0.2">
      <c r="A291" s="92"/>
      <c r="B291" s="92"/>
      <c r="C291" s="92"/>
      <c r="D291" s="92"/>
      <c r="E291" s="92"/>
      <c r="F291" s="202"/>
    </row>
  </sheetData>
  <mergeCells count="54">
    <mergeCell ref="E42:E43"/>
    <mergeCell ref="A2:B2"/>
    <mergeCell ref="C16:E16"/>
    <mergeCell ref="B28:E28"/>
    <mergeCell ref="B34:E34"/>
    <mergeCell ref="E36:E37"/>
    <mergeCell ref="B40:E40"/>
    <mergeCell ref="B109:E109"/>
    <mergeCell ref="B46:E46"/>
    <mergeCell ref="B54:E54"/>
    <mergeCell ref="B63:E63"/>
    <mergeCell ref="B67:E67"/>
    <mergeCell ref="C71:E71"/>
    <mergeCell ref="B83:E83"/>
    <mergeCell ref="B89:E89"/>
    <mergeCell ref="E91:E92"/>
    <mergeCell ref="B95:E95"/>
    <mergeCell ref="E97:E98"/>
    <mergeCell ref="B101:E101"/>
    <mergeCell ref="B177:E177"/>
    <mergeCell ref="B118:E118"/>
    <mergeCell ref="B122:E122"/>
    <mergeCell ref="C126:E126"/>
    <mergeCell ref="B138:E138"/>
    <mergeCell ref="B144:E144"/>
    <mergeCell ref="E146:E147"/>
    <mergeCell ref="B150:E150"/>
    <mergeCell ref="E152:E153"/>
    <mergeCell ref="B156:E156"/>
    <mergeCell ref="B164:E164"/>
    <mergeCell ref="B173:E173"/>
    <mergeCell ref="B248:E248"/>
    <mergeCell ref="C181:E181"/>
    <mergeCell ref="B193:E193"/>
    <mergeCell ref="B199:E199"/>
    <mergeCell ref="E201:E202"/>
    <mergeCell ref="B205:E205"/>
    <mergeCell ref="E207:E208"/>
    <mergeCell ref="A1:E1"/>
    <mergeCell ref="A3:C3"/>
    <mergeCell ref="C5:E5"/>
    <mergeCell ref="B283:E283"/>
    <mergeCell ref="B287:E287"/>
    <mergeCell ref="B254:E254"/>
    <mergeCell ref="E256:E257"/>
    <mergeCell ref="B260:E260"/>
    <mergeCell ref="E262:E263"/>
    <mergeCell ref="B266:E266"/>
    <mergeCell ref="B274:E274"/>
    <mergeCell ref="B211:E211"/>
    <mergeCell ref="B219:E219"/>
    <mergeCell ref="B228:E228"/>
    <mergeCell ref="B232:E232"/>
    <mergeCell ref="C236:E236"/>
  </mergeCells>
  <printOptions horizontalCentered="1"/>
  <pageMargins left="1.1023622047244095" right="0.51181102362204722" top="1.3779527559055118" bottom="0.78740157480314965" header="0.31496062992125984" footer="0.31496062992125984"/>
  <pageSetup paperSize="9" scale="62" fitToHeight="0" orientation="portrait" r:id="rId1"/>
  <headerFooter>
    <oddHeader>&amp;C&amp;G</oddHeader>
  </headerFooter>
  <rowBreaks count="4" manualBreakCount="4">
    <brk id="69" max="4" man="1"/>
    <brk id="125" max="4" man="1"/>
    <brk id="180" max="4" man="1"/>
    <brk id="235" max="4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1D8D-3D91-4971-9283-3B531FF0A460}">
  <sheetPr>
    <pageSetUpPr fitToPage="1"/>
  </sheetPr>
  <dimension ref="A1:F41"/>
  <sheetViews>
    <sheetView view="pageBreakPreview" topLeftCell="A26" zoomScale="120" zoomScaleNormal="100" zoomScaleSheetLayoutView="120" workbookViewId="0">
      <selection activeCell="C41" sqref="C41:D41"/>
    </sheetView>
  </sheetViews>
  <sheetFormatPr defaultRowHeight="14.4" x14ac:dyDescent="0.3"/>
  <cols>
    <col min="1" max="1" width="10.77734375" customWidth="1"/>
    <col min="2" max="2" width="50.77734375" customWidth="1"/>
    <col min="3" max="6" width="15.77734375" customWidth="1"/>
  </cols>
  <sheetData>
    <row r="1" spans="1:6" ht="25.05" customHeight="1" x14ac:dyDescent="0.3">
      <c r="A1" s="287" t="s">
        <v>177</v>
      </c>
      <c r="B1" s="287"/>
      <c r="C1" s="287"/>
      <c r="D1" s="287"/>
      <c r="E1" s="287"/>
      <c r="F1" s="288"/>
    </row>
    <row r="2" spans="1:6" ht="19.95" customHeight="1" x14ac:dyDescent="0.3">
      <c r="A2" s="289" t="str">
        <f>CONCATENATE("PAVIMENTAÇÃO DE VIAS PÚBLICAS NO MUNÍCIO DE ",GERAL!B2," - PI")</f>
        <v>PAVIMENTAÇÃO DE VIAS PÚBLICAS NO MUNÍCIO DE TERESINA - PI</v>
      </c>
      <c r="B2" s="290"/>
      <c r="C2" s="291" t="str">
        <f>CONCATENATE("FONTE: ", GERAL!F1)</f>
        <v>FONTE: SINAPI 12/2025</v>
      </c>
      <c r="D2" s="291"/>
      <c r="E2" s="20" t="str">
        <f>CONCATENATE("SEM DESONERAÇÃO
 BDI: ",TEXT(GERAL!F3,"0,00%"))</f>
        <v>SEM DESONERAÇÃO
 BDI: 21,96%</v>
      </c>
      <c r="F2" s="21" t="str">
        <f>RES!F2</f>
        <v>HORISTA: 113,33%
MENSALISTA: 71,12%</v>
      </c>
    </row>
    <row r="3" spans="1:6" ht="19.95" customHeight="1" x14ac:dyDescent="0.3">
      <c r="A3" s="292" t="str">
        <f>CONCATENATE("LOCALIDADE: ", GERAL!B3)</f>
        <v>LOCALIDADE: DIVERSAS</v>
      </c>
      <c r="B3" s="293"/>
      <c r="C3" s="293"/>
      <c r="D3" s="293"/>
      <c r="E3" s="22" t="s">
        <v>33</v>
      </c>
      <c r="F3" s="97">
        <f>GERAL!C16</f>
        <v>3853</v>
      </c>
    </row>
    <row r="4" spans="1:6" ht="15" customHeight="1" x14ac:dyDescent="0.3">
      <c r="A4" s="311"/>
      <c r="B4" s="311"/>
      <c r="C4" s="311"/>
      <c r="D4" s="311"/>
      <c r="E4" s="311"/>
      <c r="F4" s="348"/>
    </row>
    <row r="5" spans="1:6" s="42" customFormat="1" ht="12" customHeight="1" x14ac:dyDescent="0.2">
      <c r="A5" s="306" t="s">
        <v>109</v>
      </c>
      <c r="B5" s="309" t="s">
        <v>110</v>
      </c>
      <c r="C5" s="311" t="s">
        <v>111</v>
      </c>
      <c r="D5" s="311"/>
      <c r="E5" s="311" t="s">
        <v>112</v>
      </c>
      <c r="F5" s="311"/>
    </row>
    <row r="6" spans="1:6" s="42" customFormat="1" ht="22.2" customHeight="1" x14ac:dyDescent="0.2">
      <c r="A6" s="306"/>
      <c r="B6" s="309"/>
      <c r="C6" s="98" t="s">
        <v>113</v>
      </c>
      <c r="D6" s="98" t="s">
        <v>114</v>
      </c>
      <c r="E6" s="98" t="s">
        <v>113</v>
      </c>
      <c r="F6" s="98" t="s">
        <v>114</v>
      </c>
    </row>
    <row r="7" spans="1:6" s="42" customFormat="1" ht="12" customHeight="1" x14ac:dyDescent="0.2">
      <c r="A7" s="311" t="s">
        <v>115</v>
      </c>
      <c r="B7" s="311"/>
      <c r="C7" s="311"/>
      <c r="D7" s="311"/>
      <c r="E7" s="311"/>
      <c r="F7" s="311"/>
    </row>
    <row r="8" spans="1:6" s="42" customFormat="1" ht="12" customHeight="1" x14ac:dyDescent="0.2">
      <c r="A8" s="98" t="s">
        <v>116</v>
      </c>
      <c r="B8" s="99" t="s">
        <v>117</v>
      </c>
      <c r="C8" s="100">
        <v>0.05</v>
      </c>
      <c r="D8" s="100">
        <v>0.05</v>
      </c>
      <c r="E8" s="100">
        <v>0.2</v>
      </c>
      <c r="F8" s="100">
        <v>0.2</v>
      </c>
    </row>
    <row r="9" spans="1:6" s="42" customFormat="1" ht="12" customHeight="1" x14ac:dyDescent="0.2">
      <c r="A9" s="98" t="s">
        <v>118</v>
      </c>
      <c r="B9" s="99" t="s">
        <v>119</v>
      </c>
      <c r="C9" s="100">
        <v>1.4999999999999999E-2</v>
      </c>
      <c r="D9" s="100">
        <v>1.4999999999999999E-2</v>
      </c>
      <c r="E9" s="100">
        <v>1.4999999999999999E-2</v>
      </c>
      <c r="F9" s="100">
        <v>1.4999999999999999E-2</v>
      </c>
    </row>
    <row r="10" spans="1:6" s="42" customFormat="1" ht="12" customHeight="1" x14ac:dyDescent="0.2">
      <c r="A10" s="98" t="s">
        <v>120</v>
      </c>
      <c r="B10" s="99" t="s">
        <v>121</v>
      </c>
      <c r="C10" s="100">
        <v>0.01</v>
      </c>
      <c r="D10" s="100">
        <v>0.01</v>
      </c>
      <c r="E10" s="100">
        <v>0.01</v>
      </c>
      <c r="F10" s="100">
        <v>0.01</v>
      </c>
    </row>
    <row r="11" spans="1:6" s="42" customFormat="1" ht="12" customHeight="1" x14ac:dyDescent="0.2">
      <c r="A11" s="98" t="s">
        <v>122</v>
      </c>
      <c r="B11" s="99" t="s">
        <v>123</v>
      </c>
      <c r="C11" s="100">
        <v>2E-3</v>
      </c>
      <c r="D11" s="100">
        <v>2E-3</v>
      </c>
      <c r="E11" s="100">
        <v>2E-3</v>
      </c>
      <c r="F11" s="100">
        <v>2E-3</v>
      </c>
    </row>
    <row r="12" spans="1:6" s="42" customFormat="1" ht="12" customHeight="1" x14ac:dyDescent="0.2">
      <c r="A12" s="98" t="s">
        <v>124</v>
      </c>
      <c r="B12" s="99" t="s">
        <v>125</v>
      </c>
      <c r="C12" s="100">
        <v>6.0000000000000001E-3</v>
      </c>
      <c r="D12" s="100">
        <v>6.0000000000000001E-3</v>
      </c>
      <c r="E12" s="100">
        <v>6.0000000000000001E-3</v>
      </c>
      <c r="F12" s="100">
        <v>6.0000000000000001E-3</v>
      </c>
    </row>
    <row r="13" spans="1:6" s="42" customFormat="1" ht="12" customHeight="1" x14ac:dyDescent="0.2">
      <c r="A13" s="98" t="s">
        <v>126</v>
      </c>
      <c r="B13" s="99" t="s">
        <v>127</v>
      </c>
      <c r="C13" s="100">
        <v>2.5000000000000001E-2</v>
      </c>
      <c r="D13" s="100">
        <v>2.5000000000000001E-2</v>
      </c>
      <c r="E13" s="100">
        <v>2.5000000000000001E-2</v>
      </c>
      <c r="F13" s="100">
        <v>2.5000000000000001E-2</v>
      </c>
    </row>
    <row r="14" spans="1:6" s="42" customFormat="1" ht="12" customHeight="1" x14ac:dyDescent="0.2">
      <c r="A14" s="98" t="s">
        <v>128</v>
      </c>
      <c r="B14" s="99" t="s">
        <v>129</v>
      </c>
      <c r="C14" s="100">
        <v>0.03</v>
      </c>
      <c r="D14" s="100">
        <v>0.03</v>
      </c>
      <c r="E14" s="100">
        <v>0.03</v>
      </c>
      <c r="F14" s="100">
        <v>0.03</v>
      </c>
    </row>
    <row r="15" spans="1:6" s="42" customFormat="1" ht="12" customHeight="1" x14ac:dyDescent="0.2">
      <c r="A15" s="98" t="s">
        <v>130</v>
      </c>
      <c r="B15" s="99" t="s">
        <v>131</v>
      </c>
      <c r="C15" s="100">
        <v>0.08</v>
      </c>
      <c r="D15" s="100">
        <v>0.08</v>
      </c>
      <c r="E15" s="100">
        <v>0.08</v>
      </c>
      <c r="F15" s="100">
        <v>0.08</v>
      </c>
    </row>
    <row r="16" spans="1:6" s="42" customFormat="1" ht="12" customHeight="1" x14ac:dyDescent="0.2">
      <c r="A16" s="98" t="s">
        <v>132</v>
      </c>
      <c r="B16" s="99" t="s">
        <v>133</v>
      </c>
      <c r="C16" s="100">
        <v>0</v>
      </c>
      <c r="D16" s="100">
        <v>0</v>
      </c>
      <c r="E16" s="100">
        <v>0</v>
      </c>
      <c r="F16" s="100">
        <v>0</v>
      </c>
    </row>
    <row r="17" spans="1:6" s="42" customFormat="1" ht="12" customHeight="1" x14ac:dyDescent="0.2">
      <c r="A17" s="101" t="s">
        <v>185</v>
      </c>
      <c r="B17" s="102" t="s">
        <v>157</v>
      </c>
      <c r="C17" s="103">
        <f>SUM(C8:C16)</f>
        <v>0.21800000000000003</v>
      </c>
      <c r="D17" s="103">
        <f>SUM(D8:D16)</f>
        <v>0.21800000000000003</v>
      </c>
      <c r="E17" s="103">
        <f>SUM(E8:E16)</f>
        <v>0.36800000000000005</v>
      </c>
      <c r="F17" s="103">
        <f>SUM(F8:F16)</f>
        <v>0.36800000000000005</v>
      </c>
    </row>
    <row r="18" spans="1:6" s="42" customFormat="1" ht="12" customHeight="1" x14ac:dyDescent="0.2">
      <c r="A18" s="311" t="s">
        <v>134</v>
      </c>
      <c r="B18" s="311"/>
      <c r="C18" s="311"/>
      <c r="D18" s="311"/>
      <c r="E18" s="311"/>
      <c r="F18" s="311"/>
    </row>
    <row r="19" spans="1:6" s="42" customFormat="1" ht="12" customHeight="1" x14ac:dyDescent="0.2">
      <c r="A19" s="98" t="s">
        <v>135</v>
      </c>
      <c r="B19" s="99" t="s">
        <v>136</v>
      </c>
      <c r="C19" s="100">
        <v>0.1782</v>
      </c>
      <c r="D19" s="98" t="s">
        <v>137</v>
      </c>
      <c r="E19" s="100">
        <v>0.1782</v>
      </c>
      <c r="F19" s="98" t="s">
        <v>137</v>
      </c>
    </row>
    <row r="20" spans="1:6" s="42" customFormat="1" ht="12" customHeight="1" x14ac:dyDescent="0.2">
      <c r="A20" s="98" t="s">
        <v>138</v>
      </c>
      <c r="B20" s="99" t="s">
        <v>139</v>
      </c>
      <c r="C20" s="100">
        <v>3.95E-2</v>
      </c>
      <c r="D20" s="98" t="s">
        <v>137</v>
      </c>
      <c r="E20" s="100">
        <v>3.95E-2</v>
      </c>
      <c r="F20" s="98" t="s">
        <v>137</v>
      </c>
    </row>
    <row r="21" spans="1:6" s="42" customFormat="1" ht="12" customHeight="1" x14ac:dyDescent="0.2">
      <c r="A21" s="98" t="s">
        <v>140</v>
      </c>
      <c r="B21" s="99" t="s">
        <v>141</v>
      </c>
      <c r="C21" s="100">
        <v>8.6E-3</v>
      </c>
      <c r="D21" s="100">
        <v>6.4999999999999997E-3</v>
      </c>
      <c r="E21" s="100">
        <v>8.6E-3</v>
      </c>
      <c r="F21" s="100">
        <v>6.4999999999999997E-3</v>
      </c>
    </row>
    <row r="22" spans="1:6" s="42" customFormat="1" ht="12" customHeight="1" x14ac:dyDescent="0.2">
      <c r="A22" s="98" t="s">
        <v>142</v>
      </c>
      <c r="B22" s="99" t="s">
        <v>143</v>
      </c>
      <c r="C22" s="100">
        <v>0.1096</v>
      </c>
      <c r="D22" s="100">
        <v>8.3299999999999999E-2</v>
      </c>
      <c r="E22" s="100">
        <v>0.1096</v>
      </c>
      <c r="F22" s="100">
        <v>8.3299999999999999E-2</v>
      </c>
    </row>
    <row r="23" spans="1:6" s="42" customFormat="1" ht="12" customHeight="1" x14ac:dyDescent="0.2">
      <c r="A23" s="98" t="s">
        <v>144</v>
      </c>
      <c r="B23" s="99" t="s">
        <v>145</v>
      </c>
      <c r="C23" s="100">
        <v>6.9999999999999999E-4</v>
      </c>
      <c r="D23" s="100">
        <v>5.0000000000000001E-4</v>
      </c>
      <c r="E23" s="100">
        <v>6.9999999999999999E-4</v>
      </c>
      <c r="F23" s="100">
        <v>5.0000000000000001E-4</v>
      </c>
    </row>
    <row r="24" spans="1:6" s="42" customFormat="1" ht="12" customHeight="1" x14ac:dyDescent="0.2">
      <c r="A24" s="98" t="s">
        <v>146</v>
      </c>
      <c r="B24" s="99" t="s">
        <v>147</v>
      </c>
      <c r="C24" s="100">
        <v>7.3000000000000001E-3</v>
      </c>
      <c r="D24" s="100">
        <v>5.5999999999999999E-3</v>
      </c>
      <c r="E24" s="100">
        <v>7.3000000000000001E-3</v>
      </c>
      <c r="F24" s="100">
        <v>5.5999999999999999E-3</v>
      </c>
    </row>
    <row r="25" spans="1:6" s="42" customFormat="1" ht="12" customHeight="1" x14ac:dyDescent="0.2">
      <c r="A25" s="98" t="s">
        <v>148</v>
      </c>
      <c r="B25" s="99" t="s">
        <v>149</v>
      </c>
      <c r="C25" s="100">
        <v>1.17E-2</v>
      </c>
      <c r="D25" s="98" t="s">
        <v>137</v>
      </c>
      <c r="E25" s="100">
        <v>1.17E-2</v>
      </c>
      <c r="F25" s="98" t="s">
        <v>137</v>
      </c>
    </row>
    <row r="26" spans="1:6" s="42" customFormat="1" ht="12" customHeight="1" x14ac:dyDescent="0.2">
      <c r="A26" s="98" t="s">
        <v>150</v>
      </c>
      <c r="B26" s="99" t="s">
        <v>151</v>
      </c>
      <c r="C26" s="100">
        <v>1E-3</v>
      </c>
      <c r="D26" s="100">
        <v>6.9999999999999999E-4</v>
      </c>
      <c r="E26" s="100">
        <v>1E-3</v>
      </c>
      <c r="F26" s="100">
        <v>6.9999999999999999E-4</v>
      </c>
    </row>
    <row r="27" spans="1:6" s="42" customFormat="1" ht="12" customHeight="1" x14ac:dyDescent="0.2">
      <c r="A27" s="98" t="s">
        <v>152</v>
      </c>
      <c r="B27" s="99" t="s">
        <v>153</v>
      </c>
      <c r="C27" s="100">
        <v>0.1171</v>
      </c>
      <c r="D27" s="100">
        <v>8.8999999999999996E-2</v>
      </c>
      <c r="E27" s="100">
        <v>0.1171</v>
      </c>
      <c r="F27" s="100">
        <v>8.8999999999999996E-2</v>
      </c>
    </row>
    <row r="28" spans="1:6" s="42" customFormat="1" ht="12" customHeight="1" x14ac:dyDescent="0.2">
      <c r="A28" s="98" t="s">
        <v>154</v>
      </c>
      <c r="B28" s="99" t="s">
        <v>155</v>
      </c>
      <c r="C28" s="100">
        <v>2.9999999999999997E-4</v>
      </c>
      <c r="D28" s="100">
        <v>2.9999999999999997E-4</v>
      </c>
      <c r="E28" s="100">
        <v>2.9999999999999997E-4</v>
      </c>
      <c r="F28" s="100">
        <v>2.9999999999999997E-4</v>
      </c>
    </row>
    <row r="29" spans="1:6" s="42" customFormat="1" ht="12" customHeight="1" x14ac:dyDescent="0.2">
      <c r="A29" s="101" t="s">
        <v>156</v>
      </c>
      <c r="B29" s="102" t="s">
        <v>157</v>
      </c>
      <c r="C29" s="103">
        <f>SUM(C19:C28)</f>
        <v>0.47399999999999992</v>
      </c>
      <c r="D29" s="103">
        <f>SUM(D19:D28)</f>
        <v>0.18589999999999998</v>
      </c>
      <c r="E29" s="103">
        <f>SUM(E19:E28)</f>
        <v>0.47399999999999992</v>
      </c>
      <c r="F29" s="103">
        <f>SUM(F19:F28)</f>
        <v>0.18589999999999998</v>
      </c>
    </row>
    <row r="30" spans="1:6" s="42" customFormat="1" ht="12" customHeight="1" x14ac:dyDescent="0.2">
      <c r="A30" s="311" t="s">
        <v>158</v>
      </c>
      <c r="B30" s="311"/>
      <c r="C30" s="311"/>
      <c r="D30" s="311"/>
      <c r="E30" s="311"/>
      <c r="F30" s="311"/>
    </row>
    <row r="31" spans="1:6" s="42" customFormat="1" ht="12" customHeight="1" x14ac:dyDescent="0.2">
      <c r="A31" s="98" t="s">
        <v>159</v>
      </c>
      <c r="B31" s="99" t="s">
        <v>160</v>
      </c>
      <c r="C31" s="100">
        <v>5.2999999999999999E-2</v>
      </c>
      <c r="D31" s="100">
        <v>4.0300000000000002E-2</v>
      </c>
      <c r="E31" s="100">
        <v>5.2999999999999999E-2</v>
      </c>
      <c r="F31" s="100">
        <v>4.0300000000000002E-2</v>
      </c>
    </row>
    <row r="32" spans="1:6" s="42" customFormat="1" ht="12" customHeight="1" x14ac:dyDescent="0.2">
      <c r="A32" s="98" t="s">
        <v>161</v>
      </c>
      <c r="B32" s="99" t="s">
        <v>162</v>
      </c>
      <c r="C32" s="100">
        <v>1.1999999999999999E-3</v>
      </c>
      <c r="D32" s="100">
        <v>8.9999999999999998E-4</v>
      </c>
      <c r="E32" s="100">
        <v>1.1999999999999999E-3</v>
      </c>
      <c r="F32" s="100">
        <v>8.9999999999999998E-4</v>
      </c>
    </row>
    <row r="33" spans="1:6" s="42" customFormat="1" ht="12" customHeight="1" x14ac:dyDescent="0.2">
      <c r="A33" s="98" t="s">
        <v>163</v>
      </c>
      <c r="B33" s="99" t="s">
        <v>164</v>
      </c>
      <c r="C33" s="100">
        <v>2.46E-2</v>
      </c>
      <c r="D33" s="100">
        <v>1.8700000000000001E-2</v>
      </c>
      <c r="E33" s="100">
        <v>2.46E-2</v>
      </c>
      <c r="F33" s="100">
        <v>1.8700000000000001E-2</v>
      </c>
    </row>
    <row r="34" spans="1:6" s="42" customFormat="1" ht="12" customHeight="1" x14ac:dyDescent="0.2">
      <c r="A34" s="98" t="s">
        <v>165</v>
      </c>
      <c r="B34" s="99" t="s">
        <v>166</v>
      </c>
      <c r="C34" s="100">
        <v>2.8899999999999999E-2</v>
      </c>
      <c r="D34" s="100">
        <v>2.1999999999999999E-2</v>
      </c>
      <c r="E34" s="100">
        <v>2.8899999999999999E-2</v>
      </c>
      <c r="F34" s="100">
        <v>2.1999999999999999E-2</v>
      </c>
    </row>
    <row r="35" spans="1:6" s="42" customFormat="1" ht="12" customHeight="1" x14ac:dyDescent="0.2">
      <c r="A35" s="98" t="s">
        <v>167</v>
      </c>
      <c r="B35" s="99" t="s">
        <v>168</v>
      </c>
      <c r="C35" s="100">
        <v>4.4999999999999997E-3</v>
      </c>
      <c r="D35" s="100">
        <v>3.3999999999999998E-3</v>
      </c>
      <c r="E35" s="100">
        <v>4.4999999999999997E-3</v>
      </c>
      <c r="F35" s="100">
        <v>3.3999999999999998E-3</v>
      </c>
    </row>
    <row r="36" spans="1:6" s="42" customFormat="1" ht="12" customHeight="1" x14ac:dyDescent="0.2">
      <c r="A36" s="101" t="s">
        <v>169</v>
      </c>
      <c r="B36" s="102" t="s">
        <v>157</v>
      </c>
      <c r="C36" s="103">
        <f>SUM(C31:C35)</f>
        <v>0.11219999999999999</v>
      </c>
      <c r="D36" s="103">
        <f>SUM(D31:D35)</f>
        <v>8.5300000000000001E-2</v>
      </c>
      <c r="E36" s="103">
        <f>SUM(E31:E35)</f>
        <v>0.11219999999999999</v>
      </c>
      <c r="F36" s="103">
        <f>SUM(F31:F35)</f>
        <v>8.5300000000000001E-2</v>
      </c>
    </row>
    <row r="37" spans="1:6" s="42" customFormat="1" ht="12" customHeight="1" x14ac:dyDescent="0.2">
      <c r="A37" s="311" t="s">
        <v>170</v>
      </c>
      <c r="B37" s="311"/>
      <c r="C37" s="311"/>
      <c r="D37" s="311"/>
      <c r="E37" s="311"/>
      <c r="F37" s="311"/>
    </row>
    <row r="38" spans="1:6" s="42" customFormat="1" ht="12" customHeight="1" x14ac:dyDescent="0.2">
      <c r="A38" s="98" t="s">
        <v>171</v>
      </c>
      <c r="B38" s="99" t="s">
        <v>172</v>
      </c>
      <c r="C38" s="100">
        <v>9.7900000000000001E-2</v>
      </c>
      <c r="D38" s="100">
        <v>3.6400000000000002E-2</v>
      </c>
      <c r="E38" s="100">
        <v>0.1744</v>
      </c>
      <c r="F38" s="100">
        <v>6.8400000000000002E-2</v>
      </c>
    </row>
    <row r="39" spans="1:6" s="42" customFormat="1" ht="34.799999999999997" customHeight="1" x14ac:dyDescent="0.2">
      <c r="A39" s="98" t="s">
        <v>173</v>
      </c>
      <c r="B39" s="99" t="s">
        <v>174</v>
      </c>
      <c r="C39" s="100">
        <v>4.4999999999999997E-3</v>
      </c>
      <c r="D39" s="100">
        <v>3.3999999999999998E-3</v>
      </c>
      <c r="E39" s="100">
        <v>4.7000000000000002E-3</v>
      </c>
      <c r="F39" s="100">
        <v>3.5999999999999999E-3</v>
      </c>
    </row>
    <row r="40" spans="1:6" s="42" customFormat="1" ht="12" customHeight="1" x14ac:dyDescent="0.2">
      <c r="A40" s="101" t="s">
        <v>175</v>
      </c>
      <c r="B40" s="102" t="s">
        <v>157</v>
      </c>
      <c r="C40" s="103">
        <f>SUM(C38:C39)</f>
        <v>0.1024</v>
      </c>
      <c r="D40" s="103">
        <f>SUM(D38:D39)</f>
        <v>3.9800000000000002E-2</v>
      </c>
      <c r="E40" s="103">
        <f>SUM(E38:E39)</f>
        <v>0.17910000000000001</v>
      </c>
      <c r="F40" s="103">
        <f>SUM(F38:F39)</f>
        <v>7.2000000000000008E-2</v>
      </c>
    </row>
    <row r="41" spans="1:6" x14ac:dyDescent="0.3">
      <c r="A41" s="306" t="s">
        <v>176</v>
      </c>
      <c r="B41" s="306"/>
      <c r="C41" s="103">
        <f>SUM(C40,C36,C29,C17)</f>
        <v>0.90659999999999985</v>
      </c>
      <c r="D41" s="103">
        <f>SUM(D40,D36,D29,D17)</f>
        <v>0.52899999999999991</v>
      </c>
      <c r="E41" s="103">
        <f>SUM(E40,E36,E29,E17)</f>
        <v>1.1333</v>
      </c>
      <c r="F41" s="103">
        <f>SUM(F40,F36,F29,F17)</f>
        <v>0.71120000000000005</v>
      </c>
    </row>
  </sheetData>
  <mergeCells count="14">
    <mergeCell ref="A1:F1"/>
    <mergeCell ref="A2:B2"/>
    <mergeCell ref="C2:D2"/>
    <mergeCell ref="A3:D3"/>
    <mergeCell ref="A41:B41"/>
    <mergeCell ref="A18:F18"/>
    <mergeCell ref="A30:F30"/>
    <mergeCell ref="A37:F37"/>
    <mergeCell ref="A4:F4"/>
    <mergeCell ref="A5:A6"/>
    <mergeCell ref="B5:B6"/>
    <mergeCell ref="C5:D5"/>
    <mergeCell ref="E5:F5"/>
    <mergeCell ref="A7:F7"/>
  </mergeCells>
  <printOptions horizontalCentered="1" verticalCentered="1"/>
  <pageMargins left="1.1023622047244095" right="0.51181102362204722" top="0" bottom="0.78740157480314965" header="0.31496062992125984" footer="0.31496062992125984"/>
  <pageSetup paperSize="9" scale="67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10</vt:i4>
      </vt:variant>
    </vt:vector>
  </HeadingPairs>
  <TitlesOfParts>
    <vt:vector size="23" baseType="lpstr">
      <vt:lpstr>GERAL</vt:lpstr>
      <vt:lpstr>QCI</vt:lpstr>
      <vt:lpstr>RES</vt:lpstr>
      <vt:lpstr>ORÇ</vt:lpstr>
      <vt:lpstr>CRON</vt:lpstr>
      <vt:lpstr>CCU</vt:lpstr>
      <vt:lpstr>BDI</vt:lpstr>
      <vt:lpstr>MC</vt:lpstr>
      <vt:lpstr>LS</vt:lpstr>
      <vt:lpstr>RES DES</vt:lpstr>
      <vt:lpstr>ORÇ (2)</vt:lpstr>
      <vt:lpstr>CCU (2)</vt:lpstr>
      <vt:lpstr>BDI (2)</vt:lpstr>
      <vt:lpstr>BDI!Area_de_impressao</vt:lpstr>
      <vt:lpstr>'BDI (2)'!Area_de_impressao</vt:lpstr>
      <vt:lpstr>CCU!Area_de_impressao</vt:lpstr>
      <vt:lpstr>'CCU (2)'!Area_de_impressao</vt:lpstr>
      <vt:lpstr>CRON!Area_de_impressao</vt:lpstr>
      <vt:lpstr>GERAL!Area_de_impressao</vt:lpstr>
      <vt:lpstr>MC!Area_de_impressao</vt:lpstr>
      <vt:lpstr>ORÇ!Area_de_impressao</vt:lpstr>
      <vt:lpstr>'ORÇ (2)'!Area_de_impressao</vt:lpstr>
      <vt:lpstr>QCI!Area_de_impressao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Giesinger</dc:creator>
  <cp:lastModifiedBy>Sarah Giesinger</cp:lastModifiedBy>
  <cp:lastPrinted>2026-02-06T14:11:12Z</cp:lastPrinted>
  <dcterms:created xsi:type="dcterms:W3CDTF">2025-11-26T12:38:32Z</dcterms:created>
  <dcterms:modified xsi:type="dcterms:W3CDTF">2026-02-06T14:32:49Z</dcterms:modified>
</cp:coreProperties>
</file>